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D:\Python_source\ExcelCrawl\"/>
    </mc:Choice>
  </mc:AlternateContent>
  <xr:revisionPtr revIDLastSave="0" documentId="13_ncr:1_{2D83345B-B1A3-45ED-A0CA-C8DC86E90E4A}" xr6:coauthVersionLast="41" xr6:coauthVersionMax="41" xr10:uidLastSave="{00000000-0000-0000-0000-000000000000}"/>
  <bookViews>
    <workbookView xWindow="28680" yWindow="-120" windowWidth="29040" windowHeight="15840" xr2:uid="{00000000-000D-0000-FFFF-FFFF00000000}"/>
  </bookViews>
  <sheets>
    <sheet name="미국" sheetId="1" r:id="rId1"/>
    <sheet name="중국" sheetId="2" r:id="rId2"/>
    <sheet name="유럽(독일)" sheetId="3" r:id="rId3"/>
    <sheet name="배송비 조회" sheetId="4" r:id="rId4"/>
    <sheet name="etc" sheetId="5" r:id="rId5"/>
  </sheets>
  <definedNames>
    <definedName name="_xlnm._FilterDatabase" localSheetId="0" hidden="1">미국!$A$2:$AW$1018</definedName>
    <definedName name="_xlnm._FilterDatabase" localSheetId="1" hidden="1">중국!$A$2:$AU$1009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656" i="1" l="1"/>
  <c r="A654" i="1"/>
  <c r="A653" i="1"/>
  <c r="A646" i="1"/>
  <c r="A579" i="1"/>
  <c r="A578" i="1"/>
  <c r="A563" i="1"/>
  <c r="A562" i="1"/>
  <c r="A552" i="1"/>
  <c r="A544" i="1"/>
  <c r="A510" i="1"/>
  <c r="A498" i="1"/>
  <c r="A497" i="1"/>
  <c r="A490" i="1"/>
  <c r="A471" i="1"/>
  <c r="A466" i="1"/>
  <c r="A457" i="1"/>
  <c r="A455" i="1"/>
  <c r="A433" i="1"/>
  <c r="A429" i="1"/>
  <c r="A421" i="1"/>
  <c r="A386" i="1"/>
  <c r="A383" i="1"/>
  <c r="A382" i="1"/>
  <c r="A373" i="1"/>
  <c r="A340" i="1"/>
  <c r="A318" i="1"/>
  <c r="A315" i="1"/>
  <c r="A286" i="1"/>
  <c r="A269" i="1"/>
  <c r="A246" i="1"/>
  <c r="A245" i="1"/>
  <c r="A241" i="1"/>
  <c r="A215" i="1"/>
  <c r="A211" i="1"/>
  <c r="A210" i="1"/>
  <c r="A207" i="1"/>
  <c r="A199" i="1"/>
  <c r="A168" i="1"/>
  <c r="H128" i="1"/>
  <c r="G609" i="1"/>
  <c r="D16" i="5" l="1"/>
  <c r="D14" i="5"/>
  <c r="D13" i="5"/>
  <c r="M2" i="5"/>
  <c r="L2" i="5"/>
  <c r="N2" i="5" s="1"/>
  <c r="K2" i="5"/>
  <c r="G2" i="5"/>
  <c r="H2" i="5" s="1"/>
  <c r="O994" i="3"/>
  <c r="P994" i="3" s="1"/>
  <c r="Q994" i="3" s="1"/>
  <c r="P993" i="3"/>
  <c r="Q993" i="3" s="1"/>
  <c r="O993" i="3"/>
  <c r="O992" i="3"/>
  <c r="P992" i="3" s="1"/>
  <c r="Q992" i="3" s="1"/>
  <c r="O991" i="3"/>
  <c r="P991" i="3" s="1"/>
  <c r="Q991" i="3" s="1"/>
  <c r="O990" i="3"/>
  <c r="P990" i="3" s="1"/>
  <c r="Q990" i="3" s="1"/>
  <c r="P989" i="3"/>
  <c r="Q989" i="3" s="1"/>
  <c r="O989" i="3"/>
  <c r="P988" i="3"/>
  <c r="Q988" i="3" s="1"/>
  <c r="O988" i="3"/>
  <c r="O987" i="3"/>
  <c r="P987" i="3" s="1"/>
  <c r="Q987" i="3" s="1"/>
  <c r="O986" i="3"/>
  <c r="P986" i="3" s="1"/>
  <c r="Q986" i="3" s="1"/>
  <c r="P985" i="3"/>
  <c r="Q985" i="3" s="1"/>
  <c r="O985" i="3"/>
  <c r="O984" i="3"/>
  <c r="P984" i="3" s="1"/>
  <c r="Q984" i="3" s="1"/>
  <c r="O983" i="3"/>
  <c r="P983" i="3" s="1"/>
  <c r="Q983" i="3" s="1"/>
  <c r="O982" i="3"/>
  <c r="P982" i="3" s="1"/>
  <c r="Q982" i="3" s="1"/>
  <c r="P981" i="3"/>
  <c r="Q981" i="3" s="1"/>
  <c r="O981" i="3"/>
  <c r="O980" i="3"/>
  <c r="P980" i="3" s="1"/>
  <c r="Q980" i="3" s="1"/>
  <c r="O979" i="3"/>
  <c r="P979" i="3" s="1"/>
  <c r="Q979" i="3" s="1"/>
  <c r="O978" i="3"/>
  <c r="P978" i="3" s="1"/>
  <c r="Q978" i="3" s="1"/>
  <c r="P977" i="3"/>
  <c r="Q977" i="3" s="1"/>
  <c r="O977" i="3"/>
  <c r="O976" i="3"/>
  <c r="P976" i="3" s="1"/>
  <c r="Q976" i="3" s="1"/>
  <c r="O975" i="3"/>
  <c r="P975" i="3" s="1"/>
  <c r="Q975" i="3" s="1"/>
  <c r="O974" i="3"/>
  <c r="P974" i="3" s="1"/>
  <c r="Q974" i="3" s="1"/>
  <c r="P973" i="3"/>
  <c r="Q973" i="3" s="1"/>
  <c r="O973" i="3"/>
  <c r="O972" i="3"/>
  <c r="P972" i="3" s="1"/>
  <c r="Q972" i="3" s="1"/>
  <c r="O971" i="3"/>
  <c r="P971" i="3" s="1"/>
  <c r="Q971" i="3" s="1"/>
  <c r="O970" i="3"/>
  <c r="P970" i="3" s="1"/>
  <c r="Q970" i="3" s="1"/>
  <c r="P969" i="3"/>
  <c r="Q969" i="3" s="1"/>
  <c r="O969" i="3"/>
  <c r="P968" i="3"/>
  <c r="Q968" i="3" s="1"/>
  <c r="O968" i="3"/>
  <c r="O967" i="3"/>
  <c r="P967" i="3" s="1"/>
  <c r="Q967" i="3" s="1"/>
  <c r="O966" i="3"/>
  <c r="P966" i="3" s="1"/>
  <c r="Q966" i="3" s="1"/>
  <c r="P965" i="3"/>
  <c r="Q965" i="3" s="1"/>
  <c r="O965" i="3"/>
  <c r="P964" i="3"/>
  <c r="Q964" i="3" s="1"/>
  <c r="O964" i="3"/>
  <c r="O963" i="3"/>
  <c r="P963" i="3" s="1"/>
  <c r="Q963" i="3" s="1"/>
  <c r="O962" i="3"/>
  <c r="P962" i="3" s="1"/>
  <c r="Q962" i="3" s="1"/>
  <c r="O961" i="3"/>
  <c r="P961" i="3" s="1"/>
  <c r="Q961" i="3" s="1"/>
  <c r="O960" i="3"/>
  <c r="P960" i="3" s="1"/>
  <c r="Q960" i="3" s="1"/>
  <c r="O959" i="3"/>
  <c r="P959" i="3" s="1"/>
  <c r="Q959" i="3" s="1"/>
  <c r="O958" i="3"/>
  <c r="P958" i="3" s="1"/>
  <c r="Q958" i="3" s="1"/>
  <c r="O957" i="3"/>
  <c r="P957" i="3" s="1"/>
  <c r="Q957" i="3" s="1"/>
  <c r="P956" i="3"/>
  <c r="Q956" i="3" s="1"/>
  <c r="O956" i="3"/>
  <c r="O955" i="3"/>
  <c r="P955" i="3" s="1"/>
  <c r="Q955" i="3" s="1"/>
  <c r="O954" i="3"/>
  <c r="P954" i="3" s="1"/>
  <c r="Q954" i="3" s="1"/>
  <c r="P953" i="3"/>
  <c r="Q953" i="3" s="1"/>
  <c r="O953" i="3"/>
  <c r="O952" i="3"/>
  <c r="P952" i="3" s="1"/>
  <c r="Q952" i="3" s="1"/>
  <c r="O951" i="3"/>
  <c r="P951" i="3" s="1"/>
  <c r="Q951" i="3" s="1"/>
  <c r="Q950" i="3"/>
  <c r="O950" i="3"/>
  <c r="P950" i="3" s="1"/>
  <c r="O949" i="3"/>
  <c r="P949" i="3" s="1"/>
  <c r="Q949" i="3" s="1"/>
  <c r="P948" i="3"/>
  <c r="Q948" i="3" s="1"/>
  <c r="O948" i="3"/>
  <c r="P947" i="3"/>
  <c r="Q947" i="3" s="1"/>
  <c r="O947" i="3"/>
  <c r="O946" i="3"/>
  <c r="P946" i="3" s="1"/>
  <c r="Q946" i="3" s="1"/>
  <c r="P945" i="3"/>
  <c r="Q945" i="3" s="1"/>
  <c r="O945" i="3"/>
  <c r="O944" i="3"/>
  <c r="P944" i="3" s="1"/>
  <c r="Q944" i="3" s="1"/>
  <c r="O943" i="3"/>
  <c r="P943" i="3" s="1"/>
  <c r="Q943" i="3" s="1"/>
  <c r="O942" i="3"/>
  <c r="P942" i="3" s="1"/>
  <c r="Q942" i="3" s="1"/>
  <c r="P941" i="3"/>
  <c r="Q941" i="3" s="1"/>
  <c r="O941" i="3"/>
  <c r="O940" i="3"/>
  <c r="P940" i="3" s="1"/>
  <c r="Q940" i="3" s="1"/>
  <c r="O939" i="3"/>
  <c r="P939" i="3" s="1"/>
  <c r="Q939" i="3" s="1"/>
  <c r="O938" i="3"/>
  <c r="P938" i="3" s="1"/>
  <c r="Q938" i="3" s="1"/>
  <c r="O937" i="3"/>
  <c r="P937" i="3" s="1"/>
  <c r="Q937" i="3" s="1"/>
  <c r="O936" i="3"/>
  <c r="P936" i="3" s="1"/>
  <c r="Q936" i="3" s="1"/>
  <c r="O935" i="3"/>
  <c r="P935" i="3" s="1"/>
  <c r="Q935" i="3" s="1"/>
  <c r="O934" i="3"/>
  <c r="P934" i="3" s="1"/>
  <c r="Q934" i="3" s="1"/>
  <c r="O933" i="3"/>
  <c r="P933" i="3" s="1"/>
  <c r="Q933" i="3" s="1"/>
  <c r="O932" i="3"/>
  <c r="P932" i="3" s="1"/>
  <c r="Q932" i="3" s="1"/>
  <c r="P931" i="3"/>
  <c r="Q931" i="3" s="1"/>
  <c r="O931" i="3"/>
  <c r="O930" i="3"/>
  <c r="P930" i="3" s="1"/>
  <c r="Q930" i="3" s="1"/>
  <c r="P929" i="3"/>
  <c r="Q929" i="3" s="1"/>
  <c r="O929" i="3"/>
  <c r="O928" i="3"/>
  <c r="P928" i="3" s="1"/>
  <c r="Q928" i="3" s="1"/>
  <c r="P927" i="3"/>
  <c r="Q927" i="3" s="1"/>
  <c r="O927" i="3"/>
  <c r="P926" i="3"/>
  <c r="Q926" i="3" s="1"/>
  <c r="O926" i="3"/>
  <c r="P925" i="3"/>
  <c r="Q925" i="3" s="1"/>
  <c r="O925" i="3"/>
  <c r="O924" i="3"/>
  <c r="P924" i="3" s="1"/>
  <c r="Q924" i="3" s="1"/>
  <c r="P923" i="3"/>
  <c r="Q923" i="3" s="1"/>
  <c r="O923" i="3"/>
  <c r="O922" i="3"/>
  <c r="P922" i="3" s="1"/>
  <c r="Q922" i="3" s="1"/>
  <c r="Q921" i="3"/>
  <c r="P921" i="3"/>
  <c r="O921" i="3"/>
  <c r="Q920" i="3"/>
  <c r="O920" i="3"/>
  <c r="P920" i="3" s="1"/>
  <c r="P919" i="3"/>
  <c r="Q919" i="3" s="1"/>
  <c r="O919" i="3"/>
  <c r="O918" i="3"/>
  <c r="P918" i="3" s="1"/>
  <c r="Q918" i="3" s="1"/>
  <c r="Q917" i="3"/>
  <c r="P917" i="3"/>
  <c r="O917" i="3"/>
  <c r="O916" i="3"/>
  <c r="P916" i="3" s="1"/>
  <c r="Q916" i="3" s="1"/>
  <c r="Q915" i="3"/>
  <c r="O915" i="3"/>
  <c r="P915" i="3" s="1"/>
  <c r="Q914" i="3"/>
  <c r="P914" i="3"/>
  <c r="O914" i="3"/>
  <c r="Q913" i="3"/>
  <c r="P913" i="3"/>
  <c r="O913" i="3"/>
  <c r="P912" i="3"/>
  <c r="Q912" i="3" s="1"/>
  <c r="O912" i="3"/>
  <c r="O911" i="3"/>
  <c r="P911" i="3" s="1"/>
  <c r="Q911" i="3" s="1"/>
  <c r="Q910" i="3"/>
  <c r="P910" i="3"/>
  <c r="O910" i="3"/>
  <c r="Q909" i="3"/>
  <c r="P909" i="3"/>
  <c r="O909" i="3"/>
  <c r="O908" i="3"/>
  <c r="P908" i="3" s="1"/>
  <c r="Q908" i="3" s="1"/>
  <c r="O907" i="3"/>
  <c r="P907" i="3" s="1"/>
  <c r="Q907" i="3" s="1"/>
  <c r="Q906" i="3"/>
  <c r="P906" i="3"/>
  <c r="O906" i="3"/>
  <c r="Q905" i="3"/>
  <c r="P905" i="3"/>
  <c r="O905" i="3"/>
  <c r="O904" i="3"/>
  <c r="P904" i="3" s="1"/>
  <c r="Q904" i="3" s="1"/>
  <c r="O903" i="3"/>
  <c r="P903" i="3" s="1"/>
  <c r="Q903" i="3" s="1"/>
  <c r="Q902" i="3"/>
  <c r="P902" i="3"/>
  <c r="O902" i="3"/>
  <c r="Q901" i="3"/>
  <c r="P901" i="3"/>
  <c r="O901" i="3"/>
  <c r="O900" i="3"/>
  <c r="P900" i="3" s="1"/>
  <c r="Q900" i="3" s="1"/>
  <c r="O899" i="3"/>
  <c r="P899" i="3" s="1"/>
  <c r="Q899" i="3" s="1"/>
  <c r="Q898" i="3"/>
  <c r="P898" i="3"/>
  <c r="O898" i="3"/>
  <c r="P897" i="3"/>
  <c r="Q897" i="3" s="1"/>
  <c r="O897" i="3"/>
  <c r="P896" i="3"/>
  <c r="Q896" i="3" s="1"/>
  <c r="O896" i="3"/>
  <c r="O895" i="3"/>
  <c r="P895" i="3" s="1"/>
  <c r="Q895" i="3" s="1"/>
  <c r="Q894" i="3"/>
  <c r="O894" i="3"/>
  <c r="P894" i="3" s="1"/>
  <c r="Q893" i="3"/>
  <c r="P893" i="3"/>
  <c r="O893" i="3"/>
  <c r="P892" i="3"/>
  <c r="Q892" i="3" s="1"/>
  <c r="O892" i="3"/>
  <c r="O891" i="3"/>
  <c r="P891" i="3" s="1"/>
  <c r="Q891" i="3" s="1"/>
  <c r="Q890" i="3"/>
  <c r="O890" i="3"/>
  <c r="P890" i="3" s="1"/>
  <c r="O889" i="3"/>
  <c r="P889" i="3" s="1"/>
  <c r="Q889" i="3" s="1"/>
  <c r="O888" i="3"/>
  <c r="P888" i="3" s="1"/>
  <c r="Q888" i="3" s="1"/>
  <c r="Q887" i="3"/>
  <c r="O887" i="3"/>
  <c r="P887" i="3" s="1"/>
  <c r="P886" i="3"/>
  <c r="Q886" i="3" s="1"/>
  <c r="O886" i="3"/>
  <c r="P885" i="3"/>
  <c r="Q885" i="3" s="1"/>
  <c r="O885" i="3"/>
  <c r="P884" i="3"/>
  <c r="Q884" i="3" s="1"/>
  <c r="O884" i="3"/>
  <c r="P883" i="3"/>
  <c r="Q883" i="3" s="1"/>
  <c r="O883" i="3"/>
  <c r="O882" i="3"/>
  <c r="P882" i="3" s="1"/>
  <c r="Q882" i="3" s="1"/>
  <c r="O881" i="3"/>
  <c r="P881" i="3" s="1"/>
  <c r="Q881" i="3" s="1"/>
  <c r="O880" i="3"/>
  <c r="P880" i="3" s="1"/>
  <c r="Q880" i="3" s="1"/>
  <c r="P879" i="3"/>
  <c r="Q879" i="3" s="1"/>
  <c r="O879" i="3"/>
  <c r="O878" i="3"/>
  <c r="P878" i="3" s="1"/>
  <c r="Q878" i="3" s="1"/>
  <c r="Q877" i="3"/>
  <c r="O877" i="3"/>
  <c r="P877" i="3" s="1"/>
  <c r="O876" i="3"/>
  <c r="P876" i="3" s="1"/>
  <c r="Q876" i="3" s="1"/>
  <c r="P875" i="3"/>
  <c r="Q875" i="3" s="1"/>
  <c r="O875" i="3"/>
  <c r="O874" i="3"/>
  <c r="P874" i="3" s="1"/>
  <c r="Q874" i="3" s="1"/>
  <c r="O873" i="3"/>
  <c r="P873" i="3" s="1"/>
  <c r="Q873" i="3" s="1"/>
  <c r="Q872" i="3"/>
  <c r="P872" i="3"/>
  <c r="O872" i="3"/>
  <c r="O871" i="3"/>
  <c r="P871" i="3" s="1"/>
  <c r="Q871" i="3" s="1"/>
  <c r="O870" i="3"/>
  <c r="P870" i="3" s="1"/>
  <c r="Q870" i="3" s="1"/>
  <c r="O869" i="3"/>
  <c r="P869" i="3" s="1"/>
  <c r="Q869" i="3" s="1"/>
  <c r="P868" i="3"/>
  <c r="Q868" i="3" s="1"/>
  <c r="O868" i="3"/>
  <c r="O867" i="3"/>
  <c r="P867" i="3" s="1"/>
  <c r="Q867" i="3" s="1"/>
  <c r="O866" i="3"/>
  <c r="P866" i="3" s="1"/>
  <c r="Q866" i="3" s="1"/>
  <c r="Q865" i="3"/>
  <c r="O865" i="3"/>
  <c r="P865" i="3" s="1"/>
  <c r="O864" i="3"/>
  <c r="P864" i="3" s="1"/>
  <c r="Q864" i="3" s="1"/>
  <c r="P863" i="3"/>
  <c r="Q863" i="3" s="1"/>
  <c r="O863" i="3"/>
  <c r="P862" i="3"/>
  <c r="Q862" i="3" s="1"/>
  <c r="O862" i="3"/>
  <c r="O861" i="3"/>
  <c r="P861" i="3" s="1"/>
  <c r="Q861" i="3" s="1"/>
  <c r="O860" i="3"/>
  <c r="P860" i="3" s="1"/>
  <c r="Q860" i="3" s="1"/>
  <c r="P859" i="3"/>
  <c r="Q859" i="3" s="1"/>
  <c r="O859" i="3"/>
  <c r="P858" i="3"/>
  <c r="Q858" i="3" s="1"/>
  <c r="O858" i="3"/>
  <c r="P857" i="3"/>
  <c r="Q857" i="3" s="1"/>
  <c r="O857" i="3"/>
  <c r="O856" i="3"/>
  <c r="P856" i="3" s="1"/>
  <c r="Q856" i="3" s="1"/>
  <c r="P855" i="3"/>
  <c r="Q855" i="3" s="1"/>
  <c r="O855" i="3"/>
  <c r="P854" i="3"/>
  <c r="Q854" i="3" s="1"/>
  <c r="O854" i="3"/>
  <c r="P853" i="3"/>
  <c r="Q853" i="3" s="1"/>
  <c r="O853" i="3"/>
  <c r="O852" i="3"/>
  <c r="P852" i="3" s="1"/>
  <c r="Q852" i="3" s="1"/>
  <c r="P851" i="3"/>
  <c r="Q851" i="3" s="1"/>
  <c r="O851" i="3"/>
  <c r="P850" i="3"/>
  <c r="Q850" i="3" s="1"/>
  <c r="O850" i="3"/>
  <c r="O849" i="3"/>
  <c r="P849" i="3" s="1"/>
  <c r="Q849" i="3" s="1"/>
  <c r="O848" i="3"/>
  <c r="P848" i="3" s="1"/>
  <c r="Q848" i="3" s="1"/>
  <c r="P847" i="3"/>
  <c r="Q847" i="3" s="1"/>
  <c r="O847" i="3"/>
  <c r="P846" i="3"/>
  <c r="Q846" i="3" s="1"/>
  <c r="O846" i="3"/>
  <c r="O845" i="3"/>
  <c r="P845" i="3" s="1"/>
  <c r="Q845" i="3" s="1"/>
  <c r="O844" i="3"/>
  <c r="P844" i="3" s="1"/>
  <c r="Q844" i="3" s="1"/>
  <c r="P843" i="3"/>
  <c r="Q843" i="3" s="1"/>
  <c r="O843" i="3"/>
  <c r="P842" i="3"/>
  <c r="Q842" i="3" s="1"/>
  <c r="O842" i="3"/>
  <c r="O841" i="3"/>
  <c r="P841" i="3" s="1"/>
  <c r="Q841" i="3" s="1"/>
  <c r="O840" i="3"/>
  <c r="P840" i="3" s="1"/>
  <c r="Q840" i="3" s="1"/>
  <c r="P839" i="3"/>
  <c r="Q839" i="3" s="1"/>
  <c r="O839" i="3"/>
  <c r="P838" i="3"/>
  <c r="Q838" i="3" s="1"/>
  <c r="O838" i="3"/>
  <c r="O837" i="3"/>
  <c r="P837" i="3" s="1"/>
  <c r="Q837" i="3" s="1"/>
  <c r="O836" i="3"/>
  <c r="P836" i="3" s="1"/>
  <c r="Q836" i="3" s="1"/>
  <c r="P835" i="3"/>
  <c r="Q835" i="3" s="1"/>
  <c r="O835" i="3"/>
  <c r="P834" i="3"/>
  <c r="Q834" i="3" s="1"/>
  <c r="O834" i="3"/>
  <c r="P833" i="3"/>
  <c r="Q833" i="3" s="1"/>
  <c r="O833" i="3"/>
  <c r="O832" i="3"/>
  <c r="P832" i="3" s="1"/>
  <c r="Q832" i="3" s="1"/>
  <c r="P831" i="3"/>
  <c r="Q831" i="3" s="1"/>
  <c r="O831" i="3"/>
  <c r="P830" i="3"/>
  <c r="Q830" i="3" s="1"/>
  <c r="O830" i="3"/>
  <c r="O829" i="3"/>
  <c r="P829" i="3" s="1"/>
  <c r="Q829" i="3" s="1"/>
  <c r="P828" i="3"/>
  <c r="Q828" i="3" s="1"/>
  <c r="O828" i="3"/>
  <c r="P827" i="3"/>
  <c r="Q827" i="3" s="1"/>
  <c r="O827" i="3"/>
  <c r="P826" i="3"/>
  <c r="Q826" i="3" s="1"/>
  <c r="O826" i="3"/>
  <c r="O825" i="3"/>
  <c r="P825" i="3" s="1"/>
  <c r="Q825" i="3" s="1"/>
  <c r="O824" i="3"/>
  <c r="P824" i="3" s="1"/>
  <c r="Q824" i="3" s="1"/>
  <c r="Q823" i="3"/>
  <c r="P823" i="3"/>
  <c r="O823" i="3"/>
  <c r="P822" i="3"/>
  <c r="Q822" i="3" s="1"/>
  <c r="O822" i="3"/>
  <c r="P821" i="3"/>
  <c r="Q821" i="3" s="1"/>
  <c r="O821" i="3"/>
  <c r="O820" i="3"/>
  <c r="P820" i="3" s="1"/>
  <c r="Q820" i="3" s="1"/>
  <c r="P819" i="3"/>
  <c r="Q819" i="3" s="1"/>
  <c r="O819" i="3"/>
  <c r="P818" i="3"/>
  <c r="Q818" i="3" s="1"/>
  <c r="O818" i="3"/>
  <c r="P817" i="3"/>
  <c r="Q817" i="3" s="1"/>
  <c r="O817" i="3"/>
  <c r="O816" i="3"/>
  <c r="P816" i="3" s="1"/>
  <c r="Q816" i="3" s="1"/>
  <c r="P815" i="3"/>
  <c r="Q815" i="3" s="1"/>
  <c r="O815" i="3"/>
  <c r="O814" i="3"/>
  <c r="P814" i="3" s="1"/>
  <c r="Q814" i="3" s="1"/>
  <c r="O813" i="3"/>
  <c r="P813" i="3" s="1"/>
  <c r="Q813" i="3" s="1"/>
  <c r="O812" i="3"/>
  <c r="P812" i="3" s="1"/>
  <c r="Q812" i="3" s="1"/>
  <c r="O811" i="3"/>
  <c r="P811" i="3" s="1"/>
  <c r="Q811" i="3" s="1"/>
  <c r="O810" i="3"/>
  <c r="P810" i="3" s="1"/>
  <c r="Q810" i="3" s="1"/>
  <c r="O809" i="3"/>
  <c r="P809" i="3" s="1"/>
  <c r="Q809" i="3" s="1"/>
  <c r="O808" i="3"/>
  <c r="P808" i="3" s="1"/>
  <c r="Q808" i="3" s="1"/>
  <c r="P807" i="3"/>
  <c r="Q807" i="3" s="1"/>
  <c r="O807" i="3"/>
  <c r="O806" i="3"/>
  <c r="P806" i="3" s="1"/>
  <c r="Q806" i="3" s="1"/>
  <c r="O805" i="3"/>
  <c r="P805" i="3" s="1"/>
  <c r="Q805" i="3" s="1"/>
  <c r="O804" i="3"/>
  <c r="P804" i="3" s="1"/>
  <c r="Q804" i="3" s="1"/>
  <c r="O803" i="3"/>
  <c r="P803" i="3" s="1"/>
  <c r="Q803" i="3" s="1"/>
  <c r="Q802" i="3"/>
  <c r="P802" i="3"/>
  <c r="O802" i="3"/>
  <c r="O801" i="3"/>
  <c r="P801" i="3" s="1"/>
  <c r="Q801" i="3" s="1"/>
  <c r="Q800" i="3"/>
  <c r="O800" i="3"/>
  <c r="P800" i="3" s="1"/>
  <c r="O799" i="3"/>
  <c r="P799" i="3" s="1"/>
  <c r="Q799" i="3" s="1"/>
  <c r="O798" i="3"/>
  <c r="P798" i="3" s="1"/>
  <c r="Q798" i="3" s="1"/>
  <c r="O797" i="3"/>
  <c r="P797" i="3" s="1"/>
  <c r="Q797" i="3" s="1"/>
  <c r="Q796" i="3"/>
  <c r="P796" i="3"/>
  <c r="O796" i="3"/>
  <c r="Q795" i="3"/>
  <c r="P795" i="3"/>
  <c r="O795" i="3"/>
  <c r="O794" i="3"/>
  <c r="P794" i="3" s="1"/>
  <c r="Q794" i="3" s="1"/>
  <c r="P793" i="3"/>
  <c r="Q793" i="3" s="1"/>
  <c r="O793" i="3"/>
  <c r="Q792" i="3"/>
  <c r="P792" i="3"/>
  <c r="O792" i="3"/>
  <c r="P791" i="3"/>
  <c r="Q791" i="3" s="1"/>
  <c r="O791" i="3"/>
  <c r="O790" i="3"/>
  <c r="P790" i="3" s="1"/>
  <c r="Q790" i="3" s="1"/>
  <c r="P789" i="3"/>
  <c r="Q789" i="3" s="1"/>
  <c r="O789" i="3"/>
  <c r="Q788" i="3"/>
  <c r="P788" i="3"/>
  <c r="O788" i="3"/>
  <c r="Q787" i="3"/>
  <c r="P787" i="3"/>
  <c r="O787" i="3"/>
  <c r="O786" i="3"/>
  <c r="P786" i="3" s="1"/>
  <c r="Q786" i="3" s="1"/>
  <c r="P785" i="3"/>
  <c r="Q785" i="3" s="1"/>
  <c r="O785" i="3"/>
  <c r="Q784" i="3"/>
  <c r="P784" i="3"/>
  <c r="O784" i="3"/>
  <c r="P783" i="3"/>
  <c r="Q783" i="3" s="1"/>
  <c r="O783" i="3"/>
  <c r="O782" i="3"/>
  <c r="P782" i="3" s="1"/>
  <c r="Q782" i="3" s="1"/>
  <c r="P781" i="3"/>
  <c r="Q781" i="3" s="1"/>
  <c r="O781" i="3"/>
  <c r="Q780" i="3"/>
  <c r="P780" i="3"/>
  <c r="O780" i="3"/>
  <c r="P779" i="3"/>
  <c r="Q779" i="3" s="1"/>
  <c r="O779" i="3"/>
  <c r="P778" i="3"/>
  <c r="Q778" i="3" s="1"/>
  <c r="O778" i="3"/>
  <c r="P777" i="3"/>
  <c r="Q777" i="3" s="1"/>
  <c r="O777" i="3"/>
  <c r="Q776" i="3"/>
  <c r="P776" i="3"/>
  <c r="O776" i="3"/>
  <c r="P775" i="3"/>
  <c r="Q775" i="3" s="1"/>
  <c r="O775" i="3"/>
  <c r="O774" i="3"/>
  <c r="P774" i="3" s="1"/>
  <c r="Q774" i="3" s="1"/>
  <c r="P773" i="3"/>
  <c r="Q773" i="3" s="1"/>
  <c r="O773" i="3"/>
  <c r="Q772" i="3"/>
  <c r="P772" i="3"/>
  <c r="O772" i="3"/>
  <c r="P771" i="3"/>
  <c r="Q771" i="3" s="1"/>
  <c r="O771" i="3"/>
  <c r="P770" i="3"/>
  <c r="Q770" i="3" s="1"/>
  <c r="O770" i="3"/>
  <c r="P769" i="3"/>
  <c r="Q769" i="3" s="1"/>
  <c r="O769" i="3"/>
  <c r="Q768" i="3"/>
  <c r="P768" i="3"/>
  <c r="O768" i="3"/>
  <c r="Q767" i="3"/>
  <c r="P767" i="3"/>
  <c r="O767" i="3"/>
  <c r="P766" i="3"/>
  <c r="Q766" i="3" s="1"/>
  <c r="O766" i="3"/>
  <c r="P765" i="3"/>
  <c r="Q765" i="3" s="1"/>
  <c r="O765" i="3"/>
  <c r="Q764" i="3"/>
  <c r="P764" i="3"/>
  <c r="O764" i="3"/>
  <c r="O763" i="3"/>
  <c r="P763" i="3" s="1"/>
  <c r="Q763" i="3" s="1"/>
  <c r="O762" i="3"/>
  <c r="P762" i="3" s="1"/>
  <c r="Q762" i="3" s="1"/>
  <c r="P761" i="3"/>
  <c r="Q761" i="3" s="1"/>
  <c r="O761" i="3"/>
  <c r="P760" i="3"/>
  <c r="Q760" i="3" s="1"/>
  <c r="O760" i="3"/>
  <c r="O759" i="3"/>
  <c r="P759" i="3" s="1"/>
  <c r="Q759" i="3" s="1"/>
  <c r="P758" i="3"/>
  <c r="Q758" i="3" s="1"/>
  <c r="O758" i="3"/>
  <c r="P757" i="3"/>
  <c r="Q757" i="3" s="1"/>
  <c r="O757" i="3"/>
  <c r="P756" i="3"/>
  <c r="Q756" i="3" s="1"/>
  <c r="O756" i="3"/>
  <c r="O755" i="3"/>
  <c r="P755" i="3" s="1"/>
  <c r="Q755" i="3" s="1"/>
  <c r="O754" i="3"/>
  <c r="P754" i="3" s="1"/>
  <c r="Q754" i="3" s="1"/>
  <c r="O753" i="3"/>
  <c r="P753" i="3" s="1"/>
  <c r="Q753" i="3" s="1"/>
  <c r="O752" i="3"/>
  <c r="P752" i="3" s="1"/>
  <c r="Q752" i="3" s="1"/>
  <c r="P751" i="3"/>
  <c r="Q751" i="3" s="1"/>
  <c r="O751" i="3"/>
  <c r="P750" i="3"/>
  <c r="Q750" i="3" s="1"/>
  <c r="O750" i="3"/>
  <c r="O749" i="3"/>
  <c r="P749" i="3" s="1"/>
  <c r="Q749" i="3" s="1"/>
  <c r="O748" i="3"/>
  <c r="P748" i="3" s="1"/>
  <c r="Q748" i="3" s="1"/>
  <c r="P747" i="3"/>
  <c r="Q747" i="3" s="1"/>
  <c r="O747" i="3"/>
  <c r="P746" i="3"/>
  <c r="Q746" i="3" s="1"/>
  <c r="O746" i="3"/>
  <c r="O745" i="3"/>
  <c r="P745" i="3" s="1"/>
  <c r="Q745" i="3" s="1"/>
  <c r="O744" i="3"/>
  <c r="P744" i="3" s="1"/>
  <c r="Q744" i="3" s="1"/>
  <c r="P743" i="3"/>
  <c r="Q743" i="3" s="1"/>
  <c r="O743" i="3"/>
  <c r="P742" i="3"/>
  <c r="Q742" i="3" s="1"/>
  <c r="O742" i="3"/>
  <c r="O741" i="3"/>
  <c r="P741" i="3" s="1"/>
  <c r="Q741" i="3" s="1"/>
  <c r="O740" i="3"/>
  <c r="P740" i="3" s="1"/>
  <c r="Q740" i="3" s="1"/>
  <c r="O739" i="3"/>
  <c r="P739" i="3" s="1"/>
  <c r="Q739" i="3" s="1"/>
  <c r="P738" i="3"/>
  <c r="Q738" i="3" s="1"/>
  <c r="O738" i="3"/>
  <c r="O737" i="3"/>
  <c r="P737" i="3" s="1"/>
  <c r="Q737" i="3" s="1"/>
  <c r="O736" i="3"/>
  <c r="P736" i="3" s="1"/>
  <c r="Q736" i="3" s="1"/>
  <c r="O735" i="3"/>
  <c r="P735" i="3" s="1"/>
  <c r="Q735" i="3" s="1"/>
  <c r="P734" i="3"/>
  <c r="Q734" i="3" s="1"/>
  <c r="O734" i="3"/>
  <c r="O733" i="3"/>
  <c r="P733" i="3" s="1"/>
  <c r="Q733" i="3" s="1"/>
  <c r="O732" i="3"/>
  <c r="P732" i="3" s="1"/>
  <c r="Q732" i="3" s="1"/>
  <c r="O731" i="3"/>
  <c r="P731" i="3" s="1"/>
  <c r="Q731" i="3" s="1"/>
  <c r="P730" i="3"/>
  <c r="Q730" i="3" s="1"/>
  <c r="O730" i="3"/>
  <c r="O729" i="3"/>
  <c r="P729" i="3" s="1"/>
  <c r="Q729" i="3" s="1"/>
  <c r="O728" i="3"/>
  <c r="P728" i="3" s="1"/>
  <c r="Q728" i="3" s="1"/>
  <c r="O727" i="3"/>
  <c r="P727" i="3" s="1"/>
  <c r="Q727" i="3" s="1"/>
  <c r="P726" i="3"/>
  <c r="Q726" i="3" s="1"/>
  <c r="O726" i="3"/>
  <c r="P725" i="3"/>
  <c r="Q725" i="3" s="1"/>
  <c r="O725" i="3"/>
  <c r="O724" i="3"/>
  <c r="P724" i="3" s="1"/>
  <c r="Q724" i="3" s="1"/>
  <c r="O723" i="3"/>
  <c r="P723" i="3" s="1"/>
  <c r="Q723" i="3" s="1"/>
  <c r="Q722" i="3"/>
  <c r="P722" i="3"/>
  <c r="O722" i="3"/>
  <c r="P721" i="3"/>
  <c r="Q721" i="3" s="1"/>
  <c r="O721" i="3"/>
  <c r="O720" i="3"/>
  <c r="P720" i="3" s="1"/>
  <c r="Q720" i="3" s="1"/>
  <c r="O719" i="3"/>
  <c r="P719" i="3" s="1"/>
  <c r="Q719" i="3" s="1"/>
  <c r="Q718" i="3"/>
  <c r="P718" i="3"/>
  <c r="O718" i="3"/>
  <c r="P717" i="3"/>
  <c r="Q717" i="3" s="1"/>
  <c r="O717" i="3"/>
  <c r="P716" i="3"/>
  <c r="Q716" i="3" s="1"/>
  <c r="O716" i="3"/>
  <c r="Q715" i="3"/>
  <c r="P715" i="3"/>
  <c r="O715" i="3"/>
  <c r="O714" i="3"/>
  <c r="P714" i="3" s="1"/>
  <c r="Q714" i="3" s="1"/>
  <c r="O713" i="3"/>
  <c r="P713" i="3" s="1"/>
  <c r="Q713" i="3" s="1"/>
  <c r="P712" i="3"/>
  <c r="Q712" i="3" s="1"/>
  <c r="O712" i="3"/>
  <c r="Q711" i="3"/>
  <c r="P711" i="3"/>
  <c r="O711" i="3"/>
  <c r="O710" i="3"/>
  <c r="P710" i="3" s="1"/>
  <c r="Q710" i="3" s="1"/>
  <c r="O709" i="3"/>
  <c r="P709" i="3" s="1"/>
  <c r="Q709" i="3" s="1"/>
  <c r="P708" i="3"/>
  <c r="Q708" i="3" s="1"/>
  <c r="O708" i="3"/>
  <c r="Q707" i="3"/>
  <c r="P707" i="3"/>
  <c r="O707" i="3"/>
  <c r="O706" i="3"/>
  <c r="P706" i="3" s="1"/>
  <c r="Q706" i="3" s="1"/>
  <c r="O705" i="3"/>
  <c r="P705" i="3" s="1"/>
  <c r="Q705" i="3" s="1"/>
  <c r="P704" i="3"/>
  <c r="Q704" i="3" s="1"/>
  <c r="O704" i="3"/>
  <c r="Q703" i="3"/>
  <c r="P703" i="3"/>
  <c r="O703" i="3"/>
  <c r="O702" i="3"/>
  <c r="P702" i="3" s="1"/>
  <c r="Q702" i="3" s="1"/>
  <c r="O701" i="3"/>
  <c r="P701" i="3" s="1"/>
  <c r="Q701" i="3" s="1"/>
  <c r="P700" i="3"/>
  <c r="Q700" i="3" s="1"/>
  <c r="O700" i="3"/>
  <c r="Q699" i="3"/>
  <c r="P699" i="3"/>
  <c r="O699" i="3"/>
  <c r="O698" i="3"/>
  <c r="P698" i="3" s="1"/>
  <c r="Q698" i="3" s="1"/>
  <c r="O697" i="3"/>
  <c r="P697" i="3" s="1"/>
  <c r="Q697" i="3" s="1"/>
  <c r="P696" i="3"/>
  <c r="Q696" i="3" s="1"/>
  <c r="O696" i="3"/>
  <c r="Q695" i="3"/>
  <c r="P695" i="3"/>
  <c r="O695" i="3"/>
  <c r="O694" i="3"/>
  <c r="P694" i="3" s="1"/>
  <c r="Q694" i="3" s="1"/>
  <c r="O693" i="3"/>
  <c r="P693" i="3" s="1"/>
  <c r="Q693" i="3" s="1"/>
  <c r="P692" i="3"/>
  <c r="Q692" i="3" s="1"/>
  <c r="O692" i="3"/>
  <c r="Q691" i="3"/>
  <c r="P691" i="3"/>
  <c r="O691" i="3"/>
  <c r="O690" i="3"/>
  <c r="P690" i="3" s="1"/>
  <c r="Q690" i="3" s="1"/>
  <c r="O689" i="3"/>
  <c r="P689" i="3" s="1"/>
  <c r="Q689" i="3" s="1"/>
  <c r="P688" i="3"/>
  <c r="Q688" i="3" s="1"/>
  <c r="O688" i="3"/>
  <c r="Q687" i="3"/>
  <c r="P687" i="3"/>
  <c r="O687" i="3"/>
  <c r="O686" i="3"/>
  <c r="P686" i="3" s="1"/>
  <c r="Q686" i="3" s="1"/>
  <c r="O685" i="3"/>
  <c r="P685" i="3" s="1"/>
  <c r="Q685" i="3" s="1"/>
  <c r="P684" i="3"/>
  <c r="Q684" i="3" s="1"/>
  <c r="O684" i="3"/>
  <c r="Q683" i="3"/>
  <c r="P683" i="3"/>
  <c r="O683" i="3"/>
  <c r="O682" i="3"/>
  <c r="P682" i="3" s="1"/>
  <c r="Q682" i="3" s="1"/>
  <c r="P681" i="3"/>
  <c r="Q681" i="3" s="1"/>
  <c r="O681" i="3"/>
  <c r="P680" i="3"/>
  <c r="Q680" i="3" s="1"/>
  <c r="O680" i="3"/>
  <c r="Q679" i="3"/>
  <c r="P679" i="3"/>
  <c r="O679" i="3"/>
  <c r="O678" i="3"/>
  <c r="P678" i="3" s="1"/>
  <c r="Q678" i="3" s="1"/>
  <c r="P677" i="3"/>
  <c r="Q677" i="3" s="1"/>
  <c r="O677" i="3"/>
  <c r="P676" i="3"/>
  <c r="Q676" i="3" s="1"/>
  <c r="O676" i="3"/>
  <c r="Q675" i="3"/>
  <c r="P675" i="3"/>
  <c r="O675" i="3"/>
  <c r="P674" i="3"/>
  <c r="Q674" i="3" s="1"/>
  <c r="O674" i="3"/>
  <c r="O673" i="3"/>
  <c r="P673" i="3" s="1"/>
  <c r="Q673" i="3" s="1"/>
  <c r="P672" i="3"/>
  <c r="Q672" i="3" s="1"/>
  <c r="O672" i="3"/>
  <c r="Q671" i="3"/>
  <c r="P671" i="3"/>
  <c r="O671" i="3"/>
  <c r="O670" i="3"/>
  <c r="P670" i="3" s="1"/>
  <c r="Q670" i="3" s="1"/>
  <c r="O669" i="3"/>
  <c r="P669" i="3" s="1"/>
  <c r="Q669" i="3" s="1"/>
  <c r="P668" i="3"/>
  <c r="Q668" i="3" s="1"/>
  <c r="O668" i="3"/>
  <c r="P667" i="3"/>
  <c r="Q667" i="3" s="1"/>
  <c r="O667" i="3"/>
  <c r="Q666" i="3"/>
  <c r="P666" i="3"/>
  <c r="O666" i="3"/>
  <c r="P665" i="3"/>
  <c r="Q665" i="3" s="1"/>
  <c r="O665" i="3"/>
  <c r="O664" i="3"/>
  <c r="P664" i="3" s="1"/>
  <c r="Q664" i="3" s="1"/>
  <c r="P663" i="3"/>
  <c r="Q663" i="3" s="1"/>
  <c r="O663" i="3"/>
  <c r="P662" i="3"/>
  <c r="Q662" i="3" s="1"/>
  <c r="O662" i="3"/>
  <c r="Q661" i="3"/>
  <c r="P661" i="3"/>
  <c r="O661" i="3"/>
  <c r="O660" i="3"/>
  <c r="P660" i="3" s="1"/>
  <c r="Q660" i="3" s="1"/>
  <c r="P659" i="3"/>
  <c r="Q659" i="3" s="1"/>
  <c r="O659" i="3"/>
  <c r="P658" i="3"/>
  <c r="Q658" i="3" s="1"/>
  <c r="O658" i="3"/>
  <c r="Q657" i="3"/>
  <c r="P657" i="3"/>
  <c r="O657" i="3"/>
  <c r="O656" i="3"/>
  <c r="P656" i="3" s="1"/>
  <c r="Q656" i="3" s="1"/>
  <c r="O655" i="3"/>
  <c r="P655" i="3" s="1"/>
  <c r="Q655" i="3" s="1"/>
  <c r="Q654" i="3"/>
  <c r="P654" i="3"/>
  <c r="O654" i="3"/>
  <c r="O653" i="3"/>
  <c r="P653" i="3" s="1"/>
  <c r="Q653" i="3" s="1"/>
  <c r="O652" i="3"/>
  <c r="P652" i="3" s="1"/>
  <c r="Q652" i="3" s="1"/>
  <c r="O651" i="3"/>
  <c r="P651" i="3" s="1"/>
  <c r="Q651" i="3" s="1"/>
  <c r="Q650" i="3"/>
  <c r="P650" i="3"/>
  <c r="O650" i="3"/>
  <c r="O649" i="3"/>
  <c r="P649" i="3" s="1"/>
  <c r="Q649" i="3" s="1"/>
  <c r="O648" i="3"/>
  <c r="P648" i="3" s="1"/>
  <c r="Q648" i="3" s="1"/>
  <c r="O647" i="3"/>
  <c r="P647" i="3" s="1"/>
  <c r="Q647" i="3" s="1"/>
  <c r="Q646" i="3"/>
  <c r="P646" i="3"/>
  <c r="O646" i="3"/>
  <c r="O645" i="3"/>
  <c r="P645" i="3" s="1"/>
  <c r="Q645" i="3" s="1"/>
  <c r="O644" i="3"/>
  <c r="P644" i="3" s="1"/>
  <c r="Q644" i="3" s="1"/>
  <c r="O643" i="3"/>
  <c r="P643" i="3" s="1"/>
  <c r="Q643" i="3" s="1"/>
  <c r="Q642" i="3"/>
  <c r="P642" i="3"/>
  <c r="O642" i="3"/>
  <c r="O641" i="3"/>
  <c r="P641" i="3" s="1"/>
  <c r="Q641" i="3" s="1"/>
  <c r="O640" i="3"/>
  <c r="P640" i="3" s="1"/>
  <c r="Q640" i="3" s="1"/>
  <c r="O639" i="3"/>
  <c r="P639" i="3" s="1"/>
  <c r="Q639" i="3" s="1"/>
  <c r="Q638" i="3"/>
  <c r="P638" i="3"/>
  <c r="O638" i="3"/>
  <c r="O637" i="3"/>
  <c r="P637" i="3" s="1"/>
  <c r="Q637" i="3" s="1"/>
  <c r="O636" i="3"/>
  <c r="P636" i="3" s="1"/>
  <c r="Q636" i="3" s="1"/>
  <c r="O635" i="3"/>
  <c r="P635" i="3" s="1"/>
  <c r="Q635" i="3" s="1"/>
  <c r="Q634" i="3"/>
  <c r="P634" i="3"/>
  <c r="O634" i="3"/>
  <c r="O633" i="3"/>
  <c r="P633" i="3" s="1"/>
  <c r="Q633" i="3" s="1"/>
  <c r="O632" i="3"/>
  <c r="P632" i="3" s="1"/>
  <c r="Q632" i="3" s="1"/>
  <c r="O631" i="3"/>
  <c r="P631" i="3" s="1"/>
  <c r="Q631" i="3" s="1"/>
  <c r="Q630" i="3"/>
  <c r="P630" i="3"/>
  <c r="O630" i="3"/>
  <c r="O629" i="3"/>
  <c r="P629" i="3" s="1"/>
  <c r="Q629" i="3" s="1"/>
  <c r="O628" i="3"/>
  <c r="P628" i="3" s="1"/>
  <c r="Q628" i="3" s="1"/>
  <c r="O627" i="3"/>
  <c r="P627" i="3" s="1"/>
  <c r="Q627" i="3" s="1"/>
  <c r="Q626" i="3"/>
  <c r="P626" i="3"/>
  <c r="O626" i="3"/>
  <c r="Q625" i="3"/>
  <c r="P625" i="3"/>
  <c r="O625" i="3"/>
  <c r="O624" i="3"/>
  <c r="P624" i="3" s="1"/>
  <c r="Q624" i="3" s="1"/>
  <c r="O623" i="3"/>
  <c r="P623" i="3" s="1"/>
  <c r="Q623" i="3" s="1"/>
  <c r="Q622" i="3"/>
  <c r="P622" i="3"/>
  <c r="O622" i="3"/>
  <c r="O621" i="3"/>
  <c r="P621" i="3" s="1"/>
  <c r="Q621" i="3" s="1"/>
  <c r="O620" i="3"/>
  <c r="P620" i="3" s="1"/>
  <c r="Q620" i="3" s="1"/>
  <c r="O619" i="3"/>
  <c r="P619" i="3" s="1"/>
  <c r="Q619" i="3" s="1"/>
  <c r="P618" i="3"/>
  <c r="Q618" i="3" s="1"/>
  <c r="O618" i="3"/>
  <c r="O617" i="3"/>
  <c r="P617" i="3" s="1"/>
  <c r="Q617" i="3" s="1"/>
  <c r="O616" i="3"/>
  <c r="P616" i="3" s="1"/>
  <c r="Q616" i="3" s="1"/>
  <c r="P615" i="3"/>
  <c r="Q615" i="3" s="1"/>
  <c r="O615" i="3"/>
  <c r="P614" i="3"/>
  <c r="Q614" i="3" s="1"/>
  <c r="O614" i="3"/>
  <c r="O613" i="3"/>
  <c r="P613" i="3" s="1"/>
  <c r="Q613" i="3" s="1"/>
  <c r="O612" i="3"/>
  <c r="P612" i="3" s="1"/>
  <c r="Q612" i="3" s="1"/>
  <c r="P611" i="3"/>
  <c r="Q611" i="3" s="1"/>
  <c r="O611" i="3"/>
  <c r="Q610" i="3"/>
  <c r="P610" i="3"/>
  <c r="O610" i="3"/>
  <c r="O609" i="3"/>
  <c r="P609" i="3" s="1"/>
  <c r="Q609" i="3" s="1"/>
  <c r="O608" i="3"/>
  <c r="P608" i="3" s="1"/>
  <c r="Q608" i="3" s="1"/>
  <c r="P607" i="3"/>
  <c r="Q607" i="3" s="1"/>
  <c r="O607" i="3"/>
  <c r="P606" i="3"/>
  <c r="Q606" i="3" s="1"/>
  <c r="O606" i="3"/>
  <c r="Q605" i="3"/>
  <c r="P605" i="3"/>
  <c r="O605" i="3"/>
  <c r="O604" i="3"/>
  <c r="P604" i="3" s="1"/>
  <c r="Q604" i="3" s="1"/>
  <c r="P603" i="3"/>
  <c r="Q603" i="3" s="1"/>
  <c r="O603" i="3"/>
  <c r="P602" i="3"/>
  <c r="Q602" i="3" s="1"/>
  <c r="O602" i="3"/>
  <c r="O601" i="3"/>
  <c r="P601" i="3" s="1"/>
  <c r="Q601" i="3" s="1"/>
  <c r="O600" i="3"/>
  <c r="P600" i="3" s="1"/>
  <c r="Q600" i="3" s="1"/>
  <c r="P599" i="3"/>
  <c r="Q599" i="3" s="1"/>
  <c r="O599" i="3"/>
  <c r="P598" i="3"/>
  <c r="Q598" i="3" s="1"/>
  <c r="O598" i="3"/>
  <c r="O597" i="3"/>
  <c r="P597" i="3" s="1"/>
  <c r="Q597" i="3" s="1"/>
  <c r="O596" i="3"/>
  <c r="P596" i="3" s="1"/>
  <c r="Q596" i="3" s="1"/>
  <c r="P595" i="3"/>
  <c r="Q595" i="3" s="1"/>
  <c r="O595" i="3"/>
  <c r="Q594" i="3"/>
  <c r="P594" i="3"/>
  <c r="O594" i="3"/>
  <c r="O593" i="3"/>
  <c r="P593" i="3" s="1"/>
  <c r="Q593" i="3" s="1"/>
  <c r="O592" i="3"/>
  <c r="P592" i="3" s="1"/>
  <c r="Q592" i="3" s="1"/>
  <c r="P591" i="3"/>
  <c r="Q591" i="3" s="1"/>
  <c r="O591" i="3"/>
  <c r="P590" i="3"/>
  <c r="Q590" i="3" s="1"/>
  <c r="O590" i="3"/>
  <c r="Q589" i="3"/>
  <c r="O589" i="3"/>
  <c r="P589" i="3" s="1"/>
  <c r="P588" i="3"/>
  <c r="Q588" i="3" s="1"/>
  <c r="O588" i="3"/>
  <c r="O587" i="3"/>
  <c r="P587" i="3" s="1"/>
  <c r="Q587" i="3" s="1"/>
  <c r="P586" i="3"/>
  <c r="Q586" i="3" s="1"/>
  <c r="O586" i="3"/>
  <c r="Q585" i="3"/>
  <c r="O585" i="3"/>
  <c r="P585" i="3" s="1"/>
  <c r="O584" i="3"/>
  <c r="P584" i="3" s="1"/>
  <c r="Q584" i="3" s="1"/>
  <c r="P583" i="3"/>
  <c r="Q583" i="3" s="1"/>
  <c r="O583" i="3"/>
  <c r="Q582" i="3"/>
  <c r="P582" i="3"/>
  <c r="O582" i="3"/>
  <c r="Q581" i="3"/>
  <c r="P581" i="3"/>
  <c r="O581" i="3"/>
  <c r="O580" i="3"/>
  <c r="P580" i="3" s="1"/>
  <c r="Q580" i="3" s="1"/>
  <c r="P579" i="3"/>
  <c r="Q579" i="3" s="1"/>
  <c r="O579" i="3"/>
  <c r="P578" i="3"/>
  <c r="Q578" i="3" s="1"/>
  <c r="O578" i="3"/>
  <c r="P577" i="3"/>
  <c r="Q577" i="3" s="1"/>
  <c r="O577" i="3"/>
  <c r="O576" i="3"/>
  <c r="P576" i="3" s="1"/>
  <c r="Q576" i="3" s="1"/>
  <c r="O575" i="3"/>
  <c r="P575" i="3" s="1"/>
  <c r="Q575" i="3" s="1"/>
  <c r="Q574" i="3"/>
  <c r="P574" i="3"/>
  <c r="O574" i="3"/>
  <c r="Q573" i="3"/>
  <c r="P573" i="3"/>
  <c r="O573" i="3"/>
  <c r="O572" i="3"/>
  <c r="P572" i="3" s="1"/>
  <c r="Q572" i="3" s="1"/>
  <c r="O571" i="3"/>
  <c r="P571" i="3" s="1"/>
  <c r="Q571" i="3" s="1"/>
  <c r="P570" i="3"/>
  <c r="Q570" i="3" s="1"/>
  <c r="O570" i="3"/>
  <c r="P569" i="3"/>
  <c r="Q569" i="3" s="1"/>
  <c r="O569" i="3"/>
  <c r="O568" i="3"/>
  <c r="P568" i="3" s="1"/>
  <c r="Q568" i="3" s="1"/>
  <c r="O567" i="3"/>
  <c r="P567" i="3" s="1"/>
  <c r="Q567" i="3" s="1"/>
  <c r="P566" i="3"/>
  <c r="Q566" i="3" s="1"/>
  <c r="O566" i="3"/>
  <c r="P565" i="3"/>
  <c r="Q565" i="3" s="1"/>
  <c r="O565" i="3"/>
  <c r="O564" i="3"/>
  <c r="P564" i="3" s="1"/>
  <c r="Q564" i="3" s="1"/>
  <c r="O563" i="3"/>
  <c r="P563" i="3" s="1"/>
  <c r="Q563" i="3" s="1"/>
  <c r="Q562" i="3"/>
  <c r="P562" i="3"/>
  <c r="O562" i="3"/>
  <c r="Q561" i="3"/>
  <c r="P561" i="3"/>
  <c r="O561" i="3"/>
  <c r="O560" i="3"/>
  <c r="P560" i="3" s="1"/>
  <c r="Q560" i="3" s="1"/>
  <c r="O559" i="3"/>
  <c r="P559" i="3" s="1"/>
  <c r="Q559" i="3" s="1"/>
  <c r="P558" i="3"/>
  <c r="Q558" i="3" s="1"/>
  <c r="O558" i="3"/>
  <c r="P557" i="3"/>
  <c r="Q557" i="3" s="1"/>
  <c r="O557" i="3"/>
  <c r="O556" i="3"/>
  <c r="P556" i="3" s="1"/>
  <c r="Q556" i="3" s="1"/>
  <c r="O555" i="3"/>
  <c r="P555" i="3" s="1"/>
  <c r="Q555" i="3" s="1"/>
  <c r="P554" i="3"/>
  <c r="Q554" i="3" s="1"/>
  <c r="O554" i="3"/>
  <c r="P553" i="3"/>
  <c r="Q553" i="3" s="1"/>
  <c r="O553" i="3"/>
  <c r="O552" i="3"/>
  <c r="P552" i="3" s="1"/>
  <c r="Q552" i="3" s="1"/>
  <c r="O551" i="3"/>
  <c r="P551" i="3" s="1"/>
  <c r="Q551" i="3" s="1"/>
  <c r="Q550" i="3"/>
  <c r="P550" i="3"/>
  <c r="O550" i="3"/>
  <c r="Q549" i="3"/>
  <c r="P549" i="3"/>
  <c r="O549" i="3"/>
  <c r="O548" i="3"/>
  <c r="P548" i="3" s="1"/>
  <c r="Q548" i="3" s="1"/>
  <c r="O547" i="3"/>
  <c r="P547" i="3" s="1"/>
  <c r="Q547" i="3" s="1"/>
  <c r="P546" i="3"/>
  <c r="Q546" i="3" s="1"/>
  <c r="O546" i="3"/>
  <c r="P545" i="3"/>
  <c r="Q545" i="3" s="1"/>
  <c r="O545" i="3"/>
  <c r="O544" i="3"/>
  <c r="P544" i="3" s="1"/>
  <c r="Q544" i="3" s="1"/>
  <c r="O543" i="3"/>
  <c r="P543" i="3" s="1"/>
  <c r="Q543" i="3" s="1"/>
  <c r="Q542" i="3"/>
  <c r="P542" i="3"/>
  <c r="O542" i="3"/>
  <c r="Q541" i="3"/>
  <c r="P541" i="3"/>
  <c r="O541" i="3"/>
  <c r="O540" i="3"/>
  <c r="P540" i="3" s="1"/>
  <c r="Q540" i="3" s="1"/>
  <c r="O539" i="3"/>
  <c r="P539" i="3" s="1"/>
  <c r="Q539" i="3" s="1"/>
  <c r="Q538" i="3"/>
  <c r="P538" i="3"/>
  <c r="O538" i="3"/>
  <c r="P537" i="3"/>
  <c r="Q537" i="3" s="1"/>
  <c r="O537" i="3"/>
  <c r="O536" i="3"/>
  <c r="P536" i="3" s="1"/>
  <c r="Q536" i="3" s="1"/>
  <c r="O535" i="3"/>
  <c r="P535" i="3" s="1"/>
  <c r="Q535" i="3" s="1"/>
  <c r="P534" i="3"/>
  <c r="Q534" i="3" s="1"/>
  <c r="O534" i="3"/>
  <c r="P533" i="3"/>
  <c r="Q533" i="3" s="1"/>
  <c r="O533" i="3"/>
  <c r="O532" i="3"/>
  <c r="P532" i="3" s="1"/>
  <c r="Q532" i="3" s="1"/>
  <c r="O531" i="3"/>
  <c r="P531" i="3" s="1"/>
  <c r="Q531" i="3" s="1"/>
  <c r="Q530" i="3"/>
  <c r="P530" i="3"/>
  <c r="O530" i="3"/>
  <c r="P529" i="3"/>
  <c r="Q529" i="3" s="1"/>
  <c r="O529" i="3"/>
  <c r="O528" i="3"/>
  <c r="P528" i="3" s="1"/>
  <c r="Q528" i="3" s="1"/>
  <c r="O527" i="3"/>
  <c r="P527" i="3" s="1"/>
  <c r="Q527" i="3" s="1"/>
  <c r="P526" i="3"/>
  <c r="Q526" i="3" s="1"/>
  <c r="O526" i="3"/>
  <c r="Q525" i="3"/>
  <c r="P525" i="3"/>
  <c r="O525" i="3"/>
  <c r="O524" i="3"/>
  <c r="P524" i="3" s="1"/>
  <c r="Q524" i="3" s="1"/>
  <c r="P523" i="3"/>
  <c r="Q523" i="3" s="1"/>
  <c r="O523" i="3"/>
  <c r="Q522" i="3"/>
  <c r="P522" i="3"/>
  <c r="O522" i="3"/>
  <c r="P521" i="3"/>
  <c r="Q521" i="3" s="1"/>
  <c r="O521" i="3"/>
  <c r="O520" i="3"/>
  <c r="P520" i="3" s="1"/>
  <c r="Q520" i="3" s="1"/>
  <c r="O519" i="3"/>
  <c r="P519" i="3" s="1"/>
  <c r="Q519" i="3" s="1"/>
  <c r="P518" i="3"/>
  <c r="Q518" i="3" s="1"/>
  <c r="O518" i="3"/>
  <c r="O517" i="3"/>
  <c r="P517" i="3" s="1"/>
  <c r="Q517" i="3" s="1"/>
  <c r="O516" i="3"/>
  <c r="P516" i="3" s="1"/>
  <c r="Q516" i="3" s="1"/>
  <c r="Q515" i="3"/>
  <c r="P515" i="3"/>
  <c r="O515" i="3"/>
  <c r="Q514" i="3"/>
  <c r="P514" i="3"/>
  <c r="O514" i="3"/>
  <c r="Q513" i="3"/>
  <c r="P513" i="3"/>
  <c r="O513" i="3"/>
  <c r="Q512" i="3"/>
  <c r="O512" i="3"/>
  <c r="P512" i="3" s="1"/>
  <c r="Q511" i="3"/>
  <c r="P511" i="3"/>
  <c r="O511" i="3"/>
  <c r="Q510" i="3"/>
  <c r="P510" i="3"/>
  <c r="O510" i="3"/>
  <c r="P509" i="3"/>
  <c r="Q509" i="3" s="1"/>
  <c r="O509" i="3"/>
  <c r="O508" i="3"/>
  <c r="P508" i="3" s="1"/>
  <c r="Q508" i="3" s="1"/>
  <c r="P507" i="3"/>
  <c r="Q507" i="3" s="1"/>
  <c r="O507" i="3"/>
  <c r="Q506" i="3"/>
  <c r="P506" i="3"/>
  <c r="O506" i="3"/>
  <c r="P505" i="3"/>
  <c r="Q505" i="3" s="1"/>
  <c r="O505" i="3"/>
  <c r="O504" i="3"/>
  <c r="P504" i="3" s="1"/>
  <c r="Q504" i="3" s="1"/>
  <c r="P503" i="3"/>
  <c r="Q503" i="3" s="1"/>
  <c r="O503" i="3"/>
  <c r="Q502" i="3"/>
  <c r="P502" i="3"/>
  <c r="O502" i="3"/>
  <c r="P501" i="3"/>
  <c r="Q501" i="3" s="1"/>
  <c r="O501" i="3"/>
  <c r="O500" i="3"/>
  <c r="P500" i="3" s="1"/>
  <c r="Q500" i="3" s="1"/>
  <c r="P499" i="3"/>
  <c r="Q499" i="3" s="1"/>
  <c r="O499" i="3"/>
  <c r="P498" i="3"/>
  <c r="Q498" i="3" s="1"/>
  <c r="O498" i="3"/>
  <c r="P497" i="3"/>
  <c r="Q497" i="3" s="1"/>
  <c r="O497" i="3"/>
  <c r="O496" i="3"/>
  <c r="P496" i="3" s="1"/>
  <c r="Q496" i="3" s="1"/>
  <c r="Q495" i="3"/>
  <c r="P495" i="3"/>
  <c r="O495" i="3"/>
  <c r="P494" i="3"/>
  <c r="Q494" i="3" s="1"/>
  <c r="O494" i="3"/>
  <c r="P493" i="3"/>
  <c r="Q493" i="3" s="1"/>
  <c r="O493" i="3"/>
  <c r="O492" i="3"/>
  <c r="P492" i="3" s="1"/>
  <c r="Q492" i="3" s="1"/>
  <c r="Q491" i="3"/>
  <c r="P491" i="3"/>
  <c r="O491" i="3"/>
  <c r="Q490" i="3"/>
  <c r="P490" i="3"/>
  <c r="O490" i="3"/>
  <c r="P489" i="3"/>
  <c r="Q489" i="3" s="1"/>
  <c r="O489" i="3"/>
  <c r="O488" i="3"/>
  <c r="P488" i="3" s="1"/>
  <c r="Q488" i="3" s="1"/>
  <c r="P487" i="3"/>
  <c r="Q487" i="3" s="1"/>
  <c r="O487" i="3"/>
  <c r="Q486" i="3"/>
  <c r="P486" i="3"/>
  <c r="O486" i="3"/>
  <c r="P485" i="3"/>
  <c r="Q485" i="3" s="1"/>
  <c r="O485" i="3"/>
  <c r="O484" i="3"/>
  <c r="P484" i="3" s="1"/>
  <c r="Q484" i="3" s="1"/>
  <c r="P483" i="3"/>
  <c r="Q483" i="3" s="1"/>
  <c r="O483" i="3"/>
  <c r="P482" i="3"/>
  <c r="Q482" i="3" s="1"/>
  <c r="O482" i="3"/>
  <c r="P481" i="3"/>
  <c r="Q481" i="3" s="1"/>
  <c r="O481" i="3"/>
  <c r="O480" i="3"/>
  <c r="P480" i="3" s="1"/>
  <c r="Q480" i="3" s="1"/>
  <c r="P479" i="3"/>
  <c r="Q479" i="3" s="1"/>
  <c r="O479" i="3"/>
  <c r="P478" i="3"/>
  <c r="Q478" i="3" s="1"/>
  <c r="O478" i="3"/>
  <c r="P477" i="3"/>
  <c r="Q477" i="3" s="1"/>
  <c r="O477" i="3"/>
  <c r="O476" i="3"/>
  <c r="P476" i="3" s="1"/>
  <c r="Q476" i="3" s="1"/>
  <c r="Q475" i="3"/>
  <c r="P475" i="3"/>
  <c r="O475" i="3"/>
  <c r="P474" i="3"/>
  <c r="Q474" i="3" s="1"/>
  <c r="O474" i="3"/>
  <c r="P473" i="3"/>
  <c r="Q473" i="3" s="1"/>
  <c r="O473" i="3"/>
  <c r="O472" i="3"/>
  <c r="P472" i="3" s="1"/>
  <c r="Q472" i="3" s="1"/>
  <c r="P471" i="3"/>
  <c r="Q471" i="3" s="1"/>
  <c r="O471" i="3"/>
  <c r="P470" i="3"/>
  <c r="Q470" i="3" s="1"/>
  <c r="O470" i="3"/>
  <c r="P469" i="3"/>
  <c r="Q469" i="3" s="1"/>
  <c r="O469" i="3"/>
  <c r="O468" i="3"/>
  <c r="P468" i="3" s="1"/>
  <c r="Q468" i="3" s="1"/>
  <c r="O467" i="3"/>
  <c r="P467" i="3" s="1"/>
  <c r="Q467" i="3" s="1"/>
  <c r="P466" i="3"/>
  <c r="Q466" i="3" s="1"/>
  <c r="O466" i="3"/>
  <c r="P465" i="3"/>
  <c r="Q465" i="3" s="1"/>
  <c r="O465" i="3"/>
  <c r="P464" i="3"/>
  <c r="Q464" i="3" s="1"/>
  <c r="O464" i="3"/>
  <c r="O463" i="3"/>
  <c r="P463" i="3" s="1"/>
  <c r="Q463" i="3" s="1"/>
  <c r="P462" i="3"/>
  <c r="Q462" i="3" s="1"/>
  <c r="O462" i="3"/>
  <c r="O461" i="3"/>
  <c r="P461" i="3" s="1"/>
  <c r="Q461" i="3" s="1"/>
  <c r="O460" i="3"/>
  <c r="P460" i="3" s="1"/>
  <c r="Q460" i="3" s="1"/>
  <c r="O459" i="3"/>
  <c r="P459" i="3" s="1"/>
  <c r="Q459" i="3" s="1"/>
  <c r="Q458" i="3"/>
  <c r="P458" i="3"/>
  <c r="O458" i="3"/>
  <c r="O457" i="3"/>
  <c r="P457" i="3" s="1"/>
  <c r="Q457" i="3" s="1"/>
  <c r="O456" i="3"/>
  <c r="P456" i="3" s="1"/>
  <c r="Q456" i="3" s="1"/>
  <c r="O455" i="3"/>
  <c r="P455" i="3" s="1"/>
  <c r="Q455" i="3" s="1"/>
  <c r="P454" i="3"/>
  <c r="Q454" i="3" s="1"/>
  <c r="O454" i="3"/>
  <c r="O453" i="3"/>
  <c r="P453" i="3" s="1"/>
  <c r="Q453" i="3" s="1"/>
  <c r="P452" i="3"/>
  <c r="Q452" i="3" s="1"/>
  <c r="O452" i="3"/>
  <c r="O451" i="3"/>
  <c r="P451" i="3" s="1"/>
  <c r="Q451" i="3" s="1"/>
  <c r="O450" i="3"/>
  <c r="P450" i="3" s="1"/>
  <c r="Q450" i="3" s="1"/>
  <c r="O449" i="3"/>
  <c r="P449" i="3" s="1"/>
  <c r="Q449" i="3" s="1"/>
  <c r="P448" i="3"/>
  <c r="Q448" i="3" s="1"/>
  <c r="O448" i="3"/>
  <c r="O447" i="3"/>
  <c r="P447" i="3" s="1"/>
  <c r="Q447" i="3" s="1"/>
  <c r="O446" i="3"/>
  <c r="P446" i="3" s="1"/>
  <c r="Q446" i="3" s="1"/>
  <c r="O445" i="3"/>
  <c r="P445" i="3" s="1"/>
  <c r="Q445" i="3" s="1"/>
  <c r="P444" i="3"/>
  <c r="Q444" i="3" s="1"/>
  <c r="O444" i="3"/>
  <c r="O443" i="3"/>
  <c r="P443" i="3" s="1"/>
  <c r="Q443" i="3" s="1"/>
  <c r="O442" i="3"/>
  <c r="P442" i="3" s="1"/>
  <c r="Q442" i="3" s="1"/>
  <c r="O441" i="3"/>
  <c r="P441" i="3" s="1"/>
  <c r="Q441" i="3" s="1"/>
  <c r="P440" i="3"/>
  <c r="Q440" i="3" s="1"/>
  <c r="O440" i="3"/>
  <c r="O439" i="3"/>
  <c r="P439" i="3" s="1"/>
  <c r="Q439" i="3" s="1"/>
  <c r="O438" i="3"/>
  <c r="P438" i="3" s="1"/>
  <c r="Q438" i="3" s="1"/>
  <c r="O437" i="3"/>
  <c r="P437" i="3" s="1"/>
  <c r="Q437" i="3" s="1"/>
  <c r="P436" i="3"/>
  <c r="Q436" i="3" s="1"/>
  <c r="O436" i="3"/>
  <c r="O435" i="3"/>
  <c r="P435" i="3" s="1"/>
  <c r="Q435" i="3" s="1"/>
  <c r="O434" i="3"/>
  <c r="P434" i="3" s="1"/>
  <c r="Q434" i="3" s="1"/>
  <c r="O433" i="3"/>
  <c r="P433" i="3" s="1"/>
  <c r="Q433" i="3" s="1"/>
  <c r="P432" i="3"/>
  <c r="Q432" i="3" s="1"/>
  <c r="O432" i="3"/>
  <c r="O431" i="3"/>
  <c r="P431" i="3" s="1"/>
  <c r="Q431" i="3" s="1"/>
  <c r="O430" i="3"/>
  <c r="P430" i="3" s="1"/>
  <c r="Q430" i="3" s="1"/>
  <c r="O429" i="3"/>
  <c r="P429" i="3" s="1"/>
  <c r="Q429" i="3" s="1"/>
  <c r="P428" i="3"/>
  <c r="Q428" i="3" s="1"/>
  <c r="O428" i="3"/>
  <c r="O427" i="3"/>
  <c r="P427" i="3" s="1"/>
  <c r="Q427" i="3" s="1"/>
  <c r="O426" i="3"/>
  <c r="P426" i="3" s="1"/>
  <c r="Q426" i="3" s="1"/>
  <c r="O425" i="3"/>
  <c r="P425" i="3" s="1"/>
  <c r="Q425" i="3" s="1"/>
  <c r="P424" i="3"/>
  <c r="Q424" i="3" s="1"/>
  <c r="O424" i="3"/>
  <c r="O423" i="3"/>
  <c r="P423" i="3" s="1"/>
  <c r="Q423" i="3" s="1"/>
  <c r="O422" i="3"/>
  <c r="P422" i="3" s="1"/>
  <c r="Q422" i="3" s="1"/>
  <c r="O421" i="3"/>
  <c r="P421" i="3" s="1"/>
  <c r="Q421" i="3" s="1"/>
  <c r="P420" i="3"/>
  <c r="Q420" i="3" s="1"/>
  <c r="O420" i="3"/>
  <c r="O419" i="3"/>
  <c r="P419" i="3" s="1"/>
  <c r="Q419" i="3" s="1"/>
  <c r="O418" i="3"/>
  <c r="P418" i="3" s="1"/>
  <c r="Q418" i="3" s="1"/>
  <c r="O417" i="3"/>
  <c r="P417" i="3" s="1"/>
  <c r="Q417" i="3" s="1"/>
  <c r="P416" i="3"/>
  <c r="Q416" i="3" s="1"/>
  <c r="O416" i="3"/>
  <c r="O415" i="3"/>
  <c r="P415" i="3" s="1"/>
  <c r="Q415" i="3" s="1"/>
  <c r="O414" i="3"/>
  <c r="P414" i="3" s="1"/>
  <c r="Q414" i="3" s="1"/>
  <c r="O413" i="3"/>
  <c r="P413" i="3" s="1"/>
  <c r="Q413" i="3" s="1"/>
  <c r="Q412" i="3"/>
  <c r="P412" i="3"/>
  <c r="O412" i="3"/>
  <c r="O411" i="3"/>
  <c r="P411" i="3" s="1"/>
  <c r="Q411" i="3" s="1"/>
  <c r="O410" i="3"/>
  <c r="P410" i="3" s="1"/>
  <c r="Q410" i="3" s="1"/>
  <c r="O409" i="3"/>
  <c r="P409" i="3" s="1"/>
  <c r="Q409" i="3" s="1"/>
  <c r="P408" i="3"/>
  <c r="Q408" i="3" s="1"/>
  <c r="O408" i="3"/>
  <c r="O407" i="3"/>
  <c r="P407" i="3" s="1"/>
  <c r="Q407" i="3" s="1"/>
  <c r="O406" i="3"/>
  <c r="P406" i="3" s="1"/>
  <c r="Q406" i="3" s="1"/>
  <c r="O405" i="3"/>
  <c r="P405" i="3" s="1"/>
  <c r="Q405" i="3" s="1"/>
  <c r="Q404" i="3"/>
  <c r="P404" i="3"/>
  <c r="O404" i="3"/>
  <c r="O403" i="3"/>
  <c r="P403" i="3" s="1"/>
  <c r="Q403" i="3" s="1"/>
  <c r="O402" i="3"/>
  <c r="P402" i="3" s="1"/>
  <c r="Q402" i="3" s="1"/>
  <c r="O401" i="3"/>
  <c r="P401" i="3" s="1"/>
  <c r="Q401" i="3" s="1"/>
  <c r="Q400" i="3"/>
  <c r="P400" i="3"/>
  <c r="O400" i="3"/>
  <c r="O399" i="3"/>
  <c r="P399" i="3" s="1"/>
  <c r="Q399" i="3" s="1"/>
  <c r="O398" i="3"/>
  <c r="P398" i="3" s="1"/>
  <c r="Q398" i="3" s="1"/>
  <c r="O397" i="3"/>
  <c r="P397" i="3" s="1"/>
  <c r="Q397" i="3" s="1"/>
  <c r="Q396" i="3"/>
  <c r="P396" i="3"/>
  <c r="O396" i="3"/>
  <c r="Q395" i="3"/>
  <c r="P395" i="3"/>
  <c r="O395" i="3"/>
  <c r="O394" i="3"/>
  <c r="P394" i="3" s="1"/>
  <c r="Q394" i="3" s="1"/>
  <c r="O393" i="3"/>
  <c r="P393" i="3" s="1"/>
  <c r="Q393" i="3" s="1"/>
  <c r="Q392" i="3"/>
  <c r="O392" i="3"/>
  <c r="P392" i="3" s="1"/>
  <c r="O391" i="3"/>
  <c r="P391" i="3" s="1"/>
  <c r="Q391" i="3" s="1"/>
  <c r="P390" i="3"/>
  <c r="Q390" i="3" s="1"/>
  <c r="O390" i="3"/>
  <c r="O389" i="3"/>
  <c r="P389" i="3" s="1"/>
  <c r="Q389" i="3" s="1"/>
  <c r="Q388" i="3"/>
  <c r="O388" i="3"/>
  <c r="P388" i="3" s="1"/>
  <c r="O387" i="3"/>
  <c r="P387" i="3" s="1"/>
  <c r="Q387" i="3" s="1"/>
  <c r="P386" i="3"/>
  <c r="Q386" i="3" s="1"/>
  <c r="O386" i="3"/>
  <c r="O385" i="3"/>
  <c r="P385" i="3" s="1"/>
  <c r="Q385" i="3" s="1"/>
  <c r="Q384" i="3"/>
  <c r="O384" i="3"/>
  <c r="P384" i="3" s="1"/>
  <c r="O383" i="3"/>
  <c r="P383" i="3" s="1"/>
  <c r="Q383" i="3" s="1"/>
  <c r="P382" i="3"/>
  <c r="Q382" i="3" s="1"/>
  <c r="O382" i="3"/>
  <c r="O381" i="3"/>
  <c r="P381" i="3" s="1"/>
  <c r="Q381" i="3" s="1"/>
  <c r="Q380" i="3"/>
  <c r="O380" i="3"/>
  <c r="P380" i="3" s="1"/>
  <c r="O379" i="3"/>
  <c r="P379" i="3" s="1"/>
  <c r="Q379" i="3" s="1"/>
  <c r="P378" i="3"/>
  <c r="Q378" i="3" s="1"/>
  <c r="O378" i="3"/>
  <c r="O377" i="3"/>
  <c r="P377" i="3" s="1"/>
  <c r="Q377" i="3" s="1"/>
  <c r="Q376" i="3"/>
  <c r="O376" i="3"/>
  <c r="P376" i="3" s="1"/>
  <c r="O375" i="3"/>
  <c r="P375" i="3" s="1"/>
  <c r="Q375" i="3" s="1"/>
  <c r="Q374" i="3"/>
  <c r="P374" i="3"/>
  <c r="O374" i="3"/>
  <c r="O373" i="3"/>
  <c r="P373" i="3" s="1"/>
  <c r="Q373" i="3" s="1"/>
  <c r="Q372" i="3"/>
  <c r="O372" i="3"/>
  <c r="P372" i="3" s="1"/>
  <c r="O371" i="3"/>
  <c r="P371" i="3" s="1"/>
  <c r="Q371" i="3" s="1"/>
  <c r="O370" i="3"/>
  <c r="P370" i="3" s="1"/>
  <c r="Q370" i="3" s="1"/>
  <c r="O369" i="3"/>
  <c r="P369" i="3" s="1"/>
  <c r="Q369" i="3" s="1"/>
  <c r="Q368" i="3"/>
  <c r="P368" i="3"/>
  <c r="O368" i="3"/>
  <c r="P367" i="3"/>
  <c r="Q367" i="3" s="1"/>
  <c r="O367" i="3"/>
  <c r="P366" i="3"/>
  <c r="Q366" i="3" s="1"/>
  <c r="O366" i="3"/>
  <c r="O365" i="3"/>
  <c r="P365" i="3" s="1"/>
  <c r="Q365" i="3" s="1"/>
  <c r="O364" i="3"/>
  <c r="P364" i="3" s="1"/>
  <c r="Q364" i="3" s="1"/>
  <c r="O363" i="3"/>
  <c r="P363" i="3" s="1"/>
  <c r="Q363" i="3" s="1"/>
  <c r="P362" i="3"/>
  <c r="Q362" i="3" s="1"/>
  <c r="O362" i="3"/>
  <c r="O361" i="3"/>
  <c r="P361" i="3" s="1"/>
  <c r="Q361" i="3" s="1"/>
  <c r="Q360" i="3"/>
  <c r="P360" i="3"/>
  <c r="O360" i="3"/>
  <c r="O359" i="3"/>
  <c r="P359" i="3" s="1"/>
  <c r="Q359" i="3" s="1"/>
  <c r="O358" i="3"/>
  <c r="P358" i="3" s="1"/>
  <c r="Q358" i="3" s="1"/>
  <c r="O357" i="3"/>
  <c r="P357" i="3" s="1"/>
  <c r="Q357" i="3" s="1"/>
  <c r="Q356" i="3"/>
  <c r="P356" i="3"/>
  <c r="O356" i="3"/>
  <c r="P355" i="3"/>
  <c r="Q355" i="3" s="1"/>
  <c r="O355" i="3"/>
  <c r="Q354" i="3"/>
  <c r="P354" i="3"/>
  <c r="O354" i="3"/>
  <c r="P353" i="3"/>
  <c r="Q353" i="3" s="1"/>
  <c r="O353" i="3"/>
  <c r="Q352" i="3"/>
  <c r="P352" i="3"/>
  <c r="O352" i="3"/>
  <c r="O351" i="3"/>
  <c r="P351" i="3" s="1"/>
  <c r="Q351" i="3" s="1"/>
  <c r="O350" i="3"/>
  <c r="P350" i="3" s="1"/>
  <c r="Q350" i="3" s="1"/>
  <c r="O349" i="3"/>
  <c r="P349" i="3" s="1"/>
  <c r="Q349" i="3" s="1"/>
  <c r="Q348" i="3"/>
  <c r="P348" i="3"/>
  <c r="O348" i="3"/>
  <c r="O347" i="3"/>
  <c r="P347" i="3" s="1"/>
  <c r="Q347" i="3" s="1"/>
  <c r="O346" i="3"/>
  <c r="P346" i="3" s="1"/>
  <c r="Q346" i="3" s="1"/>
  <c r="Q345" i="3"/>
  <c r="P345" i="3"/>
  <c r="O345" i="3"/>
  <c r="O344" i="3"/>
  <c r="P344" i="3" s="1"/>
  <c r="Q344" i="3" s="1"/>
  <c r="O343" i="3"/>
  <c r="P343" i="3" s="1"/>
  <c r="Q343" i="3" s="1"/>
  <c r="P342" i="3"/>
  <c r="Q342" i="3" s="1"/>
  <c r="O342" i="3"/>
  <c r="Q341" i="3"/>
  <c r="O341" i="3"/>
  <c r="P341" i="3" s="1"/>
  <c r="O340" i="3"/>
  <c r="P340" i="3" s="1"/>
  <c r="Q340" i="3" s="1"/>
  <c r="O339" i="3"/>
  <c r="P339" i="3" s="1"/>
  <c r="Q339" i="3" s="1"/>
  <c r="P338" i="3"/>
  <c r="Q338" i="3" s="1"/>
  <c r="O338" i="3"/>
  <c r="Q337" i="3"/>
  <c r="O337" i="3"/>
  <c r="P337" i="3" s="1"/>
  <c r="O336" i="3"/>
  <c r="P336" i="3" s="1"/>
  <c r="Q336" i="3" s="1"/>
  <c r="O335" i="3"/>
  <c r="P335" i="3" s="1"/>
  <c r="Q335" i="3" s="1"/>
  <c r="P334" i="3"/>
  <c r="Q334" i="3" s="1"/>
  <c r="O334" i="3"/>
  <c r="Q333" i="3"/>
  <c r="O333" i="3"/>
  <c r="P333" i="3" s="1"/>
  <c r="O332" i="3"/>
  <c r="P332" i="3" s="1"/>
  <c r="Q332" i="3" s="1"/>
  <c r="O331" i="3"/>
  <c r="P331" i="3" s="1"/>
  <c r="Q331" i="3" s="1"/>
  <c r="P330" i="3"/>
  <c r="Q330" i="3" s="1"/>
  <c r="O330" i="3"/>
  <c r="Q329" i="3"/>
  <c r="O329" i="3"/>
  <c r="P329" i="3" s="1"/>
  <c r="O328" i="3"/>
  <c r="P328" i="3" s="1"/>
  <c r="Q328" i="3" s="1"/>
  <c r="O327" i="3"/>
  <c r="P327" i="3" s="1"/>
  <c r="Q327" i="3" s="1"/>
  <c r="P326" i="3"/>
  <c r="Q326" i="3" s="1"/>
  <c r="O326" i="3"/>
  <c r="Q325" i="3"/>
  <c r="O325" i="3"/>
  <c r="P325" i="3" s="1"/>
  <c r="O324" i="3"/>
  <c r="P324" i="3" s="1"/>
  <c r="Q324" i="3" s="1"/>
  <c r="O323" i="3"/>
  <c r="P323" i="3" s="1"/>
  <c r="Q323" i="3" s="1"/>
  <c r="P322" i="3"/>
  <c r="Q322" i="3" s="1"/>
  <c r="O322" i="3"/>
  <c r="Q321" i="3"/>
  <c r="O321" i="3"/>
  <c r="P321" i="3" s="1"/>
  <c r="O320" i="3"/>
  <c r="P320" i="3" s="1"/>
  <c r="Q320" i="3" s="1"/>
  <c r="O319" i="3"/>
  <c r="P319" i="3" s="1"/>
  <c r="Q319" i="3" s="1"/>
  <c r="P318" i="3"/>
  <c r="Q318" i="3" s="1"/>
  <c r="O318" i="3"/>
  <c r="Q317" i="3"/>
  <c r="O317" i="3"/>
  <c r="P317" i="3" s="1"/>
  <c r="O316" i="3"/>
  <c r="P316" i="3" s="1"/>
  <c r="Q316" i="3" s="1"/>
  <c r="O315" i="3"/>
  <c r="P315" i="3" s="1"/>
  <c r="Q315" i="3" s="1"/>
  <c r="P314" i="3"/>
  <c r="Q314" i="3" s="1"/>
  <c r="O314" i="3"/>
  <c r="Q313" i="3"/>
  <c r="O313" i="3"/>
  <c r="P313" i="3" s="1"/>
  <c r="O312" i="3"/>
  <c r="P312" i="3" s="1"/>
  <c r="Q312" i="3" s="1"/>
  <c r="O311" i="3"/>
  <c r="P311" i="3" s="1"/>
  <c r="Q311" i="3" s="1"/>
  <c r="P310" i="3"/>
  <c r="Q310" i="3" s="1"/>
  <c r="O310" i="3"/>
  <c r="Q309" i="3"/>
  <c r="O309" i="3"/>
  <c r="P309" i="3" s="1"/>
  <c r="O308" i="3"/>
  <c r="P308" i="3" s="1"/>
  <c r="Q308" i="3" s="1"/>
  <c r="O307" i="3"/>
  <c r="P307" i="3" s="1"/>
  <c r="Q307" i="3" s="1"/>
  <c r="P306" i="3"/>
  <c r="Q306" i="3" s="1"/>
  <c r="O306" i="3"/>
  <c r="Q305" i="3"/>
  <c r="O305" i="3"/>
  <c r="P305" i="3" s="1"/>
  <c r="O304" i="3"/>
  <c r="P304" i="3" s="1"/>
  <c r="Q304" i="3" s="1"/>
  <c r="O303" i="3"/>
  <c r="P303" i="3" s="1"/>
  <c r="Q303" i="3" s="1"/>
  <c r="P302" i="3"/>
  <c r="Q302" i="3" s="1"/>
  <c r="O302" i="3"/>
  <c r="Q301" i="3"/>
  <c r="O301" i="3"/>
  <c r="P301" i="3" s="1"/>
  <c r="O300" i="3"/>
  <c r="P300" i="3" s="1"/>
  <c r="Q300" i="3" s="1"/>
  <c r="O299" i="3"/>
  <c r="P299" i="3" s="1"/>
  <c r="Q299" i="3" s="1"/>
  <c r="P298" i="3"/>
  <c r="Q298" i="3" s="1"/>
  <c r="O298" i="3"/>
  <c r="Q297" i="3"/>
  <c r="O297" i="3"/>
  <c r="P297" i="3" s="1"/>
  <c r="O296" i="3"/>
  <c r="P296" i="3" s="1"/>
  <c r="Q296" i="3" s="1"/>
  <c r="P295" i="3"/>
  <c r="Q295" i="3" s="1"/>
  <c r="O295" i="3"/>
  <c r="P294" i="3"/>
  <c r="Q294" i="3" s="1"/>
  <c r="O294" i="3"/>
  <c r="O293" i="3"/>
  <c r="P293" i="3" s="1"/>
  <c r="Q293" i="3" s="1"/>
  <c r="O292" i="3"/>
  <c r="P292" i="3" s="1"/>
  <c r="Q292" i="3" s="1"/>
  <c r="O291" i="3"/>
  <c r="P291" i="3" s="1"/>
  <c r="Q291" i="3" s="1"/>
  <c r="P290" i="3"/>
  <c r="Q290" i="3" s="1"/>
  <c r="O290" i="3"/>
  <c r="Q289" i="3"/>
  <c r="O289" i="3"/>
  <c r="P289" i="3" s="1"/>
  <c r="O288" i="3"/>
  <c r="P288" i="3" s="1"/>
  <c r="Q288" i="3" s="1"/>
  <c r="P287" i="3"/>
  <c r="Q287" i="3" s="1"/>
  <c r="O287" i="3"/>
  <c r="P286" i="3"/>
  <c r="Q286" i="3" s="1"/>
  <c r="O286" i="3"/>
  <c r="O285" i="3"/>
  <c r="P285" i="3" s="1"/>
  <c r="Q285" i="3" s="1"/>
  <c r="O284" i="3"/>
  <c r="P284" i="3" s="1"/>
  <c r="Q284" i="3" s="1"/>
  <c r="P283" i="3"/>
  <c r="Q283" i="3" s="1"/>
  <c r="O283" i="3"/>
  <c r="P282" i="3"/>
  <c r="Q282" i="3" s="1"/>
  <c r="O282" i="3"/>
  <c r="O281" i="3"/>
  <c r="P281" i="3" s="1"/>
  <c r="Q281" i="3" s="1"/>
  <c r="O280" i="3"/>
  <c r="P280" i="3" s="1"/>
  <c r="Q280" i="3" s="1"/>
  <c r="P279" i="3"/>
  <c r="Q279" i="3" s="1"/>
  <c r="O279" i="3"/>
  <c r="P278" i="3"/>
  <c r="Q278" i="3" s="1"/>
  <c r="O278" i="3"/>
  <c r="O277" i="3"/>
  <c r="P277" i="3" s="1"/>
  <c r="Q277" i="3" s="1"/>
  <c r="O276" i="3"/>
  <c r="P276" i="3" s="1"/>
  <c r="Q276" i="3" s="1"/>
  <c r="Q275" i="3"/>
  <c r="P275" i="3"/>
  <c r="O275" i="3"/>
  <c r="P274" i="3"/>
  <c r="Q274" i="3" s="1"/>
  <c r="O274" i="3"/>
  <c r="O273" i="3"/>
  <c r="P273" i="3" s="1"/>
  <c r="Q273" i="3" s="1"/>
  <c r="P272" i="3"/>
  <c r="Q272" i="3" s="1"/>
  <c r="O272" i="3"/>
  <c r="O271" i="3"/>
  <c r="P271" i="3" s="1"/>
  <c r="Q271" i="3" s="1"/>
  <c r="O270" i="3"/>
  <c r="P270" i="3" s="1"/>
  <c r="Q270" i="3" s="1"/>
  <c r="P269" i="3"/>
  <c r="Q269" i="3" s="1"/>
  <c r="O269" i="3"/>
  <c r="P268" i="3"/>
  <c r="Q268" i="3" s="1"/>
  <c r="O268" i="3"/>
  <c r="O267" i="3"/>
  <c r="P267" i="3" s="1"/>
  <c r="Q267" i="3" s="1"/>
  <c r="O266" i="3"/>
  <c r="P266" i="3" s="1"/>
  <c r="Q266" i="3" s="1"/>
  <c r="P265" i="3"/>
  <c r="Q265" i="3" s="1"/>
  <c r="O265" i="3"/>
  <c r="P264" i="3"/>
  <c r="Q264" i="3" s="1"/>
  <c r="O264" i="3"/>
  <c r="O263" i="3"/>
  <c r="P263" i="3" s="1"/>
  <c r="Q263" i="3" s="1"/>
  <c r="O262" i="3"/>
  <c r="P262" i="3" s="1"/>
  <c r="Q262" i="3" s="1"/>
  <c r="P261" i="3"/>
  <c r="Q261" i="3" s="1"/>
  <c r="O261" i="3"/>
  <c r="P260" i="3"/>
  <c r="Q260" i="3" s="1"/>
  <c r="O260" i="3"/>
  <c r="O259" i="3"/>
  <c r="P259" i="3" s="1"/>
  <c r="Q259" i="3" s="1"/>
  <c r="O258" i="3"/>
  <c r="P258" i="3" s="1"/>
  <c r="Q258" i="3" s="1"/>
  <c r="P257" i="3"/>
  <c r="Q257" i="3" s="1"/>
  <c r="O257" i="3"/>
  <c r="P256" i="3"/>
  <c r="Q256" i="3" s="1"/>
  <c r="O256" i="3"/>
  <c r="Q255" i="3"/>
  <c r="O255" i="3"/>
  <c r="P255" i="3" s="1"/>
  <c r="O254" i="3"/>
  <c r="P254" i="3" s="1"/>
  <c r="Q254" i="3" s="1"/>
  <c r="P253" i="3"/>
  <c r="Q253" i="3" s="1"/>
  <c r="O253" i="3"/>
  <c r="P252" i="3"/>
  <c r="Q252" i="3" s="1"/>
  <c r="O252" i="3"/>
  <c r="O251" i="3"/>
  <c r="P251" i="3" s="1"/>
  <c r="Q251" i="3" s="1"/>
  <c r="O250" i="3"/>
  <c r="P250" i="3" s="1"/>
  <c r="Q250" i="3" s="1"/>
  <c r="P249" i="3"/>
  <c r="Q249" i="3" s="1"/>
  <c r="O249" i="3"/>
  <c r="P248" i="3"/>
  <c r="Q248" i="3" s="1"/>
  <c r="O248" i="3"/>
  <c r="O247" i="3"/>
  <c r="P247" i="3" s="1"/>
  <c r="Q247" i="3" s="1"/>
  <c r="O246" i="3"/>
  <c r="P246" i="3" s="1"/>
  <c r="Q246" i="3" s="1"/>
  <c r="P245" i="3"/>
  <c r="Q245" i="3" s="1"/>
  <c r="O245" i="3"/>
  <c r="P244" i="3"/>
  <c r="Q244" i="3" s="1"/>
  <c r="O244" i="3"/>
  <c r="O243" i="3"/>
  <c r="P243" i="3" s="1"/>
  <c r="Q243" i="3" s="1"/>
  <c r="O242" i="3"/>
  <c r="P242" i="3" s="1"/>
  <c r="Q242" i="3" s="1"/>
  <c r="P241" i="3"/>
  <c r="Q241" i="3" s="1"/>
  <c r="O241" i="3"/>
  <c r="P240" i="3"/>
  <c r="Q240" i="3" s="1"/>
  <c r="O240" i="3"/>
  <c r="Q239" i="3"/>
  <c r="O239" i="3"/>
  <c r="P239" i="3" s="1"/>
  <c r="O238" i="3"/>
  <c r="P238" i="3" s="1"/>
  <c r="Q238" i="3" s="1"/>
  <c r="P237" i="3"/>
  <c r="Q237" i="3" s="1"/>
  <c r="O237" i="3"/>
  <c r="P236" i="3"/>
  <c r="Q236" i="3" s="1"/>
  <c r="O236" i="3"/>
  <c r="Q235" i="3"/>
  <c r="O235" i="3"/>
  <c r="P235" i="3" s="1"/>
  <c r="O234" i="3"/>
  <c r="P234" i="3" s="1"/>
  <c r="Q234" i="3" s="1"/>
  <c r="P233" i="3"/>
  <c r="Q233" i="3" s="1"/>
  <c r="O233" i="3"/>
  <c r="P232" i="3"/>
  <c r="Q232" i="3" s="1"/>
  <c r="O232" i="3"/>
  <c r="Q231" i="3"/>
  <c r="O231" i="3"/>
  <c r="P231" i="3" s="1"/>
  <c r="O230" i="3"/>
  <c r="P230" i="3" s="1"/>
  <c r="Q230" i="3" s="1"/>
  <c r="Q229" i="3"/>
  <c r="P229" i="3"/>
  <c r="O229" i="3"/>
  <c r="P228" i="3"/>
  <c r="Q228" i="3" s="1"/>
  <c r="O228" i="3"/>
  <c r="O227" i="3"/>
  <c r="P227" i="3" s="1"/>
  <c r="Q227" i="3" s="1"/>
  <c r="O226" i="3"/>
  <c r="P226" i="3" s="1"/>
  <c r="Q226" i="3" s="1"/>
  <c r="P225" i="3"/>
  <c r="Q225" i="3" s="1"/>
  <c r="O225" i="3"/>
  <c r="P224" i="3"/>
  <c r="Q224" i="3" s="1"/>
  <c r="O224" i="3"/>
  <c r="O223" i="3"/>
  <c r="P223" i="3" s="1"/>
  <c r="Q223" i="3" s="1"/>
  <c r="O222" i="3"/>
  <c r="P222" i="3" s="1"/>
  <c r="Q222" i="3" s="1"/>
  <c r="P221" i="3"/>
  <c r="Q221" i="3" s="1"/>
  <c r="O221" i="3"/>
  <c r="P220" i="3"/>
  <c r="Q220" i="3" s="1"/>
  <c r="O220" i="3"/>
  <c r="O219" i="3"/>
  <c r="P219" i="3" s="1"/>
  <c r="Q219" i="3" s="1"/>
  <c r="O218" i="3"/>
  <c r="P218" i="3" s="1"/>
  <c r="Q218" i="3" s="1"/>
  <c r="P217" i="3"/>
  <c r="Q217" i="3" s="1"/>
  <c r="O217" i="3"/>
  <c r="P216" i="3"/>
  <c r="Q216" i="3" s="1"/>
  <c r="O216" i="3"/>
  <c r="O215" i="3"/>
  <c r="P215" i="3" s="1"/>
  <c r="Q215" i="3" s="1"/>
  <c r="O214" i="3"/>
  <c r="P214" i="3" s="1"/>
  <c r="Q214" i="3" s="1"/>
  <c r="P213" i="3"/>
  <c r="Q213" i="3" s="1"/>
  <c r="O213" i="3"/>
  <c r="P212" i="3"/>
  <c r="Q212" i="3" s="1"/>
  <c r="O212" i="3"/>
  <c r="O211" i="3"/>
  <c r="P211" i="3" s="1"/>
  <c r="Q211" i="3" s="1"/>
  <c r="O210" i="3"/>
  <c r="P210" i="3" s="1"/>
  <c r="Q210" i="3" s="1"/>
  <c r="P209" i="3"/>
  <c r="Q209" i="3" s="1"/>
  <c r="O209" i="3"/>
  <c r="P208" i="3"/>
  <c r="Q208" i="3" s="1"/>
  <c r="O208" i="3"/>
  <c r="O207" i="3"/>
  <c r="P207" i="3" s="1"/>
  <c r="Q207" i="3" s="1"/>
  <c r="O206" i="3"/>
  <c r="P206" i="3" s="1"/>
  <c r="Q206" i="3" s="1"/>
  <c r="P205" i="3"/>
  <c r="Q205" i="3" s="1"/>
  <c r="O205" i="3"/>
  <c r="P204" i="3"/>
  <c r="Q204" i="3" s="1"/>
  <c r="O204" i="3"/>
  <c r="O203" i="3"/>
  <c r="P203" i="3" s="1"/>
  <c r="Q203" i="3" s="1"/>
  <c r="O202" i="3"/>
  <c r="P202" i="3" s="1"/>
  <c r="Q202" i="3" s="1"/>
  <c r="O201" i="3"/>
  <c r="P201" i="3" s="1"/>
  <c r="Q201" i="3" s="1"/>
  <c r="P200" i="3"/>
  <c r="Q200" i="3" s="1"/>
  <c r="O200" i="3"/>
  <c r="O199" i="3"/>
  <c r="P199" i="3" s="1"/>
  <c r="Q199" i="3" s="1"/>
  <c r="O198" i="3"/>
  <c r="P198" i="3" s="1"/>
  <c r="Q198" i="3" s="1"/>
  <c r="O197" i="3"/>
  <c r="P197" i="3" s="1"/>
  <c r="Q197" i="3" s="1"/>
  <c r="O196" i="3"/>
  <c r="P196" i="3" s="1"/>
  <c r="Q196" i="3" s="1"/>
  <c r="O195" i="3"/>
  <c r="P195" i="3" s="1"/>
  <c r="Q195" i="3" s="1"/>
  <c r="O194" i="3"/>
  <c r="P194" i="3" s="1"/>
  <c r="Q194" i="3" s="1"/>
  <c r="O193" i="3"/>
  <c r="P193" i="3" s="1"/>
  <c r="Q193" i="3" s="1"/>
  <c r="P192" i="3"/>
  <c r="Q192" i="3" s="1"/>
  <c r="O192" i="3"/>
  <c r="O191" i="3"/>
  <c r="P191" i="3" s="1"/>
  <c r="Q191" i="3" s="1"/>
  <c r="O190" i="3"/>
  <c r="P190" i="3" s="1"/>
  <c r="Q190" i="3" s="1"/>
  <c r="O189" i="3"/>
  <c r="P189" i="3" s="1"/>
  <c r="Q189" i="3" s="1"/>
  <c r="P188" i="3"/>
  <c r="Q188" i="3" s="1"/>
  <c r="O188" i="3"/>
  <c r="O187" i="3"/>
  <c r="P187" i="3" s="1"/>
  <c r="Q187" i="3" s="1"/>
  <c r="O186" i="3"/>
  <c r="P186" i="3" s="1"/>
  <c r="Q186" i="3" s="1"/>
  <c r="O185" i="3"/>
  <c r="P185" i="3" s="1"/>
  <c r="Q185" i="3" s="1"/>
  <c r="P184" i="3"/>
  <c r="Q184" i="3" s="1"/>
  <c r="O184" i="3"/>
  <c r="O183" i="3"/>
  <c r="P183" i="3" s="1"/>
  <c r="Q183" i="3" s="1"/>
  <c r="O182" i="3"/>
  <c r="P182" i="3" s="1"/>
  <c r="Q182" i="3" s="1"/>
  <c r="O181" i="3"/>
  <c r="P181" i="3" s="1"/>
  <c r="Q181" i="3" s="1"/>
  <c r="P180" i="3"/>
  <c r="Q180" i="3" s="1"/>
  <c r="O180" i="3"/>
  <c r="O179" i="3"/>
  <c r="P179" i="3" s="1"/>
  <c r="Q179" i="3" s="1"/>
  <c r="O178" i="3"/>
  <c r="P178" i="3" s="1"/>
  <c r="Q178" i="3" s="1"/>
  <c r="O177" i="3"/>
  <c r="P177" i="3" s="1"/>
  <c r="Q177" i="3" s="1"/>
  <c r="P176" i="3"/>
  <c r="Q176" i="3" s="1"/>
  <c r="O176" i="3"/>
  <c r="O175" i="3"/>
  <c r="P175" i="3" s="1"/>
  <c r="Q175" i="3" s="1"/>
  <c r="O174" i="3"/>
  <c r="P174" i="3" s="1"/>
  <c r="Q174" i="3" s="1"/>
  <c r="O173" i="3"/>
  <c r="P173" i="3" s="1"/>
  <c r="Q173" i="3" s="1"/>
  <c r="P172" i="3"/>
  <c r="Q172" i="3" s="1"/>
  <c r="O172" i="3"/>
  <c r="O171" i="3"/>
  <c r="P171" i="3" s="1"/>
  <c r="Q171" i="3" s="1"/>
  <c r="O170" i="3"/>
  <c r="P170" i="3" s="1"/>
  <c r="Q170" i="3" s="1"/>
  <c r="O169" i="3"/>
  <c r="P169" i="3" s="1"/>
  <c r="Q169" i="3" s="1"/>
  <c r="P168" i="3"/>
  <c r="Q168" i="3" s="1"/>
  <c r="O168" i="3"/>
  <c r="O167" i="3"/>
  <c r="P167" i="3" s="1"/>
  <c r="Q167" i="3" s="1"/>
  <c r="O166" i="3"/>
  <c r="P166" i="3" s="1"/>
  <c r="Q166" i="3" s="1"/>
  <c r="O165" i="3"/>
  <c r="P165" i="3" s="1"/>
  <c r="Q165" i="3" s="1"/>
  <c r="P164" i="3"/>
  <c r="Q164" i="3" s="1"/>
  <c r="O164" i="3"/>
  <c r="O163" i="3"/>
  <c r="P163" i="3" s="1"/>
  <c r="Q163" i="3" s="1"/>
  <c r="O162" i="3"/>
  <c r="P162" i="3" s="1"/>
  <c r="Q162" i="3" s="1"/>
  <c r="O161" i="3"/>
  <c r="P161" i="3" s="1"/>
  <c r="Q161" i="3" s="1"/>
  <c r="P160" i="3"/>
  <c r="Q160" i="3" s="1"/>
  <c r="O160" i="3"/>
  <c r="O159" i="3"/>
  <c r="P159" i="3" s="1"/>
  <c r="Q159" i="3" s="1"/>
  <c r="O158" i="3"/>
  <c r="P158" i="3" s="1"/>
  <c r="Q158" i="3" s="1"/>
  <c r="O157" i="3"/>
  <c r="P157" i="3" s="1"/>
  <c r="Q157" i="3" s="1"/>
  <c r="P156" i="3"/>
  <c r="Q156" i="3" s="1"/>
  <c r="O156" i="3"/>
  <c r="O155" i="3"/>
  <c r="P155" i="3" s="1"/>
  <c r="Q155" i="3" s="1"/>
  <c r="O154" i="3"/>
  <c r="P154" i="3" s="1"/>
  <c r="Q154" i="3" s="1"/>
  <c r="O153" i="3"/>
  <c r="P153" i="3" s="1"/>
  <c r="Q153" i="3" s="1"/>
  <c r="P152" i="3"/>
  <c r="Q152" i="3" s="1"/>
  <c r="O152" i="3"/>
  <c r="Q151" i="3"/>
  <c r="O151" i="3"/>
  <c r="P151" i="3" s="1"/>
  <c r="O150" i="3"/>
  <c r="P150" i="3" s="1"/>
  <c r="Q150" i="3" s="1"/>
  <c r="O149" i="3"/>
  <c r="P149" i="3" s="1"/>
  <c r="Q149" i="3" s="1"/>
  <c r="P148" i="3"/>
  <c r="Q148" i="3" s="1"/>
  <c r="O148" i="3"/>
  <c r="O147" i="3"/>
  <c r="P147" i="3" s="1"/>
  <c r="Q147" i="3" s="1"/>
  <c r="O146" i="3"/>
  <c r="P146" i="3" s="1"/>
  <c r="Q146" i="3" s="1"/>
  <c r="O145" i="3"/>
  <c r="P145" i="3" s="1"/>
  <c r="Q145" i="3" s="1"/>
  <c r="Q144" i="3"/>
  <c r="P144" i="3"/>
  <c r="O144" i="3"/>
  <c r="Q143" i="3"/>
  <c r="O143" i="3"/>
  <c r="P143" i="3" s="1"/>
  <c r="O142" i="3"/>
  <c r="P142" i="3" s="1"/>
  <c r="Q142" i="3" s="1"/>
  <c r="O141" i="3"/>
  <c r="P141" i="3" s="1"/>
  <c r="Q141" i="3" s="1"/>
  <c r="Q140" i="3"/>
  <c r="P140" i="3"/>
  <c r="O140" i="3"/>
  <c r="Q139" i="3"/>
  <c r="O139" i="3"/>
  <c r="P139" i="3" s="1"/>
  <c r="O138" i="3"/>
  <c r="P138" i="3" s="1"/>
  <c r="Q138" i="3" s="1"/>
  <c r="O137" i="3"/>
  <c r="P137" i="3" s="1"/>
  <c r="Q137" i="3" s="1"/>
  <c r="Q136" i="3"/>
  <c r="P136" i="3"/>
  <c r="O136" i="3"/>
  <c r="Q135" i="3"/>
  <c r="O135" i="3"/>
  <c r="P135" i="3" s="1"/>
  <c r="O134" i="3"/>
  <c r="P134" i="3" s="1"/>
  <c r="Q134" i="3" s="1"/>
  <c r="O133" i="3"/>
  <c r="P133" i="3" s="1"/>
  <c r="Q133" i="3" s="1"/>
  <c r="Q132" i="3"/>
  <c r="P132" i="3"/>
  <c r="O132" i="3"/>
  <c r="Q131" i="3"/>
  <c r="O131" i="3"/>
  <c r="P131" i="3" s="1"/>
  <c r="P130" i="3"/>
  <c r="Q130" i="3" s="1"/>
  <c r="O130" i="3"/>
  <c r="O129" i="3"/>
  <c r="P129" i="3" s="1"/>
  <c r="Q129" i="3" s="1"/>
  <c r="P128" i="3"/>
  <c r="Q128" i="3" s="1"/>
  <c r="O128" i="3"/>
  <c r="Q127" i="3"/>
  <c r="O127" i="3"/>
  <c r="P127" i="3" s="1"/>
  <c r="P126" i="3"/>
  <c r="Q126" i="3" s="1"/>
  <c r="O126" i="3"/>
  <c r="O125" i="3"/>
  <c r="P125" i="3" s="1"/>
  <c r="Q125" i="3" s="1"/>
  <c r="Q124" i="3"/>
  <c r="P124" i="3"/>
  <c r="O124" i="3"/>
  <c r="O123" i="3"/>
  <c r="P123" i="3" s="1"/>
  <c r="Q123" i="3" s="1"/>
  <c r="O122" i="3"/>
  <c r="P122" i="3" s="1"/>
  <c r="Q122" i="3" s="1"/>
  <c r="P121" i="3"/>
  <c r="Q121" i="3" s="1"/>
  <c r="O121" i="3"/>
  <c r="P120" i="3"/>
  <c r="Q120" i="3" s="1"/>
  <c r="O120" i="3"/>
  <c r="P119" i="3"/>
  <c r="Q119" i="3" s="1"/>
  <c r="O119" i="3"/>
  <c r="O118" i="3"/>
  <c r="P118" i="3" s="1"/>
  <c r="Q118" i="3" s="1"/>
  <c r="P117" i="3"/>
  <c r="Q117" i="3" s="1"/>
  <c r="O117" i="3"/>
  <c r="P116" i="3"/>
  <c r="Q116" i="3" s="1"/>
  <c r="O116" i="3"/>
  <c r="P115" i="3"/>
  <c r="Q115" i="3" s="1"/>
  <c r="O115" i="3"/>
  <c r="Q114" i="3"/>
  <c r="O114" i="3"/>
  <c r="P114" i="3" s="1"/>
  <c r="P113" i="3"/>
  <c r="Q113" i="3" s="1"/>
  <c r="O113" i="3"/>
  <c r="P112" i="3"/>
  <c r="Q112" i="3" s="1"/>
  <c r="O112" i="3"/>
  <c r="P111" i="3"/>
  <c r="Q111" i="3" s="1"/>
  <c r="O111" i="3"/>
  <c r="O110" i="3"/>
  <c r="P110" i="3" s="1"/>
  <c r="Q110" i="3" s="1"/>
  <c r="Q109" i="3"/>
  <c r="P109" i="3"/>
  <c r="O109" i="3"/>
  <c r="P108" i="3"/>
  <c r="Q108" i="3" s="1"/>
  <c r="O108" i="3"/>
  <c r="P107" i="3"/>
  <c r="Q107" i="3" s="1"/>
  <c r="O107" i="3"/>
  <c r="O106" i="3"/>
  <c r="P106" i="3" s="1"/>
  <c r="Q106" i="3" s="1"/>
  <c r="Q105" i="3"/>
  <c r="P105" i="3"/>
  <c r="O105" i="3"/>
  <c r="P104" i="3"/>
  <c r="Q104" i="3" s="1"/>
  <c r="O104" i="3"/>
  <c r="P103" i="3"/>
  <c r="Q103" i="3" s="1"/>
  <c r="O103" i="3"/>
  <c r="Q102" i="3"/>
  <c r="O102" i="3"/>
  <c r="P102" i="3" s="1"/>
  <c r="Q101" i="3"/>
  <c r="P101" i="3"/>
  <c r="O101" i="3"/>
  <c r="P100" i="3"/>
  <c r="Q100" i="3" s="1"/>
  <c r="O100" i="3"/>
  <c r="P99" i="3"/>
  <c r="Q99" i="3" s="1"/>
  <c r="O99" i="3"/>
  <c r="O98" i="3"/>
  <c r="P98" i="3" s="1"/>
  <c r="Q98" i="3" s="1"/>
  <c r="Q97" i="3"/>
  <c r="P97" i="3"/>
  <c r="O97" i="3"/>
  <c r="P96" i="3"/>
  <c r="Q96" i="3" s="1"/>
  <c r="O96" i="3"/>
  <c r="P95" i="3"/>
  <c r="Q95" i="3" s="1"/>
  <c r="O95" i="3"/>
  <c r="O94" i="3"/>
  <c r="P94" i="3" s="1"/>
  <c r="Q94" i="3" s="1"/>
  <c r="Q93" i="3"/>
  <c r="P93" i="3"/>
  <c r="O93" i="3"/>
  <c r="P92" i="3"/>
  <c r="Q92" i="3" s="1"/>
  <c r="O92" i="3"/>
  <c r="P91" i="3"/>
  <c r="Q91" i="3" s="1"/>
  <c r="O91" i="3"/>
  <c r="O90" i="3"/>
  <c r="P90" i="3" s="1"/>
  <c r="Q90" i="3" s="1"/>
  <c r="Q89" i="3"/>
  <c r="P89" i="3"/>
  <c r="O89" i="3"/>
  <c r="P88" i="3"/>
  <c r="Q88" i="3" s="1"/>
  <c r="O88" i="3"/>
  <c r="P87" i="3"/>
  <c r="Q87" i="3" s="1"/>
  <c r="O87" i="3"/>
  <c r="Q86" i="3"/>
  <c r="O86" i="3"/>
  <c r="P86" i="3" s="1"/>
  <c r="Q85" i="3"/>
  <c r="P85" i="3"/>
  <c r="O85" i="3"/>
  <c r="P84" i="3"/>
  <c r="Q84" i="3" s="1"/>
  <c r="O84" i="3"/>
  <c r="P83" i="3"/>
  <c r="Q83" i="3" s="1"/>
  <c r="O83" i="3"/>
  <c r="O82" i="3"/>
  <c r="P82" i="3" s="1"/>
  <c r="Q82" i="3" s="1"/>
  <c r="Q81" i="3"/>
  <c r="P81" i="3"/>
  <c r="O81" i="3"/>
  <c r="P80" i="3"/>
  <c r="Q80" i="3" s="1"/>
  <c r="O80" i="3"/>
  <c r="P79" i="3"/>
  <c r="Q79" i="3" s="1"/>
  <c r="O79" i="3"/>
  <c r="Q78" i="3"/>
  <c r="O78" i="3"/>
  <c r="P78" i="3" s="1"/>
  <c r="Q77" i="3"/>
  <c r="P77" i="3"/>
  <c r="O77" i="3"/>
  <c r="P76" i="3"/>
  <c r="Q76" i="3" s="1"/>
  <c r="O76" i="3"/>
  <c r="P75" i="3"/>
  <c r="Q75" i="3" s="1"/>
  <c r="O75" i="3"/>
  <c r="O74" i="3"/>
  <c r="P74" i="3" s="1"/>
  <c r="Q74" i="3" s="1"/>
  <c r="Q73" i="3"/>
  <c r="P73" i="3"/>
  <c r="O73" i="3"/>
  <c r="P72" i="3"/>
  <c r="Q72" i="3" s="1"/>
  <c r="O72" i="3"/>
  <c r="P71" i="3"/>
  <c r="Q71" i="3" s="1"/>
  <c r="O71" i="3"/>
  <c r="O70" i="3"/>
  <c r="P70" i="3" s="1"/>
  <c r="Q70" i="3" s="1"/>
  <c r="Q69" i="3"/>
  <c r="P69" i="3"/>
  <c r="O69" i="3"/>
  <c r="P68" i="3"/>
  <c r="Q68" i="3" s="1"/>
  <c r="O68" i="3"/>
  <c r="P67" i="3"/>
  <c r="Q67" i="3" s="1"/>
  <c r="O67" i="3"/>
  <c r="Q66" i="3"/>
  <c r="P66" i="3"/>
  <c r="O66" i="3"/>
  <c r="Q65" i="3"/>
  <c r="P65" i="3"/>
  <c r="O65" i="3"/>
  <c r="P64" i="3"/>
  <c r="Q64" i="3" s="1"/>
  <c r="O64" i="3"/>
  <c r="P63" i="3"/>
  <c r="Q63" i="3" s="1"/>
  <c r="O63" i="3"/>
  <c r="Q62" i="3"/>
  <c r="P62" i="3"/>
  <c r="O62" i="3"/>
  <c r="Q61" i="3"/>
  <c r="P61" i="3"/>
  <c r="O61" i="3"/>
  <c r="O60" i="3"/>
  <c r="P60" i="3" s="1"/>
  <c r="Q60" i="3" s="1"/>
  <c r="P59" i="3"/>
  <c r="Q59" i="3" s="1"/>
  <c r="O59" i="3"/>
  <c r="Q58" i="3"/>
  <c r="P58" i="3"/>
  <c r="O58" i="3"/>
  <c r="Q57" i="3"/>
  <c r="P57" i="3"/>
  <c r="O57" i="3"/>
  <c r="P56" i="3"/>
  <c r="Q56" i="3" s="1"/>
  <c r="O56" i="3"/>
  <c r="P55" i="3"/>
  <c r="Q55" i="3" s="1"/>
  <c r="O55" i="3"/>
  <c r="Q54" i="3"/>
  <c r="P54" i="3"/>
  <c r="O54" i="3"/>
  <c r="Q53" i="3"/>
  <c r="P53" i="3"/>
  <c r="O53" i="3"/>
  <c r="O52" i="3"/>
  <c r="P52" i="3" s="1"/>
  <c r="Q52" i="3" s="1"/>
  <c r="P51" i="3"/>
  <c r="Q51" i="3" s="1"/>
  <c r="O51" i="3"/>
  <c r="Q50" i="3"/>
  <c r="P50" i="3"/>
  <c r="O50" i="3"/>
  <c r="Q49" i="3"/>
  <c r="P49" i="3"/>
  <c r="O49" i="3"/>
  <c r="P48" i="3"/>
  <c r="Q48" i="3" s="1"/>
  <c r="O48" i="3"/>
  <c r="P47" i="3"/>
  <c r="Q47" i="3" s="1"/>
  <c r="O47" i="3"/>
  <c r="P46" i="3"/>
  <c r="Q46" i="3" s="1"/>
  <c r="O46" i="3"/>
  <c r="Q45" i="3"/>
  <c r="P45" i="3"/>
  <c r="O45" i="3"/>
  <c r="O44" i="3"/>
  <c r="P44" i="3" s="1"/>
  <c r="Q44" i="3" s="1"/>
  <c r="P43" i="3"/>
  <c r="Q43" i="3" s="1"/>
  <c r="O43" i="3"/>
  <c r="P42" i="3"/>
  <c r="Q42" i="3" s="1"/>
  <c r="O42" i="3"/>
  <c r="Q41" i="3"/>
  <c r="P41" i="3"/>
  <c r="O41" i="3"/>
  <c r="O40" i="3"/>
  <c r="P40" i="3" s="1"/>
  <c r="Q40" i="3" s="1"/>
  <c r="O39" i="3"/>
  <c r="P39" i="3" s="1"/>
  <c r="Q39" i="3" s="1"/>
  <c r="O38" i="3"/>
  <c r="P38" i="3" s="1"/>
  <c r="Q38" i="3" s="1"/>
  <c r="Q37" i="3"/>
  <c r="P37" i="3"/>
  <c r="O37" i="3"/>
  <c r="O36" i="3"/>
  <c r="P36" i="3" s="1"/>
  <c r="Q36" i="3" s="1"/>
  <c r="O35" i="3"/>
  <c r="P35" i="3" s="1"/>
  <c r="Q35" i="3" s="1"/>
  <c r="O34" i="3"/>
  <c r="P34" i="3" s="1"/>
  <c r="Q34" i="3" s="1"/>
  <c r="Q33" i="3"/>
  <c r="P33" i="3"/>
  <c r="O33" i="3"/>
  <c r="O32" i="3"/>
  <c r="P32" i="3" s="1"/>
  <c r="Q32" i="3" s="1"/>
  <c r="O31" i="3"/>
  <c r="P31" i="3" s="1"/>
  <c r="Q31" i="3" s="1"/>
  <c r="O30" i="3"/>
  <c r="P30" i="3" s="1"/>
  <c r="Q30" i="3" s="1"/>
  <c r="Q29" i="3"/>
  <c r="P29" i="3"/>
  <c r="O29" i="3"/>
  <c r="O28" i="3"/>
  <c r="P28" i="3" s="1"/>
  <c r="Q28" i="3" s="1"/>
  <c r="O27" i="3"/>
  <c r="P27" i="3" s="1"/>
  <c r="Q27" i="3" s="1"/>
  <c r="R26" i="3"/>
  <c r="O26" i="3"/>
  <c r="P26" i="3" s="1"/>
  <c r="Q26" i="3" s="1"/>
  <c r="K26" i="3"/>
  <c r="J26" i="3"/>
  <c r="G26" i="3"/>
  <c r="R25" i="3"/>
  <c r="O25" i="3"/>
  <c r="P25" i="3" s="1"/>
  <c r="Q25" i="3" s="1"/>
  <c r="K25" i="3"/>
  <c r="J25" i="3" s="1"/>
  <c r="G25" i="3"/>
  <c r="R24" i="3"/>
  <c r="P24" i="3"/>
  <c r="Q24" i="3" s="1"/>
  <c r="O24" i="3"/>
  <c r="K24" i="3"/>
  <c r="J24" i="3"/>
  <c r="G24" i="3"/>
  <c r="R23" i="3"/>
  <c r="P23" i="3"/>
  <c r="Q23" i="3" s="1"/>
  <c r="O23" i="3"/>
  <c r="K23" i="3"/>
  <c r="J23" i="3" s="1"/>
  <c r="G23" i="3"/>
  <c r="R22" i="3"/>
  <c r="P22" i="3"/>
  <c r="Q22" i="3" s="1"/>
  <c r="O22" i="3"/>
  <c r="K22" i="3"/>
  <c r="J22" i="3" s="1"/>
  <c r="G22" i="3"/>
  <c r="W21" i="3"/>
  <c r="T21" i="3"/>
  <c r="V21" i="3" s="1"/>
  <c r="R21" i="3"/>
  <c r="P21" i="3"/>
  <c r="Q21" i="3" s="1"/>
  <c r="U21" i="3" s="1"/>
  <c r="O21" i="3"/>
  <c r="K21" i="3"/>
  <c r="J21" i="3" s="1"/>
  <c r="G21" i="3"/>
  <c r="U20" i="3"/>
  <c r="W20" i="3" s="1"/>
  <c r="R20" i="3"/>
  <c r="Q20" i="3"/>
  <c r="T20" i="3" s="1"/>
  <c r="V20" i="3" s="1"/>
  <c r="Y20" i="3" s="1"/>
  <c r="P20" i="3"/>
  <c r="O20" i="3"/>
  <c r="K20" i="3"/>
  <c r="J20" i="3" s="1"/>
  <c r="G20" i="3"/>
  <c r="R19" i="3"/>
  <c r="O19" i="3"/>
  <c r="P19" i="3" s="1"/>
  <c r="Q19" i="3" s="1"/>
  <c r="K19" i="3"/>
  <c r="J19" i="3" s="1"/>
  <c r="G19" i="3"/>
  <c r="R18" i="3"/>
  <c r="P18" i="3"/>
  <c r="Q18" i="3" s="1"/>
  <c r="O18" i="3"/>
  <c r="K18" i="3"/>
  <c r="J18" i="3" s="1"/>
  <c r="G18" i="3"/>
  <c r="A18" i="3"/>
  <c r="R17" i="3"/>
  <c r="P17" i="3"/>
  <c r="Q17" i="3" s="1"/>
  <c r="O17" i="3"/>
  <c r="K17" i="3"/>
  <c r="J17" i="3" s="1"/>
  <c r="G17" i="3"/>
  <c r="A17" i="3"/>
  <c r="U16" i="3"/>
  <c r="W16" i="3" s="1"/>
  <c r="R16" i="3"/>
  <c r="P16" i="3"/>
  <c r="Q16" i="3" s="1"/>
  <c r="O16" i="3"/>
  <c r="K16" i="3"/>
  <c r="J16" i="3" s="1"/>
  <c r="G16" i="3"/>
  <c r="R15" i="3"/>
  <c r="O15" i="3"/>
  <c r="P15" i="3" s="1"/>
  <c r="Q15" i="3" s="1"/>
  <c r="K15" i="3"/>
  <c r="J15" i="3"/>
  <c r="G15" i="3"/>
  <c r="R14" i="3"/>
  <c r="O14" i="3"/>
  <c r="P14" i="3" s="1"/>
  <c r="Q14" i="3" s="1"/>
  <c r="K14" i="3"/>
  <c r="J14" i="3" s="1"/>
  <c r="G14" i="3"/>
  <c r="A14" i="3"/>
  <c r="R13" i="3"/>
  <c r="P13" i="3"/>
  <c r="Q13" i="3" s="1"/>
  <c r="O13" i="3"/>
  <c r="K13" i="3"/>
  <c r="J13" i="3" s="1"/>
  <c r="G13" i="3"/>
  <c r="Y12" i="3"/>
  <c r="V12" i="3"/>
  <c r="T12" i="3"/>
  <c r="R12" i="3"/>
  <c r="Q12" i="3"/>
  <c r="U12" i="3" s="1"/>
  <c r="W12" i="3" s="1"/>
  <c r="O12" i="3"/>
  <c r="P12" i="3" s="1"/>
  <c r="K12" i="3"/>
  <c r="J12" i="3"/>
  <c r="G12" i="3"/>
  <c r="R11" i="3"/>
  <c r="O11" i="3"/>
  <c r="P11" i="3" s="1"/>
  <c r="Q11" i="3" s="1"/>
  <c r="K11" i="3"/>
  <c r="J11" i="3" s="1"/>
  <c r="G11" i="3"/>
  <c r="R10" i="3"/>
  <c r="P10" i="3"/>
  <c r="Q10" i="3" s="1"/>
  <c r="O10" i="3"/>
  <c r="K10" i="3"/>
  <c r="J10" i="3"/>
  <c r="G10" i="3"/>
  <c r="W9" i="3"/>
  <c r="U9" i="3"/>
  <c r="R9" i="3"/>
  <c r="P9" i="3"/>
  <c r="Q9" i="3" s="1"/>
  <c r="O9" i="3"/>
  <c r="K9" i="3"/>
  <c r="J9" i="3"/>
  <c r="G9" i="3"/>
  <c r="A9" i="3"/>
  <c r="U8" i="3"/>
  <c r="W8" i="3" s="1"/>
  <c r="T8" i="3"/>
  <c r="V8" i="3" s="1"/>
  <c r="R8" i="3"/>
  <c r="P8" i="3"/>
  <c r="Q8" i="3" s="1"/>
  <c r="O8" i="3"/>
  <c r="K8" i="3"/>
  <c r="J8" i="3" s="1"/>
  <c r="G8" i="3"/>
  <c r="U7" i="3"/>
  <c r="W7" i="3" s="1"/>
  <c r="R7" i="3"/>
  <c r="Q7" i="3"/>
  <c r="T7" i="3" s="1"/>
  <c r="V7" i="3" s="1"/>
  <c r="P7" i="3"/>
  <c r="O7" i="3"/>
  <c r="K7" i="3"/>
  <c r="J7" i="3"/>
  <c r="G7" i="3"/>
  <c r="R6" i="3"/>
  <c r="O6" i="3"/>
  <c r="P6" i="3" s="1"/>
  <c r="Q6" i="3" s="1"/>
  <c r="K6" i="3"/>
  <c r="J6" i="3"/>
  <c r="G6" i="3"/>
  <c r="W5" i="3"/>
  <c r="T5" i="3"/>
  <c r="V5" i="3" s="1"/>
  <c r="R5" i="3"/>
  <c r="Q5" i="3"/>
  <c r="U5" i="3" s="1"/>
  <c r="P5" i="3"/>
  <c r="O5" i="3"/>
  <c r="K5" i="3"/>
  <c r="J5" i="3"/>
  <c r="G5" i="3"/>
  <c r="A5" i="3"/>
  <c r="A4" i="3"/>
  <c r="O1009" i="2"/>
  <c r="P1009" i="2" s="1"/>
  <c r="P1008" i="2"/>
  <c r="O1008" i="2"/>
  <c r="O1007" i="2"/>
  <c r="P1007" i="2" s="1"/>
  <c r="O1006" i="2"/>
  <c r="P1006" i="2" s="1"/>
  <c r="O1005" i="2"/>
  <c r="P1005" i="2" s="1"/>
  <c r="O1004" i="2"/>
  <c r="P1004" i="2" s="1"/>
  <c r="O1003" i="2"/>
  <c r="P1003" i="2" s="1"/>
  <c r="O1002" i="2"/>
  <c r="P1002" i="2" s="1"/>
  <c r="O1001" i="2"/>
  <c r="P1001" i="2" s="1"/>
  <c r="O1000" i="2"/>
  <c r="P1000" i="2" s="1"/>
  <c r="O999" i="2"/>
  <c r="P999" i="2" s="1"/>
  <c r="O998" i="2"/>
  <c r="P998" i="2" s="1"/>
  <c r="O997" i="2"/>
  <c r="P997" i="2" s="1"/>
  <c r="O996" i="2"/>
  <c r="P996" i="2" s="1"/>
  <c r="O995" i="2"/>
  <c r="P995" i="2" s="1"/>
  <c r="O994" i="2"/>
  <c r="P994" i="2" s="1"/>
  <c r="O993" i="2"/>
  <c r="P993" i="2" s="1"/>
  <c r="O992" i="2"/>
  <c r="P992" i="2" s="1"/>
  <c r="O991" i="2"/>
  <c r="P991" i="2" s="1"/>
  <c r="O990" i="2"/>
  <c r="P990" i="2" s="1"/>
  <c r="O989" i="2"/>
  <c r="P989" i="2" s="1"/>
  <c r="O988" i="2"/>
  <c r="P988" i="2" s="1"/>
  <c r="O987" i="2"/>
  <c r="P987" i="2" s="1"/>
  <c r="O986" i="2"/>
  <c r="P986" i="2" s="1"/>
  <c r="O985" i="2"/>
  <c r="P985" i="2" s="1"/>
  <c r="O984" i="2"/>
  <c r="P984" i="2" s="1"/>
  <c r="O983" i="2"/>
  <c r="P983" i="2" s="1"/>
  <c r="O982" i="2"/>
  <c r="P982" i="2" s="1"/>
  <c r="O981" i="2"/>
  <c r="P981" i="2" s="1"/>
  <c r="O980" i="2"/>
  <c r="P980" i="2" s="1"/>
  <c r="O979" i="2"/>
  <c r="P979" i="2" s="1"/>
  <c r="O978" i="2"/>
  <c r="P978" i="2" s="1"/>
  <c r="O977" i="2"/>
  <c r="P977" i="2" s="1"/>
  <c r="O976" i="2"/>
  <c r="P976" i="2" s="1"/>
  <c r="O975" i="2"/>
  <c r="P975" i="2" s="1"/>
  <c r="O974" i="2"/>
  <c r="P974" i="2" s="1"/>
  <c r="O973" i="2"/>
  <c r="P973" i="2" s="1"/>
  <c r="O972" i="2"/>
  <c r="P972" i="2" s="1"/>
  <c r="O971" i="2"/>
  <c r="P971" i="2" s="1"/>
  <c r="O970" i="2"/>
  <c r="P970" i="2" s="1"/>
  <c r="O969" i="2"/>
  <c r="P969" i="2" s="1"/>
  <c r="O968" i="2"/>
  <c r="P968" i="2" s="1"/>
  <c r="O967" i="2"/>
  <c r="P967" i="2" s="1"/>
  <c r="O966" i="2"/>
  <c r="P966" i="2" s="1"/>
  <c r="O965" i="2"/>
  <c r="P965" i="2" s="1"/>
  <c r="O964" i="2"/>
  <c r="P964" i="2" s="1"/>
  <c r="O963" i="2"/>
  <c r="P963" i="2" s="1"/>
  <c r="O962" i="2"/>
  <c r="P962" i="2" s="1"/>
  <c r="O961" i="2"/>
  <c r="P961" i="2" s="1"/>
  <c r="O960" i="2"/>
  <c r="P960" i="2" s="1"/>
  <c r="O959" i="2"/>
  <c r="P959" i="2" s="1"/>
  <c r="O958" i="2"/>
  <c r="P958" i="2" s="1"/>
  <c r="O957" i="2"/>
  <c r="P957" i="2" s="1"/>
  <c r="O956" i="2"/>
  <c r="P956" i="2" s="1"/>
  <c r="O955" i="2"/>
  <c r="P955" i="2" s="1"/>
  <c r="O954" i="2"/>
  <c r="P954" i="2" s="1"/>
  <c r="O953" i="2"/>
  <c r="P953" i="2" s="1"/>
  <c r="O952" i="2"/>
  <c r="P952" i="2" s="1"/>
  <c r="O951" i="2"/>
  <c r="P951" i="2" s="1"/>
  <c r="O950" i="2"/>
  <c r="P950" i="2" s="1"/>
  <c r="O949" i="2"/>
  <c r="P949" i="2" s="1"/>
  <c r="O948" i="2"/>
  <c r="P948" i="2" s="1"/>
  <c r="O947" i="2"/>
  <c r="P947" i="2" s="1"/>
  <c r="O946" i="2"/>
  <c r="P946" i="2" s="1"/>
  <c r="O945" i="2"/>
  <c r="P945" i="2" s="1"/>
  <c r="O944" i="2"/>
  <c r="P944" i="2" s="1"/>
  <c r="O943" i="2"/>
  <c r="P943" i="2" s="1"/>
  <c r="O942" i="2"/>
  <c r="P942" i="2" s="1"/>
  <c r="O941" i="2"/>
  <c r="P941" i="2" s="1"/>
  <c r="O940" i="2"/>
  <c r="P940" i="2" s="1"/>
  <c r="O939" i="2"/>
  <c r="P939" i="2" s="1"/>
  <c r="O938" i="2"/>
  <c r="P938" i="2" s="1"/>
  <c r="O937" i="2"/>
  <c r="P937" i="2" s="1"/>
  <c r="O936" i="2"/>
  <c r="P936" i="2" s="1"/>
  <c r="O935" i="2"/>
  <c r="P935" i="2" s="1"/>
  <c r="O934" i="2"/>
  <c r="P934" i="2" s="1"/>
  <c r="O933" i="2"/>
  <c r="P933" i="2" s="1"/>
  <c r="O932" i="2"/>
  <c r="P932" i="2" s="1"/>
  <c r="O931" i="2"/>
  <c r="P931" i="2" s="1"/>
  <c r="O930" i="2"/>
  <c r="P930" i="2" s="1"/>
  <c r="O929" i="2"/>
  <c r="P929" i="2" s="1"/>
  <c r="O928" i="2"/>
  <c r="P928" i="2" s="1"/>
  <c r="O927" i="2"/>
  <c r="P927" i="2" s="1"/>
  <c r="O926" i="2"/>
  <c r="P926" i="2" s="1"/>
  <c r="O925" i="2"/>
  <c r="P925" i="2" s="1"/>
  <c r="O924" i="2"/>
  <c r="P924" i="2" s="1"/>
  <c r="O923" i="2"/>
  <c r="P923" i="2" s="1"/>
  <c r="O922" i="2"/>
  <c r="P922" i="2" s="1"/>
  <c r="O921" i="2"/>
  <c r="P921" i="2" s="1"/>
  <c r="O920" i="2"/>
  <c r="P920" i="2" s="1"/>
  <c r="O919" i="2"/>
  <c r="P919" i="2" s="1"/>
  <c r="O918" i="2"/>
  <c r="P918" i="2" s="1"/>
  <c r="O917" i="2"/>
  <c r="P917" i="2" s="1"/>
  <c r="O916" i="2"/>
  <c r="P916" i="2" s="1"/>
  <c r="O915" i="2"/>
  <c r="P915" i="2" s="1"/>
  <c r="O914" i="2"/>
  <c r="P914" i="2" s="1"/>
  <c r="O913" i="2"/>
  <c r="P913" i="2" s="1"/>
  <c r="O912" i="2"/>
  <c r="P912" i="2" s="1"/>
  <c r="O911" i="2"/>
  <c r="P911" i="2" s="1"/>
  <c r="O910" i="2"/>
  <c r="P910" i="2" s="1"/>
  <c r="O909" i="2"/>
  <c r="P909" i="2" s="1"/>
  <c r="O908" i="2"/>
  <c r="P908" i="2" s="1"/>
  <c r="O907" i="2"/>
  <c r="P907" i="2" s="1"/>
  <c r="O906" i="2"/>
  <c r="P906" i="2" s="1"/>
  <c r="O905" i="2"/>
  <c r="P905" i="2" s="1"/>
  <c r="O904" i="2"/>
  <c r="P904" i="2" s="1"/>
  <c r="O903" i="2"/>
  <c r="P903" i="2" s="1"/>
  <c r="O902" i="2"/>
  <c r="P902" i="2" s="1"/>
  <c r="O901" i="2"/>
  <c r="P901" i="2" s="1"/>
  <c r="O900" i="2"/>
  <c r="P900" i="2" s="1"/>
  <c r="O899" i="2"/>
  <c r="P899" i="2" s="1"/>
  <c r="O898" i="2"/>
  <c r="P898" i="2" s="1"/>
  <c r="O897" i="2"/>
  <c r="P897" i="2" s="1"/>
  <c r="O896" i="2"/>
  <c r="P896" i="2" s="1"/>
  <c r="O895" i="2"/>
  <c r="P895" i="2" s="1"/>
  <c r="O894" i="2"/>
  <c r="P894" i="2" s="1"/>
  <c r="O893" i="2"/>
  <c r="P893" i="2" s="1"/>
  <c r="O892" i="2"/>
  <c r="P892" i="2" s="1"/>
  <c r="O891" i="2"/>
  <c r="P891" i="2" s="1"/>
  <c r="O890" i="2"/>
  <c r="P890" i="2" s="1"/>
  <c r="O889" i="2"/>
  <c r="P889" i="2" s="1"/>
  <c r="O888" i="2"/>
  <c r="P888" i="2" s="1"/>
  <c r="O887" i="2"/>
  <c r="P887" i="2" s="1"/>
  <c r="O886" i="2"/>
  <c r="P886" i="2" s="1"/>
  <c r="O885" i="2"/>
  <c r="P885" i="2" s="1"/>
  <c r="O884" i="2"/>
  <c r="P884" i="2" s="1"/>
  <c r="O883" i="2"/>
  <c r="P883" i="2" s="1"/>
  <c r="O882" i="2"/>
  <c r="P882" i="2" s="1"/>
  <c r="O881" i="2"/>
  <c r="P881" i="2" s="1"/>
  <c r="O880" i="2"/>
  <c r="P880" i="2" s="1"/>
  <c r="O879" i="2"/>
  <c r="P879" i="2" s="1"/>
  <c r="O878" i="2"/>
  <c r="P878" i="2" s="1"/>
  <c r="O877" i="2"/>
  <c r="P877" i="2" s="1"/>
  <c r="O876" i="2"/>
  <c r="P876" i="2" s="1"/>
  <c r="O875" i="2"/>
  <c r="P875" i="2" s="1"/>
  <c r="O874" i="2"/>
  <c r="P874" i="2" s="1"/>
  <c r="O873" i="2"/>
  <c r="P873" i="2" s="1"/>
  <c r="O872" i="2"/>
  <c r="P872" i="2" s="1"/>
  <c r="O871" i="2"/>
  <c r="P871" i="2" s="1"/>
  <c r="O870" i="2"/>
  <c r="P870" i="2" s="1"/>
  <c r="O869" i="2"/>
  <c r="P869" i="2" s="1"/>
  <c r="O868" i="2"/>
  <c r="P868" i="2" s="1"/>
  <c r="O867" i="2"/>
  <c r="P867" i="2" s="1"/>
  <c r="O866" i="2"/>
  <c r="P866" i="2" s="1"/>
  <c r="O865" i="2"/>
  <c r="P865" i="2" s="1"/>
  <c r="O864" i="2"/>
  <c r="P864" i="2" s="1"/>
  <c r="O863" i="2"/>
  <c r="P863" i="2" s="1"/>
  <c r="O862" i="2"/>
  <c r="P862" i="2" s="1"/>
  <c r="O861" i="2"/>
  <c r="P861" i="2" s="1"/>
  <c r="O860" i="2"/>
  <c r="P860" i="2" s="1"/>
  <c r="O859" i="2"/>
  <c r="P859" i="2" s="1"/>
  <c r="O858" i="2"/>
  <c r="P858" i="2" s="1"/>
  <c r="O857" i="2"/>
  <c r="P857" i="2" s="1"/>
  <c r="O856" i="2"/>
  <c r="P856" i="2" s="1"/>
  <c r="O855" i="2"/>
  <c r="P855" i="2" s="1"/>
  <c r="O854" i="2"/>
  <c r="P854" i="2" s="1"/>
  <c r="O853" i="2"/>
  <c r="P853" i="2" s="1"/>
  <c r="O852" i="2"/>
  <c r="P852" i="2" s="1"/>
  <c r="O851" i="2"/>
  <c r="P851" i="2" s="1"/>
  <c r="O850" i="2"/>
  <c r="P850" i="2" s="1"/>
  <c r="O849" i="2"/>
  <c r="P849" i="2" s="1"/>
  <c r="O848" i="2"/>
  <c r="P848" i="2" s="1"/>
  <c r="O847" i="2"/>
  <c r="P847" i="2" s="1"/>
  <c r="O846" i="2"/>
  <c r="P846" i="2" s="1"/>
  <c r="O845" i="2"/>
  <c r="P845" i="2" s="1"/>
  <c r="O844" i="2"/>
  <c r="P844" i="2" s="1"/>
  <c r="O843" i="2"/>
  <c r="P843" i="2" s="1"/>
  <c r="O842" i="2"/>
  <c r="P842" i="2" s="1"/>
  <c r="O841" i="2"/>
  <c r="P841" i="2" s="1"/>
  <c r="O840" i="2"/>
  <c r="P840" i="2" s="1"/>
  <c r="O839" i="2"/>
  <c r="P839" i="2" s="1"/>
  <c r="O838" i="2"/>
  <c r="P838" i="2" s="1"/>
  <c r="O837" i="2"/>
  <c r="P837" i="2" s="1"/>
  <c r="O836" i="2"/>
  <c r="P836" i="2" s="1"/>
  <c r="O835" i="2"/>
  <c r="P835" i="2" s="1"/>
  <c r="O834" i="2"/>
  <c r="P834" i="2" s="1"/>
  <c r="O833" i="2"/>
  <c r="P833" i="2" s="1"/>
  <c r="O832" i="2"/>
  <c r="P832" i="2" s="1"/>
  <c r="O831" i="2"/>
  <c r="P831" i="2" s="1"/>
  <c r="O830" i="2"/>
  <c r="P830" i="2" s="1"/>
  <c r="O829" i="2"/>
  <c r="P829" i="2" s="1"/>
  <c r="O828" i="2"/>
  <c r="P828" i="2" s="1"/>
  <c r="O827" i="2"/>
  <c r="P827" i="2" s="1"/>
  <c r="O826" i="2"/>
  <c r="P826" i="2" s="1"/>
  <c r="O825" i="2"/>
  <c r="P825" i="2" s="1"/>
  <c r="O824" i="2"/>
  <c r="P824" i="2" s="1"/>
  <c r="O823" i="2"/>
  <c r="P823" i="2" s="1"/>
  <c r="O822" i="2"/>
  <c r="P822" i="2" s="1"/>
  <c r="O821" i="2"/>
  <c r="P821" i="2" s="1"/>
  <c r="O820" i="2"/>
  <c r="P820" i="2" s="1"/>
  <c r="O819" i="2"/>
  <c r="P819" i="2" s="1"/>
  <c r="O818" i="2"/>
  <c r="P818" i="2" s="1"/>
  <c r="O817" i="2"/>
  <c r="P817" i="2" s="1"/>
  <c r="O816" i="2"/>
  <c r="P816" i="2" s="1"/>
  <c r="O815" i="2"/>
  <c r="P815" i="2" s="1"/>
  <c r="O814" i="2"/>
  <c r="P814" i="2" s="1"/>
  <c r="O813" i="2"/>
  <c r="P813" i="2" s="1"/>
  <c r="O812" i="2"/>
  <c r="P812" i="2" s="1"/>
  <c r="O811" i="2"/>
  <c r="P811" i="2" s="1"/>
  <c r="O810" i="2"/>
  <c r="P810" i="2" s="1"/>
  <c r="O809" i="2"/>
  <c r="P809" i="2" s="1"/>
  <c r="O808" i="2"/>
  <c r="P808" i="2" s="1"/>
  <c r="O807" i="2"/>
  <c r="P807" i="2" s="1"/>
  <c r="O806" i="2"/>
  <c r="P806" i="2" s="1"/>
  <c r="O805" i="2"/>
  <c r="P805" i="2" s="1"/>
  <c r="O804" i="2"/>
  <c r="P804" i="2" s="1"/>
  <c r="O803" i="2"/>
  <c r="P803" i="2" s="1"/>
  <c r="O802" i="2"/>
  <c r="P802" i="2" s="1"/>
  <c r="O801" i="2"/>
  <c r="P801" i="2" s="1"/>
  <c r="O800" i="2"/>
  <c r="P800" i="2" s="1"/>
  <c r="O799" i="2"/>
  <c r="P799" i="2" s="1"/>
  <c r="O798" i="2"/>
  <c r="P798" i="2" s="1"/>
  <c r="O797" i="2"/>
  <c r="P797" i="2" s="1"/>
  <c r="O796" i="2"/>
  <c r="P796" i="2" s="1"/>
  <c r="O795" i="2"/>
  <c r="P795" i="2" s="1"/>
  <c r="O794" i="2"/>
  <c r="P794" i="2" s="1"/>
  <c r="O793" i="2"/>
  <c r="P793" i="2" s="1"/>
  <c r="O792" i="2"/>
  <c r="P792" i="2" s="1"/>
  <c r="O791" i="2"/>
  <c r="P791" i="2" s="1"/>
  <c r="O790" i="2"/>
  <c r="P790" i="2" s="1"/>
  <c r="O789" i="2"/>
  <c r="P789" i="2" s="1"/>
  <c r="O788" i="2"/>
  <c r="P788" i="2" s="1"/>
  <c r="O787" i="2"/>
  <c r="P787" i="2" s="1"/>
  <c r="O786" i="2"/>
  <c r="P786" i="2" s="1"/>
  <c r="O785" i="2"/>
  <c r="P785" i="2" s="1"/>
  <c r="O784" i="2"/>
  <c r="P784" i="2" s="1"/>
  <c r="O783" i="2"/>
  <c r="P783" i="2" s="1"/>
  <c r="O782" i="2"/>
  <c r="P782" i="2" s="1"/>
  <c r="O781" i="2"/>
  <c r="P781" i="2" s="1"/>
  <c r="O780" i="2"/>
  <c r="P780" i="2" s="1"/>
  <c r="O779" i="2"/>
  <c r="P779" i="2" s="1"/>
  <c r="O778" i="2"/>
  <c r="P778" i="2" s="1"/>
  <c r="O777" i="2"/>
  <c r="P777" i="2" s="1"/>
  <c r="O776" i="2"/>
  <c r="P776" i="2" s="1"/>
  <c r="O775" i="2"/>
  <c r="P775" i="2" s="1"/>
  <c r="O774" i="2"/>
  <c r="P774" i="2" s="1"/>
  <c r="O773" i="2"/>
  <c r="P773" i="2" s="1"/>
  <c r="O772" i="2"/>
  <c r="P772" i="2" s="1"/>
  <c r="O771" i="2"/>
  <c r="P771" i="2" s="1"/>
  <c r="O770" i="2"/>
  <c r="P770" i="2" s="1"/>
  <c r="O769" i="2"/>
  <c r="P769" i="2" s="1"/>
  <c r="O768" i="2"/>
  <c r="P768" i="2" s="1"/>
  <c r="O767" i="2"/>
  <c r="P767" i="2" s="1"/>
  <c r="O766" i="2"/>
  <c r="P766" i="2" s="1"/>
  <c r="O765" i="2"/>
  <c r="P765" i="2" s="1"/>
  <c r="O764" i="2"/>
  <c r="P764" i="2" s="1"/>
  <c r="O763" i="2"/>
  <c r="P763" i="2" s="1"/>
  <c r="O762" i="2"/>
  <c r="P762" i="2" s="1"/>
  <c r="O761" i="2"/>
  <c r="P761" i="2" s="1"/>
  <c r="O760" i="2"/>
  <c r="P760" i="2" s="1"/>
  <c r="O759" i="2"/>
  <c r="P759" i="2" s="1"/>
  <c r="O758" i="2"/>
  <c r="P758" i="2" s="1"/>
  <c r="O757" i="2"/>
  <c r="P757" i="2" s="1"/>
  <c r="O756" i="2"/>
  <c r="P756" i="2" s="1"/>
  <c r="O755" i="2"/>
  <c r="P755" i="2" s="1"/>
  <c r="O754" i="2"/>
  <c r="P754" i="2" s="1"/>
  <c r="O753" i="2"/>
  <c r="P753" i="2" s="1"/>
  <c r="O752" i="2"/>
  <c r="P752" i="2" s="1"/>
  <c r="O751" i="2"/>
  <c r="P751" i="2" s="1"/>
  <c r="O750" i="2"/>
  <c r="P750" i="2" s="1"/>
  <c r="O749" i="2"/>
  <c r="P749" i="2" s="1"/>
  <c r="O748" i="2"/>
  <c r="P748" i="2" s="1"/>
  <c r="O747" i="2"/>
  <c r="P747" i="2" s="1"/>
  <c r="O746" i="2"/>
  <c r="P746" i="2" s="1"/>
  <c r="O745" i="2"/>
  <c r="P745" i="2" s="1"/>
  <c r="O744" i="2"/>
  <c r="P744" i="2" s="1"/>
  <c r="O743" i="2"/>
  <c r="P743" i="2" s="1"/>
  <c r="O742" i="2"/>
  <c r="P742" i="2" s="1"/>
  <c r="O741" i="2"/>
  <c r="P741" i="2" s="1"/>
  <c r="O740" i="2"/>
  <c r="P740" i="2" s="1"/>
  <c r="O739" i="2"/>
  <c r="P739" i="2" s="1"/>
  <c r="O738" i="2"/>
  <c r="P738" i="2" s="1"/>
  <c r="O737" i="2"/>
  <c r="P737" i="2" s="1"/>
  <c r="O736" i="2"/>
  <c r="P736" i="2" s="1"/>
  <c r="O735" i="2"/>
  <c r="P735" i="2" s="1"/>
  <c r="O734" i="2"/>
  <c r="P734" i="2" s="1"/>
  <c r="O733" i="2"/>
  <c r="P733" i="2" s="1"/>
  <c r="O732" i="2"/>
  <c r="P732" i="2" s="1"/>
  <c r="O731" i="2"/>
  <c r="P731" i="2" s="1"/>
  <c r="O730" i="2"/>
  <c r="P730" i="2" s="1"/>
  <c r="O729" i="2"/>
  <c r="P729" i="2" s="1"/>
  <c r="O728" i="2"/>
  <c r="P728" i="2" s="1"/>
  <c r="O727" i="2"/>
  <c r="P727" i="2" s="1"/>
  <c r="O726" i="2"/>
  <c r="P726" i="2" s="1"/>
  <c r="O725" i="2"/>
  <c r="P725" i="2" s="1"/>
  <c r="O724" i="2"/>
  <c r="P724" i="2" s="1"/>
  <c r="O723" i="2"/>
  <c r="P723" i="2" s="1"/>
  <c r="O722" i="2"/>
  <c r="P722" i="2" s="1"/>
  <c r="O721" i="2"/>
  <c r="P721" i="2" s="1"/>
  <c r="O720" i="2"/>
  <c r="P720" i="2" s="1"/>
  <c r="O719" i="2"/>
  <c r="P719" i="2" s="1"/>
  <c r="O718" i="2"/>
  <c r="P718" i="2" s="1"/>
  <c r="O717" i="2"/>
  <c r="P717" i="2" s="1"/>
  <c r="O716" i="2"/>
  <c r="P716" i="2" s="1"/>
  <c r="O715" i="2"/>
  <c r="P715" i="2" s="1"/>
  <c r="O714" i="2"/>
  <c r="P714" i="2" s="1"/>
  <c r="O713" i="2"/>
  <c r="P713" i="2" s="1"/>
  <c r="O712" i="2"/>
  <c r="P712" i="2" s="1"/>
  <c r="O711" i="2"/>
  <c r="P711" i="2" s="1"/>
  <c r="O710" i="2"/>
  <c r="P710" i="2" s="1"/>
  <c r="O709" i="2"/>
  <c r="P709" i="2" s="1"/>
  <c r="O708" i="2"/>
  <c r="P708" i="2" s="1"/>
  <c r="O707" i="2"/>
  <c r="P707" i="2" s="1"/>
  <c r="O706" i="2"/>
  <c r="P706" i="2" s="1"/>
  <c r="O705" i="2"/>
  <c r="P705" i="2" s="1"/>
  <c r="O704" i="2"/>
  <c r="P704" i="2" s="1"/>
  <c r="O703" i="2"/>
  <c r="P703" i="2" s="1"/>
  <c r="O702" i="2"/>
  <c r="P702" i="2" s="1"/>
  <c r="O701" i="2"/>
  <c r="P701" i="2" s="1"/>
  <c r="O700" i="2"/>
  <c r="P700" i="2" s="1"/>
  <c r="O699" i="2"/>
  <c r="P699" i="2" s="1"/>
  <c r="O698" i="2"/>
  <c r="P698" i="2" s="1"/>
  <c r="O697" i="2"/>
  <c r="P697" i="2" s="1"/>
  <c r="O696" i="2"/>
  <c r="P696" i="2" s="1"/>
  <c r="O695" i="2"/>
  <c r="P695" i="2" s="1"/>
  <c r="O694" i="2"/>
  <c r="P694" i="2" s="1"/>
  <c r="O693" i="2"/>
  <c r="P693" i="2" s="1"/>
  <c r="O692" i="2"/>
  <c r="P692" i="2" s="1"/>
  <c r="O691" i="2"/>
  <c r="P691" i="2" s="1"/>
  <c r="O690" i="2"/>
  <c r="P690" i="2" s="1"/>
  <c r="O689" i="2"/>
  <c r="P689" i="2" s="1"/>
  <c r="O688" i="2"/>
  <c r="P688" i="2" s="1"/>
  <c r="O687" i="2"/>
  <c r="P687" i="2" s="1"/>
  <c r="O686" i="2"/>
  <c r="P686" i="2" s="1"/>
  <c r="O685" i="2"/>
  <c r="P685" i="2" s="1"/>
  <c r="O684" i="2"/>
  <c r="P684" i="2" s="1"/>
  <c r="O683" i="2"/>
  <c r="P683" i="2" s="1"/>
  <c r="O682" i="2"/>
  <c r="P682" i="2" s="1"/>
  <c r="O681" i="2"/>
  <c r="P681" i="2" s="1"/>
  <c r="O680" i="2"/>
  <c r="P680" i="2" s="1"/>
  <c r="O679" i="2"/>
  <c r="P679" i="2" s="1"/>
  <c r="O678" i="2"/>
  <c r="P678" i="2" s="1"/>
  <c r="O677" i="2"/>
  <c r="P677" i="2" s="1"/>
  <c r="O676" i="2"/>
  <c r="P676" i="2" s="1"/>
  <c r="O675" i="2"/>
  <c r="P675" i="2" s="1"/>
  <c r="O674" i="2"/>
  <c r="P674" i="2" s="1"/>
  <c r="O673" i="2"/>
  <c r="P673" i="2" s="1"/>
  <c r="O672" i="2"/>
  <c r="P672" i="2" s="1"/>
  <c r="O671" i="2"/>
  <c r="P671" i="2" s="1"/>
  <c r="O670" i="2"/>
  <c r="P670" i="2" s="1"/>
  <c r="O669" i="2"/>
  <c r="P669" i="2" s="1"/>
  <c r="O668" i="2"/>
  <c r="P668" i="2" s="1"/>
  <c r="O667" i="2"/>
  <c r="P667" i="2" s="1"/>
  <c r="O666" i="2"/>
  <c r="P666" i="2" s="1"/>
  <c r="O665" i="2"/>
  <c r="P665" i="2" s="1"/>
  <c r="O664" i="2"/>
  <c r="P664" i="2" s="1"/>
  <c r="O663" i="2"/>
  <c r="P663" i="2" s="1"/>
  <c r="P662" i="2"/>
  <c r="O662" i="2"/>
  <c r="O661" i="2"/>
  <c r="P661" i="2" s="1"/>
  <c r="O660" i="2"/>
  <c r="P660" i="2" s="1"/>
  <c r="O659" i="2"/>
  <c r="P659" i="2" s="1"/>
  <c r="O658" i="2"/>
  <c r="P658" i="2" s="1"/>
  <c r="O657" i="2"/>
  <c r="P657" i="2" s="1"/>
  <c r="O656" i="2"/>
  <c r="P656" i="2" s="1"/>
  <c r="O655" i="2"/>
  <c r="P655" i="2" s="1"/>
  <c r="O654" i="2"/>
  <c r="P654" i="2" s="1"/>
  <c r="O653" i="2"/>
  <c r="P653" i="2" s="1"/>
  <c r="O652" i="2"/>
  <c r="P652" i="2" s="1"/>
  <c r="O651" i="2"/>
  <c r="P651" i="2" s="1"/>
  <c r="O650" i="2"/>
  <c r="P650" i="2" s="1"/>
  <c r="O649" i="2"/>
  <c r="P649" i="2" s="1"/>
  <c r="O648" i="2"/>
  <c r="P648" i="2" s="1"/>
  <c r="O647" i="2"/>
  <c r="P647" i="2" s="1"/>
  <c r="O646" i="2"/>
  <c r="P646" i="2" s="1"/>
  <c r="O645" i="2"/>
  <c r="P645" i="2" s="1"/>
  <c r="O644" i="2"/>
  <c r="P644" i="2" s="1"/>
  <c r="O643" i="2"/>
  <c r="P643" i="2" s="1"/>
  <c r="O642" i="2"/>
  <c r="P642" i="2" s="1"/>
  <c r="O641" i="2"/>
  <c r="P641" i="2" s="1"/>
  <c r="O640" i="2"/>
  <c r="P640" i="2" s="1"/>
  <c r="O639" i="2"/>
  <c r="P639" i="2" s="1"/>
  <c r="O638" i="2"/>
  <c r="P638" i="2" s="1"/>
  <c r="O637" i="2"/>
  <c r="P637" i="2" s="1"/>
  <c r="O636" i="2"/>
  <c r="P636" i="2" s="1"/>
  <c r="O635" i="2"/>
  <c r="P635" i="2" s="1"/>
  <c r="O634" i="2"/>
  <c r="P634" i="2" s="1"/>
  <c r="O633" i="2"/>
  <c r="P633" i="2" s="1"/>
  <c r="O632" i="2"/>
  <c r="P632" i="2" s="1"/>
  <c r="O631" i="2"/>
  <c r="P631" i="2" s="1"/>
  <c r="O630" i="2"/>
  <c r="P630" i="2" s="1"/>
  <c r="O629" i="2"/>
  <c r="P629" i="2" s="1"/>
  <c r="O628" i="2"/>
  <c r="P628" i="2" s="1"/>
  <c r="O627" i="2"/>
  <c r="P627" i="2" s="1"/>
  <c r="O626" i="2"/>
  <c r="P626" i="2" s="1"/>
  <c r="O625" i="2"/>
  <c r="P625" i="2" s="1"/>
  <c r="O624" i="2"/>
  <c r="P624" i="2" s="1"/>
  <c r="O623" i="2"/>
  <c r="P623" i="2" s="1"/>
  <c r="O622" i="2"/>
  <c r="P622" i="2" s="1"/>
  <c r="O621" i="2"/>
  <c r="P621" i="2" s="1"/>
  <c r="O620" i="2"/>
  <c r="P620" i="2" s="1"/>
  <c r="O619" i="2"/>
  <c r="P619" i="2" s="1"/>
  <c r="O618" i="2"/>
  <c r="P618" i="2" s="1"/>
  <c r="O617" i="2"/>
  <c r="P617" i="2" s="1"/>
  <c r="O616" i="2"/>
  <c r="P616" i="2" s="1"/>
  <c r="O615" i="2"/>
  <c r="P615" i="2" s="1"/>
  <c r="O614" i="2"/>
  <c r="P614" i="2" s="1"/>
  <c r="O613" i="2"/>
  <c r="P613" i="2" s="1"/>
  <c r="O612" i="2"/>
  <c r="P612" i="2" s="1"/>
  <c r="O611" i="2"/>
  <c r="P611" i="2" s="1"/>
  <c r="O610" i="2"/>
  <c r="P610" i="2" s="1"/>
  <c r="O609" i="2"/>
  <c r="P609" i="2" s="1"/>
  <c r="O608" i="2"/>
  <c r="P608" i="2" s="1"/>
  <c r="O607" i="2"/>
  <c r="P607" i="2" s="1"/>
  <c r="O606" i="2"/>
  <c r="P606" i="2" s="1"/>
  <c r="O605" i="2"/>
  <c r="P605" i="2" s="1"/>
  <c r="O604" i="2"/>
  <c r="P604" i="2" s="1"/>
  <c r="O603" i="2"/>
  <c r="P603" i="2" s="1"/>
  <c r="O602" i="2"/>
  <c r="P602" i="2" s="1"/>
  <c r="O601" i="2"/>
  <c r="P601" i="2" s="1"/>
  <c r="O600" i="2"/>
  <c r="P600" i="2" s="1"/>
  <c r="O599" i="2"/>
  <c r="P599" i="2" s="1"/>
  <c r="P598" i="2"/>
  <c r="O598" i="2"/>
  <c r="O597" i="2"/>
  <c r="P597" i="2" s="1"/>
  <c r="O596" i="2"/>
  <c r="P596" i="2" s="1"/>
  <c r="O595" i="2"/>
  <c r="P595" i="2" s="1"/>
  <c r="O594" i="2"/>
  <c r="P594" i="2" s="1"/>
  <c r="O593" i="2"/>
  <c r="P593" i="2" s="1"/>
  <c r="O592" i="2"/>
  <c r="P592" i="2" s="1"/>
  <c r="O591" i="2"/>
  <c r="P591" i="2" s="1"/>
  <c r="O590" i="2"/>
  <c r="P590" i="2" s="1"/>
  <c r="O589" i="2"/>
  <c r="P589" i="2" s="1"/>
  <c r="O588" i="2"/>
  <c r="P588" i="2" s="1"/>
  <c r="O587" i="2"/>
  <c r="P587" i="2" s="1"/>
  <c r="O586" i="2"/>
  <c r="P586" i="2" s="1"/>
  <c r="O585" i="2"/>
  <c r="P585" i="2" s="1"/>
  <c r="O584" i="2"/>
  <c r="P584" i="2" s="1"/>
  <c r="O583" i="2"/>
  <c r="P583" i="2" s="1"/>
  <c r="O582" i="2"/>
  <c r="P582" i="2" s="1"/>
  <c r="O581" i="2"/>
  <c r="P581" i="2" s="1"/>
  <c r="O580" i="2"/>
  <c r="P580" i="2" s="1"/>
  <c r="O579" i="2"/>
  <c r="P579" i="2" s="1"/>
  <c r="O578" i="2"/>
  <c r="P578" i="2" s="1"/>
  <c r="O577" i="2"/>
  <c r="P577" i="2" s="1"/>
  <c r="O576" i="2"/>
  <c r="P576" i="2" s="1"/>
  <c r="O575" i="2"/>
  <c r="P575" i="2" s="1"/>
  <c r="O574" i="2"/>
  <c r="P574" i="2" s="1"/>
  <c r="O573" i="2"/>
  <c r="P573" i="2" s="1"/>
  <c r="O572" i="2"/>
  <c r="P572" i="2" s="1"/>
  <c r="O571" i="2"/>
  <c r="P571" i="2" s="1"/>
  <c r="O570" i="2"/>
  <c r="P570" i="2" s="1"/>
  <c r="P569" i="2"/>
  <c r="O569" i="2"/>
  <c r="O568" i="2"/>
  <c r="P568" i="2" s="1"/>
  <c r="O567" i="2"/>
  <c r="P567" i="2" s="1"/>
  <c r="O566" i="2"/>
  <c r="P566" i="2" s="1"/>
  <c r="O565" i="2"/>
  <c r="P565" i="2" s="1"/>
  <c r="O564" i="2"/>
  <c r="P564" i="2" s="1"/>
  <c r="O563" i="2"/>
  <c r="P563" i="2" s="1"/>
  <c r="O562" i="2"/>
  <c r="P562" i="2" s="1"/>
  <c r="O561" i="2"/>
  <c r="P561" i="2" s="1"/>
  <c r="O560" i="2"/>
  <c r="P560" i="2" s="1"/>
  <c r="O559" i="2"/>
  <c r="P559" i="2" s="1"/>
  <c r="O558" i="2"/>
  <c r="P558" i="2" s="1"/>
  <c r="O557" i="2"/>
  <c r="P557" i="2" s="1"/>
  <c r="O556" i="2"/>
  <c r="P556" i="2" s="1"/>
  <c r="O555" i="2"/>
  <c r="P555" i="2" s="1"/>
  <c r="O554" i="2"/>
  <c r="P554" i="2" s="1"/>
  <c r="O553" i="2"/>
  <c r="P553" i="2" s="1"/>
  <c r="O552" i="2"/>
  <c r="P552" i="2" s="1"/>
  <c r="O551" i="2"/>
  <c r="P551" i="2" s="1"/>
  <c r="O550" i="2"/>
  <c r="P550" i="2" s="1"/>
  <c r="O549" i="2"/>
  <c r="P549" i="2" s="1"/>
  <c r="O548" i="2"/>
  <c r="P548" i="2" s="1"/>
  <c r="O547" i="2"/>
  <c r="P547" i="2" s="1"/>
  <c r="O546" i="2"/>
  <c r="P546" i="2" s="1"/>
  <c r="O545" i="2"/>
  <c r="P545" i="2" s="1"/>
  <c r="O544" i="2"/>
  <c r="P544" i="2" s="1"/>
  <c r="O543" i="2"/>
  <c r="P543" i="2" s="1"/>
  <c r="O542" i="2"/>
  <c r="P542" i="2" s="1"/>
  <c r="O541" i="2"/>
  <c r="P541" i="2" s="1"/>
  <c r="O540" i="2"/>
  <c r="P540" i="2" s="1"/>
  <c r="O539" i="2"/>
  <c r="P539" i="2" s="1"/>
  <c r="O538" i="2"/>
  <c r="P538" i="2" s="1"/>
  <c r="O537" i="2"/>
  <c r="P537" i="2" s="1"/>
  <c r="O536" i="2"/>
  <c r="P536" i="2" s="1"/>
  <c r="O535" i="2"/>
  <c r="P535" i="2" s="1"/>
  <c r="O534" i="2"/>
  <c r="P534" i="2" s="1"/>
  <c r="O533" i="2"/>
  <c r="P533" i="2" s="1"/>
  <c r="O532" i="2"/>
  <c r="P532" i="2" s="1"/>
  <c r="O531" i="2"/>
  <c r="P531" i="2" s="1"/>
  <c r="O530" i="2"/>
  <c r="P530" i="2" s="1"/>
  <c r="O529" i="2"/>
  <c r="P529" i="2" s="1"/>
  <c r="O528" i="2"/>
  <c r="P528" i="2" s="1"/>
  <c r="O527" i="2"/>
  <c r="P527" i="2" s="1"/>
  <c r="O526" i="2"/>
  <c r="P526" i="2" s="1"/>
  <c r="O525" i="2"/>
  <c r="P525" i="2" s="1"/>
  <c r="O524" i="2"/>
  <c r="P524" i="2" s="1"/>
  <c r="O523" i="2"/>
  <c r="P523" i="2" s="1"/>
  <c r="O522" i="2"/>
  <c r="P522" i="2" s="1"/>
  <c r="O521" i="2"/>
  <c r="P521" i="2" s="1"/>
  <c r="O520" i="2"/>
  <c r="P520" i="2" s="1"/>
  <c r="O519" i="2"/>
  <c r="P519" i="2" s="1"/>
  <c r="O518" i="2"/>
  <c r="P518" i="2" s="1"/>
  <c r="O517" i="2"/>
  <c r="P517" i="2" s="1"/>
  <c r="O516" i="2"/>
  <c r="P516" i="2" s="1"/>
  <c r="O515" i="2"/>
  <c r="P515" i="2" s="1"/>
  <c r="P514" i="2"/>
  <c r="O514" i="2"/>
  <c r="O513" i="2"/>
  <c r="P513" i="2" s="1"/>
  <c r="O512" i="2"/>
  <c r="P512" i="2" s="1"/>
  <c r="O511" i="2"/>
  <c r="P511" i="2" s="1"/>
  <c r="O510" i="2"/>
  <c r="P510" i="2" s="1"/>
  <c r="O509" i="2"/>
  <c r="P509" i="2" s="1"/>
  <c r="O508" i="2"/>
  <c r="P508" i="2" s="1"/>
  <c r="O507" i="2"/>
  <c r="P507" i="2" s="1"/>
  <c r="O506" i="2"/>
  <c r="P506" i="2" s="1"/>
  <c r="O505" i="2"/>
  <c r="P505" i="2" s="1"/>
  <c r="O504" i="2"/>
  <c r="P504" i="2" s="1"/>
  <c r="O503" i="2"/>
  <c r="P503" i="2" s="1"/>
  <c r="O502" i="2"/>
  <c r="P502" i="2" s="1"/>
  <c r="O501" i="2"/>
  <c r="P501" i="2" s="1"/>
  <c r="O500" i="2"/>
  <c r="P500" i="2" s="1"/>
  <c r="O499" i="2"/>
  <c r="P499" i="2" s="1"/>
  <c r="O498" i="2"/>
  <c r="P498" i="2" s="1"/>
  <c r="O497" i="2"/>
  <c r="P497" i="2" s="1"/>
  <c r="O496" i="2"/>
  <c r="P496" i="2" s="1"/>
  <c r="O495" i="2"/>
  <c r="P495" i="2" s="1"/>
  <c r="O494" i="2"/>
  <c r="P494" i="2" s="1"/>
  <c r="O493" i="2"/>
  <c r="P493" i="2" s="1"/>
  <c r="O492" i="2"/>
  <c r="P492" i="2" s="1"/>
  <c r="O491" i="2"/>
  <c r="P491" i="2" s="1"/>
  <c r="O490" i="2"/>
  <c r="P490" i="2" s="1"/>
  <c r="O489" i="2"/>
  <c r="P489" i="2" s="1"/>
  <c r="O488" i="2"/>
  <c r="P488" i="2" s="1"/>
  <c r="O487" i="2"/>
  <c r="P487" i="2" s="1"/>
  <c r="O486" i="2"/>
  <c r="P486" i="2" s="1"/>
  <c r="O485" i="2"/>
  <c r="P485" i="2" s="1"/>
  <c r="O484" i="2"/>
  <c r="P484" i="2" s="1"/>
  <c r="O483" i="2"/>
  <c r="P483" i="2" s="1"/>
  <c r="O482" i="2"/>
  <c r="P482" i="2" s="1"/>
  <c r="O481" i="2"/>
  <c r="P481" i="2" s="1"/>
  <c r="O480" i="2"/>
  <c r="P480" i="2" s="1"/>
  <c r="O479" i="2"/>
  <c r="P479" i="2" s="1"/>
  <c r="O478" i="2"/>
  <c r="P478" i="2" s="1"/>
  <c r="O477" i="2"/>
  <c r="P477" i="2" s="1"/>
  <c r="O476" i="2"/>
  <c r="P476" i="2" s="1"/>
  <c r="O475" i="2"/>
  <c r="P475" i="2" s="1"/>
  <c r="O474" i="2"/>
  <c r="P474" i="2" s="1"/>
  <c r="O473" i="2"/>
  <c r="P473" i="2" s="1"/>
  <c r="O472" i="2"/>
  <c r="P472" i="2" s="1"/>
  <c r="O471" i="2"/>
  <c r="P471" i="2" s="1"/>
  <c r="O470" i="2"/>
  <c r="P470" i="2" s="1"/>
  <c r="O469" i="2"/>
  <c r="P469" i="2" s="1"/>
  <c r="O468" i="2"/>
  <c r="P468" i="2" s="1"/>
  <c r="O467" i="2"/>
  <c r="P467" i="2" s="1"/>
  <c r="O466" i="2"/>
  <c r="P466" i="2" s="1"/>
  <c r="O465" i="2"/>
  <c r="P465" i="2" s="1"/>
  <c r="O464" i="2"/>
  <c r="P464" i="2" s="1"/>
  <c r="O463" i="2"/>
  <c r="P463" i="2" s="1"/>
  <c r="O462" i="2"/>
  <c r="P462" i="2" s="1"/>
  <c r="O461" i="2"/>
  <c r="P461" i="2" s="1"/>
  <c r="O460" i="2"/>
  <c r="P460" i="2" s="1"/>
  <c r="O459" i="2"/>
  <c r="P459" i="2" s="1"/>
  <c r="O458" i="2"/>
  <c r="P458" i="2" s="1"/>
  <c r="O457" i="2"/>
  <c r="P457" i="2" s="1"/>
  <c r="O456" i="2"/>
  <c r="P456" i="2" s="1"/>
  <c r="O455" i="2"/>
  <c r="P455" i="2" s="1"/>
  <c r="O454" i="2"/>
  <c r="P454" i="2" s="1"/>
  <c r="P453" i="2"/>
  <c r="O453" i="2"/>
  <c r="O452" i="2"/>
  <c r="P452" i="2" s="1"/>
  <c r="O451" i="2"/>
  <c r="P451" i="2" s="1"/>
  <c r="O450" i="2"/>
  <c r="P450" i="2" s="1"/>
  <c r="O449" i="2"/>
  <c r="P449" i="2" s="1"/>
  <c r="O448" i="2"/>
  <c r="P448" i="2" s="1"/>
  <c r="O447" i="2"/>
  <c r="P447" i="2" s="1"/>
  <c r="O446" i="2"/>
  <c r="P446" i="2" s="1"/>
  <c r="O445" i="2"/>
  <c r="P445" i="2" s="1"/>
  <c r="O444" i="2"/>
  <c r="P444" i="2" s="1"/>
  <c r="O443" i="2"/>
  <c r="P443" i="2" s="1"/>
  <c r="O442" i="2"/>
  <c r="P442" i="2" s="1"/>
  <c r="O441" i="2"/>
  <c r="P441" i="2" s="1"/>
  <c r="O440" i="2"/>
  <c r="P440" i="2" s="1"/>
  <c r="O439" i="2"/>
  <c r="P439" i="2" s="1"/>
  <c r="O438" i="2"/>
  <c r="P438" i="2" s="1"/>
  <c r="O437" i="2"/>
  <c r="P437" i="2" s="1"/>
  <c r="O436" i="2"/>
  <c r="P436" i="2" s="1"/>
  <c r="O435" i="2"/>
  <c r="P435" i="2" s="1"/>
  <c r="O434" i="2"/>
  <c r="P434" i="2" s="1"/>
  <c r="O433" i="2"/>
  <c r="P433" i="2" s="1"/>
  <c r="O432" i="2"/>
  <c r="P432" i="2" s="1"/>
  <c r="O431" i="2"/>
  <c r="P431" i="2" s="1"/>
  <c r="O430" i="2"/>
  <c r="P430" i="2" s="1"/>
  <c r="O429" i="2"/>
  <c r="P429" i="2" s="1"/>
  <c r="O428" i="2"/>
  <c r="P428" i="2" s="1"/>
  <c r="O427" i="2"/>
  <c r="P427" i="2" s="1"/>
  <c r="O426" i="2"/>
  <c r="P426" i="2" s="1"/>
  <c r="O425" i="2"/>
  <c r="P425" i="2" s="1"/>
  <c r="O424" i="2"/>
  <c r="P424" i="2" s="1"/>
  <c r="O423" i="2"/>
  <c r="P423" i="2" s="1"/>
  <c r="O422" i="2"/>
  <c r="P422" i="2" s="1"/>
  <c r="O421" i="2"/>
  <c r="P421" i="2" s="1"/>
  <c r="O420" i="2"/>
  <c r="P420" i="2" s="1"/>
  <c r="O419" i="2"/>
  <c r="P419" i="2" s="1"/>
  <c r="O418" i="2"/>
  <c r="P418" i="2" s="1"/>
  <c r="O417" i="2"/>
  <c r="P417" i="2" s="1"/>
  <c r="O416" i="2"/>
  <c r="P416" i="2" s="1"/>
  <c r="O415" i="2"/>
  <c r="P415" i="2" s="1"/>
  <c r="O414" i="2"/>
  <c r="P414" i="2" s="1"/>
  <c r="O413" i="2"/>
  <c r="P413" i="2" s="1"/>
  <c r="O412" i="2"/>
  <c r="P412" i="2" s="1"/>
  <c r="O411" i="2"/>
  <c r="P411" i="2" s="1"/>
  <c r="O410" i="2"/>
  <c r="P410" i="2" s="1"/>
  <c r="O409" i="2"/>
  <c r="P409" i="2" s="1"/>
  <c r="O408" i="2"/>
  <c r="P408" i="2" s="1"/>
  <c r="O407" i="2"/>
  <c r="P407" i="2" s="1"/>
  <c r="O406" i="2"/>
  <c r="P406" i="2" s="1"/>
  <c r="O405" i="2"/>
  <c r="P405" i="2" s="1"/>
  <c r="O404" i="2"/>
  <c r="P404" i="2" s="1"/>
  <c r="O403" i="2"/>
  <c r="P403" i="2" s="1"/>
  <c r="O402" i="2"/>
  <c r="P402" i="2" s="1"/>
  <c r="O401" i="2"/>
  <c r="P401" i="2" s="1"/>
  <c r="O400" i="2"/>
  <c r="P400" i="2" s="1"/>
  <c r="O399" i="2"/>
  <c r="P399" i="2" s="1"/>
  <c r="O398" i="2"/>
  <c r="P398" i="2" s="1"/>
  <c r="O397" i="2"/>
  <c r="P397" i="2" s="1"/>
  <c r="O396" i="2"/>
  <c r="P396" i="2" s="1"/>
  <c r="O395" i="2"/>
  <c r="P395" i="2" s="1"/>
  <c r="O394" i="2"/>
  <c r="P394" i="2" s="1"/>
  <c r="O393" i="2"/>
  <c r="P393" i="2" s="1"/>
  <c r="O392" i="2"/>
  <c r="P392" i="2" s="1"/>
  <c r="O391" i="2"/>
  <c r="P391" i="2" s="1"/>
  <c r="O390" i="2"/>
  <c r="P390" i="2" s="1"/>
  <c r="O389" i="2"/>
  <c r="P389" i="2" s="1"/>
  <c r="O388" i="2"/>
  <c r="P388" i="2" s="1"/>
  <c r="O387" i="2"/>
  <c r="P387" i="2" s="1"/>
  <c r="O386" i="2"/>
  <c r="P386" i="2" s="1"/>
  <c r="O385" i="2"/>
  <c r="P385" i="2" s="1"/>
  <c r="O384" i="2"/>
  <c r="P384" i="2" s="1"/>
  <c r="O383" i="2"/>
  <c r="P383" i="2" s="1"/>
  <c r="O382" i="2"/>
  <c r="P382" i="2" s="1"/>
  <c r="O381" i="2"/>
  <c r="P381" i="2" s="1"/>
  <c r="O380" i="2"/>
  <c r="P380" i="2" s="1"/>
  <c r="O379" i="2"/>
  <c r="P379" i="2" s="1"/>
  <c r="O378" i="2"/>
  <c r="P378" i="2" s="1"/>
  <c r="O377" i="2"/>
  <c r="P377" i="2" s="1"/>
  <c r="O376" i="2"/>
  <c r="P376" i="2" s="1"/>
  <c r="O375" i="2"/>
  <c r="P375" i="2" s="1"/>
  <c r="O374" i="2"/>
  <c r="P374" i="2" s="1"/>
  <c r="O373" i="2"/>
  <c r="P373" i="2" s="1"/>
  <c r="O372" i="2"/>
  <c r="P372" i="2" s="1"/>
  <c r="O371" i="2"/>
  <c r="P371" i="2" s="1"/>
  <c r="O370" i="2"/>
  <c r="P370" i="2" s="1"/>
  <c r="O369" i="2"/>
  <c r="P369" i="2" s="1"/>
  <c r="O368" i="2"/>
  <c r="P368" i="2" s="1"/>
  <c r="O367" i="2"/>
  <c r="P367" i="2" s="1"/>
  <c r="O366" i="2"/>
  <c r="P366" i="2" s="1"/>
  <c r="O365" i="2"/>
  <c r="P365" i="2" s="1"/>
  <c r="O364" i="2"/>
  <c r="P364" i="2" s="1"/>
  <c r="O363" i="2"/>
  <c r="P363" i="2" s="1"/>
  <c r="O362" i="2"/>
  <c r="P362" i="2" s="1"/>
  <c r="O361" i="2"/>
  <c r="P361" i="2" s="1"/>
  <c r="O360" i="2"/>
  <c r="P360" i="2" s="1"/>
  <c r="O359" i="2"/>
  <c r="P359" i="2" s="1"/>
  <c r="O358" i="2"/>
  <c r="P358" i="2" s="1"/>
  <c r="O357" i="2"/>
  <c r="P357" i="2" s="1"/>
  <c r="O356" i="2"/>
  <c r="P356" i="2" s="1"/>
  <c r="O355" i="2"/>
  <c r="P355" i="2" s="1"/>
  <c r="O354" i="2"/>
  <c r="P354" i="2" s="1"/>
  <c r="O353" i="2"/>
  <c r="P353" i="2" s="1"/>
  <c r="O352" i="2"/>
  <c r="P352" i="2" s="1"/>
  <c r="O351" i="2"/>
  <c r="P351" i="2" s="1"/>
  <c r="O350" i="2"/>
  <c r="P350" i="2" s="1"/>
  <c r="O349" i="2"/>
  <c r="P349" i="2" s="1"/>
  <c r="O348" i="2"/>
  <c r="P348" i="2" s="1"/>
  <c r="O347" i="2"/>
  <c r="P347" i="2" s="1"/>
  <c r="O346" i="2"/>
  <c r="P346" i="2" s="1"/>
  <c r="O345" i="2"/>
  <c r="P345" i="2" s="1"/>
  <c r="O344" i="2"/>
  <c r="P344" i="2" s="1"/>
  <c r="O343" i="2"/>
  <c r="P343" i="2" s="1"/>
  <c r="O342" i="2"/>
  <c r="P342" i="2" s="1"/>
  <c r="O341" i="2"/>
  <c r="P341" i="2" s="1"/>
  <c r="O340" i="2"/>
  <c r="P340" i="2" s="1"/>
  <c r="O339" i="2"/>
  <c r="P339" i="2" s="1"/>
  <c r="O338" i="2"/>
  <c r="P338" i="2" s="1"/>
  <c r="O337" i="2"/>
  <c r="P337" i="2" s="1"/>
  <c r="O336" i="2"/>
  <c r="P336" i="2" s="1"/>
  <c r="O335" i="2"/>
  <c r="P335" i="2" s="1"/>
  <c r="O334" i="2"/>
  <c r="P334" i="2" s="1"/>
  <c r="O333" i="2"/>
  <c r="P333" i="2" s="1"/>
  <c r="O332" i="2"/>
  <c r="P332" i="2" s="1"/>
  <c r="O331" i="2"/>
  <c r="P331" i="2" s="1"/>
  <c r="O330" i="2"/>
  <c r="P330" i="2" s="1"/>
  <c r="O329" i="2"/>
  <c r="P329" i="2" s="1"/>
  <c r="O328" i="2"/>
  <c r="P328" i="2" s="1"/>
  <c r="O327" i="2"/>
  <c r="P327" i="2" s="1"/>
  <c r="O326" i="2"/>
  <c r="P326" i="2" s="1"/>
  <c r="O325" i="2"/>
  <c r="P325" i="2" s="1"/>
  <c r="O324" i="2"/>
  <c r="P324" i="2" s="1"/>
  <c r="O323" i="2"/>
  <c r="P323" i="2" s="1"/>
  <c r="O322" i="2"/>
  <c r="P322" i="2" s="1"/>
  <c r="O321" i="2"/>
  <c r="P321" i="2" s="1"/>
  <c r="O320" i="2"/>
  <c r="P320" i="2" s="1"/>
  <c r="O319" i="2"/>
  <c r="P319" i="2" s="1"/>
  <c r="P318" i="2"/>
  <c r="O318" i="2"/>
  <c r="O317" i="2"/>
  <c r="P317" i="2" s="1"/>
  <c r="O316" i="2"/>
  <c r="P316" i="2" s="1"/>
  <c r="O315" i="2"/>
  <c r="P315" i="2" s="1"/>
  <c r="O314" i="2"/>
  <c r="P314" i="2" s="1"/>
  <c r="O313" i="2"/>
  <c r="P313" i="2" s="1"/>
  <c r="O312" i="2"/>
  <c r="P312" i="2" s="1"/>
  <c r="O311" i="2"/>
  <c r="P311" i="2" s="1"/>
  <c r="O310" i="2"/>
  <c r="P310" i="2" s="1"/>
  <c r="O309" i="2"/>
  <c r="P309" i="2" s="1"/>
  <c r="O308" i="2"/>
  <c r="P308" i="2" s="1"/>
  <c r="O307" i="2"/>
  <c r="P307" i="2" s="1"/>
  <c r="O306" i="2"/>
  <c r="P306" i="2" s="1"/>
  <c r="O305" i="2"/>
  <c r="P305" i="2" s="1"/>
  <c r="O304" i="2"/>
  <c r="P304" i="2" s="1"/>
  <c r="O303" i="2"/>
  <c r="P303" i="2" s="1"/>
  <c r="O302" i="2"/>
  <c r="P302" i="2" s="1"/>
  <c r="O301" i="2"/>
  <c r="P301" i="2" s="1"/>
  <c r="O300" i="2"/>
  <c r="P300" i="2" s="1"/>
  <c r="O299" i="2"/>
  <c r="P299" i="2" s="1"/>
  <c r="O298" i="2"/>
  <c r="P298" i="2" s="1"/>
  <c r="O297" i="2"/>
  <c r="P297" i="2" s="1"/>
  <c r="O296" i="2"/>
  <c r="P296" i="2" s="1"/>
  <c r="O295" i="2"/>
  <c r="P295" i="2" s="1"/>
  <c r="O294" i="2"/>
  <c r="P294" i="2" s="1"/>
  <c r="O293" i="2"/>
  <c r="P293" i="2" s="1"/>
  <c r="O292" i="2"/>
  <c r="P292" i="2" s="1"/>
  <c r="O291" i="2"/>
  <c r="P291" i="2" s="1"/>
  <c r="O290" i="2"/>
  <c r="P290" i="2" s="1"/>
  <c r="P289" i="2"/>
  <c r="O289" i="2"/>
  <c r="O288" i="2"/>
  <c r="P288" i="2" s="1"/>
  <c r="O287" i="2"/>
  <c r="P287" i="2" s="1"/>
  <c r="O286" i="2"/>
  <c r="P286" i="2" s="1"/>
  <c r="O285" i="2"/>
  <c r="P285" i="2" s="1"/>
  <c r="O284" i="2"/>
  <c r="P284" i="2" s="1"/>
  <c r="O283" i="2"/>
  <c r="P283" i="2" s="1"/>
  <c r="O282" i="2"/>
  <c r="P282" i="2" s="1"/>
  <c r="O281" i="2"/>
  <c r="P281" i="2" s="1"/>
  <c r="O280" i="2"/>
  <c r="P280" i="2" s="1"/>
  <c r="O279" i="2"/>
  <c r="P279" i="2" s="1"/>
  <c r="O278" i="2"/>
  <c r="P278" i="2" s="1"/>
  <c r="O277" i="2"/>
  <c r="P277" i="2" s="1"/>
  <c r="O276" i="2"/>
  <c r="P276" i="2" s="1"/>
  <c r="O275" i="2"/>
  <c r="P275" i="2" s="1"/>
  <c r="O274" i="2"/>
  <c r="P274" i="2" s="1"/>
  <c r="O273" i="2"/>
  <c r="P273" i="2" s="1"/>
  <c r="O272" i="2"/>
  <c r="P272" i="2" s="1"/>
  <c r="O271" i="2"/>
  <c r="P271" i="2" s="1"/>
  <c r="O270" i="2"/>
  <c r="P270" i="2" s="1"/>
  <c r="O269" i="2"/>
  <c r="P269" i="2" s="1"/>
  <c r="O268" i="2"/>
  <c r="P268" i="2" s="1"/>
  <c r="O267" i="2"/>
  <c r="P267" i="2" s="1"/>
  <c r="O266" i="2"/>
  <c r="P266" i="2" s="1"/>
  <c r="O265" i="2"/>
  <c r="P265" i="2" s="1"/>
  <c r="O264" i="2"/>
  <c r="P264" i="2" s="1"/>
  <c r="O263" i="2"/>
  <c r="P263" i="2" s="1"/>
  <c r="O262" i="2"/>
  <c r="P262" i="2" s="1"/>
  <c r="O261" i="2"/>
  <c r="P261" i="2" s="1"/>
  <c r="O260" i="2"/>
  <c r="P260" i="2" s="1"/>
  <c r="O259" i="2"/>
  <c r="P259" i="2" s="1"/>
  <c r="O258" i="2"/>
  <c r="P258" i="2" s="1"/>
  <c r="O257" i="2"/>
  <c r="P257" i="2" s="1"/>
  <c r="O256" i="2"/>
  <c r="P256" i="2" s="1"/>
  <c r="O255" i="2"/>
  <c r="P255" i="2" s="1"/>
  <c r="O254" i="2"/>
  <c r="P254" i="2" s="1"/>
  <c r="O253" i="2"/>
  <c r="P253" i="2" s="1"/>
  <c r="O252" i="2"/>
  <c r="P252" i="2" s="1"/>
  <c r="O251" i="2"/>
  <c r="P251" i="2" s="1"/>
  <c r="O250" i="2"/>
  <c r="P250" i="2" s="1"/>
  <c r="O249" i="2"/>
  <c r="P249" i="2" s="1"/>
  <c r="O248" i="2"/>
  <c r="P248" i="2" s="1"/>
  <c r="O247" i="2"/>
  <c r="P247" i="2" s="1"/>
  <c r="O246" i="2"/>
  <c r="P246" i="2" s="1"/>
  <c r="O245" i="2"/>
  <c r="P245" i="2" s="1"/>
  <c r="O244" i="2"/>
  <c r="P244" i="2" s="1"/>
  <c r="O243" i="2"/>
  <c r="P243" i="2" s="1"/>
  <c r="O242" i="2"/>
  <c r="P242" i="2" s="1"/>
  <c r="O241" i="2"/>
  <c r="P241" i="2" s="1"/>
  <c r="O240" i="2"/>
  <c r="P240" i="2" s="1"/>
  <c r="O239" i="2"/>
  <c r="P239" i="2" s="1"/>
  <c r="O238" i="2"/>
  <c r="P238" i="2" s="1"/>
  <c r="O237" i="2"/>
  <c r="P237" i="2" s="1"/>
  <c r="O236" i="2"/>
  <c r="P236" i="2" s="1"/>
  <c r="O235" i="2"/>
  <c r="P235" i="2" s="1"/>
  <c r="O234" i="2"/>
  <c r="P234" i="2" s="1"/>
  <c r="O233" i="2"/>
  <c r="P233" i="2" s="1"/>
  <c r="O232" i="2"/>
  <c r="P232" i="2" s="1"/>
  <c r="O231" i="2"/>
  <c r="P231" i="2" s="1"/>
  <c r="O230" i="2"/>
  <c r="P230" i="2" s="1"/>
  <c r="O229" i="2"/>
  <c r="P229" i="2" s="1"/>
  <c r="O228" i="2"/>
  <c r="P228" i="2" s="1"/>
  <c r="O227" i="2"/>
  <c r="P227" i="2" s="1"/>
  <c r="O226" i="2"/>
  <c r="P226" i="2" s="1"/>
  <c r="O225" i="2"/>
  <c r="P225" i="2" s="1"/>
  <c r="O224" i="2"/>
  <c r="P224" i="2" s="1"/>
  <c r="O223" i="2"/>
  <c r="P223" i="2" s="1"/>
  <c r="O222" i="2"/>
  <c r="P222" i="2" s="1"/>
  <c r="O221" i="2"/>
  <c r="P221" i="2" s="1"/>
  <c r="O220" i="2"/>
  <c r="P220" i="2" s="1"/>
  <c r="O219" i="2"/>
  <c r="P219" i="2" s="1"/>
  <c r="O218" i="2"/>
  <c r="P218" i="2" s="1"/>
  <c r="O217" i="2"/>
  <c r="P217" i="2" s="1"/>
  <c r="O216" i="2"/>
  <c r="P216" i="2" s="1"/>
  <c r="O215" i="2"/>
  <c r="P215" i="2" s="1"/>
  <c r="O214" i="2"/>
  <c r="P214" i="2" s="1"/>
  <c r="O213" i="2"/>
  <c r="P213" i="2" s="1"/>
  <c r="O212" i="2"/>
  <c r="P212" i="2" s="1"/>
  <c r="O211" i="2"/>
  <c r="P211" i="2" s="1"/>
  <c r="O210" i="2"/>
  <c r="P210" i="2" s="1"/>
  <c r="O209" i="2"/>
  <c r="P209" i="2" s="1"/>
  <c r="O208" i="2"/>
  <c r="P208" i="2" s="1"/>
  <c r="O207" i="2"/>
  <c r="P207" i="2" s="1"/>
  <c r="O206" i="2"/>
  <c r="P206" i="2" s="1"/>
  <c r="O205" i="2"/>
  <c r="P205" i="2" s="1"/>
  <c r="O204" i="2"/>
  <c r="P204" i="2" s="1"/>
  <c r="O203" i="2"/>
  <c r="P203" i="2" s="1"/>
  <c r="O202" i="2"/>
  <c r="P202" i="2" s="1"/>
  <c r="O201" i="2"/>
  <c r="P201" i="2" s="1"/>
  <c r="O200" i="2"/>
  <c r="P200" i="2" s="1"/>
  <c r="O199" i="2"/>
  <c r="P199" i="2" s="1"/>
  <c r="O198" i="2"/>
  <c r="P198" i="2" s="1"/>
  <c r="O197" i="2"/>
  <c r="P197" i="2" s="1"/>
  <c r="O196" i="2"/>
  <c r="P196" i="2" s="1"/>
  <c r="O195" i="2"/>
  <c r="P195" i="2" s="1"/>
  <c r="O194" i="2"/>
  <c r="P194" i="2" s="1"/>
  <c r="O193" i="2"/>
  <c r="P193" i="2" s="1"/>
  <c r="O192" i="2"/>
  <c r="P192" i="2" s="1"/>
  <c r="O191" i="2"/>
  <c r="P191" i="2" s="1"/>
  <c r="O190" i="2"/>
  <c r="P190" i="2" s="1"/>
  <c r="O189" i="2"/>
  <c r="P189" i="2" s="1"/>
  <c r="O188" i="2"/>
  <c r="P188" i="2" s="1"/>
  <c r="O187" i="2"/>
  <c r="P187" i="2" s="1"/>
  <c r="O186" i="2"/>
  <c r="P186" i="2" s="1"/>
  <c r="O185" i="2"/>
  <c r="P185" i="2" s="1"/>
  <c r="O184" i="2"/>
  <c r="P184" i="2" s="1"/>
  <c r="O183" i="2"/>
  <c r="P183" i="2" s="1"/>
  <c r="O182" i="2"/>
  <c r="P182" i="2" s="1"/>
  <c r="O181" i="2"/>
  <c r="P181" i="2" s="1"/>
  <c r="O180" i="2"/>
  <c r="P180" i="2" s="1"/>
  <c r="O179" i="2"/>
  <c r="P179" i="2" s="1"/>
  <c r="J179" i="2"/>
  <c r="L179" i="2" s="1"/>
  <c r="Q179" i="2" s="1"/>
  <c r="O178" i="2"/>
  <c r="P178" i="2" s="1"/>
  <c r="J178" i="2"/>
  <c r="L178" i="2" s="1"/>
  <c r="Q178" i="2" s="1"/>
  <c r="O177" i="2"/>
  <c r="P177" i="2" s="1"/>
  <c r="J177" i="2"/>
  <c r="L177" i="2" s="1"/>
  <c r="Q177" i="2" s="1"/>
  <c r="O176" i="2"/>
  <c r="P176" i="2" s="1"/>
  <c r="J176" i="2"/>
  <c r="L176" i="2" s="1"/>
  <c r="Q176" i="2" s="1"/>
  <c r="G176" i="2"/>
  <c r="A176" i="2"/>
  <c r="O175" i="2"/>
  <c r="P175" i="2" s="1"/>
  <c r="J175" i="2"/>
  <c r="L175" i="2" s="1"/>
  <c r="Q175" i="2" s="1"/>
  <c r="G175" i="2"/>
  <c r="A175" i="2"/>
  <c r="O174" i="2"/>
  <c r="P174" i="2" s="1"/>
  <c r="J174" i="2"/>
  <c r="L174" i="2" s="1"/>
  <c r="Q174" i="2" s="1"/>
  <c r="G174" i="2"/>
  <c r="O173" i="2"/>
  <c r="P173" i="2" s="1"/>
  <c r="J173" i="2"/>
  <c r="L173" i="2" s="1"/>
  <c r="Q173" i="2" s="1"/>
  <c r="G173" i="2"/>
  <c r="A173" i="2"/>
  <c r="O172" i="2"/>
  <c r="P172" i="2" s="1"/>
  <c r="J172" i="2"/>
  <c r="L172" i="2" s="1"/>
  <c r="Q172" i="2" s="1"/>
  <c r="G172" i="2"/>
  <c r="O171" i="2"/>
  <c r="P171" i="2" s="1"/>
  <c r="J171" i="2"/>
  <c r="L171" i="2" s="1"/>
  <c r="G171" i="2"/>
  <c r="A171" i="2"/>
  <c r="O170" i="2"/>
  <c r="P170" i="2" s="1"/>
  <c r="J170" i="2"/>
  <c r="L170" i="2" s="1"/>
  <c r="Q170" i="2" s="1"/>
  <c r="P169" i="2"/>
  <c r="O169" i="2"/>
  <c r="J169" i="2"/>
  <c r="L169" i="2" s="1"/>
  <c r="Q169" i="2" s="1"/>
  <c r="O168" i="2"/>
  <c r="P168" i="2" s="1"/>
  <c r="J168" i="2"/>
  <c r="L168" i="2" s="1"/>
  <c r="Q168" i="2" s="1"/>
  <c r="O167" i="2"/>
  <c r="P167" i="2" s="1"/>
  <c r="J167" i="2"/>
  <c r="L167" i="2" s="1"/>
  <c r="Q167" i="2" s="1"/>
  <c r="O166" i="2"/>
  <c r="P166" i="2" s="1"/>
  <c r="J166" i="2"/>
  <c r="L166" i="2" s="1"/>
  <c r="Q166" i="2" s="1"/>
  <c r="O165" i="2"/>
  <c r="P165" i="2" s="1"/>
  <c r="J165" i="2"/>
  <c r="L165" i="2" s="1"/>
  <c r="Q165" i="2" s="1"/>
  <c r="O164" i="2"/>
  <c r="P164" i="2" s="1"/>
  <c r="J164" i="2"/>
  <c r="L164" i="2" s="1"/>
  <c r="Q164" i="2" s="1"/>
  <c r="O163" i="2"/>
  <c r="P163" i="2" s="1"/>
  <c r="J163" i="2"/>
  <c r="L163" i="2" s="1"/>
  <c r="Q163" i="2" s="1"/>
  <c r="O162" i="2"/>
  <c r="P162" i="2" s="1"/>
  <c r="J162" i="2"/>
  <c r="L162" i="2" s="1"/>
  <c r="Q162" i="2" s="1"/>
  <c r="O161" i="2"/>
  <c r="P161" i="2" s="1"/>
  <c r="J161" i="2"/>
  <c r="L161" i="2" s="1"/>
  <c r="Q161" i="2" s="1"/>
  <c r="S161" i="2" s="1"/>
  <c r="G161" i="2"/>
  <c r="A161" i="2"/>
  <c r="O160" i="2"/>
  <c r="P160" i="2" s="1"/>
  <c r="J160" i="2"/>
  <c r="L160" i="2" s="1"/>
  <c r="Q160" i="2" s="1"/>
  <c r="G160" i="2"/>
  <c r="A160" i="2"/>
  <c r="O159" i="2"/>
  <c r="P159" i="2" s="1"/>
  <c r="L159" i="2"/>
  <c r="Q159" i="2" s="1"/>
  <c r="J159" i="2"/>
  <c r="G159" i="2"/>
  <c r="A159" i="2"/>
  <c r="P158" i="2"/>
  <c r="O158" i="2"/>
  <c r="J158" i="2"/>
  <c r="L158" i="2" s="1"/>
  <c r="Q158" i="2" s="1"/>
  <c r="G158" i="2"/>
  <c r="O157" i="2"/>
  <c r="P157" i="2" s="1"/>
  <c r="J157" i="2"/>
  <c r="L157" i="2" s="1"/>
  <c r="Q157" i="2" s="1"/>
  <c r="G157" i="2"/>
  <c r="O156" i="2"/>
  <c r="P156" i="2" s="1"/>
  <c r="L156" i="2"/>
  <c r="Q156" i="2" s="1"/>
  <c r="J156" i="2"/>
  <c r="G156" i="2"/>
  <c r="O155" i="2"/>
  <c r="P155" i="2" s="1"/>
  <c r="J155" i="2"/>
  <c r="L155" i="2" s="1"/>
  <c r="Q155" i="2" s="1"/>
  <c r="G155" i="2"/>
  <c r="A155" i="2"/>
  <c r="O154" i="2"/>
  <c r="P154" i="2" s="1"/>
  <c r="J154" i="2"/>
  <c r="L154" i="2" s="1"/>
  <c r="Q154" i="2" s="1"/>
  <c r="G154" i="2"/>
  <c r="O153" i="2"/>
  <c r="P153" i="2" s="1"/>
  <c r="J153" i="2"/>
  <c r="L153" i="2" s="1"/>
  <c r="Q153" i="2" s="1"/>
  <c r="G153" i="2"/>
  <c r="O152" i="2"/>
  <c r="P152" i="2" s="1"/>
  <c r="J152" i="2"/>
  <c r="L152" i="2" s="1"/>
  <c r="Q152" i="2" s="1"/>
  <c r="G152" i="2"/>
  <c r="O151" i="2"/>
  <c r="P151" i="2" s="1"/>
  <c r="J151" i="2"/>
  <c r="L151" i="2" s="1"/>
  <c r="Q151" i="2" s="1"/>
  <c r="G151" i="2"/>
  <c r="O150" i="2"/>
  <c r="P150" i="2" s="1"/>
  <c r="J150" i="2"/>
  <c r="L150" i="2" s="1"/>
  <c r="Q150" i="2" s="1"/>
  <c r="G150" i="2"/>
  <c r="A150" i="2"/>
  <c r="O149" i="2"/>
  <c r="P149" i="2" s="1"/>
  <c r="J149" i="2"/>
  <c r="L149" i="2" s="1"/>
  <c r="Q149" i="2" s="1"/>
  <c r="G149" i="2"/>
  <c r="O148" i="2"/>
  <c r="P148" i="2" s="1"/>
  <c r="J148" i="2"/>
  <c r="L148" i="2" s="1"/>
  <c r="Q148" i="2" s="1"/>
  <c r="G148" i="2"/>
  <c r="O147" i="2"/>
  <c r="P147" i="2" s="1"/>
  <c r="J147" i="2"/>
  <c r="L147" i="2" s="1"/>
  <c r="Q147" i="2" s="1"/>
  <c r="G147" i="2"/>
  <c r="A147" i="2"/>
  <c r="O146" i="2"/>
  <c r="P146" i="2" s="1"/>
  <c r="J146" i="2"/>
  <c r="L146" i="2" s="1"/>
  <c r="Q146" i="2" s="1"/>
  <c r="G146" i="2"/>
  <c r="A146" i="2"/>
  <c r="O145" i="2"/>
  <c r="P145" i="2" s="1"/>
  <c r="T145" i="2" s="1"/>
  <c r="J145" i="2"/>
  <c r="L145" i="2" s="1"/>
  <c r="Q145" i="2" s="1"/>
  <c r="G145" i="2"/>
  <c r="P144" i="2"/>
  <c r="O144" i="2"/>
  <c r="J144" i="2"/>
  <c r="L144" i="2" s="1"/>
  <c r="Q144" i="2" s="1"/>
  <c r="G144" i="2"/>
  <c r="O143" i="2"/>
  <c r="P143" i="2" s="1"/>
  <c r="J143" i="2"/>
  <c r="L143" i="2" s="1"/>
  <c r="Q143" i="2" s="1"/>
  <c r="G143" i="2"/>
  <c r="O142" i="2"/>
  <c r="P142" i="2" s="1"/>
  <c r="J142" i="2"/>
  <c r="L142" i="2" s="1"/>
  <c r="Q142" i="2" s="1"/>
  <c r="G142" i="2"/>
  <c r="P141" i="2"/>
  <c r="O141" i="2"/>
  <c r="J141" i="2"/>
  <c r="L141" i="2" s="1"/>
  <c r="Q141" i="2" s="1"/>
  <c r="G141" i="2"/>
  <c r="A141" i="2"/>
  <c r="O140" i="2"/>
  <c r="P140" i="2" s="1"/>
  <c r="J140" i="2"/>
  <c r="L140" i="2" s="1"/>
  <c r="Q140" i="2" s="1"/>
  <c r="G140" i="2"/>
  <c r="O139" i="2"/>
  <c r="P139" i="2" s="1"/>
  <c r="J139" i="2"/>
  <c r="L139" i="2" s="1"/>
  <c r="Q139" i="2" s="1"/>
  <c r="G139" i="2"/>
  <c r="A139" i="2"/>
  <c r="P138" i="2"/>
  <c r="O138" i="2"/>
  <c r="J138" i="2"/>
  <c r="L138" i="2" s="1"/>
  <c r="Q138" i="2" s="1"/>
  <c r="G138" i="2"/>
  <c r="A138" i="2"/>
  <c r="Q137" i="2"/>
  <c r="O137" i="2"/>
  <c r="P137" i="2" s="1"/>
  <c r="K137" i="2"/>
  <c r="J137" i="2"/>
  <c r="G137" i="2"/>
  <c r="Q136" i="2"/>
  <c r="O136" i="2"/>
  <c r="P136" i="2" s="1"/>
  <c r="K136" i="2"/>
  <c r="J136" i="2" s="1"/>
  <c r="G136" i="2"/>
  <c r="Q135" i="2"/>
  <c r="O135" i="2"/>
  <c r="P135" i="2" s="1"/>
  <c r="K135" i="2"/>
  <c r="J135" i="2" s="1"/>
  <c r="G135" i="2"/>
  <c r="Q134" i="2"/>
  <c r="O134" i="2"/>
  <c r="P134" i="2" s="1"/>
  <c r="K134" i="2"/>
  <c r="J134" i="2" s="1"/>
  <c r="G134" i="2"/>
  <c r="A134" i="2"/>
  <c r="O133" i="2"/>
  <c r="P133" i="2" s="1"/>
  <c r="J133" i="2"/>
  <c r="L133" i="2" s="1"/>
  <c r="Q133" i="2" s="1"/>
  <c r="G133" i="2"/>
  <c r="O132" i="2"/>
  <c r="P132" i="2" s="1"/>
  <c r="J132" i="2"/>
  <c r="L132" i="2" s="1"/>
  <c r="Q132" i="2" s="1"/>
  <c r="G132" i="2"/>
  <c r="A132" i="2"/>
  <c r="O131" i="2"/>
  <c r="P131" i="2" s="1"/>
  <c r="J131" i="2"/>
  <c r="L131" i="2" s="1"/>
  <c r="Q131" i="2" s="1"/>
  <c r="G131" i="2"/>
  <c r="O130" i="2"/>
  <c r="P130" i="2" s="1"/>
  <c r="J130" i="2"/>
  <c r="L130" i="2" s="1"/>
  <c r="Q130" i="2" s="1"/>
  <c r="G130" i="2"/>
  <c r="O129" i="2"/>
  <c r="P129" i="2" s="1"/>
  <c r="J129" i="2"/>
  <c r="L129" i="2" s="1"/>
  <c r="Q129" i="2" s="1"/>
  <c r="G129" i="2"/>
  <c r="O128" i="2"/>
  <c r="P128" i="2" s="1"/>
  <c r="J128" i="2"/>
  <c r="L128" i="2" s="1"/>
  <c r="Q128" i="2" s="1"/>
  <c r="G128" i="2"/>
  <c r="A128" i="2"/>
  <c r="P127" i="2"/>
  <c r="O127" i="2"/>
  <c r="J127" i="2"/>
  <c r="L127" i="2" s="1"/>
  <c r="Q127" i="2" s="1"/>
  <c r="G127" i="2"/>
  <c r="A127" i="2"/>
  <c r="O126" i="2"/>
  <c r="P126" i="2" s="1"/>
  <c r="J126" i="2"/>
  <c r="L126" i="2" s="1"/>
  <c r="Q126" i="2" s="1"/>
  <c r="G126" i="2"/>
  <c r="O125" i="2"/>
  <c r="P125" i="2" s="1"/>
  <c r="J125" i="2"/>
  <c r="L125" i="2" s="1"/>
  <c r="Q125" i="2" s="1"/>
  <c r="G125" i="2"/>
  <c r="A125" i="2"/>
  <c r="Q124" i="2"/>
  <c r="O124" i="2"/>
  <c r="P124" i="2" s="1"/>
  <c r="K124" i="2"/>
  <c r="J124" i="2" s="1"/>
  <c r="Q123" i="2"/>
  <c r="O123" i="2"/>
  <c r="P123" i="2" s="1"/>
  <c r="K123" i="2"/>
  <c r="J123" i="2"/>
  <c r="Q122" i="2"/>
  <c r="O122" i="2"/>
  <c r="P122" i="2" s="1"/>
  <c r="K122" i="2"/>
  <c r="J122" i="2" s="1"/>
  <c r="Q121" i="2"/>
  <c r="O121" i="2"/>
  <c r="P121" i="2" s="1"/>
  <c r="K121" i="2"/>
  <c r="J121" i="2"/>
  <c r="Q120" i="2"/>
  <c r="O120" i="2"/>
  <c r="P120" i="2" s="1"/>
  <c r="K120" i="2"/>
  <c r="J120" i="2"/>
  <c r="Q119" i="2"/>
  <c r="T119" i="2" s="1"/>
  <c r="P119" i="2"/>
  <c r="O119" i="2"/>
  <c r="K119" i="2"/>
  <c r="J119" i="2" s="1"/>
  <c r="Q118" i="2"/>
  <c r="O118" i="2"/>
  <c r="P118" i="2" s="1"/>
  <c r="K118" i="2"/>
  <c r="J118" i="2"/>
  <c r="Q117" i="2"/>
  <c r="O117" i="2"/>
  <c r="P117" i="2" s="1"/>
  <c r="K117" i="2"/>
  <c r="J117" i="2" s="1"/>
  <c r="Q116" i="2"/>
  <c r="O116" i="2"/>
  <c r="P116" i="2" s="1"/>
  <c r="K116" i="2"/>
  <c r="J116" i="2" s="1"/>
  <c r="Q115" i="2"/>
  <c r="O115" i="2"/>
  <c r="P115" i="2" s="1"/>
  <c r="K115" i="2"/>
  <c r="J115" i="2"/>
  <c r="Q114" i="2"/>
  <c r="P114" i="2"/>
  <c r="O114" i="2"/>
  <c r="K114" i="2"/>
  <c r="J114" i="2" s="1"/>
  <c r="Q113" i="2"/>
  <c r="O113" i="2"/>
  <c r="P113" i="2" s="1"/>
  <c r="K113" i="2"/>
  <c r="J113" i="2" s="1"/>
  <c r="Q112" i="2"/>
  <c r="O112" i="2"/>
  <c r="P112" i="2" s="1"/>
  <c r="K112" i="2"/>
  <c r="J112" i="2" s="1"/>
  <c r="Q111" i="2"/>
  <c r="O111" i="2"/>
  <c r="P111" i="2" s="1"/>
  <c r="K111" i="2"/>
  <c r="J111" i="2" s="1"/>
  <c r="Q110" i="2"/>
  <c r="O110" i="2"/>
  <c r="P110" i="2" s="1"/>
  <c r="K110" i="2"/>
  <c r="J110" i="2" s="1"/>
  <c r="Q109" i="2"/>
  <c r="O109" i="2"/>
  <c r="P109" i="2" s="1"/>
  <c r="K109" i="2"/>
  <c r="J109" i="2"/>
  <c r="Q108" i="2"/>
  <c r="O108" i="2"/>
  <c r="P108" i="2" s="1"/>
  <c r="K108" i="2"/>
  <c r="J108" i="2" s="1"/>
  <c r="Q107" i="2"/>
  <c r="O107" i="2"/>
  <c r="P107" i="2" s="1"/>
  <c r="T107" i="2" s="1"/>
  <c r="K107" i="2"/>
  <c r="J107" i="2" s="1"/>
  <c r="Q106" i="2"/>
  <c r="O106" i="2"/>
  <c r="P106" i="2" s="1"/>
  <c r="K106" i="2"/>
  <c r="J106" i="2"/>
  <c r="Q105" i="2"/>
  <c r="O105" i="2"/>
  <c r="P105" i="2" s="1"/>
  <c r="K105" i="2"/>
  <c r="J105" i="2" s="1"/>
  <c r="Q104" i="2"/>
  <c r="O104" i="2"/>
  <c r="P104" i="2" s="1"/>
  <c r="K104" i="2"/>
  <c r="J104" i="2"/>
  <c r="Q103" i="2"/>
  <c r="O103" i="2"/>
  <c r="P103" i="2" s="1"/>
  <c r="K103" i="2"/>
  <c r="J103" i="2"/>
  <c r="Q102" i="2"/>
  <c r="O102" i="2"/>
  <c r="P102" i="2" s="1"/>
  <c r="K102" i="2"/>
  <c r="J102" i="2" s="1"/>
  <c r="Q101" i="2"/>
  <c r="O101" i="2"/>
  <c r="P101" i="2" s="1"/>
  <c r="K101" i="2"/>
  <c r="J101" i="2" s="1"/>
  <c r="G101" i="2"/>
  <c r="A101" i="2"/>
  <c r="P100" i="2"/>
  <c r="O100" i="2"/>
  <c r="J100" i="2"/>
  <c r="L100" i="2" s="1"/>
  <c r="Q100" i="2" s="1"/>
  <c r="G100" i="2"/>
  <c r="O99" i="2"/>
  <c r="P99" i="2" s="1"/>
  <c r="J99" i="2"/>
  <c r="L99" i="2" s="1"/>
  <c r="Q99" i="2" s="1"/>
  <c r="G99" i="2"/>
  <c r="O98" i="2"/>
  <c r="P98" i="2" s="1"/>
  <c r="J98" i="2"/>
  <c r="L98" i="2" s="1"/>
  <c r="Q98" i="2" s="1"/>
  <c r="G98" i="2"/>
  <c r="P97" i="2"/>
  <c r="O97" i="2"/>
  <c r="J97" i="2"/>
  <c r="L97" i="2" s="1"/>
  <c r="Q97" i="2" s="1"/>
  <c r="G97" i="2"/>
  <c r="A97" i="2"/>
  <c r="AH96" i="2"/>
  <c r="Y96" i="2"/>
  <c r="X96" i="2"/>
  <c r="O96" i="2"/>
  <c r="P96" i="2" s="1"/>
  <c r="L96" i="2"/>
  <c r="Q96" i="2" s="1"/>
  <c r="K96" i="2"/>
  <c r="A96" i="2"/>
  <c r="P95" i="2"/>
  <c r="O95" i="2"/>
  <c r="J95" i="2"/>
  <c r="L95" i="2" s="1"/>
  <c r="Q95" i="2" s="1"/>
  <c r="G95" i="2"/>
  <c r="A95" i="2"/>
  <c r="O94" i="2"/>
  <c r="P94" i="2" s="1"/>
  <c r="J94" i="2"/>
  <c r="L94" i="2" s="1"/>
  <c r="Q94" i="2" s="1"/>
  <c r="G94" i="2"/>
  <c r="O93" i="2"/>
  <c r="P93" i="2" s="1"/>
  <c r="J93" i="2"/>
  <c r="L93" i="2" s="1"/>
  <c r="Q93" i="2" s="1"/>
  <c r="G93" i="2"/>
  <c r="A93" i="2"/>
  <c r="O92" i="2"/>
  <c r="P92" i="2" s="1"/>
  <c r="J92" i="2"/>
  <c r="L92" i="2" s="1"/>
  <c r="Q92" i="2" s="1"/>
  <c r="G92" i="2"/>
  <c r="A92" i="2"/>
  <c r="O91" i="2"/>
  <c r="P91" i="2" s="1"/>
  <c r="L91" i="2"/>
  <c r="Q91" i="2" s="1"/>
  <c r="J91" i="2"/>
  <c r="G91" i="2"/>
  <c r="A91" i="2"/>
  <c r="O90" i="2"/>
  <c r="P90" i="2" s="1"/>
  <c r="J90" i="2"/>
  <c r="L90" i="2" s="1"/>
  <c r="Q90" i="2" s="1"/>
  <c r="G90" i="2"/>
  <c r="O89" i="2"/>
  <c r="P89" i="2" s="1"/>
  <c r="J89" i="2"/>
  <c r="L89" i="2" s="1"/>
  <c r="Q89" i="2" s="1"/>
  <c r="G89" i="2"/>
  <c r="P88" i="2"/>
  <c r="O88" i="2"/>
  <c r="J88" i="2"/>
  <c r="L88" i="2" s="1"/>
  <c r="Q88" i="2" s="1"/>
  <c r="G88" i="2"/>
  <c r="A88" i="2"/>
  <c r="P87" i="2"/>
  <c r="O87" i="2"/>
  <c r="J87" i="2"/>
  <c r="L87" i="2" s="1"/>
  <c r="Q87" i="2" s="1"/>
  <c r="T87" i="2" s="1"/>
  <c r="G87" i="2"/>
  <c r="A87" i="2"/>
  <c r="O86" i="2"/>
  <c r="P86" i="2" s="1"/>
  <c r="J86" i="2"/>
  <c r="L86" i="2" s="1"/>
  <c r="Q86" i="2" s="1"/>
  <c r="G86" i="2"/>
  <c r="O85" i="2"/>
  <c r="P85" i="2" s="1"/>
  <c r="L85" i="2"/>
  <c r="Q85" i="2" s="1"/>
  <c r="J85" i="2"/>
  <c r="G85" i="2"/>
  <c r="A85" i="2"/>
  <c r="O84" i="2"/>
  <c r="P84" i="2" s="1"/>
  <c r="L84" i="2"/>
  <c r="Q84" i="2" s="1"/>
  <c r="K84" i="2"/>
  <c r="G84" i="2"/>
  <c r="O83" i="2"/>
  <c r="P83" i="2" s="1"/>
  <c r="L83" i="2"/>
  <c r="Q83" i="2" s="1"/>
  <c r="K83" i="2"/>
  <c r="G83" i="2"/>
  <c r="O82" i="2"/>
  <c r="P82" i="2" s="1"/>
  <c r="L82" i="2"/>
  <c r="Q82" i="2" s="1"/>
  <c r="K82" i="2"/>
  <c r="G82" i="2"/>
  <c r="O81" i="2"/>
  <c r="P81" i="2" s="1"/>
  <c r="L81" i="2"/>
  <c r="Q81" i="2" s="1"/>
  <c r="K81" i="2"/>
  <c r="G81" i="2"/>
  <c r="P80" i="2"/>
  <c r="O80" i="2"/>
  <c r="L80" i="2"/>
  <c r="Q80" i="2" s="1"/>
  <c r="K80" i="2"/>
  <c r="G80" i="2"/>
  <c r="O79" i="2"/>
  <c r="P79" i="2" s="1"/>
  <c r="L79" i="2"/>
  <c r="Q79" i="2" s="1"/>
  <c r="K79" i="2"/>
  <c r="G79" i="2"/>
  <c r="O78" i="2"/>
  <c r="P78" i="2" s="1"/>
  <c r="L78" i="2"/>
  <c r="Q78" i="2" s="1"/>
  <c r="K78" i="2"/>
  <c r="G78" i="2"/>
  <c r="O77" i="2"/>
  <c r="P77" i="2" s="1"/>
  <c r="S77" i="2" s="1"/>
  <c r="L77" i="2"/>
  <c r="Q77" i="2" s="1"/>
  <c r="K77" i="2"/>
  <c r="G77" i="2"/>
  <c r="O76" i="2"/>
  <c r="P76" i="2" s="1"/>
  <c r="L76" i="2"/>
  <c r="Q76" i="2" s="1"/>
  <c r="K76" i="2"/>
  <c r="G76" i="2"/>
  <c r="O75" i="2"/>
  <c r="P75" i="2" s="1"/>
  <c r="L75" i="2"/>
  <c r="Q75" i="2" s="1"/>
  <c r="K75" i="2"/>
  <c r="G75" i="2"/>
  <c r="Q74" i="2"/>
  <c r="O74" i="2"/>
  <c r="P74" i="2" s="1"/>
  <c r="L74" i="2"/>
  <c r="K74" i="2"/>
  <c r="G74" i="2"/>
  <c r="O73" i="2"/>
  <c r="P73" i="2" s="1"/>
  <c r="L73" i="2"/>
  <c r="Q73" i="2" s="1"/>
  <c r="K73" i="2"/>
  <c r="G73" i="2"/>
  <c r="O72" i="2"/>
  <c r="P72" i="2" s="1"/>
  <c r="L72" i="2"/>
  <c r="Q72" i="2" s="1"/>
  <c r="K72" i="2"/>
  <c r="G72" i="2"/>
  <c r="O71" i="2"/>
  <c r="P71" i="2" s="1"/>
  <c r="L71" i="2"/>
  <c r="Q71" i="2" s="1"/>
  <c r="K71" i="2"/>
  <c r="G71" i="2"/>
  <c r="O70" i="2"/>
  <c r="P70" i="2" s="1"/>
  <c r="L70" i="2"/>
  <c r="Q70" i="2" s="1"/>
  <c r="K70" i="2"/>
  <c r="G70" i="2"/>
  <c r="O69" i="2"/>
  <c r="P69" i="2" s="1"/>
  <c r="L69" i="2"/>
  <c r="Q69" i="2" s="1"/>
  <c r="K69" i="2"/>
  <c r="G69" i="2"/>
  <c r="O68" i="2"/>
  <c r="P68" i="2" s="1"/>
  <c r="L68" i="2"/>
  <c r="Q68" i="2" s="1"/>
  <c r="K68" i="2"/>
  <c r="G68" i="2"/>
  <c r="O67" i="2"/>
  <c r="P67" i="2" s="1"/>
  <c r="L67" i="2"/>
  <c r="Q67" i="2" s="1"/>
  <c r="K67" i="2"/>
  <c r="G67" i="2"/>
  <c r="O66" i="2"/>
  <c r="P66" i="2" s="1"/>
  <c r="L66" i="2"/>
  <c r="Q66" i="2" s="1"/>
  <c r="K66" i="2"/>
  <c r="G66" i="2"/>
  <c r="O65" i="2"/>
  <c r="P65" i="2" s="1"/>
  <c r="L65" i="2"/>
  <c r="Q65" i="2" s="1"/>
  <c r="K65" i="2"/>
  <c r="G65" i="2"/>
  <c r="O64" i="2"/>
  <c r="P64" i="2" s="1"/>
  <c r="L64" i="2"/>
  <c r="Q64" i="2" s="1"/>
  <c r="G64" i="2"/>
  <c r="O63" i="2"/>
  <c r="P63" i="2" s="1"/>
  <c r="J63" i="2"/>
  <c r="L63" i="2" s="1"/>
  <c r="Q63" i="2" s="1"/>
  <c r="G63" i="2"/>
  <c r="A63" i="2"/>
  <c r="O62" i="2"/>
  <c r="P62" i="2" s="1"/>
  <c r="J62" i="2"/>
  <c r="L62" i="2" s="1"/>
  <c r="Q62" i="2" s="1"/>
  <c r="G62" i="2"/>
  <c r="O61" i="2"/>
  <c r="P61" i="2" s="1"/>
  <c r="J61" i="2"/>
  <c r="L61" i="2" s="1"/>
  <c r="Q61" i="2" s="1"/>
  <c r="G61" i="2"/>
  <c r="A61" i="2"/>
  <c r="O60" i="2"/>
  <c r="P60" i="2" s="1"/>
  <c r="J60" i="2"/>
  <c r="L60" i="2" s="1"/>
  <c r="Q60" i="2" s="1"/>
  <c r="H60" i="2"/>
  <c r="G60" i="2"/>
  <c r="O59" i="2"/>
  <c r="P59" i="2" s="1"/>
  <c r="J59" i="2"/>
  <c r="L59" i="2" s="1"/>
  <c r="Q59" i="2" s="1"/>
  <c r="H59" i="2"/>
  <c r="G59" i="2"/>
  <c r="A59" i="2"/>
  <c r="O58" i="2"/>
  <c r="P58" i="2" s="1"/>
  <c r="J58" i="2"/>
  <c r="L58" i="2" s="1"/>
  <c r="Q58" i="2" s="1"/>
  <c r="G58" i="2"/>
  <c r="O57" i="2"/>
  <c r="P57" i="2" s="1"/>
  <c r="J57" i="2"/>
  <c r="L57" i="2" s="1"/>
  <c r="Q57" i="2" s="1"/>
  <c r="G57" i="2"/>
  <c r="A57" i="2"/>
  <c r="O56" i="2"/>
  <c r="P56" i="2" s="1"/>
  <c r="J56" i="2"/>
  <c r="L56" i="2" s="1"/>
  <c r="Q56" i="2" s="1"/>
  <c r="A56" i="2"/>
  <c r="O55" i="2"/>
  <c r="P55" i="2" s="1"/>
  <c r="J55" i="2"/>
  <c r="L55" i="2" s="1"/>
  <c r="Q55" i="2" s="1"/>
  <c r="G55" i="2"/>
  <c r="A55" i="2"/>
  <c r="P54" i="2"/>
  <c r="O54" i="2"/>
  <c r="J54" i="2"/>
  <c r="L54" i="2" s="1"/>
  <c r="Q54" i="2" s="1"/>
  <c r="G54" i="2"/>
  <c r="O53" i="2"/>
  <c r="P53" i="2" s="1"/>
  <c r="J53" i="2"/>
  <c r="L53" i="2" s="1"/>
  <c r="Q53" i="2" s="1"/>
  <c r="G53" i="2"/>
  <c r="O52" i="2"/>
  <c r="P52" i="2" s="1"/>
  <c r="J52" i="2"/>
  <c r="L52" i="2" s="1"/>
  <c r="Q52" i="2" s="1"/>
  <c r="G52" i="2"/>
  <c r="A52" i="2"/>
  <c r="O51" i="2"/>
  <c r="P51" i="2" s="1"/>
  <c r="J51" i="2"/>
  <c r="L51" i="2" s="1"/>
  <c r="Q51" i="2" s="1"/>
  <c r="G51" i="2"/>
  <c r="O50" i="2"/>
  <c r="P50" i="2" s="1"/>
  <c r="J50" i="2"/>
  <c r="L50" i="2" s="1"/>
  <c r="Q50" i="2" s="1"/>
  <c r="G50" i="2"/>
  <c r="O49" i="2"/>
  <c r="P49" i="2" s="1"/>
  <c r="J49" i="2"/>
  <c r="L49" i="2" s="1"/>
  <c r="Q49" i="2" s="1"/>
  <c r="G49" i="2"/>
  <c r="A49" i="2"/>
  <c r="O48" i="2"/>
  <c r="P48" i="2" s="1"/>
  <c r="J48" i="2"/>
  <c r="L48" i="2" s="1"/>
  <c r="Q48" i="2" s="1"/>
  <c r="G48" i="2"/>
  <c r="A48" i="2"/>
  <c r="O47" i="2"/>
  <c r="P47" i="2" s="1"/>
  <c r="J47" i="2"/>
  <c r="L47" i="2" s="1"/>
  <c r="Q47" i="2" s="1"/>
  <c r="G47" i="2"/>
  <c r="A47" i="2"/>
  <c r="O46" i="2"/>
  <c r="P46" i="2" s="1"/>
  <c r="J46" i="2"/>
  <c r="L46" i="2" s="1"/>
  <c r="Q46" i="2" s="1"/>
  <c r="G46" i="2"/>
  <c r="O45" i="2"/>
  <c r="P45" i="2" s="1"/>
  <c r="J45" i="2"/>
  <c r="L45" i="2" s="1"/>
  <c r="Q45" i="2" s="1"/>
  <c r="G45" i="2"/>
  <c r="O44" i="2"/>
  <c r="P44" i="2" s="1"/>
  <c r="J44" i="2"/>
  <c r="L44" i="2" s="1"/>
  <c r="Q44" i="2" s="1"/>
  <c r="G44" i="2"/>
  <c r="O43" i="2"/>
  <c r="P43" i="2" s="1"/>
  <c r="J43" i="2"/>
  <c r="L43" i="2" s="1"/>
  <c r="Q43" i="2" s="1"/>
  <c r="G43" i="2"/>
  <c r="O42" i="2"/>
  <c r="P42" i="2" s="1"/>
  <c r="J42" i="2"/>
  <c r="L42" i="2" s="1"/>
  <c r="Q42" i="2" s="1"/>
  <c r="G42" i="2"/>
  <c r="O41" i="2"/>
  <c r="P41" i="2" s="1"/>
  <c r="J41" i="2"/>
  <c r="L41" i="2" s="1"/>
  <c r="Q41" i="2" s="1"/>
  <c r="G41" i="2"/>
  <c r="A41" i="2"/>
  <c r="O40" i="2"/>
  <c r="P40" i="2" s="1"/>
  <c r="J40" i="2"/>
  <c r="L40" i="2" s="1"/>
  <c r="Q40" i="2" s="1"/>
  <c r="G40" i="2"/>
  <c r="O39" i="2"/>
  <c r="P39" i="2" s="1"/>
  <c r="J39" i="2"/>
  <c r="L39" i="2" s="1"/>
  <c r="Q39" i="2" s="1"/>
  <c r="G39" i="2"/>
  <c r="B39" i="2"/>
  <c r="A39" i="2"/>
  <c r="O38" i="2"/>
  <c r="P38" i="2" s="1"/>
  <c r="J38" i="2"/>
  <c r="L38" i="2" s="1"/>
  <c r="Q38" i="2" s="1"/>
  <c r="G38" i="2"/>
  <c r="O37" i="2"/>
  <c r="P37" i="2" s="1"/>
  <c r="J37" i="2"/>
  <c r="L37" i="2" s="1"/>
  <c r="Q37" i="2" s="1"/>
  <c r="G37" i="2"/>
  <c r="O36" i="2"/>
  <c r="P36" i="2" s="1"/>
  <c r="J36" i="2"/>
  <c r="L36" i="2" s="1"/>
  <c r="Q36" i="2" s="1"/>
  <c r="G36" i="2"/>
  <c r="B36" i="2"/>
  <c r="A36" i="2"/>
  <c r="O35" i="2"/>
  <c r="P35" i="2" s="1"/>
  <c r="J35" i="2"/>
  <c r="L35" i="2" s="1"/>
  <c r="Q35" i="2" s="1"/>
  <c r="G35" i="2"/>
  <c r="A35" i="2"/>
  <c r="O34" i="2"/>
  <c r="P34" i="2" s="1"/>
  <c r="J34" i="2"/>
  <c r="L34" i="2" s="1"/>
  <c r="Q34" i="2" s="1"/>
  <c r="G34" i="2"/>
  <c r="P33" i="2"/>
  <c r="O33" i="2"/>
  <c r="J33" i="2"/>
  <c r="L33" i="2" s="1"/>
  <c r="Q33" i="2" s="1"/>
  <c r="G33" i="2"/>
  <c r="A33" i="2"/>
  <c r="O32" i="2"/>
  <c r="P32" i="2" s="1"/>
  <c r="J32" i="2"/>
  <c r="L32" i="2" s="1"/>
  <c r="Q32" i="2" s="1"/>
  <c r="G32" i="2"/>
  <c r="A32" i="2"/>
  <c r="P31" i="2"/>
  <c r="O31" i="2"/>
  <c r="J31" i="2"/>
  <c r="L31" i="2" s="1"/>
  <c r="Q31" i="2" s="1"/>
  <c r="G31" i="2"/>
  <c r="A31" i="2"/>
  <c r="O30" i="2"/>
  <c r="P30" i="2" s="1"/>
  <c r="J30" i="2"/>
  <c r="L30" i="2" s="1"/>
  <c r="Q30" i="2" s="1"/>
  <c r="G30" i="2"/>
  <c r="A30" i="2"/>
  <c r="O29" i="2"/>
  <c r="P29" i="2" s="1"/>
  <c r="J29" i="2"/>
  <c r="L29" i="2" s="1"/>
  <c r="Q29" i="2" s="1"/>
  <c r="G29" i="2"/>
  <c r="A29" i="2"/>
  <c r="O28" i="2"/>
  <c r="P28" i="2" s="1"/>
  <c r="J28" i="2"/>
  <c r="L28" i="2" s="1"/>
  <c r="Q28" i="2" s="1"/>
  <c r="G28" i="2"/>
  <c r="O27" i="2"/>
  <c r="P27" i="2" s="1"/>
  <c r="L27" i="2"/>
  <c r="Q27" i="2" s="1"/>
  <c r="J27" i="2"/>
  <c r="G27" i="2"/>
  <c r="A27" i="2"/>
  <c r="O26" i="2"/>
  <c r="P26" i="2" s="1"/>
  <c r="J26" i="2"/>
  <c r="L26" i="2" s="1"/>
  <c r="Q26" i="2" s="1"/>
  <c r="G26" i="2"/>
  <c r="P25" i="2"/>
  <c r="O25" i="2"/>
  <c r="J25" i="2"/>
  <c r="L25" i="2" s="1"/>
  <c r="Q25" i="2" s="1"/>
  <c r="G25" i="2"/>
  <c r="A25" i="2"/>
  <c r="O24" i="2"/>
  <c r="P24" i="2" s="1"/>
  <c r="J24" i="2"/>
  <c r="L24" i="2" s="1"/>
  <c r="Q24" i="2" s="1"/>
  <c r="A24" i="2"/>
  <c r="O23" i="2"/>
  <c r="P23" i="2" s="1"/>
  <c r="L23" i="2"/>
  <c r="Q23" i="2" s="1"/>
  <c r="J23" i="2"/>
  <c r="G23" i="2"/>
  <c r="O22" i="2"/>
  <c r="P22" i="2" s="1"/>
  <c r="J22" i="2"/>
  <c r="L22" i="2" s="1"/>
  <c r="Q22" i="2" s="1"/>
  <c r="G22" i="2"/>
  <c r="A22" i="2"/>
  <c r="O21" i="2"/>
  <c r="P21" i="2" s="1"/>
  <c r="L21" i="2"/>
  <c r="Q21" i="2" s="1"/>
  <c r="J21" i="2"/>
  <c r="G21" i="2"/>
  <c r="O20" i="2"/>
  <c r="P20" i="2" s="1"/>
  <c r="J20" i="2"/>
  <c r="L20" i="2" s="1"/>
  <c r="Q20" i="2" s="1"/>
  <c r="G20" i="2"/>
  <c r="O19" i="2"/>
  <c r="P19" i="2" s="1"/>
  <c r="J19" i="2"/>
  <c r="L19" i="2" s="1"/>
  <c r="Q19" i="2" s="1"/>
  <c r="G19" i="2"/>
  <c r="O18" i="2"/>
  <c r="P18" i="2" s="1"/>
  <c r="J18" i="2"/>
  <c r="L18" i="2" s="1"/>
  <c r="Q18" i="2" s="1"/>
  <c r="G18" i="2"/>
  <c r="O17" i="2"/>
  <c r="P17" i="2" s="1"/>
  <c r="J17" i="2"/>
  <c r="L17" i="2" s="1"/>
  <c r="Q17" i="2" s="1"/>
  <c r="G17" i="2"/>
  <c r="O16" i="2"/>
  <c r="P16" i="2" s="1"/>
  <c r="J16" i="2"/>
  <c r="L16" i="2" s="1"/>
  <c r="Q16" i="2" s="1"/>
  <c r="G16" i="2"/>
  <c r="A16" i="2"/>
  <c r="O15" i="2"/>
  <c r="P15" i="2" s="1"/>
  <c r="J15" i="2"/>
  <c r="L15" i="2" s="1"/>
  <c r="Q15" i="2" s="1"/>
  <c r="G15" i="2"/>
  <c r="O14" i="2"/>
  <c r="P14" i="2" s="1"/>
  <c r="J14" i="2"/>
  <c r="L14" i="2" s="1"/>
  <c r="Q14" i="2" s="1"/>
  <c r="G14" i="2"/>
  <c r="A14" i="2"/>
  <c r="O13" i="2"/>
  <c r="P13" i="2" s="1"/>
  <c r="J13" i="2"/>
  <c r="L13" i="2" s="1"/>
  <c r="Q13" i="2" s="1"/>
  <c r="G13" i="2"/>
  <c r="O12" i="2"/>
  <c r="P12" i="2" s="1"/>
  <c r="J12" i="2"/>
  <c r="L12" i="2" s="1"/>
  <c r="Q12" i="2" s="1"/>
  <c r="S12" i="2" s="1"/>
  <c r="G12" i="2"/>
  <c r="A12" i="2"/>
  <c r="O11" i="2"/>
  <c r="P11" i="2" s="1"/>
  <c r="J11" i="2"/>
  <c r="L11" i="2" s="1"/>
  <c r="Q11" i="2" s="1"/>
  <c r="T11" i="2" s="1"/>
  <c r="G11" i="2"/>
  <c r="O10" i="2"/>
  <c r="P10" i="2" s="1"/>
  <c r="J10" i="2"/>
  <c r="L10" i="2" s="1"/>
  <c r="Q10" i="2" s="1"/>
  <c r="G10" i="2"/>
  <c r="O9" i="2"/>
  <c r="P9" i="2" s="1"/>
  <c r="J9" i="2"/>
  <c r="L9" i="2" s="1"/>
  <c r="Q9" i="2" s="1"/>
  <c r="G9" i="2"/>
  <c r="A9" i="2"/>
  <c r="Q8" i="2"/>
  <c r="O8" i="2"/>
  <c r="P8" i="2" s="1"/>
  <c r="J8" i="2"/>
  <c r="G8" i="2"/>
  <c r="Q7" i="2"/>
  <c r="O7" i="2"/>
  <c r="P7" i="2" s="1"/>
  <c r="T7" i="2" s="1"/>
  <c r="J7" i="2"/>
  <c r="G7" i="2"/>
  <c r="Q6" i="2"/>
  <c r="O6" i="2"/>
  <c r="P6" i="2" s="1"/>
  <c r="S6" i="2" s="1"/>
  <c r="J6" i="2"/>
  <c r="G6" i="2"/>
  <c r="Q5" i="2"/>
  <c r="O5" i="2"/>
  <c r="P5" i="2" s="1"/>
  <c r="J5" i="2"/>
  <c r="G5" i="2"/>
  <c r="A5" i="2"/>
  <c r="L3" i="2"/>
  <c r="P1018" i="1"/>
  <c r="Q1018" i="1" s="1"/>
  <c r="S1018" i="1" s="1"/>
  <c r="P1017" i="1"/>
  <c r="Q1017" i="1" s="1"/>
  <c r="S1017" i="1" s="1"/>
  <c r="P1016" i="1"/>
  <c r="Q1016" i="1" s="1"/>
  <c r="S1016" i="1" s="1"/>
  <c r="P1015" i="1"/>
  <c r="Q1015" i="1" s="1"/>
  <c r="S1015" i="1" s="1"/>
  <c r="P1014" i="1"/>
  <c r="Q1014" i="1" s="1"/>
  <c r="S1014" i="1" s="1"/>
  <c r="P1013" i="1"/>
  <c r="Q1013" i="1" s="1"/>
  <c r="S1013" i="1" s="1"/>
  <c r="P1012" i="1"/>
  <c r="Q1012" i="1" s="1"/>
  <c r="S1012" i="1" s="1"/>
  <c r="P1011" i="1"/>
  <c r="Q1011" i="1" s="1"/>
  <c r="S1011" i="1" s="1"/>
  <c r="P1010" i="1"/>
  <c r="Q1010" i="1" s="1"/>
  <c r="S1010" i="1" s="1"/>
  <c r="P1009" i="1"/>
  <c r="Q1009" i="1" s="1"/>
  <c r="S1009" i="1" s="1"/>
  <c r="P1008" i="1"/>
  <c r="Q1008" i="1" s="1"/>
  <c r="S1008" i="1" s="1"/>
  <c r="P1007" i="1"/>
  <c r="Q1007" i="1" s="1"/>
  <c r="S1007" i="1" s="1"/>
  <c r="P1006" i="1"/>
  <c r="Q1006" i="1" s="1"/>
  <c r="S1006" i="1" s="1"/>
  <c r="P1005" i="1"/>
  <c r="Q1005" i="1" s="1"/>
  <c r="S1005" i="1" s="1"/>
  <c r="P1004" i="1"/>
  <c r="Q1004" i="1" s="1"/>
  <c r="S1004" i="1" s="1"/>
  <c r="P1003" i="1"/>
  <c r="Q1003" i="1" s="1"/>
  <c r="S1003" i="1" s="1"/>
  <c r="P1002" i="1"/>
  <c r="Q1002" i="1" s="1"/>
  <c r="S1002" i="1" s="1"/>
  <c r="P1001" i="1"/>
  <c r="Q1001" i="1" s="1"/>
  <c r="S1001" i="1" s="1"/>
  <c r="P1000" i="1"/>
  <c r="Q1000" i="1" s="1"/>
  <c r="S1000" i="1" s="1"/>
  <c r="P999" i="1"/>
  <c r="Q999" i="1" s="1"/>
  <c r="S999" i="1" s="1"/>
  <c r="P998" i="1"/>
  <c r="Q998" i="1" s="1"/>
  <c r="S998" i="1" s="1"/>
  <c r="P997" i="1"/>
  <c r="Q997" i="1" s="1"/>
  <c r="S997" i="1" s="1"/>
  <c r="P996" i="1"/>
  <c r="Q996" i="1" s="1"/>
  <c r="S996" i="1" s="1"/>
  <c r="P995" i="1"/>
  <c r="Q995" i="1" s="1"/>
  <c r="S995" i="1" s="1"/>
  <c r="P994" i="1"/>
  <c r="Q994" i="1" s="1"/>
  <c r="S994" i="1" s="1"/>
  <c r="P993" i="1"/>
  <c r="Q993" i="1" s="1"/>
  <c r="S993" i="1" s="1"/>
  <c r="P992" i="1"/>
  <c r="Q992" i="1" s="1"/>
  <c r="S992" i="1" s="1"/>
  <c r="P991" i="1"/>
  <c r="Q991" i="1" s="1"/>
  <c r="S991" i="1" s="1"/>
  <c r="P990" i="1"/>
  <c r="Q990" i="1" s="1"/>
  <c r="S990" i="1" s="1"/>
  <c r="P989" i="1"/>
  <c r="Q989" i="1" s="1"/>
  <c r="S989" i="1" s="1"/>
  <c r="P988" i="1"/>
  <c r="Q988" i="1" s="1"/>
  <c r="S988" i="1" s="1"/>
  <c r="P987" i="1"/>
  <c r="Q987" i="1" s="1"/>
  <c r="S987" i="1" s="1"/>
  <c r="P986" i="1"/>
  <c r="Q986" i="1" s="1"/>
  <c r="S986" i="1" s="1"/>
  <c r="P985" i="1"/>
  <c r="Q985" i="1" s="1"/>
  <c r="S985" i="1" s="1"/>
  <c r="P984" i="1"/>
  <c r="Q984" i="1" s="1"/>
  <c r="S984" i="1" s="1"/>
  <c r="P983" i="1"/>
  <c r="Q983" i="1" s="1"/>
  <c r="S983" i="1" s="1"/>
  <c r="P982" i="1"/>
  <c r="Q982" i="1" s="1"/>
  <c r="S982" i="1" s="1"/>
  <c r="P981" i="1"/>
  <c r="Q981" i="1" s="1"/>
  <c r="S981" i="1" s="1"/>
  <c r="P980" i="1"/>
  <c r="Q980" i="1" s="1"/>
  <c r="S980" i="1" s="1"/>
  <c r="P979" i="1"/>
  <c r="Q979" i="1" s="1"/>
  <c r="S979" i="1" s="1"/>
  <c r="P978" i="1"/>
  <c r="Q978" i="1" s="1"/>
  <c r="S978" i="1" s="1"/>
  <c r="P977" i="1"/>
  <c r="Q977" i="1" s="1"/>
  <c r="S977" i="1" s="1"/>
  <c r="P976" i="1"/>
  <c r="Q976" i="1" s="1"/>
  <c r="S976" i="1" s="1"/>
  <c r="P975" i="1"/>
  <c r="Q975" i="1" s="1"/>
  <c r="S975" i="1" s="1"/>
  <c r="P974" i="1"/>
  <c r="Q974" i="1" s="1"/>
  <c r="S974" i="1" s="1"/>
  <c r="P973" i="1"/>
  <c r="Q973" i="1" s="1"/>
  <c r="S973" i="1" s="1"/>
  <c r="P972" i="1"/>
  <c r="Q972" i="1" s="1"/>
  <c r="S972" i="1" s="1"/>
  <c r="P971" i="1"/>
  <c r="Q971" i="1" s="1"/>
  <c r="S971" i="1" s="1"/>
  <c r="P970" i="1"/>
  <c r="Q970" i="1" s="1"/>
  <c r="S970" i="1" s="1"/>
  <c r="P969" i="1"/>
  <c r="Q969" i="1" s="1"/>
  <c r="S969" i="1" s="1"/>
  <c r="P968" i="1"/>
  <c r="Q968" i="1" s="1"/>
  <c r="S968" i="1" s="1"/>
  <c r="P967" i="1"/>
  <c r="Q967" i="1" s="1"/>
  <c r="S967" i="1" s="1"/>
  <c r="P966" i="1"/>
  <c r="Q966" i="1" s="1"/>
  <c r="S966" i="1" s="1"/>
  <c r="P965" i="1"/>
  <c r="Q965" i="1" s="1"/>
  <c r="S965" i="1" s="1"/>
  <c r="P964" i="1"/>
  <c r="Q964" i="1" s="1"/>
  <c r="S964" i="1" s="1"/>
  <c r="P963" i="1"/>
  <c r="Q963" i="1" s="1"/>
  <c r="S963" i="1" s="1"/>
  <c r="P962" i="1"/>
  <c r="Q962" i="1" s="1"/>
  <c r="S962" i="1" s="1"/>
  <c r="P961" i="1"/>
  <c r="Q961" i="1" s="1"/>
  <c r="S961" i="1" s="1"/>
  <c r="P960" i="1"/>
  <c r="Q960" i="1" s="1"/>
  <c r="S960" i="1" s="1"/>
  <c r="P959" i="1"/>
  <c r="Q959" i="1" s="1"/>
  <c r="S959" i="1" s="1"/>
  <c r="P958" i="1"/>
  <c r="Q958" i="1" s="1"/>
  <c r="S958" i="1" s="1"/>
  <c r="P957" i="1"/>
  <c r="Q957" i="1" s="1"/>
  <c r="S957" i="1" s="1"/>
  <c r="P956" i="1"/>
  <c r="Q956" i="1" s="1"/>
  <c r="S956" i="1" s="1"/>
  <c r="P955" i="1"/>
  <c r="Q955" i="1" s="1"/>
  <c r="S955" i="1" s="1"/>
  <c r="P954" i="1"/>
  <c r="Q954" i="1" s="1"/>
  <c r="S954" i="1" s="1"/>
  <c r="P953" i="1"/>
  <c r="Q953" i="1" s="1"/>
  <c r="S953" i="1" s="1"/>
  <c r="P952" i="1"/>
  <c r="Q952" i="1" s="1"/>
  <c r="S952" i="1" s="1"/>
  <c r="P951" i="1"/>
  <c r="Q951" i="1" s="1"/>
  <c r="S951" i="1" s="1"/>
  <c r="P950" i="1"/>
  <c r="Q950" i="1" s="1"/>
  <c r="S950" i="1" s="1"/>
  <c r="P949" i="1"/>
  <c r="Q949" i="1" s="1"/>
  <c r="S949" i="1" s="1"/>
  <c r="P948" i="1"/>
  <c r="Q948" i="1" s="1"/>
  <c r="S948" i="1" s="1"/>
  <c r="P947" i="1"/>
  <c r="Q947" i="1" s="1"/>
  <c r="S947" i="1" s="1"/>
  <c r="P946" i="1"/>
  <c r="Q946" i="1" s="1"/>
  <c r="S946" i="1" s="1"/>
  <c r="P945" i="1"/>
  <c r="Q945" i="1" s="1"/>
  <c r="S945" i="1" s="1"/>
  <c r="P944" i="1"/>
  <c r="Q944" i="1" s="1"/>
  <c r="S944" i="1" s="1"/>
  <c r="P943" i="1"/>
  <c r="Q943" i="1" s="1"/>
  <c r="S943" i="1" s="1"/>
  <c r="P942" i="1"/>
  <c r="Q942" i="1" s="1"/>
  <c r="S942" i="1" s="1"/>
  <c r="P941" i="1"/>
  <c r="Q941" i="1" s="1"/>
  <c r="S941" i="1" s="1"/>
  <c r="P940" i="1"/>
  <c r="Q940" i="1" s="1"/>
  <c r="S940" i="1" s="1"/>
  <c r="P939" i="1"/>
  <c r="Q939" i="1" s="1"/>
  <c r="S939" i="1" s="1"/>
  <c r="P938" i="1"/>
  <c r="Q938" i="1" s="1"/>
  <c r="S938" i="1" s="1"/>
  <c r="P937" i="1"/>
  <c r="Q937" i="1" s="1"/>
  <c r="S937" i="1" s="1"/>
  <c r="P936" i="1"/>
  <c r="Q936" i="1" s="1"/>
  <c r="S936" i="1" s="1"/>
  <c r="P935" i="1"/>
  <c r="Q935" i="1" s="1"/>
  <c r="S935" i="1" s="1"/>
  <c r="P934" i="1"/>
  <c r="Q934" i="1" s="1"/>
  <c r="S934" i="1" s="1"/>
  <c r="P933" i="1"/>
  <c r="Q933" i="1" s="1"/>
  <c r="S933" i="1" s="1"/>
  <c r="P932" i="1"/>
  <c r="Q932" i="1" s="1"/>
  <c r="S932" i="1" s="1"/>
  <c r="P931" i="1"/>
  <c r="Q931" i="1" s="1"/>
  <c r="S931" i="1" s="1"/>
  <c r="P930" i="1"/>
  <c r="Q930" i="1" s="1"/>
  <c r="S930" i="1" s="1"/>
  <c r="P929" i="1"/>
  <c r="Q929" i="1" s="1"/>
  <c r="S929" i="1" s="1"/>
  <c r="P928" i="1"/>
  <c r="Q928" i="1" s="1"/>
  <c r="S928" i="1" s="1"/>
  <c r="P927" i="1"/>
  <c r="Q927" i="1" s="1"/>
  <c r="S927" i="1" s="1"/>
  <c r="P926" i="1"/>
  <c r="Q926" i="1" s="1"/>
  <c r="S926" i="1" s="1"/>
  <c r="P925" i="1"/>
  <c r="Q925" i="1" s="1"/>
  <c r="S925" i="1" s="1"/>
  <c r="P924" i="1"/>
  <c r="Q924" i="1" s="1"/>
  <c r="S924" i="1" s="1"/>
  <c r="P923" i="1"/>
  <c r="Q923" i="1" s="1"/>
  <c r="S923" i="1" s="1"/>
  <c r="P922" i="1"/>
  <c r="Q922" i="1" s="1"/>
  <c r="S922" i="1" s="1"/>
  <c r="P921" i="1"/>
  <c r="Q921" i="1" s="1"/>
  <c r="S921" i="1" s="1"/>
  <c r="P920" i="1"/>
  <c r="Q920" i="1" s="1"/>
  <c r="S920" i="1" s="1"/>
  <c r="P919" i="1"/>
  <c r="Q919" i="1" s="1"/>
  <c r="S919" i="1" s="1"/>
  <c r="P918" i="1"/>
  <c r="Q918" i="1" s="1"/>
  <c r="S918" i="1" s="1"/>
  <c r="P917" i="1"/>
  <c r="Q917" i="1" s="1"/>
  <c r="S917" i="1" s="1"/>
  <c r="P916" i="1"/>
  <c r="Q916" i="1" s="1"/>
  <c r="S916" i="1" s="1"/>
  <c r="P915" i="1"/>
  <c r="Q915" i="1" s="1"/>
  <c r="S915" i="1" s="1"/>
  <c r="P914" i="1"/>
  <c r="Q914" i="1" s="1"/>
  <c r="S914" i="1" s="1"/>
  <c r="P913" i="1"/>
  <c r="Q913" i="1" s="1"/>
  <c r="S913" i="1" s="1"/>
  <c r="P912" i="1"/>
  <c r="Q912" i="1" s="1"/>
  <c r="S912" i="1" s="1"/>
  <c r="P911" i="1"/>
  <c r="Q911" i="1" s="1"/>
  <c r="S911" i="1" s="1"/>
  <c r="P910" i="1"/>
  <c r="Q910" i="1" s="1"/>
  <c r="S910" i="1" s="1"/>
  <c r="P909" i="1"/>
  <c r="Q909" i="1" s="1"/>
  <c r="S909" i="1" s="1"/>
  <c r="P908" i="1"/>
  <c r="Q908" i="1" s="1"/>
  <c r="S908" i="1" s="1"/>
  <c r="P907" i="1"/>
  <c r="Q907" i="1" s="1"/>
  <c r="S907" i="1" s="1"/>
  <c r="P906" i="1"/>
  <c r="Q906" i="1" s="1"/>
  <c r="S906" i="1" s="1"/>
  <c r="P905" i="1"/>
  <c r="Q905" i="1" s="1"/>
  <c r="S905" i="1" s="1"/>
  <c r="P904" i="1"/>
  <c r="Q904" i="1" s="1"/>
  <c r="S904" i="1" s="1"/>
  <c r="P903" i="1"/>
  <c r="Q903" i="1" s="1"/>
  <c r="S903" i="1" s="1"/>
  <c r="P902" i="1"/>
  <c r="Q902" i="1" s="1"/>
  <c r="S902" i="1" s="1"/>
  <c r="P901" i="1"/>
  <c r="Q901" i="1" s="1"/>
  <c r="S901" i="1" s="1"/>
  <c r="P900" i="1"/>
  <c r="Q900" i="1" s="1"/>
  <c r="S900" i="1" s="1"/>
  <c r="P899" i="1"/>
  <c r="Q899" i="1" s="1"/>
  <c r="S899" i="1" s="1"/>
  <c r="P898" i="1"/>
  <c r="Q898" i="1" s="1"/>
  <c r="S898" i="1" s="1"/>
  <c r="P897" i="1"/>
  <c r="Q897" i="1" s="1"/>
  <c r="S897" i="1" s="1"/>
  <c r="P896" i="1"/>
  <c r="Q896" i="1" s="1"/>
  <c r="S896" i="1" s="1"/>
  <c r="P895" i="1"/>
  <c r="Q895" i="1" s="1"/>
  <c r="S895" i="1" s="1"/>
  <c r="P894" i="1"/>
  <c r="Q894" i="1" s="1"/>
  <c r="S894" i="1" s="1"/>
  <c r="P893" i="1"/>
  <c r="Q893" i="1" s="1"/>
  <c r="S893" i="1" s="1"/>
  <c r="P892" i="1"/>
  <c r="Q892" i="1" s="1"/>
  <c r="S892" i="1" s="1"/>
  <c r="P891" i="1"/>
  <c r="Q891" i="1" s="1"/>
  <c r="S891" i="1" s="1"/>
  <c r="P890" i="1"/>
  <c r="Q890" i="1" s="1"/>
  <c r="S890" i="1" s="1"/>
  <c r="P889" i="1"/>
  <c r="Q889" i="1" s="1"/>
  <c r="S889" i="1" s="1"/>
  <c r="P888" i="1"/>
  <c r="Q888" i="1" s="1"/>
  <c r="S888" i="1" s="1"/>
  <c r="P887" i="1"/>
  <c r="Q887" i="1" s="1"/>
  <c r="S887" i="1" s="1"/>
  <c r="P886" i="1"/>
  <c r="Q886" i="1" s="1"/>
  <c r="S886" i="1" s="1"/>
  <c r="P885" i="1"/>
  <c r="Q885" i="1" s="1"/>
  <c r="S885" i="1" s="1"/>
  <c r="P884" i="1"/>
  <c r="Q884" i="1" s="1"/>
  <c r="S884" i="1" s="1"/>
  <c r="P883" i="1"/>
  <c r="Q883" i="1" s="1"/>
  <c r="S883" i="1" s="1"/>
  <c r="P882" i="1"/>
  <c r="Q882" i="1" s="1"/>
  <c r="S882" i="1" s="1"/>
  <c r="P881" i="1"/>
  <c r="Q881" i="1" s="1"/>
  <c r="S881" i="1" s="1"/>
  <c r="P880" i="1"/>
  <c r="Q880" i="1" s="1"/>
  <c r="S880" i="1" s="1"/>
  <c r="P879" i="1"/>
  <c r="Q879" i="1" s="1"/>
  <c r="S879" i="1" s="1"/>
  <c r="P878" i="1"/>
  <c r="Q878" i="1" s="1"/>
  <c r="S878" i="1" s="1"/>
  <c r="P877" i="1"/>
  <c r="Q877" i="1" s="1"/>
  <c r="S877" i="1" s="1"/>
  <c r="P876" i="1"/>
  <c r="Q876" i="1" s="1"/>
  <c r="S876" i="1" s="1"/>
  <c r="P875" i="1"/>
  <c r="Q875" i="1" s="1"/>
  <c r="S875" i="1" s="1"/>
  <c r="P874" i="1"/>
  <c r="Q874" i="1" s="1"/>
  <c r="S874" i="1" s="1"/>
  <c r="P873" i="1"/>
  <c r="Q873" i="1" s="1"/>
  <c r="S873" i="1" s="1"/>
  <c r="P872" i="1"/>
  <c r="Q872" i="1" s="1"/>
  <c r="S872" i="1" s="1"/>
  <c r="P871" i="1"/>
  <c r="Q871" i="1" s="1"/>
  <c r="S871" i="1" s="1"/>
  <c r="P870" i="1"/>
  <c r="Q870" i="1" s="1"/>
  <c r="S870" i="1" s="1"/>
  <c r="P869" i="1"/>
  <c r="Q869" i="1" s="1"/>
  <c r="S869" i="1" s="1"/>
  <c r="P868" i="1"/>
  <c r="Q868" i="1" s="1"/>
  <c r="S868" i="1" s="1"/>
  <c r="P867" i="1"/>
  <c r="Q867" i="1" s="1"/>
  <c r="S867" i="1" s="1"/>
  <c r="P866" i="1"/>
  <c r="Q866" i="1" s="1"/>
  <c r="S866" i="1" s="1"/>
  <c r="P865" i="1"/>
  <c r="Q865" i="1" s="1"/>
  <c r="S865" i="1" s="1"/>
  <c r="P864" i="1"/>
  <c r="Q864" i="1" s="1"/>
  <c r="S864" i="1" s="1"/>
  <c r="P863" i="1"/>
  <c r="Q863" i="1" s="1"/>
  <c r="S863" i="1" s="1"/>
  <c r="P862" i="1"/>
  <c r="Q862" i="1" s="1"/>
  <c r="S862" i="1" s="1"/>
  <c r="P861" i="1"/>
  <c r="Q861" i="1" s="1"/>
  <c r="S861" i="1" s="1"/>
  <c r="P860" i="1"/>
  <c r="Q860" i="1" s="1"/>
  <c r="S860" i="1" s="1"/>
  <c r="P859" i="1"/>
  <c r="Q859" i="1" s="1"/>
  <c r="S859" i="1" s="1"/>
  <c r="P858" i="1"/>
  <c r="Q858" i="1" s="1"/>
  <c r="S858" i="1" s="1"/>
  <c r="P857" i="1"/>
  <c r="Q857" i="1" s="1"/>
  <c r="S857" i="1" s="1"/>
  <c r="P856" i="1"/>
  <c r="Q856" i="1" s="1"/>
  <c r="S856" i="1" s="1"/>
  <c r="P855" i="1"/>
  <c r="Q855" i="1" s="1"/>
  <c r="S855" i="1" s="1"/>
  <c r="P854" i="1"/>
  <c r="Q854" i="1" s="1"/>
  <c r="S854" i="1" s="1"/>
  <c r="P853" i="1"/>
  <c r="Q853" i="1" s="1"/>
  <c r="S853" i="1" s="1"/>
  <c r="P852" i="1"/>
  <c r="Q852" i="1" s="1"/>
  <c r="S852" i="1" s="1"/>
  <c r="P851" i="1"/>
  <c r="Q851" i="1" s="1"/>
  <c r="S851" i="1" s="1"/>
  <c r="P850" i="1"/>
  <c r="Q850" i="1" s="1"/>
  <c r="S850" i="1" s="1"/>
  <c r="P849" i="1"/>
  <c r="Q849" i="1" s="1"/>
  <c r="S849" i="1" s="1"/>
  <c r="P848" i="1"/>
  <c r="Q848" i="1" s="1"/>
  <c r="S848" i="1" s="1"/>
  <c r="P847" i="1"/>
  <c r="Q847" i="1" s="1"/>
  <c r="S847" i="1" s="1"/>
  <c r="P846" i="1"/>
  <c r="Q846" i="1" s="1"/>
  <c r="S846" i="1" s="1"/>
  <c r="P845" i="1"/>
  <c r="Q845" i="1" s="1"/>
  <c r="S845" i="1" s="1"/>
  <c r="P844" i="1"/>
  <c r="Q844" i="1" s="1"/>
  <c r="S844" i="1" s="1"/>
  <c r="P843" i="1"/>
  <c r="Q843" i="1" s="1"/>
  <c r="S843" i="1" s="1"/>
  <c r="P842" i="1"/>
  <c r="Q842" i="1" s="1"/>
  <c r="S842" i="1" s="1"/>
  <c r="P841" i="1"/>
  <c r="Q841" i="1" s="1"/>
  <c r="S841" i="1" s="1"/>
  <c r="P840" i="1"/>
  <c r="Q840" i="1" s="1"/>
  <c r="S840" i="1" s="1"/>
  <c r="P839" i="1"/>
  <c r="Q839" i="1" s="1"/>
  <c r="S839" i="1" s="1"/>
  <c r="P838" i="1"/>
  <c r="Q838" i="1" s="1"/>
  <c r="S838" i="1" s="1"/>
  <c r="P837" i="1"/>
  <c r="Q837" i="1" s="1"/>
  <c r="S837" i="1" s="1"/>
  <c r="P836" i="1"/>
  <c r="Q836" i="1" s="1"/>
  <c r="S836" i="1" s="1"/>
  <c r="P835" i="1"/>
  <c r="Q835" i="1" s="1"/>
  <c r="S835" i="1" s="1"/>
  <c r="P834" i="1"/>
  <c r="Q834" i="1" s="1"/>
  <c r="S834" i="1" s="1"/>
  <c r="P833" i="1"/>
  <c r="Q833" i="1" s="1"/>
  <c r="S833" i="1" s="1"/>
  <c r="P832" i="1"/>
  <c r="Q832" i="1" s="1"/>
  <c r="S832" i="1" s="1"/>
  <c r="P831" i="1"/>
  <c r="Q831" i="1" s="1"/>
  <c r="S831" i="1" s="1"/>
  <c r="P830" i="1"/>
  <c r="Q830" i="1" s="1"/>
  <c r="S830" i="1" s="1"/>
  <c r="P829" i="1"/>
  <c r="Q829" i="1" s="1"/>
  <c r="S829" i="1" s="1"/>
  <c r="P828" i="1"/>
  <c r="Q828" i="1" s="1"/>
  <c r="S828" i="1" s="1"/>
  <c r="P827" i="1"/>
  <c r="Q827" i="1" s="1"/>
  <c r="S827" i="1" s="1"/>
  <c r="P826" i="1"/>
  <c r="Q826" i="1" s="1"/>
  <c r="S826" i="1" s="1"/>
  <c r="P825" i="1"/>
  <c r="Q825" i="1" s="1"/>
  <c r="S825" i="1" s="1"/>
  <c r="P824" i="1"/>
  <c r="Q824" i="1" s="1"/>
  <c r="S824" i="1" s="1"/>
  <c r="P823" i="1"/>
  <c r="Q823" i="1" s="1"/>
  <c r="S823" i="1" s="1"/>
  <c r="P822" i="1"/>
  <c r="Q822" i="1" s="1"/>
  <c r="S822" i="1" s="1"/>
  <c r="P821" i="1"/>
  <c r="Q821" i="1" s="1"/>
  <c r="S821" i="1" s="1"/>
  <c r="P820" i="1"/>
  <c r="Q820" i="1" s="1"/>
  <c r="S820" i="1" s="1"/>
  <c r="P819" i="1"/>
  <c r="Q819" i="1" s="1"/>
  <c r="S819" i="1" s="1"/>
  <c r="P818" i="1"/>
  <c r="Q818" i="1" s="1"/>
  <c r="S818" i="1" s="1"/>
  <c r="P817" i="1"/>
  <c r="Q817" i="1" s="1"/>
  <c r="S817" i="1" s="1"/>
  <c r="P816" i="1"/>
  <c r="Q816" i="1" s="1"/>
  <c r="S816" i="1" s="1"/>
  <c r="P815" i="1"/>
  <c r="Q815" i="1" s="1"/>
  <c r="S815" i="1" s="1"/>
  <c r="P814" i="1"/>
  <c r="Q814" i="1" s="1"/>
  <c r="S814" i="1" s="1"/>
  <c r="P813" i="1"/>
  <c r="Q813" i="1" s="1"/>
  <c r="S813" i="1" s="1"/>
  <c r="P812" i="1"/>
  <c r="Q812" i="1" s="1"/>
  <c r="S812" i="1" s="1"/>
  <c r="P811" i="1"/>
  <c r="Q811" i="1" s="1"/>
  <c r="S811" i="1" s="1"/>
  <c r="P810" i="1"/>
  <c r="Q810" i="1" s="1"/>
  <c r="S810" i="1" s="1"/>
  <c r="P809" i="1"/>
  <c r="Q809" i="1" s="1"/>
  <c r="S809" i="1" s="1"/>
  <c r="P808" i="1"/>
  <c r="Q808" i="1" s="1"/>
  <c r="S808" i="1" s="1"/>
  <c r="P807" i="1"/>
  <c r="Q807" i="1" s="1"/>
  <c r="S807" i="1" s="1"/>
  <c r="P806" i="1"/>
  <c r="Q806" i="1" s="1"/>
  <c r="S806" i="1" s="1"/>
  <c r="P805" i="1"/>
  <c r="Q805" i="1" s="1"/>
  <c r="S805" i="1" s="1"/>
  <c r="P804" i="1"/>
  <c r="Q804" i="1" s="1"/>
  <c r="S804" i="1" s="1"/>
  <c r="P803" i="1"/>
  <c r="Q803" i="1" s="1"/>
  <c r="S803" i="1" s="1"/>
  <c r="P802" i="1"/>
  <c r="Q802" i="1" s="1"/>
  <c r="S802" i="1" s="1"/>
  <c r="P801" i="1"/>
  <c r="Q801" i="1" s="1"/>
  <c r="S801" i="1" s="1"/>
  <c r="P800" i="1"/>
  <c r="Q800" i="1" s="1"/>
  <c r="S800" i="1" s="1"/>
  <c r="P799" i="1"/>
  <c r="Q799" i="1" s="1"/>
  <c r="S799" i="1" s="1"/>
  <c r="P798" i="1"/>
  <c r="Q798" i="1" s="1"/>
  <c r="S798" i="1" s="1"/>
  <c r="P797" i="1"/>
  <c r="Q797" i="1" s="1"/>
  <c r="S797" i="1" s="1"/>
  <c r="P796" i="1"/>
  <c r="Q796" i="1" s="1"/>
  <c r="S796" i="1" s="1"/>
  <c r="P795" i="1"/>
  <c r="Q795" i="1" s="1"/>
  <c r="S795" i="1" s="1"/>
  <c r="P794" i="1"/>
  <c r="Q794" i="1" s="1"/>
  <c r="S794" i="1" s="1"/>
  <c r="P793" i="1"/>
  <c r="Q793" i="1" s="1"/>
  <c r="S793" i="1" s="1"/>
  <c r="P792" i="1"/>
  <c r="Q792" i="1" s="1"/>
  <c r="S792" i="1" s="1"/>
  <c r="P791" i="1"/>
  <c r="Q791" i="1" s="1"/>
  <c r="S791" i="1" s="1"/>
  <c r="P790" i="1"/>
  <c r="Q790" i="1" s="1"/>
  <c r="S790" i="1" s="1"/>
  <c r="P789" i="1"/>
  <c r="Q789" i="1" s="1"/>
  <c r="S789" i="1" s="1"/>
  <c r="P788" i="1"/>
  <c r="Q788" i="1" s="1"/>
  <c r="S788" i="1" s="1"/>
  <c r="P787" i="1"/>
  <c r="Q787" i="1" s="1"/>
  <c r="S787" i="1" s="1"/>
  <c r="P786" i="1"/>
  <c r="Q786" i="1" s="1"/>
  <c r="S786" i="1" s="1"/>
  <c r="P785" i="1"/>
  <c r="Q785" i="1" s="1"/>
  <c r="S785" i="1" s="1"/>
  <c r="P784" i="1"/>
  <c r="Q784" i="1" s="1"/>
  <c r="S784" i="1" s="1"/>
  <c r="P783" i="1"/>
  <c r="Q783" i="1" s="1"/>
  <c r="S783" i="1" s="1"/>
  <c r="P782" i="1"/>
  <c r="Q782" i="1" s="1"/>
  <c r="S782" i="1" s="1"/>
  <c r="P781" i="1"/>
  <c r="Q781" i="1" s="1"/>
  <c r="S781" i="1" s="1"/>
  <c r="P780" i="1"/>
  <c r="Q780" i="1" s="1"/>
  <c r="S780" i="1" s="1"/>
  <c r="P779" i="1"/>
  <c r="Q779" i="1" s="1"/>
  <c r="S779" i="1" s="1"/>
  <c r="P778" i="1"/>
  <c r="Q778" i="1" s="1"/>
  <c r="S778" i="1" s="1"/>
  <c r="P777" i="1"/>
  <c r="Q777" i="1" s="1"/>
  <c r="S777" i="1" s="1"/>
  <c r="P776" i="1"/>
  <c r="Q776" i="1" s="1"/>
  <c r="S776" i="1" s="1"/>
  <c r="P775" i="1"/>
  <c r="Q775" i="1" s="1"/>
  <c r="S775" i="1" s="1"/>
  <c r="P774" i="1"/>
  <c r="Q774" i="1" s="1"/>
  <c r="S774" i="1" s="1"/>
  <c r="P773" i="1"/>
  <c r="Q773" i="1" s="1"/>
  <c r="S773" i="1" s="1"/>
  <c r="P772" i="1"/>
  <c r="Q772" i="1" s="1"/>
  <c r="S772" i="1" s="1"/>
  <c r="P771" i="1"/>
  <c r="Q771" i="1" s="1"/>
  <c r="S771" i="1" s="1"/>
  <c r="P770" i="1"/>
  <c r="Q770" i="1" s="1"/>
  <c r="S770" i="1" s="1"/>
  <c r="P769" i="1"/>
  <c r="Q769" i="1" s="1"/>
  <c r="S769" i="1" s="1"/>
  <c r="P768" i="1"/>
  <c r="Q768" i="1" s="1"/>
  <c r="S768" i="1" s="1"/>
  <c r="P767" i="1"/>
  <c r="Q767" i="1" s="1"/>
  <c r="S767" i="1" s="1"/>
  <c r="P766" i="1"/>
  <c r="Q766" i="1" s="1"/>
  <c r="S766" i="1" s="1"/>
  <c r="P765" i="1"/>
  <c r="Q765" i="1" s="1"/>
  <c r="S765" i="1" s="1"/>
  <c r="P764" i="1"/>
  <c r="Q764" i="1" s="1"/>
  <c r="S764" i="1" s="1"/>
  <c r="P763" i="1"/>
  <c r="Q763" i="1" s="1"/>
  <c r="S763" i="1" s="1"/>
  <c r="P762" i="1"/>
  <c r="Q762" i="1" s="1"/>
  <c r="S762" i="1" s="1"/>
  <c r="P761" i="1"/>
  <c r="Q761" i="1" s="1"/>
  <c r="S761" i="1" s="1"/>
  <c r="P760" i="1"/>
  <c r="Q760" i="1" s="1"/>
  <c r="S760" i="1" s="1"/>
  <c r="P759" i="1"/>
  <c r="Q759" i="1" s="1"/>
  <c r="S759" i="1" s="1"/>
  <c r="P758" i="1"/>
  <c r="Q758" i="1" s="1"/>
  <c r="S758" i="1" s="1"/>
  <c r="P757" i="1"/>
  <c r="Q757" i="1" s="1"/>
  <c r="S757" i="1" s="1"/>
  <c r="P756" i="1"/>
  <c r="Q756" i="1" s="1"/>
  <c r="S756" i="1" s="1"/>
  <c r="P755" i="1"/>
  <c r="Q755" i="1" s="1"/>
  <c r="S755" i="1" s="1"/>
  <c r="P754" i="1"/>
  <c r="Q754" i="1" s="1"/>
  <c r="S754" i="1" s="1"/>
  <c r="P753" i="1"/>
  <c r="Q753" i="1" s="1"/>
  <c r="S753" i="1" s="1"/>
  <c r="P752" i="1"/>
  <c r="Q752" i="1" s="1"/>
  <c r="S752" i="1" s="1"/>
  <c r="P751" i="1"/>
  <c r="Q751" i="1" s="1"/>
  <c r="S751" i="1" s="1"/>
  <c r="P750" i="1"/>
  <c r="Q750" i="1" s="1"/>
  <c r="S750" i="1" s="1"/>
  <c r="P749" i="1"/>
  <c r="Q749" i="1" s="1"/>
  <c r="S749" i="1" s="1"/>
  <c r="P748" i="1"/>
  <c r="Q748" i="1" s="1"/>
  <c r="S748" i="1" s="1"/>
  <c r="P747" i="1"/>
  <c r="Q747" i="1" s="1"/>
  <c r="S747" i="1" s="1"/>
  <c r="P746" i="1"/>
  <c r="Q746" i="1" s="1"/>
  <c r="S746" i="1" s="1"/>
  <c r="P745" i="1"/>
  <c r="Q745" i="1" s="1"/>
  <c r="S745" i="1" s="1"/>
  <c r="P744" i="1"/>
  <c r="Q744" i="1" s="1"/>
  <c r="S744" i="1" s="1"/>
  <c r="P743" i="1"/>
  <c r="Q743" i="1" s="1"/>
  <c r="S743" i="1" s="1"/>
  <c r="P742" i="1"/>
  <c r="Q742" i="1" s="1"/>
  <c r="S742" i="1" s="1"/>
  <c r="P741" i="1"/>
  <c r="Q741" i="1" s="1"/>
  <c r="S741" i="1" s="1"/>
  <c r="P740" i="1"/>
  <c r="Q740" i="1" s="1"/>
  <c r="S740" i="1" s="1"/>
  <c r="P739" i="1"/>
  <c r="Q739" i="1" s="1"/>
  <c r="S739" i="1" s="1"/>
  <c r="P738" i="1"/>
  <c r="Q738" i="1" s="1"/>
  <c r="S738" i="1" s="1"/>
  <c r="P737" i="1"/>
  <c r="Q737" i="1" s="1"/>
  <c r="S737" i="1" s="1"/>
  <c r="P736" i="1"/>
  <c r="Q736" i="1" s="1"/>
  <c r="S736" i="1" s="1"/>
  <c r="P735" i="1"/>
  <c r="Q735" i="1" s="1"/>
  <c r="S735" i="1" s="1"/>
  <c r="P734" i="1"/>
  <c r="Q734" i="1" s="1"/>
  <c r="S734" i="1" s="1"/>
  <c r="P733" i="1"/>
  <c r="Q733" i="1" s="1"/>
  <c r="S733" i="1" s="1"/>
  <c r="P732" i="1"/>
  <c r="Q732" i="1" s="1"/>
  <c r="S732" i="1" s="1"/>
  <c r="P731" i="1"/>
  <c r="Q731" i="1" s="1"/>
  <c r="S731" i="1" s="1"/>
  <c r="P730" i="1"/>
  <c r="Q730" i="1" s="1"/>
  <c r="S730" i="1" s="1"/>
  <c r="P729" i="1"/>
  <c r="Q729" i="1" s="1"/>
  <c r="S729" i="1" s="1"/>
  <c r="P728" i="1"/>
  <c r="Q728" i="1" s="1"/>
  <c r="S728" i="1" s="1"/>
  <c r="P727" i="1"/>
  <c r="Q727" i="1" s="1"/>
  <c r="S727" i="1" s="1"/>
  <c r="P726" i="1"/>
  <c r="Q726" i="1" s="1"/>
  <c r="S726" i="1" s="1"/>
  <c r="P725" i="1"/>
  <c r="Q725" i="1" s="1"/>
  <c r="S725" i="1" s="1"/>
  <c r="P724" i="1"/>
  <c r="Q724" i="1" s="1"/>
  <c r="S724" i="1" s="1"/>
  <c r="P723" i="1"/>
  <c r="Q723" i="1" s="1"/>
  <c r="S723" i="1" s="1"/>
  <c r="P722" i="1"/>
  <c r="Q722" i="1" s="1"/>
  <c r="S722" i="1" s="1"/>
  <c r="P721" i="1"/>
  <c r="Q721" i="1" s="1"/>
  <c r="S721" i="1" s="1"/>
  <c r="P720" i="1"/>
  <c r="Q720" i="1" s="1"/>
  <c r="S720" i="1" s="1"/>
  <c r="P719" i="1"/>
  <c r="Q719" i="1" s="1"/>
  <c r="S719" i="1" s="1"/>
  <c r="P718" i="1"/>
  <c r="Q718" i="1" s="1"/>
  <c r="S718" i="1" s="1"/>
  <c r="P717" i="1"/>
  <c r="Q717" i="1" s="1"/>
  <c r="S717" i="1" s="1"/>
  <c r="P716" i="1"/>
  <c r="Q716" i="1" s="1"/>
  <c r="S716" i="1" s="1"/>
  <c r="P715" i="1"/>
  <c r="Q715" i="1" s="1"/>
  <c r="S715" i="1" s="1"/>
  <c r="P714" i="1"/>
  <c r="Q714" i="1" s="1"/>
  <c r="S714" i="1" s="1"/>
  <c r="P713" i="1"/>
  <c r="Q713" i="1" s="1"/>
  <c r="S713" i="1" s="1"/>
  <c r="P712" i="1"/>
  <c r="Q712" i="1" s="1"/>
  <c r="S712" i="1" s="1"/>
  <c r="P711" i="1"/>
  <c r="Q711" i="1" s="1"/>
  <c r="S711" i="1" s="1"/>
  <c r="P710" i="1"/>
  <c r="Q710" i="1" s="1"/>
  <c r="S710" i="1" s="1"/>
  <c r="P709" i="1"/>
  <c r="Q709" i="1" s="1"/>
  <c r="S709" i="1" s="1"/>
  <c r="P708" i="1"/>
  <c r="Q708" i="1" s="1"/>
  <c r="S708" i="1" s="1"/>
  <c r="P707" i="1"/>
  <c r="Q707" i="1" s="1"/>
  <c r="S707" i="1" s="1"/>
  <c r="P706" i="1"/>
  <c r="Q706" i="1" s="1"/>
  <c r="S706" i="1" s="1"/>
  <c r="P705" i="1"/>
  <c r="Q705" i="1" s="1"/>
  <c r="S705" i="1" s="1"/>
  <c r="P704" i="1"/>
  <c r="Q704" i="1" s="1"/>
  <c r="S704" i="1" s="1"/>
  <c r="P703" i="1"/>
  <c r="Q703" i="1" s="1"/>
  <c r="S703" i="1" s="1"/>
  <c r="P702" i="1"/>
  <c r="Q702" i="1" s="1"/>
  <c r="S702" i="1" s="1"/>
  <c r="P701" i="1"/>
  <c r="Q701" i="1" s="1"/>
  <c r="S701" i="1" s="1"/>
  <c r="P700" i="1"/>
  <c r="Q700" i="1" s="1"/>
  <c r="S700" i="1" s="1"/>
  <c r="P699" i="1"/>
  <c r="Q699" i="1" s="1"/>
  <c r="S699" i="1" s="1"/>
  <c r="P698" i="1"/>
  <c r="Q698" i="1" s="1"/>
  <c r="S698" i="1" s="1"/>
  <c r="P697" i="1"/>
  <c r="Q697" i="1" s="1"/>
  <c r="S697" i="1" s="1"/>
  <c r="P696" i="1"/>
  <c r="Q696" i="1" s="1"/>
  <c r="S696" i="1" s="1"/>
  <c r="P695" i="1"/>
  <c r="Q695" i="1" s="1"/>
  <c r="S695" i="1" s="1"/>
  <c r="P694" i="1"/>
  <c r="Q694" i="1" s="1"/>
  <c r="S694" i="1" s="1"/>
  <c r="P693" i="1"/>
  <c r="Q693" i="1" s="1"/>
  <c r="S693" i="1" s="1"/>
  <c r="P692" i="1"/>
  <c r="Q692" i="1" s="1"/>
  <c r="S692" i="1" s="1"/>
  <c r="P691" i="1"/>
  <c r="Q691" i="1" s="1"/>
  <c r="S691" i="1" s="1"/>
  <c r="P690" i="1"/>
  <c r="Q690" i="1" s="1"/>
  <c r="S690" i="1" s="1"/>
  <c r="P689" i="1"/>
  <c r="Q689" i="1" s="1"/>
  <c r="S689" i="1" s="1"/>
  <c r="P688" i="1"/>
  <c r="Q688" i="1" s="1"/>
  <c r="S688" i="1" s="1"/>
  <c r="P687" i="1"/>
  <c r="Q687" i="1" s="1"/>
  <c r="S687" i="1" s="1"/>
  <c r="P686" i="1"/>
  <c r="Q686" i="1" s="1"/>
  <c r="S686" i="1" s="1"/>
  <c r="P685" i="1"/>
  <c r="Q685" i="1" s="1"/>
  <c r="S685" i="1" s="1"/>
  <c r="P684" i="1"/>
  <c r="Q684" i="1" s="1"/>
  <c r="S684" i="1" s="1"/>
  <c r="P683" i="1"/>
  <c r="Q683" i="1" s="1"/>
  <c r="S683" i="1" s="1"/>
  <c r="P682" i="1"/>
  <c r="Q682" i="1" s="1"/>
  <c r="S682" i="1" s="1"/>
  <c r="P681" i="1"/>
  <c r="Q681" i="1" s="1"/>
  <c r="S681" i="1" s="1"/>
  <c r="P680" i="1"/>
  <c r="Q680" i="1" s="1"/>
  <c r="S680" i="1" s="1"/>
  <c r="P679" i="1"/>
  <c r="Q679" i="1" s="1"/>
  <c r="S679" i="1" s="1"/>
  <c r="P678" i="1"/>
  <c r="Q678" i="1" s="1"/>
  <c r="S678" i="1" s="1"/>
  <c r="P677" i="1"/>
  <c r="Q677" i="1" s="1"/>
  <c r="S677" i="1" s="1"/>
  <c r="P676" i="1"/>
  <c r="Q676" i="1" s="1"/>
  <c r="S676" i="1" s="1"/>
  <c r="P675" i="1"/>
  <c r="Q675" i="1" s="1"/>
  <c r="S675" i="1" s="1"/>
  <c r="P674" i="1"/>
  <c r="Q674" i="1" s="1"/>
  <c r="S674" i="1" s="1"/>
  <c r="P673" i="1"/>
  <c r="Q673" i="1" s="1"/>
  <c r="S673" i="1" s="1"/>
  <c r="P672" i="1"/>
  <c r="Q672" i="1" s="1"/>
  <c r="S672" i="1" s="1"/>
  <c r="P671" i="1"/>
  <c r="Q671" i="1" s="1"/>
  <c r="S671" i="1" s="1"/>
  <c r="P670" i="1"/>
  <c r="Q670" i="1" s="1"/>
  <c r="S670" i="1" s="1"/>
  <c r="P669" i="1"/>
  <c r="Q669" i="1" s="1"/>
  <c r="S669" i="1" s="1"/>
  <c r="P668" i="1"/>
  <c r="Q668" i="1" s="1"/>
  <c r="S668" i="1" s="1"/>
  <c r="P667" i="1"/>
  <c r="Q667" i="1" s="1"/>
  <c r="S667" i="1" s="1"/>
  <c r="P666" i="1"/>
  <c r="Q666" i="1" s="1"/>
  <c r="S666" i="1" s="1"/>
  <c r="P665" i="1"/>
  <c r="Q665" i="1" s="1"/>
  <c r="S665" i="1" s="1"/>
  <c r="P664" i="1"/>
  <c r="Q664" i="1" s="1"/>
  <c r="S664" i="1" s="1"/>
  <c r="P663" i="1"/>
  <c r="Q663" i="1" s="1"/>
  <c r="S663" i="1" s="1"/>
  <c r="P662" i="1"/>
  <c r="Q662" i="1" s="1"/>
  <c r="S662" i="1" s="1"/>
  <c r="P661" i="1"/>
  <c r="Q661" i="1" s="1"/>
  <c r="S661" i="1" s="1"/>
  <c r="P660" i="1"/>
  <c r="Q660" i="1" s="1"/>
  <c r="S660" i="1" s="1"/>
  <c r="T659" i="1"/>
  <c r="P659" i="1"/>
  <c r="Q659" i="1" s="1"/>
  <c r="S659" i="1" s="1"/>
  <c r="M659" i="1"/>
  <c r="L659" i="1"/>
  <c r="G659" i="1"/>
  <c r="A659" i="1"/>
  <c r="T658" i="1"/>
  <c r="P658" i="1"/>
  <c r="Q658" i="1" s="1"/>
  <c r="S658" i="1" s="1"/>
  <c r="M658" i="1"/>
  <c r="L658" i="1"/>
  <c r="T657" i="1"/>
  <c r="P657" i="1"/>
  <c r="Q657" i="1" s="1"/>
  <c r="S657" i="1" s="1"/>
  <c r="M657" i="1"/>
  <c r="L657" i="1"/>
  <c r="T656" i="1"/>
  <c r="P656" i="1"/>
  <c r="Q656" i="1" s="1"/>
  <c r="S656" i="1" s="1"/>
  <c r="M656" i="1"/>
  <c r="L656" i="1"/>
  <c r="T655" i="1"/>
  <c r="P655" i="1"/>
  <c r="Q655" i="1" s="1"/>
  <c r="S655" i="1" s="1"/>
  <c r="M655" i="1"/>
  <c r="L655" i="1"/>
  <c r="G655" i="1"/>
  <c r="A655" i="1"/>
  <c r="T654" i="1"/>
  <c r="P654" i="1"/>
  <c r="Q654" i="1" s="1"/>
  <c r="S654" i="1" s="1"/>
  <c r="M654" i="1"/>
  <c r="L654" i="1"/>
  <c r="T653" i="1"/>
  <c r="P653" i="1"/>
  <c r="Q653" i="1" s="1"/>
  <c r="S653" i="1" s="1"/>
  <c r="M653" i="1"/>
  <c r="L653" i="1"/>
  <c r="P652" i="1"/>
  <c r="Q652" i="1" s="1"/>
  <c r="S652" i="1" s="1"/>
  <c r="K652" i="1"/>
  <c r="T652" i="1" s="1"/>
  <c r="G652" i="1"/>
  <c r="A652" i="1"/>
  <c r="T651" i="1"/>
  <c r="P651" i="1"/>
  <c r="Q651" i="1" s="1"/>
  <c r="S651" i="1" s="1"/>
  <c r="M651" i="1"/>
  <c r="L651" i="1"/>
  <c r="G651" i="1"/>
  <c r="P650" i="1"/>
  <c r="Q650" i="1" s="1"/>
  <c r="S650" i="1" s="1"/>
  <c r="K650" i="1"/>
  <c r="M650" i="1" s="1"/>
  <c r="H650" i="1"/>
  <c r="G650" i="1"/>
  <c r="A650" i="1"/>
  <c r="P649" i="1"/>
  <c r="Q649" i="1" s="1"/>
  <c r="S649" i="1" s="1"/>
  <c r="K649" i="1"/>
  <c r="M649" i="1" s="1"/>
  <c r="G649" i="1"/>
  <c r="A649" i="1"/>
  <c r="T648" i="1"/>
  <c r="P648" i="1"/>
  <c r="Q648" i="1" s="1"/>
  <c r="S648" i="1" s="1"/>
  <c r="M648" i="1"/>
  <c r="L648" i="1"/>
  <c r="G648" i="1"/>
  <c r="A648" i="1"/>
  <c r="T647" i="1"/>
  <c r="P647" i="1"/>
  <c r="Q647" i="1" s="1"/>
  <c r="S647" i="1" s="1"/>
  <c r="M647" i="1"/>
  <c r="L647" i="1"/>
  <c r="G647" i="1"/>
  <c r="A647" i="1"/>
  <c r="T646" i="1"/>
  <c r="P646" i="1"/>
  <c r="Q646" i="1" s="1"/>
  <c r="S646" i="1" s="1"/>
  <c r="M646" i="1"/>
  <c r="L646" i="1"/>
  <c r="T645" i="1"/>
  <c r="P645" i="1"/>
  <c r="Q645" i="1" s="1"/>
  <c r="S645" i="1" s="1"/>
  <c r="M645" i="1"/>
  <c r="L645" i="1"/>
  <c r="G645" i="1"/>
  <c r="T644" i="1"/>
  <c r="P644" i="1"/>
  <c r="Q644" i="1" s="1"/>
  <c r="S644" i="1" s="1"/>
  <c r="M644" i="1"/>
  <c r="L644" i="1"/>
  <c r="G644" i="1"/>
  <c r="A644" i="1"/>
  <c r="P643" i="1"/>
  <c r="Q643" i="1" s="1"/>
  <c r="S643" i="1" s="1"/>
  <c r="K643" i="1"/>
  <c r="M643" i="1" s="1"/>
  <c r="G643" i="1"/>
  <c r="T642" i="1"/>
  <c r="P642" i="1"/>
  <c r="Q642" i="1" s="1"/>
  <c r="S642" i="1" s="1"/>
  <c r="M642" i="1"/>
  <c r="L642" i="1"/>
  <c r="P641" i="1"/>
  <c r="Q641" i="1" s="1"/>
  <c r="S641" i="1" s="1"/>
  <c r="K641" i="1"/>
  <c r="T641" i="1" s="1"/>
  <c r="G641" i="1"/>
  <c r="A641" i="1"/>
  <c r="T640" i="1"/>
  <c r="P640" i="1"/>
  <c r="Q640" i="1" s="1"/>
  <c r="S640" i="1" s="1"/>
  <c r="M640" i="1"/>
  <c r="L640" i="1"/>
  <c r="G640" i="1"/>
  <c r="A640" i="1"/>
  <c r="P639" i="1"/>
  <c r="Q639" i="1" s="1"/>
  <c r="S639" i="1" s="1"/>
  <c r="K639" i="1"/>
  <c r="H639" i="1"/>
  <c r="G639" i="1"/>
  <c r="A639" i="1"/>
  <c r="T638" i="1"/>
  <c r="P638" i="1"/>
  <c r="Q638" i="1" s="1"/>
  <c r="S638" i="1" s="1"/>
  <c r="M638" i="1"/>
  <c r="L638" i="1"/>
  <c r="G638" i="1"/>
  <c r="A638" i="1"/>
  <c r="T637" i="1"/>
  <c r="P637" i="1"/>
  <c r="Q637" i="1" s="1"/>
  <c r="S637" i="1" s="1"/>
  <c r="M637" i="1"/>
  <c r="L637" i="1"/>
  <c r="G637" i="1"/>
  <c r="A637" i="1"/>
  <c r="T636" i="1"/>
  <c r="P636" i="1"/>
  <c r="Q636" i="1" s="1"/>
  <c r="S636" i="1" s="1"/>
  <c r="M636" i="1"/>
  <c r="L636" i="1"/>
  <c r="G636" i="1"/>
  <c r="T635" i="1"/>
  <c r="P635" i="1"/>
  <c r="Q635" i="1" s="1"/>
  <c r="S635" i="1" s="1"/>
  <c r="M635" i="1"/>
  <c r="L635" i="1"/>
  <c r="G635" i="1"/>
  <c r="T634" i="1"/>
  <c r="P634" i="1"/>
  <c r="Q634" i="1" s="1"/>
  <c r="S634" i="1" s="1"/>
  <c r="M634" i="1"/>
  <c r="L634" i="1"/>
  <c r="G634" i="1"/>
  <c r="T633" i="1"/>
  <c r="P633" i="1"/>
  <c r="Q633" i="1" s="1"/>
  <c r="S633" i="1" s="1"/>
  <c r="M633" i="1"/>
  <c r="L633" i="1"/>
  <c r="G633" i="1"/>
  <c r="T632" i="1"/>
  <c r="P632" i="1"/>
  <c r="Q632" i="1" s="1"/>
  <c r="S632" i="1" s="1"/>
  <c r="M632" i="1"/>
  <c r="L632" i="1"/>
  <c r="G632" i="1"/>
  <c r="A632" i="1"/>
  <c r="T631" i="1"/>
  <c r="P631" i="1"/>
  <c r="Q631" i="1" s="1"/>
  <c r="S631" i="1" s="1"/>
  <c r="M631" i="1"/>
  <c r="L631" i="1"/>
  <c r="G631" i="1"/>
  <c r="A631" i="1"/>
  <c r="P630" i="1"/>
  <c r="Q630" i="1" s="1"/>
  <c r="S630" i="1" s="1"/>
  <c r="K630" i="1"/>
  <c r="M630" i="1" s="1"/>
  <c r="G630" i="1"/>
  <c r="P629" i="1"/>
  <c r="Q629" i="1" s="1"/>
  <c r="S629" i="1" s="1"/>
  <c r="K629" i="1"/>
  <c r="T629" i="1" s="1"/>
  <c r="G629" i="1"/>
  <c r="A629" i="1"/>
  <c r="P628" i="1"/>
  <c r="Q628" i="1" s="1"/>
  <c r="S628" i="1" s="1"/>
  <c r="K628" i="1"/>
  <c r="T628" i="1" s="1"/>
  <c r="G628" i="1"/>
  <c r="P627" i="1"/>
  <c r="Q627" i="1" s="1"/>
  <c r="S627" i="1" s="1"/>
  <c r="K627" i="1"/>
  <c r="M627" i="1" s="1"/>
  <c r="G627" i="1"/>
  <c r="A627" i="1"/>
  <c r="T626" i="1"/>
  <c r="P626" i="1"/>
  <c r="Q626" i="1" s="1"/>
  <c r="S626" i="1" s="1"/>
  <c r="M626" i="1"/>
  <c r="L626" i="1"/>
  <c r="G626" i="1"/>
  <c r="A626" i="1"/>
  <c r="T625" i="1"/>
  <c r="P625" i="1"/>
  <c r="Q625" i="1" s="1"/>
  <c r="S625" i="1" s="1"/>
  <c r="M625" i="1"/>
  <c r="L625" i="1"/>
  <c r="G625" i="1"/>
  <c r="A625" i="1"/>
  <c r="T624" i="1"/>
  <c r="P624" i="1"/>
  <c r="Q624" i="1" s="1"/>
  <c r="S624" i="1" s="1"/>
  <c r="M624" i="1"/>
  <c r="L624" i="1"/>
  <c r="T623" i="1"/>
  <c r="P623" i="1"/>
  <c r="Q623" i="1" s="1"/>
  <c r="S623" i="1" s="1"/>
  <c r="M623" i="1"/>
  <c r="L623" i="1"/>
  <c r="G623" i="1"/>
  <c r="A623" i="1"/>
  <c r="P622" i="1"/>
  <c r="Q622" i="1" s="1"/>
  <c r="S622" i="1" s="1"/>
  <c r="K622" i="1"/>
  <c r="G622" i="1"/>
  <c r="A622" i="1"/>
  <c r="T621" i="1"/>
  <c r="P621" i="1"/>
  <c r="Q621" i="1" s="1"/>
  <c r="S621" i="1" s="1"/>
  <c r="M621" i="1"/>
  <c r="L621" i="1"/>
  <c r="G621" i="1"/>
  <c r="A621" i="1"/>
  <c r="P620" i="1"/>
  <c r="Q620" i="1" s="1"/>
  <c r="S620" i="1" s="1"/>
  <c r="K620" i="1"/>
  <c r="M620" i="1" s="1"/>
  <c r="G620" i="1"/>
  <c r="A620" i="1"/>
  <c r="T619" i="1"/>
  <c r="P619" i="1"/>
  <c r="Q619" i="1" s="1"/>
  <c r="S619" i="1" s="1"/>
  <c r="M619" i="1"/>
  <c r="L619" i="1"/>
  <c r="G619" i="1"/>
  <c r="T618" i="1"/>
  <c r="P618" i="1"/>
  <c r="Q618" i="1" s="1"/>
  <c r="S618" i="1" s="1"/>
  <c r="M618" i="1"/>
  <c r="L618" i="1"/>
  <c r="G618" i="1"/>
  <c r="T617" i="1"/>
  <c r="P617" i="1"/>
  <c r="Q617" i="1" s="1"/>
  <c r="S617" i="1" s="1"/>
  <c r="M617" i="1"/>
  <c r="L617" i="1"/>
  <c r="G617" i="1"/>
  <c r="T616" i="1"/>
  <c r="P616" i="1"/>
  <c r="Q616" i="1" s="1"/>
  <c r="S616" i="1" s="1"/>
  <c r="M616" i="1"/>
  <c r="L616" i="1"/>
  <c r="G616" i="1"/>
  <c r="T615" i="1"/>
  <c r="P615" i="1"/>
  <c r="Q615" i="1" s="1"/>
  <c r="S615" i="1" s="1"/>
  <c r="M615" i="1"/>
  <c r="L615" i="1"/>
  <c r="G615" i="1"/>
  <c r="T614" i="1"/>
  <c r="P614" i="1"/>
  <c r="Q614" i="1" s="1"/>
  <c r="S614" i="1" s="1"/>
  <c r="M614" i="1"/>
  <c r="L614" i="1"/>
  <c r="G614" i="1"/>
  <c r="T613" i="1"/>
  <c r="P613" i="1"/>
  <c r="Q613" i="1" s="1"/>
  <c r="S613" i="1" s="1"/>
  <c r="M613" i="1"/>
  <c r="L613" i="1"/>
  <c r="G613" i="1"/>
  <c r="A613" i="1"/>
  <c r="T612" i="1"/>
  <c r="P612" i="1"/>
  <c r="Q612" i="1" s="1"/>
  <c r="S612" i="1" s="1"/>
  <c r="M612" i="1"/>
  <c r="L612" i="1"/>
  <c r="T611" i="1"/>
  <c r="P611" i="1"/>
  <c r="Q611" i="1" s="1"/>
  <c r="S611" i="1" s="1"/>
  <c r="M611" i="1"/>
  <c r="L611" i="1"/>
  <c r="T610" i="1"/>
  <c r="P610" i="1"/>
  <c r="Q610" i="1" s="1"/>
  <c r="S610" i="1" s="1"/>
  <c r="M610" i="1"/>
  <c r="L610" i="1"/>
  <c r="A610" i="1"/>
  <c r="T609" i="1"/>
  <c r="P609" i="1"/>
  <c r="Q609" i="1" s="1"/>
  <c r="S609" i="1" s="1"/>
  <c r="M609" i="1"/>
  <c r="L609" i="1"/>
  <c r="T608" i="1"/>
  <c r="P608" i="1"/>
  <c r="Q608" i="1" s="1"/>
  <c r="S608" i="1" s="1"/>
  <c r="M608" i="1"/>
  <c r="L608" i="1"/>
  <c r="G608" i="1"/>
  <c r="A608" i="1"/>
  <c r="P607" i="1"/>
  <c r="Q607" i="1" s="1"/>
  <c r="S607" i="1" s="1"/>
  <c r="K607" i="1"/>
  <c r="T607" i="1" s="1"/>
  <c r="G607" i="1"/>
  <c r="A607" i="1"/>
  <c r="T606" i="1"/>
  <c r="P606" i="1"/>
  <c r="Q606" i="1" s="1"/>
  <c r="S606" i="1" s="1"/>
  <c r="M606" i="1"/>
  <c r="L606" i="1"/>
  <c r="G606" i="1"/>
  <c r="A606" i="1"/>
  <c r="T605" i="1"/>
  <c r="P605" i="1"/>
  <c r="Q605" i="1" s="1"/>
  <c r="S605" i="1" s="1"/>
  <c r="M605" i="1"/>
  <c r="L605" i="1"/>
  <c r="G605" i="1"/>
  <c r="T604" i="1"/>
  <c r="P604" i="1"/>
  <c r="Q604" i="1" s="1"/>
  <c r="S604" i="1" s="1"/>
  <c r="M604" i="1"/>
  <c r="L604" i="1"/>
  <c r="G604" i="1"/>
  <c r="A604" i="1"/>
  <c r="T603" i="1"/>
  <c r="Q603" i="1"/>
  <c r="S603" i="1" s="1"/>
  <c r="M603" i="1"/>
  <c r="L603" i="1"/>
  <c r="G603" i="1"/>
  <c r="A603" i="1"/>
  <c r="T602" i="1"/>
  <c r="P602" i="1"/>
  <c r="Q602" i="1" s="1"/>
  <c r="S602" i="1" s="1"/>
  <c r="M602" i="1"/>
  <c r="L602" i="1"/>
  <c r="G602" i="1"/>
  <c r="A602" i="1"/>
  <c r="T601" i="1"/>
  <c r="P601" i="1"/>
  <c r="Q601" i="1" s="1"/>
  <c r="S601" i="1" s="1"/>
  <c r="M601" i="1"/>
  <c r="L601" i="1"/>
  <c r="G601" i="1"/>
  <c r="A601" i="1"/>
  <c r="P600" i="1"/>
  <c r="Q600" i="1" s="1"/>
  <c r="S600" i="1" s="1"/>
  <c r="K600" i="1"/>
  <c r="M600" i="1" s="1"/>
  <c r="G600" i="1"/>
  <c r="A600" i="1"/>
  <c r="P599" i="1"/>
  <c r="Q599" i="1" s="1"/>
  <c r="S599" i="1" s="1"/>
  <c r="K599" i="1"/>
  <c r="T599" i="1" s="1"/>
  <c r="G599" i="1"/>
  <c r="A599" i="1"/>
  <c r="T598" i="1"/>
  <c r="P598" i="1"/>
  <c r="Q598" i="1" s="1"/>
  <c r="S598" i="1" s="1"/>
  <c r="M598" i="1"/>
  <c r="L598" i="1"/>
  <c r="H598" i="1"/>
  <c r="G598" i="1"/>
  <c r="A598" i="1"/>
  <c r="T597" i="1"/>
  <c r="P597" i="1"/>
  <c r="Q597" i="1" s="1"/>
  <c r="S597" i="1" s="1"/>
  <c r="M597" i="1"/>
  <c r="L597" i="1"/>
  <c r="G597" i="1"/>
  <c r="T596" i="1"/>
  <c r="P596" i="1"/>
  <c r="Q596" i="1" s="1"/>
  <c r="S596" i="1" s="1"/>
  <c r="M596" i="1"/>
  <c r="L596" i="1"/>
  <c r="G596" i="1"/>
  <c r="T595" i="1"/>
  <c r="P595" i="1"/>
  <c r="Q595" i="1" s="1"/>
  <c r="S595" i="1" s="1"/>
  <c r="M595" i="1"/>
  <c r="L595" i="1"/>
  <c r="G595" i="1"/>
  <c r="T594" i="1"/>
  <c r="P594" i="1"/>
  <c r="Q594" i="1" s="1"/>
  <c r="S594" i="1" s="1"/>
  <c r="M594" i="1"/>
  <c r="L594" i="1"/>
  <c r="G594" i="1"/>
  <c r="A594" i="1"/>
  <c r="T593" i="1"/>
  <c r="P593" i="1"/>
  <c r="Q593" i="1" s="1"/>
  <c r="S593" i="1" s="1"/>
  <c r="M593" i="1"/>
  <c r="L593" i="1"/>
  <c r="G593" i="1"/>
  <c r="T592" i="1"/>
  <c r="P592" i="1"/>
  <c r="Q592" i="1" s="1"/>
  <c r="S592" i="1" s="1"/>
  <c r="M592" i="1"/>
  <c r="L592" i="1"/>
  <c r="G592" i="1"/>
  <c r="T591" i="1"/>
  <c r="P591" i="1"/>
  <c r="Q591" i="1" s="1"/>
  <c r="S591" i="1" s="1"/>
  <c r="M591" i="1"/>
  <c r="L591" i="1"/>
  <c r="G591" i="1"/>
  <c r="T590" i="1"/>
  <c r="P590" i="1"/>
  <c r="Q590" i="1" s="1"/>
  <c r="S590" i="1" s="1"/>
  <c r="M590" i="1"/>
  <c r="L590" i="1"/>
  <c r="G590" i="1"/>
  <c r="T589" i="1"/>
  <c r="P589" i="1"/>
  <c r="Q589" i="1" s="1"/>
  <c r="S589" i="1" s="1"/>
  <c r="M589" i="1"/>
  <c r="L589" i="1"/>
  <c r="G589" i="1"/>
  <c r="A589" i="1"/>
  <c r="P588" i="1"/>
  <c r="Q588" i="1" s="1"/>
  <c r="S588" i="1" s="1"/>
  <c r="K588" i="1"/>
  <c r="M588" i="1" s="1"/>
  <c r="G588" i="1"/>
  <c r="A588" i="1"/>
  <c r="T587" i="1"/>
  <c r="P587" i="1"/>
  <c r="Q587" i="1" s="1"/>
  <c r="S587" i="1" s="1"/>
  <c r="M587" i="1"/>
  <c r="L587" i="1"/>
  <c r="G587" i="1"/>
  <c r="T586" i="1"/>
  <c r="P586" i="1"/>
  <c r="Q586" i="1" s="1"/>
  <c r="S586" i="1" s="1"/>
  <c r="M586" i="1"/>
  <c r="L586" i="1"/>
  <c r="G586" i="1"/>
  <c r="T585" i="1"/>
  <c r="P585" i="1"/>
  <c r="Q585" i="1" s="1"/>
  <c r="S585" i="1" s="1"/>
  <c r="M585" i="1"/>
  <c r="L585" i="1"/>
  <c r="G585" i="1"/>
  <c r="T584" i="1"/>
  <c r="P584" i="1"/>
  <c r="Q584" i="1" s="1"/>
  <c r="S584" i="1" s="1"/>
  <c r="M584" i="1"/>
  <c r="L584" i="1"/>
  <c r="G584" i="1"/>
  <c r="T583" i="1"/>
  <c r="P583" i="1"/>
  <c r="Q583" i="1" s="1"/>
  <c r="S583" i="1" s="1"/>
  <c r="M583" i="1"/>
  <c r="L583" i="1"/>
  <c r="G583" i="1"/>
  <c r="T582" i="1"/>
  <c r="P582" i="1"/>
  <c r="Q582" i="1" s="1"/>
  <c r="S582" i="1" s="1"/>
  <c r="M582" i="1"/>
  <c r="L582" i="1"/>
  <c r="G582" i="1"/>
  <c r="T581" i="1"/>
  <c r="P581" i="1"/>
  <c r="Q581" i="1" s="1"/>
  <c r="S581" i="1" s="1"/>
  <c r="M581" i="1"/>
  <c r="L581" i="1"/>
  <c r="G581" i="1"/>
  <c r="T580" i="1"/>
  <c r="P580" i="1"/>
  <c r="Q580" i="1" s="1"/>
  <c r="S580" i="1" s="1"/>
  <c r="M580" i="1"/>
  <c r="L580" i="1"/>
  <c r="G580" i="1"/>
  <c r="A580" i="1"/>
  <c r="T579" i="1"/>
  <c r="P579" i="1"/>
  <c r="Q579" i="1" s="1"/>
  <c r="S579" i="1" s="1"/>
  <c r="M579" i="1"/>
  <c r="L579" i="1"/>
  <c r="T578" i="1"/>
  <c r="P578" i="1"/>
  <c r="Q578" i="1" s="1"/>
  <c r="S578" i="1" s="1"/>
  <c r="M578" i="1"/>
  <c r="L578" i="1"/>
  <c r="P577" i="1"/>
  <c r="Q577" i="1" s="1"/>
  <c r="S577" i="1" s="1"/>
  <c r="K577" i="1"/>
  <c r="G577" i="1"/>
  <c r="AO576" i="1"/>
  <c r="AN576" i="1"/>
  <c r="AP576" i="1" s="1"/>
  <c r="AQ576" i="1" s="1"/>
  <c r="P576" i="1"/>
  <c r="Q576" i="1" s="1"/>
  <c r="S576" i="1" s="1"/>
  <c r="K576" i="1"/>
  <c r="M576" i="1" s="1"/>
  <c r="G576" i="1"/>
  <c r="P575" i="1"/>
  <c r="Q575" i="1" s="1"/>
  <c r="S575" i="1" s="1"/>
  <c r="K575" i="1"/>
  <c r="T575" i="1" s="1"/>
  <c r="G575" i="1"/>
  <c r="A575" i="1"/>
  <c r="T574" i="1"/>
  <c r="P574" i="1"/>
  <c r="Q574" i="1" s="1"/>
  <c r="S574" i="1" s="1"/>
  <c r="M574" i="1"/>
  <c r="L574" i="1"/>
  <c r="G574" i="1"/>
  <c r="A574" i="1"/>
  <c r="T573" i="1"/>
  <c r="P573" i="1"/>
  <c r="Q573" i="1" s="1"/>
  <c r="S573" i="1" s="1"/>
  <c r="M573" i="1"/>
  <c r="L573" i="1"/>
  <c r="G573" i="1"/>
  <c r="A573" i="1"/>
  <c r="P572" i="1"/>
  <c r="Q572" i="1" s="1"/>
  <c r="S572" i="1" s="1"/>
  <c r="K572" i="1"/>
  <c r="M572" i="1" s="1"/>
  <c r="G572" i="1"/>
  <c r="P571" i="1"/>
  <c r="Q571" i="1" s="1"/>
  <c r="S571" i="1" s="1"/>
  <c r="K571" i="1"/>
  <c r="M571" i="1" s="1"/>
  <c r="G571" i="1"/>
  <c r="P570" i="1"/>
  <c r="Q570" i="1" s="1"/>
  <c r="S570" i="1" s="1"/>
  <c r="K570" i="1"/>
  <c r="T570" i="1" s="1"/>
  <c r="G570" i="1"/>
  <c r="P569" i="1"/>
  <c r="Q569" i="1" s="1"/>
  <c r="S569" i="1" s="1"/>
  <c r="K569" i="1"/>
  <c r="T569" i="1" s="1"/>
  <c r="G569" i="1"/>
  <c r="A569" i="1"/>
  <c r="T568" i="1"/>
  <c r="P568" i="1"/>
  <c r="Q568" i="1" s="1"/>
  <c r="S568" i="1" s="1"/>
  <c r="M568" i="1"/>
  <c r="L568" i="1"/>
  <c r="G568" i="1"/>
  <c r="T567" i="1"/>
  <c r="P567" i="1"/>
  <c r="Q567" i="1" s="1"/>
  <c r="S567" i="1" s="1"/>
  <c r="M567" i="1"/>
  <c r="L567" i="1"/>
  <c r="G567" i="1"/>
  <c r="A567" i="1"/>
  <c r="T566" i="1"/>
  <c r="P566" i="1"/>
  <c r="Q566" i="1" s="1"/>
  <c r="S566" i="1" s="1"/>
  <c r="M566" i="1"/>
  <c r="L566" i="1"/>
  <c r="T565" i="1"/>
  <c r="P565" i="1"/>
  <c r="Q565" i="1" s="1"/>
  <c r="S565" i="1" s="1"/>
  <c r="M565" i="1"/>
  <c r="L565" i="1"/>
  <c r="T564" i="1"/>
  <c r="P564" i="1"/>
  <c r="Q564" i="1" s="1"/>
  <c r="S564" i="1" s="1"/>
  <c r="M564" i="1"/>
  <c r="L564" i="1"/>
  <c r="T563" i="1"/>
  <c r="P563" i="1"/>
  <c r="Q563" i="1" s="1"/>
  <c r="S563" i="1" s="1"/>
  <c r="M563" i="1"/>
  <c r="L563" i="1"/>
  <c r="T562" i="1"/>
  <c r="P562" i="1"/>
  <c r="Q562" i="1" s="1"/>
  <c r="S562" i="1" s="1"/>
  <c r="M562" i="1"/>
  <c r="L562" i="1"/>
  <c r="P561" i="1"/>
  <c r="Q561" i="1" s="1"/>
  <c r="S561" i="1" s="1"/>
  <c r="K561" i="1"/>
  <c r="M561" i="1" s="1"/>
  <c r="G561" i="1"/>
  <c r="P560" i="1"/>
  <c r="Q560" i="1" s="1"/>
  <c r="S560" i="1" s="1"/>
  <c r="K560" i="1"/>
  <c r="M560" i="1" s="1"/>
  <c r="G560" i="1"/>
  <c r="P559" i="1"/>
  <c r="Q559" i="1" s="1"/>
  <c r="S559" i="1" s="1"/>
  <c r="K559" i="1"/>
  <c r="M559" i="1" s="1"/>
  <c r="G559" i="1"/>
  <c r="A559" i="1"/>
  <c r="P558" i="1"/>
  <c r="Q558" i="1" s="1"/>
  <c r="S558" i="1" s="1"/>
  <c r="K558" i="1"/>
  <c r="T558" i="1" s="1"/>
  <c r="G558" i="1"/>
  <c r="A558" i="1"/>
  <c r="T557" i="1"/>
  <c r="P557" i="1"/>
  <c r="Q557" i="1" s="1"/>
  <c r="S557" i="1" s="1"/>
  <c r="M557" i="1"/>
  <c r="L557" i="1"/>
  <c r="G557" i="1"/>
  <c r="A557" i="1"/>
  <c r="T556" i="1"/>
  <c r="P556" i="1"/>
  <c r="Q556" i="1" s="1"/>
  <c r="S556" i="1" s="1"/>
  <c r="M556" i="1"/>
  <c r="L556" i="1"/>
  <c r="G556" i="1"/>
  <c r="A556" i="1"/>
  <c r="T555" i="1"/>
  <c r="P555" i="1"/>
  <c r="Q555" i="1" s="1"/>
  <c r="S555" i="1" s="1"/>
  <c r="M555" i="1"/>
  <c r="L555" i="1"/>
  <c r="G555" i="1"/>
  <c r="T554" i="1"/>
  <c r="P554" i="1"/>
  <c r="Q554" i="1" s="1"/>
  <c r="S554" i="1" s="1"/>
  <c r="M554" i="1"/>
  <c r="L554" i="1"/>
  <c r="G554" i="1"/>
  <c r="A554" i="1"/>
  <c r="T553" i="1"/>
  <c r="P553" i="1"/>
  <c r="Q553" i="1" s="1"/>
  <c r="S553" i="1" s="1"/>
  <c r="M553" i="1"/>
  <c r="L553" i="1"/>
  <c r="G553" i="1"/>
  <c r="A553" i="1"/>
  <c r="P552" i="1"/>
  <c r="Q552" i="1" s="1"/>
  <c r="S552" i="1" s="1"/>
  <c r="K552" i="1"/>
  <c r="T552" i="1" s="1"/>
  <c r="P551" i="1"/>
  <c r="Q551" i="1" s="1"/>
  <c r="S551" i="1" s="1"/>
  <c r="K551" i="1"/>
  <c r="M551" i="1" s="1"/>
  <c r="G551" i="1"/>
  <c r="A551" i="1"/>
  <c r="P550" i="1"/>
  <c r="Q550" i="1" s="1"/>
  <c r="S550" i="1" s="1"/>
  <c r="K550" i="1"/>
  <c r="G550" i="1"/>
  <c r="A550" i="1"/>
  <c r="T549" i="1"/>
  <c r="P549" i="1"/>
  <c r="Q549" i="1" s="1"/>
  <c r="S549" i="1" s="1"/>
  <c r="M549" i="1"/>
  <c r="L549" i="1"/>
  <c r="G549" i="1"/>
  <c r="A549" i="1"/>
  <c r="T548" i="1"/>
  <c r="P548" i="1"/>
  <c r="Q548" i="1" s="1"/>
  <c r="S548" i="1" s="1"/>
  <c r="M548" i="1"/>
  <c r="L548" i="1"/>
  <c r="G548" i="1"/>
  <c r="A548" i="1"/>
  <c r="T547" i="1"/>
  <c r="P547" i="1"/>
  <c r="Q547" i="1" s="1"/>
  <c r="S547" i="1" s="1"/>
  <c r="M547" i="1"/>
  <c r="L547" i="1"/>
  <c r="G547" i="1"/>
  <c r="A547" i="1"/>
  <c r="T546" i="1"/>
  <c r="P546" i="1"/>
  <c r="Q546" i="1" s="1"/>
  <c r="S546" i="1" s="1"/>
  <c r="M546" i="1"/>
  <c r="L546" i="1"/>
  <c r="G546" i="1"/>
  <c r="A546" i="1"/>
  <c r="P545" i="1"/>
  <c r="Q545" i="1" s="1"/>
  <c r="S545" i="1" s="1"/>
  <c r="K545" i="1"/>
  <c r="M545" i="1" s="1"/>
  <c r="G545" i="1"/>
  <c r="A545" i="1"/>
  <c r="P544" i="1"/>
  <c r="Q544" i="1" s="1"/>
  <c r="S544" i="1" s="1"/>
  <c r="K544" i="1"/>
  <c r="M544" i="1" s="1"/>
  <c r="T543" i="1"/>
  <c r="P543" i="1"/>
  <c r="Q543" i="1" s="1"/>
  <c r="S543" i="1" s="1"/>
  <c r="M543" i="1"/>
  <c r="L543" i="1"/>
  <c r="G543" i="1"/>
  <c r="T542" i="1"/>
  <c r="P542" i="1"/>
  <c r="Q542" i="1" s="1"/>
  <c r="S542" i="1" s="1"/>
  <c r="M542" i="1"/>
  <c r="L542" i="1"/>
  <c r="G542" i="1"/>
  <c r="T541" i="1"/>
  <c r="P541" i="1"/>
  <c r="Q541" i="1" s="1"/>
  <c r="S541" i="1" s="1"/>
  <c r="M541" i="1"/>
  <c r="L541" i="1"/>
  <c r="G541" i="1"/>
  <c r="T540" i="1"/>
  <c r="P540" i="1"/>
  <c r="Q540" i="1" s="1"/>
  <c r="S540" i="1" s="1"/>
  <c r="M540" i="1"/>
  <c r="L540" i="1"/>
  <c r="G540" i="1"/>
  <c r="T539" i="1"/>
  <c r="P539" i="1"/>
  <c r="Q539" i="1" s="1"/>
  <c r="S539" i="1" s="1"/>
  <c r="M539" i="1"/>
  <c r="L539" i="1"/>
  <c r="G539" i="1"/>
  <c r="T538" i="1"/>
  <c r="P538" i="1"/>
  <c r="Q538" i="1" s="1"/>
  <c r="S538" i="1" s="1"/>
  <c r="M538" i="1"/>
  <c r="L538" i="1"/>
  <c r="G538" i="1"/>
  <c r="T537" i="1"/>
  <c r="P537" i="1"/>
  <c r="Q537" i="1" s="1"/>
  <c r="S537" i="1" s="1"/>
  <c r="M537" i="1"/>
  <c r="L537" i="1"/>
  <c r="G537" i="1"/>
  <c r="T536" i="1"/>
  <c r="P536" i="1"/>
  <c r="Q536" i="1" s="1"/>
  <c r="S536" i="1" s="1"/>
  <c r="M536" i="1"/>
  <c r="L536" i="1"/>
  <c r="G536" i="1"/>
  <c r="T535" i="1"/>
  <c r="P535" i="1"/>
  <c r="Q535" i="1" s="1"/>
  <c r="S535" i="1" s="1"/>
  <c r="M535" i="1"/>
  <c r="L535" i="1"/>
  <c r="G535" i="1"/>
  <c r="A535" i="1"/>
  <c r="P534" i="1"/>
  <c r="Q534" i="1" s="1"/>
  <c r="S534" i="1" s="1"/>
  <c r="K534" i="1"/>
  <c r="M534" i="1" s="1"/>
  <c r="G534" i="1"/>
  <c r="P533" i="1"/>
  <c r="Q533" i="1" s="1"/>
  <c r="S533" i="1" s="1"/>
  <c r="K533" i="1"/>
  <c r="T533" i="1" s="1"/>
  <c r="G533" i="1"/>
  <c r="P532" i="1"/>
  <c r="Q532" i="1" s="1"/>
  <c r="S532" i="1" s="1"/>
  <c r="K532" i="1"/>
  <c r="M532" i="1" s="1"/>
  <c r="G532" i="1"/>
  <c r="A532" i="1"/>
  <c r="P531" i="1"/>
  <c r="Q531" i="1" s="1"/>
  <c r="S531" i="1" s="1"/>
  <c r="K531" i="1"/>
  <c r="T531" i="1" s="1"/>
  <c r="G531" i="1"/>
  <c r="A531" i="1"/>
  <c r="T530" i="1"/>
  <c r="P530" i="1"/>
  <c r="Q530" i="1" s="1"/>
  <c r="S530" i="1" s="1"/>
  <c r="M530" i="1"/>
  <c r="L530" i="1"/>
  <c r="G530" i="1"/>
  <c r="T529" i="1"/>
  <c r="P529" i="1"/>
  <c r="Q529" i="1" s="1"/>
  <c r="S529" i="1" s="1"/>
  <c r="M529" i="1"/>
  <c r="L529" i="1"/>
  <c r="G529" i="1"/>
  <c r="T528" i="1"/>
  <c r="P528" i="1"/>
  <c r="Q528" i="1" s="1"/>
  <c r="S528" i="1" s="1"/>
  <c r="M528" i="1"/>
  <c r="L528" i="1"/>
  <c r="G528" i="1"/>
  <c r="A528" i="1"/>
  <c r="T527" i="1"/>
  <c r="P527" i="1"/>
  <c r="Q527" i="1" s="1"/>
  <c r="S527" i="1" s="1"/>
  <c r="M527" i="1"/>
  <c r="L527" i="1"/>
  <c r="G527" i="1"/>
  <c r="T526" i="1"/>
  <c r="P526" i="1"/>
  <c r="Q526" i="1" s="1"/>
  <c r="S526" i="1" s="1"/>
  <c r="M526" i="1"/>
  <c r="L526" i="1"/>
  <c r="G526" i="1"/>
  <c r="T525" i="1"/>
  <c r="P525" i="1"/>
  <c r="Q525" i="1" s="1"/>
  <c r="S525" i="1" s="1"/>
  <c r="M525" i="1"/>
  <c r="L525" i="1"/>
  <c r="G525" i="1"/>
  <c r="T524" i="1"/>
  <c r="P524" i="1"/>
  <c r="Q524" i="1" s="1"/>
  <c r="S524" i="1" s="1"/>
  <c r="M524" i="1"/>
  <c r="L524" i="1"/>
  <c r="G524" i="1"/>
  <c r="A524" i="1"/>
  <c r="P523" i="1"/>
  <c r="Q523" i="1" s="1"/>
  <c r="S523" i="1" s="1"/>
  <c r="K523" i="1"/>
  <c r="T523" i="1" s="1"/>
  <c r="G523" i="1"/>
  <c r="P522" i="1"/>
  <c r="Q522" i="1" s="1"/>
  <c r="S522" i="1" s="1"/>
  <c r="K522" i="1"/>
  <c r="G522" i="1"/>
  <c r="P521" i="1"/>
  <c r="Q521" i="1" s="1"/>
  <c r="S521" i="1" s="1"/>
  <c r="K521" i="1"/>
  <c r="T521" i="1" s="1"/>
  <c r="G521" i="1"/>
  <c r="P520" i="1"/>
  <c r="Q520" i="1" s="1"/>
  <c r="S520" i="1" s="1"/>
  <c r="K520" i="1"/>
  <c r="M520" i="1" s="1"/>
  <c r="G520" i="1"/>
  <c r="P519" i="1"/>
  <c r="Q519" i="1" s="1"/>
  <c r="S519" i="1" s="1"/>
  <c r="K519" i="1"/>
  <c r="T519" i="1" s="1"/>
  <c r="G519" i="1"/>
  <c r="P518" i="1"/>
  <c r="Q518" i="1" s="1"/>
  <c r="S518" i="1" s="1"/>
  <c r="K518" i="1"/>
  <c r="T518" i="1" s="1"/>
  <c r="G518" i="1"/>
  <c r="P517" i="1"/>
  <c r="Q517" i="1" s="1"/>
  <c r="S517" i="1" s="1"/>
  <c r="K517" i="1"/>
  <c r="T517" i="1" s="1"/>
  <c r="G517" i="1"/>
  <c r="A517" i="1"/>
  <c r="T516" i="1"/>
  <c r="P516" i="1"/>
  <c r="Q516" i="1" s="1"/>
  <c r="S516" i="1" s="1"/>
  <c r="M516" i="1"/>
  <c r="L516" i="1"/>
  <c r="G516" i="1"/>
  <c r="A516" i="1"/>
  <c r="P515" i="1"/>
  <c r="Q515" i="1" s="1"/>
  <c r="S515" i="1" s="1"/>
  <c r="K515" i="1"/>
  <c r="T515" i="1" s="1"/>
  <c r="P514" i="1"/>
  <c r="Q514" i="1" s="1"/>
  <c r="S514" i="1" s="1"/>
  <c r="K514" i="1"/>
  <c r="M514" i="1" s="1"/>
  <c r="P513" i="1"/>
  <c r="Q513" i="1" s="1"/>
  <c r="S513" i="1" s="1"/>
  <c r="K513" i="1"/>
  <c r="T513" i="1" s="1"/>
  <c r="P512" i="1"/>
  <c r="Q512" i="1" s="1"/>
  <c r="S512" i="1" s="1"/>
  <c r="K512" i="1"/>
  <c r="M512" i="1" s="1"/>
  <c r="T511" i="1"/>
  <c r="P511" i="1"/>
  <c r="Q511" i="1" s="1"/>
  <c r="S511" i="1" s="1"/>
  <c r="K511" i="1"/>
  <c r="M511" i="1" s="1"/>
  <c r="P510" i="1"/>
  <c r="Q510" i="1" s="1"/>
  <c r="S510" i="1" s="1"/>
  <c r="K510" i="1"/>
  <c r="M510" i="1" s="1"/>
  <c r="T509" i="1"/>
  <c r="P509" i="1"/>
  <c r="Q509" i="1" s="1"/>
  <c r="S509" i="1" s="1"/>
  <c r="M509" i="1"/>
  <c r="L509" i="1"/>
  <c r="G509" i="1"/>
  <c r="T508" i="1"/>
  <c r="P508" i="1"/>
  <c r="Q508" i="1" s="1"/>
  <c r="S508" i="1" s="1"/>
  <c r="M508" i="1"/>
  <c r="L508" i="1"/>
  <c r="G508" i="1"/>
  <c r="T507" i="1"/>
  <c r="P507" i="1"/>
  <c r="Q507" i="1" s="1"/>
  <c r="S507" i="1" s="1"/>
  <c r="M507" i="1"/>
  <c r="L507" i="1"/>
  <c r="G507" i="1"/>
  <c r="A507" i="1"/>
  <c r="T506" i="1"/>
  <c r="P506" i="1"/>
  <c r="Q506" i="1" s="1"/>
  <c r="S506" i="1" s="1"/>
  <c r="M506" i="1"/>
  <c r="L506" i="1"/>
  <c r="G506" i="1"/>
  <c r="A506" i="1"/>
  <c r="T505" i="1"/>
  <c r="P505" i="1"/>
  <c r="Q505" i="1" s="1"/>
  <c r="S505" i="1" s="1"/>
  <c r="M505" i="1"/>
  <c r="L505" i="1"/>
  <c r="G505" i="1"/>
  <c r="A505" i="1"/>
  <c r="P504" i="1"/>
  <c r="Q504" i="1" s="1"/>
  <c r="S504" i="1" s="1"/>
  <c r="K504" i="1"/>
  <c r="T504" i="1" s="1"/>
  <c r="G504" i="1"/>
  <c r="A504" i="1"/>
  <c r="P503" i="1"/>
  <c r="Q503" i="1" s="1"/>
  <c r="S503" i="1" s="1"/>
  <c r="K503" i="1"/>
  <c r="M503" i="1" s="1"/>
  <c r="G503" i="1"/>
  <c r="P502" i="1"/>
  <c r="Q502" i="1" s="1"/>
  <c r="S502" i="1" s="1"/>
  <c r="K502" i="1"/>
  <c r="M502" i="1" s="1"/>
  <c r="G502" i="1"/>
  <c r="P501" i="1"/>
  <c r="Q501" i="1" s="1"/>
  <c r="S501" i="1" s="1"/>
  <c r="K501" i="1"/>
  <c r="T501" i="1" s="1"/>
  <c r="G501" i="1"/>
  <c r="A501" i="1"/>
  <c r="P500" i="1"/>
  <c r="Q500" i="1" s="1"/>
  <c r="S500" i="1" s="1"/>
  <c r="K500" i="1"/>
  <c r="T500" i="1" s="1"/>
  <c r="G500" i="1"/>
  <c r="A500" i="1"/>
  <c r="P499" i="1"/>
  <c r="Q499" i="1" s="1"/>
  <c r="S499" i="1" s="1"/>
  <c r="K499" i="1"/>
  <c r="T499" i="1" s="1"/>
  <c r="G499" i="1"/>
  <c r="A499" i="1"/>
  <c r="P498" i="1"/>
  <c r="Q498" i="1" s="1"/>
  <c r="S498" i="1" s="1"/>
  <c r="K498" i="1"/>
  <c r="T498" i="1" s="1"/>
  <c r="P497" i="1"/>
  <c r="Q497" i="1" s="1"/>
  <c r="S497" i="1" s="1"/>
  <c r="K497" i="1"/>
  <c r="T497" i="1" s="1"/>
  <c r="T496" i="1"/>
  <c r="P496" i="1"/>
  <c r="Q496" i="1" s="1"/>
  <c r="S496" i="1" s="1"/>
  <c r="M496" i="1"/>
  <c r="L496" i="1"/>
  <c r="G496" i="1"/>
  <c r="A496" i="1"/>
  <c r="P495" i="1"/>
  <c r="Q495" i="1" s="1"/>
  <c r="S495" i="1" s="1"/>
  <c r="K495" i="1"/>
  <c r="M495" i="1" s="1"/>
  <c r="G495" i="1"/>
  <c r="P494" i="1"/>
  <c r="Q494" i="1" s="1"/>
  <c r="S494" i="1" s="1"/>
  <c r="K494" i="1"/>
  <c r="M494" i="1" s="1"/>
  <c r="G494" i="1"/>
  <c r="A494" i="1"/>
  <c r="P493" i="1"/>
  <c r="Q493" i="1" s="1"/>
  <c r="S493" i="1" s="1"/>
  <c r="K493" i="1"/>
  <c r="M493" i="1" s="1"/>
  <c r="G493" i="1"/>
  <c r="P492" i="1"/>
  <c r="Q492" i="1" s="1"/>
  <c r="S492" i="1" s="1"/>
  <c r="K492" i="1"/>
  <c r="M492" i="1" s="1"/>
  <c r="G492" i="1"/>
  <c r="P491" i="1"/>
  <c r="Q491" i="1" s="1"/>
  <c r="S491" i="1" s="1"/>
  <c r="K491" i="1"/>
  <c r="T491" i="1" s="1"/>
  <c r="G491" i="1"/>
  <c r="A491" i="1"/>
  <c r="T490" i="1"/>
  <c r="P490" i="1"/>
  <c r="Q490" i="1" s="1"/>
  <c r="S490" i="1" s="1"/>
  <c r="M490" i="1"/>
  <c r="L490" i="1"/>
  <c r="T489" i="1"/>
  <c r="P489" i="1"/>
  <c r="Q489" i="1" s="1"/>
  <c r="S489" i="1" s="1"/>
  <c r="M489" i="1"/>
  <c r="L489" i="1"/>
  <c r="G489" i="1"/>
  <c r="T488" i="1"/>
  <c r="P488" i="1"/>
  <c r="Q488" i="1" s="1"/>
  <c r="S488" i="1" s="1"/>
  <c r="M488" i="1"/>
  <c r="L488" i="1"/>
  <c r="G488" i="1"/>
  <c r="A488" i="1"/>
  <c r="P487" i="1"/>
  <c r="Q487" i="1" s="1"/>
  <c r="S487" i="1" s="1"/>
  <c r="K487" i="1"/>
  <c r="M487" i="1" s="1"/>
  <c r="G487" i="1"/>
  <c r="P486" i="1"/>
  <c r="Q486" i="1" s="1"/>
  <c r="S486" i="1" s="1"/>
  <c r="K486" i="1"/>
  <c r="M486" i="1" s="1"/>
  <c r="G486" i="1"/>
  <c r="Q485" i="1"/>
  <c r="S485" i="1" s="1"/>
  <c r="K485" i="1"/>
  <c r="T485" i="1" s="1"/>
  <c r="G485" i="1"/>
  <c r="A485" i="1"/>
  <c r="T484" i="1"/>
  <c r="P484" i="1"/>
  <c r="Q484" i="1" s="1"/>
  <c r="S484" i="1" s="1"/>
  <c r="M484" i="1"/>
  <c r="G484" i="1"/>
  <c r="B484" i="1"/>
  <c r="A484" i="1"/>
  <c r="P483" i="1"/>
  <c r="Q483" i="1" s="1"/>
  <c r="S483" i="1" s="1"/>
  <c r="K483" i="1"/>
  <c r="T483" i="1" s="1"/>
  <c r="G483" i="1"/>
  <c r="A483" i="1"/>
  <c r="T482" i="1"/>
  <c r="P482" i="1"/>
  <c r="Q482" i="1" s="1"/>
  <c r="S482" i="1" s="1"/>
  <c r="M482" i="1"/>
  <c r="L482" i="1"/>
  <c r="G482" i="1"/>
  <c r="A482" i="1"/>
  <c r="T481" i="1"/>
  <c r="P481" i="1"/>
  <c r="Q481" i="1" s="1"/>
  <c r="S481" i="1" s="1"/>
  <c r="M481" i="1"/>
  <c r="L481" i="1"/>
  <c r="G481" i="1"/>
  <c r="T480" i="1"/>
  <c r="P480" i="1"/>
  <c r="Q480" i="1" s="1"/>
  <c r="S480" i="1" s="1"/>
  <c r="M480" i="1"/>
  <c r="L480" i="1"/>
  <c r="G480" i="1"/>
  <c r="A480" i="1"/>
  <c r="T479" i="1"/>
  <c r="P479" i="1"/>
  <c r="Q479" i="1" s="1"/>
  <c r="S479" i="1" s="1"/>
  <c r="M479" i="1"/>
  <c r="L479" i="1"/>
  <c r="H479" i="1"/>
  <c r="G479" i="1"/>
  <c r="A479" i="1"/>
  <c r="P478" i="1"/>
  <c r="Q478" i="1" s="1"/>
  <c r="S478" i="1" s="1"/>
  <c r="K478" i="1"/>
  <c r="M478" i="1" s="1"/>
  <c r="G478" i="1"/>
  <c r="A478" i="1"/>
  <c r="P477" i="1"/>
  <c r="Q477" i="1" s="1"/>
  <c r="S477" i="1" s="1"/>
  <c r="K477" i="1"/>
  <c r="T477" i="1" s="1"/>
  <c r="G477" i="1"/>
  <c r="A477" i="1"/>
  <c r="P476" i="1"/>
  <c r="Q476" i="1" s="1"/>
  <c r="S476" i="1" s="1"/>
  <c r="K476" i="1"/>
  <c r="T476" i="1" s="1"/>
  <c r="G476" i="1"/>
  <c r="T475" i="1"/>
  <c r="P475" i="1"/>
  <c r="Q475" i="1" s="1"/>
  <c r="S475" i="1" s="1"/>
  <c r="M475" i="1"/>
  <c r="L475" i="1"/>
  <c r="H475" i="1"/>
  <c r="G475" i="1"/>
  <c r="A475" i="1"/>
  <c r="T474" i="1"/>
  <c r="P474" i="1"/>
  <c r="Q474" i="1" s="1"/>
  <c r="S474" i="1" s="1"/>
  <c r="M474" i="1"/>
  <c r="L474" i="1"/>
  <c r="T473" i="1"/>
  <c r="P473" i="1"/>
  <c r="Q473" i="1" s="1"/>
  <c r="S473" i="1" s="1"/>
  <c r="M473" i="1"/>
  <c r="L473" i="1"/>
  <c r="T472" i="1"/>
  <c r="P472" i="1"/>
  <c r="Q472" i="1" s="1"/>
  <c r="S472" i="1" s="1"/>
  <c r="M472" i="1"/>
  <c r="L472" i="1"/>
  <c r="T471" i="1"/>
  <c r="P471" i="1"/>
  <c r="Q471" i="1" s="1"/>
  <c r="S471" i="1" s="1"/>
  <c r="M471" i="1"/>
  <c r="L471" i="1"/>
  <c r="T470" i="1"/>
  <c r="P470" i="1"/>
  <c r="Q470" i="1" s="1"/>
  <c r="S470" i="1" s="1"/>
  <c r="M470" i="1"/>
  <c r="L470" i="1"/>
  <c r="G470" i="1"/>
  <c r="A470" i="1"/>
  <c r="P469" i="1"/>
  <c r="Q469" i="1" s="1"/>
  <c r="S469" i="1" s="1"/>
  <c r="K469" i="1"/>
  <c r="T469" i="1" s="1"/>
  <c r="G469" i="1"/>
  <c r="P468" i="1"/>
  <c r="Q468" i="1" s="1"/>
  <c r="S468" i="1" s="1"/>
  <c r="K468" i="1"/>
  <c r="M468" i="1" s="1"/>
  <c r="H468" i="1"/>
  <c r="G468" i="1"/>
  <c r="A468" i="1"/>
  <c r="T467" i="1"/>
  <c r="P467" i="1"/>
  <c r="Q467" i="1" s="1"/>
  <c r="S467" i="1" s="1"/>
  <c r="M467" i="1"/>
  <c r="L467" i="1"/>
  <c r="G467" i="1"/>
  <c r="A467" i="1"/>
  <c r="T466" i="1"/>
  <c r="P466" i="1"/>
  <c r="Q466" i="1" s="1"/>
  <c r="S466" i="1" s="1"/>
  <c r="M466" i="1"/>
  <c r="L466" i="1"/>
  <c r="T465" i="1"/>
  <c r="P465" i="1"/>
  <c r="Q465" i="1" s="1"/>
  <c r="S465" i="1" s="1"/>
  <c r="M465" i="1"/>
  <c r="L465" i="1"/>
  <c r="G465" i="1"/>
  <c r="T464" i="1"/>
  <c r="P464" i="1"/>
  <c r="Q464" i="1" s="1"/>
  <c r="S464" i="1" s="1"/>
  <c r="M464" i="1"/>
  <c r="L464" i="1"/>
  <c r="G464" i="1"/>
  <c r="A464" i="1"/>
  <c r="T463" i="1"/>
  <c r="P463" i="1"/>
  <c r="Q463" i="1" s="1"/>
  <c r="S463" i="1" s="1"/>
  <c r="M463" i="1"/>
  <c r="L463" i="1"/>
  <c r="G463" i="1"/>
  <c r="T462" i="1"/>
  <c r="P462" i="1"/>
  <c r="Q462" i="1" s="1"/>
  <c r="S462" i="1" s="1"/>
  <c r="M462" i="1"/>
  <c r="L462" i="1"/>
  <c r="G462" i="1"/>
  <c r="A462" i="1"/>
  <c r="T461" i="1"/>
  <c r="P461" i="1"/>
  <c r="Q461" i="1" s="1"/>
  <c r="S461" i="1" s="1"/>
  <c r="M461" i="1"/>
  <c r="L461" i="1"/>
  <c r="H461" i="1"/>
  <c r="G461" i="1"/>
  <c r="A461" i="1"/>
  <c r="T460" i="1"/>
  <c r="P460" i="1"/>
  <c r="Q460" i="1" s="1"/>
  <c r="S460" i="1" s="1"/>
  <c r="M460" i="1"/>
  <c r="L460" i="1"/>
  <c r="G460" i="1"/>
  <c r="T459" i="1"/>
  <c r="P459" i="1"/>
  <c r="Q459" i="1" s="1"/>
  <c r="S459" i="1" s="1"/>
  <c r="M459" i="1"/>
  <c r="L459" i="1"/>
  <c r="G459" i="1"/>
  <c r="A459" i="1"/>
  <c r="T458" i="1"/>
  <c r="P458" i="1"/>
  <c r="Q458" i="1" s="1"/>
  <c r="S458" i="1" s="1"/>
  <c r="M458" i="1"/>
  <c r="L458" i="1"/>
  <c r="T457" i="1"/>
  <c r="P457" i="1"/>
  <c r="Q457" i="1" s="1"/>
  <c r="S457" i="1" s="1"/>
  <c r="M457" i="1"/>
  <c r="L457" i="1"/>
  <c r="T456" i="1"/>
  <c r="P456" i="1"/>
  <c r="Q456" i="1" s="1"/>
  <c r="S456" i="1" s="1"/>
  <c r="M456" i="1"/>
  <c r="L456" i="1"/>
  <c r="H456" i="1"/>
  <c r="G456" i="1"/>
  <c r="A456" i="1"/>
  <c r="P455" i="1"/>
  <c r="Q455" i="1" s="1"/>
  <c r="S455" i="1" s="1"/>
  <c r="K455" i="1"/>
  <c r="T455" i="1" s="1"/>
  <c r="P454" i="1"/>
  <c r="Q454" i="1" s="1"/>
  <c r="S454" i="1" s="1"/>
  <c r="K454" i="1"/>
  <c r="T454" i="1" s="1"/>
  <c r="G454" i="1"/>
  <c r="A454" i="1"/>
  <c r="P453" i="1"/>
  <c r="Q453" i="1" s="1"/>
  <c r="S453" i="1" s="1"/>
  <c r="K453" i="1"/>
  <c r="T453" i="1" s="1"/>
  <c r="P452" i="1"/>
  <c r="Q452" i="1" s="1"/>
  <c r="S452" i="1" s="1"/>
  <c r="K452" i="1"/>
  <c r="T452" i="1" s="1"/>
  <c r="G452" i="1"/>
  <c r="B452" i="1"/>
  <c r="A452" i="1"/>
  <c r="P451" i="1"/>
  <c r="Q451" i="1" s="1"/>
  <c r="S451" i="1" s="1"/>
  <c r="K451" i="1"/>
  <c r="T451" i="1" s="1"/>
  <c r="G451" i="1"/>
  <c r="A451" i="1"/>
  <c r="P450" i="1"/>
  <c r="Q450" i="1" s="1"/>
  <c r="S450" i="1" s="1"/>
  <c r="K450" i="1"/>
  <c r="T450" i="1" s="1"/>
  <c r="G450" i="1"/>
  <c r="A450" i="1"/>
  <c r="T449" i="1"/>
  <c r="P449" i="1"/>
  <c r="Q449" i="1" s="1"/>
  <c r="S449" i="1" s="1"/>
  <c r="M449" i="1"/>
  <c r="L449" i="1"/>
  <c r="G449" i="1"/>
  <c r="A449" i="1"/>
  <c r="T448" i="1"/>
  <c r="P448" i="1"/>
  <c r="Q448" i="1" s="1"/>
  <c r="S448" i="1" s="1"/>
  <c r="M448" i="1"/>
  <c r="L448" i="1"/>
  <c r="G448" i="1"/>
  <c r="A448" i="1"/>
  <c r="P447" i="1"/>
  <c r="Q447" i="1" s="1"/>
  <c r="S447" i="1" s="1"/>
  <c r="K447" i="1"/>
  <c r="T447" i="1" s="1"/>
  <c r="G447" i="1"/>
  <c r="A447" i="1"/>
  <c r="T446" i="1"/>
  <c r="P446" i="1"/>
  <c r="Q446" i="1" s="1"/>
  <c r="S446" i="1" s="1"/>
  <c r="M446" i="1"/>
  <c r="L446" i="1"/>
  <c r="G446" i="1"/>
  <c r="T445" i="1"/>
  <c r="P445" i="1"/>
  <c r="Q445" i="1" s="1"/>
  <c r="S445" i="1" s="1"/>
  <c r="M445" i="1"/>
  <c r="L445" i="1"/>
  <c r="G445" i="1"/>
  <c r="T444" i="1"/>
  <c r="P444" i="1"/>
  <c r="Q444" i="1" s="1"/>
  <c r="S444" i="1" s="1"/>
  <c r="M444" i="1"/>
  <c r="L444" i="1"/>
  <c r="G444" i="1"/>
  <c r="A444" i="1"/>
  <c r="T443" i="1"/>
  <c r="P443" i="1"/>
  <c r="Q443" i="1" s="1"/>
  <c r="S443" i="1" s="1"/>
  <c r="M443" i="1"/>
  <c r="L443" i="1"/>
  <c r="G443" i="1"/>
  <c r="T442" i="1"/>
  <c r="P442" i="1"/>
  <c r="Q442" i="1" s="1"/>
  <c r="S442" i="1" s="1"/>
  <c r="M442" i="1"/>
  <c r="L442" i="1"/>
  <c r="G442" i="1"/>
  <c r="T441" i="1"/>
  <c r="P441" i="1"/>
  <c r="Q441" i="1" s="1"/>
  <c r="S441" i="1" s="1"/>
  <c r="M441" i="1"/>
  <c r="L441" i="1"/>
  <c r="G441" i="1"/>
  <c r="A441" i="1"/>
  <c r="T440" i="1"/>
  <c r="P440" i="1"/>
  <c r="Q440" i="1" s="1"/>
  <c r="S440" i="1" s="1"/>
  <c r="M440" i="1"/>
  <c r="L440" i="1"/>
  <c r="G440" i="1"/>
  <c r="T439" i="1"/>
  <c r="P439" i="1"/>
  <c r="Q439" i="1" s="1"/>
  <c r="S439" i="1" s="1"/>
  <c r="M439" i="1"/>
  <c r="L439" i="1"/>
  <c r="G439" i="1"/>
  <c r="T438" i="1"/>
  <c r="P438" i="1"/>
  <c r="Q438" i="1" s="1"/>
  <c r="S438" i="1" s="1"/>
  <c r="M438" i="1"/>
  <c r="L438" i="1"/>
  <c r="G438" i="1"/>
  <c r="A438" i="1"/>
  <c r="T437" i="1"/>
  <c r="P437" i="1"/>
  <c r="Q437" i="1" s="1"/>
  <c r="S437" i="1" s="1"/>
  <c r="M437" i="1"/>
  <c r="L437" i="1"/>
  <c r="G437" i="1"/>
  <c r="A437" i="1"/>
  <c r="T436" i="1"/>
  <c r="P436" i="1"/>
  <c r="Q436" i="1" s="1"/>
  <c r="S436" i="1" s="1"/>
  <c r="M436" i="1"/>
  <c r="L436" i="1"/>
  <c r="G436" i="1"/>
  <c r="T435" i="1"/>
  <c r="P435" i="1"/>
  <c r="Q435" i="1" s="1"/>
  <c r="S435" i="1" s="1"/>
  <c r="M435" i="1"/>
  <c r="L435" i="1"/>
  <c r="G435" i="1"/>
  <c r="T434" i="1"/>
  <c r="P434" i="1"/>
  <c r="Q434" i="1" s="1"/>
  <c r="S434" i="1" s="1"/>
  <c r="M434" i="1"/>
  <c r="L434" i="1"/>
  <c r="G434" i="1"/>
  <c r="A434" i="1"/>
  <c r="T433" i="1"/>
  <c r="P433" i="1"/>
  <c r="Q433" i="1" s="1"/>
  <c r="S433" i="1" s="1"/>
  <c r="M433" i="1"/>
  <c r="L433" i="1"/>
  <c r="P432" i="1"/>
  <c r="Q432" i="1" s="1"/>
  <c r="S432" i="1" s="1"/>
  <c r="K432" i="1"/>
  <c r="T432" i="1" s="1"/>
  <c r="P431" i="1"/>
  <c r="Q431" i="1" s="1"/>
  <c r="S431" i="1" s="1"/>
  <c r="K431" i="1"/>
  <c r="M431" i="1" s="1"/>
  <c r="P430" i="1"/>
  <c r="Q430" i="1" s="1"/>
  <c r="S430" i="1" s="1"/>
  <c r="K430" i="1"/>
  <c r="M430" i="1" s="1"/>
  <c r="P429" i="1"/>
  <c r="Q429" i="1" s="1"/>
  <c r="S429" i="1" s="1"/>
  <c r="K429" i="1"/>
  <c r="T429" i="1" s="1"/>
  <c r="P428" i="1"/>
  <c r="Q428" i="1" s="1"/>
  <c r="S428" i="1" s="1"/>
  <c r="K428" i="1"/>
  <c r="T428" i="1" s="1"/>
  <c r="G428" i="1"/>
  <c r="P427" i="1"/>
  <c r="Q427" i="1" s="1"/>
  <c r="S427" i="1" s="1"/>
  <c r="K427" i="1"/>
  <c r="T427" i="1" s="1"/>
  <c r="G427" i="1"/>
  <c r="A427" i="1"/>
  <c r="T426" i="1"/>
  <c r="P426" i="1"/>
  <c r="Q426" i="1" s="1"/>
  <c r="S426" i="1" s="1"/>
  <c r="M426" i="1"/>
  <c r="L426" i="1"/>
  <c r="G426" i="1"/>
  <c r="T425" i="1"/>
  <c r="P425" i="1"/>
  <c r="Q425" i="1" s="1"/>
  <c r="S425" i="1" s="1"/>
  <c r="M425" i="1"/>
  <c r="L425" i="1"/>
  <c r="G425" i="1"/>
  <c r="A425" i="1"/>
  <c r="P424" i="1"/>
  <c r="Q424" i="1" s="1"/>
  <c r="S424" i="1" s="1"/>
  <c r="K424" i="1"/>
  <c r="M424" i="1" s="1"/>
  <c r="G424" i="1"/>
  <c r="A424" i="1"/>
  <c r="P423" i="1"/>
  <c r="Q423" i="1" s="1"/>
  <c r="S423" i="1" s="1"/>
  <c r="K423" i="1"/>
  <c r="T423" i="1" s="1"/>
  <c r="P422" i="1"/>
  <c r="Q422" i="1" s="1"/>
  <c r="S422" i="1" s="1"/>
  <c r="K422" i="1"/>
  <c r="M422" i="1" s="1"/>
  <c r="P421" i="1"/>
  <c r="Q421" i="1" s="1"/>
  <c r="S421" i="1" s="1"/>
  <c r="K421" i="1"/>
  <c r="T421" i="1" s="1"/>
  <c r="P420" i="1"/>
  <c r="Q420" i="1" s="1"/>
  <c r="S420" i="1" s="1"/>
  <c r="K420" i="1"/>
  <c r="M420" i="1" s="1"/>
  <c r="G420" i="1"/>
  <c r="P419" i="1"/>
  <c r="Q419" i="1" s="1"/>
  <c r="S419" i="1" s="1"/>
  <c r="K419" i="1"/>
  <c r="M419" i="1" s="1"/>
  <c r="G419" i="1"/>
  <c r="A419" i="1"/>
  <c r="P418" i="1"/>
  <c r="Q418" i="1" s="1"/>
  <c r="S418" i="1" s="1"/>
  <c r="K418" i="1"/>
  <c r="T418" i="1" s="1"/>
  <c r="G418" i="1"/>
  <c r="A418" i="1"/>
  <c r="T417" i="1"/>
  <c r="P417" i="1"/>
  <c r="Q417" i="1" s="1"/>
  <c r="S417" i="1" s="1"/>
  <c r="M417" i="1"/>
  <c r="L417" i="1"/>
  <c r="G417" i="1"/>
  <c r="A417" i="1"/>
  <c r="P416" i="1"/>
  <c r="Q416" i="1" s="1"/>
  <c r="S416" i="1" s="1"/>
  <c r="K416" i="1"/>
  <c r="M416" i="1" s="1"/>
  <c r="G416" i="1"/>
  <c r="P415" i="1"/>
  <c r="Q415" i="1" s="1"/>
  <c r="S415" i="1" s="1"/>
  <c r="K415" i="1"/>
  <c r="T415" i="1" s="1"/>
  <c r="G415" i="1"/>
  <c r="P414" i="1"/>
  <c r="Q414" i="1" s="1"/>
  <c r="S414" i="1" s="1"/>
  <c r="K414" i="1"/>
  <c r="T414" i="1" s="1"/>
  <c r="G414" i="1"/>
  <c r="A414" i="1"/>
  <c r="P413" i="1"/>
  <c r="Q413" i="1" s="1"/>
  <c r="S413" i="1" s="1"/>
  <c r="K413" i="1"/>
  <c r="T413" i="1" s="1"/>
  <c r="G413" i="1"/>
  <c r="P412" i="1"/>
  <c r="Q412" i="1" s="1"/>
  <c r="S412" i="1" s="1"/>
  <c r="K412" i="1"/>
  <c r="M412" i="1" s="1"/>
  <c r="G412" i="1"/>
  <c r="A412" i="1"/>
  <c r="T411" i="1"/>
  <c r="P411" i="1"/>
  <c r="Q411" i="1" s="1"/>
  <c r="S411" i="1" s="1"/>
  <c r="M411" i="1"/>
  <c r="L411" i="1"/>
  <c r="G411" i="1"/>
  <c r="A411" i="1"/>
  <c r="P410" i="1"/>
  <c r="Q410" i="1" s="1"/>
  <c r="S410" i="1" s="1"/>
  <c r="K410" i="1"/>
  <c r="T410" i="1" s="1"/>
  <c r="G410" i="1"/>
  <c r="P409" i="1"/>
  <c r="Q409" i="1" s="1"/>
  <c r="S409" i="1" s="1"/>
  <c r="K409" i="1"/>
  <c r="T409" i="1" s="1"/>
  <c r="G409" i="1"/>
  <c r="P408" i="1"/>
  <c r="Q408" i="1" s="1"/>
  <c r="S408" i="1" s="1"/>
  <c r="K408" i="1"/>
  <c r="T408" i="1" s="1"/>
  <c r="G408" i="1"/>
  <c r="P407" i="1"/>
  <c r="Q407" i="1" s="1"/>
  <c r="S407" i="1" s="1"/>
  <c r="K407" i="1"/>
  <c r="M407" i="1" s="1"/>
  <c r="G407" i="1"/>
  <c r="P406" i="1"/>
  <c r="Q406" i="1" s="1"/>
  <c r="S406" i="1" s="1"/>
  <c r="K406" i="1"/>
  <c r="T406" i="1" s="1"/>
  <c r="G406" i="1"/>
  <c r="A406" i="1"/>
  <c r="P405" i="1"/>
  <c r="Q405" i="1" s="1"/>
  <c r="S405" i="1" s="1"/>
  <c r="K405" i="1"/>
  <c r="M405" i="1" s="1"/>
  <c r="G405" i="1"/>
  <c r="P404" i="1"/>
  <c r="Q404" i="1" s="1"/>
  <c r="S404" i="1" s="1"/>
  <c r="K404" i="1"/>
  <c r="G404" i="1"/>
  <c r="A404" i="1"/>
  <c r="T403" i="1"/>
  <c r="P403" i="1"/>
  <c r="Q403" i="1" s="1"/>
  <c r="S403" i="1" s="1"/>
  <c r="M403" i="1"/>
  <c r="L403" i="1"/>
  <c r="G403" i="1"/>
  <c r="A403" i="1"/>
  <c r="T402" i="1"/>
  <c r="P402" i="1"/>
  <c r="Q402" i="1" s="1"/>
  <c r="S402" i="1" s="1"/>
  <c r="M402" i="1"/>
  <c r="L402" i="1"/>
  <c r="G402" i="1"/>
  <c r="T401" i="1"/>
  <c r="P401" i="1"/>
  <c r="Q401" i="1" s="1"/>
  <c r="S401" i="1" s="1"/>
  <c r="M401" i="1"/>
  <c r="L401" i="1"/>
  <c r="G401" i="1"/>
  <c r="A401" i="1"/>
  <c r="T400" i="1"/>
  <c r="P400" i="1"/>
  <c r="Q400" i="1" s="1"/>
  <c r="S400" i="1" s="1"/>
  <c r="M400" i="1"/>
  <c r="L400" i="1"/>
  <c r="G400" i="1"/>
  <c r="T399" i="1"/>
  <c r="P399" i="1"/>
  <c r="Q399" i="1" s="1"/>
  <c r="S399" i="1" s="1"/>
  <c r="M399" i="1"/>
  <c r="L399" i="1"/>
  <c r="G399" i="1"/>
  <c r="A399" i="1"/>
  <c r="T398" i="1"/>
  <c r="P398" i="1"/>
  <c r="Q398" i="1" s="1"/>
  <c r="S398" i="1" s="1"/>
  <c r="M398" i="1"/>
  <c r="G398" i="1"/>
  <c r="T397" i="1"/>
  <c r="P397" i="1"/>
  <c r="Q397" i="1" s="1"/>
  <c r="S397" i="1" s="1"/>
  <c r="M397" i="1"/>
  <c r="G397" i="1"/>
  <c r="T396" i="1"/>
  <c r="P396" i="1"/>
  <c r="Q396" i="1" s="1"/>
  <c r="S396" i="1" s="1"/>
  <c r="M396" i="1"/>
  <c r="G396" i="1"/>
  <c r="A396" i="1"/>
  <c r="T395" i="1"/>
  <c r="P395" i="1"/>
  <c r="Q395" i="1" s="1"/>
  <c r="S395" i="1" s="1"/>
  <c r="M395" i="1"/>
  <c r="G395" i="1"/>
  <c r="T394" i="1"/>
  <c r="P394" i="1"/>
  <c r="Q394" i="1" s="1"/>
  <c r="S394" i="1" s="1"/>
  <c r="M394" i="1"/>
  <c r="G394" i="1"/>
  <c r="A394" i="1"/>
  <c r="P393" i="1"/>
  <c r="Q393" i="1" s="1"/>
  <c r="S393" i="1" s="1"/>
  <c r="K393" i="1"/>
  <c r="M393" i="1" s="1"/>
  <c r="P392" i="1"/>
  <c r="Q392" i="1" s="1"/>
  <c r="S392" i="1" s="1"/>
  <c r="K392" i="1"/>
  <c r="T392" i="1" s="1"/>
  <c r="P391" i="1"/>
  <c r="Q391" i="1" s="1"/>
  <c r="S391" i="1" s="1"/>
  <c r="K391" i="1"/>
  <c r="T391" i="1" s="1"/>
  <c r="P390" i="1"/>
  <c r="Q390" i="1" s="1"/>
  <c r="S390" i="1" s="1"/>
  <c r="K390" i="1"/>
  <c r="T390" i="1" s="1"/>
  <c r="P389" i="1"/>
  <c r="Q389" i="1" s="1"/>
  <c r="S389" i="1" s="1"/>
  <c r="K389" i="1"/>
  <c r="M389" i="1" s="1"/>
  <c r="P388" i="1"/>
  <c r="Q388" i="1" s="1"/>
  <c r="S388" i="1" s="1"/>
  <c r="K388" i="1"/>
  <c r="T388" i="1" s="1"/>
  <c r="P387" i="1"/>
  <c r="Q387" i="1" s="1"/>
  <c r="S387" i="1" s="1"/>
  <c r="K387" i="1"/>
  <c r="T387" i="1" s="1"/>
  <c r="P386" i="1"/>
  <c r="Q386" i="1" s="1"/>
  <c r="S386" i="1" s="1"/>
  <c r="K386" i="1"/>
  <c r="T386" i="1" s="1"/>
  <c r="P385" i="1"/>
  <c r="Q385" i="1" s="1"/>
  <c r="S385" i="1" s="1"/>
  <c r="K385" i="1"/>
  <c r="P384" i="1"/>
  <c r="Q384" i="1" s="1"/>
  <c r="S384" i="1" s="1"/>
  <c r="K384" i="1"/>
  <c r="T384" i="1" s="1"/>
  <c r="P383" i="1"/>
  <c r="Q383" i="1" s="1"/>
  <c r="S383" i="1" s="1"/>
  <c r="K383" i="1"/>
  <c r="M383" i="1" s="1"/>
  <c r="P382" i="1"/>
  <c r="Q382" i="1" s="1"/>
  <c r="S382" i="1" s="1"/>
  <c r="K382" i="1"/>
  <c r="M382" i="1" s="1"/>
  <c r="P381" i="1"/>
  <c r="Q381" i="1" s="1"/>
  <c r="S381" i="1" s="1"/>
  <c r="K381" i="1"/>
  <c r="T381" i="1" s="1"/>
  <c r="G381" i="1"/>
  <c r="A381" i="1"/>
  <c r="T380" i="1"/>
  <c r="P380" i="1"/>
  <c r="Q380" i="1" s="1"/>
  <c r="S380" i="1" s="1"/>
  <c r="M380" i="1"/>
  <c r="L380" i="1"/>
  <c r="G380" i="1"/>
  <c r="A380" i="1"/>
  <c r="T379" i="1"/>
  <c r="P379" i="1"/>
  <c r="Q379" i="1" s="1"/>
  <c r="S379" i="1" s="1"/>
  <c r="M379" i="1"/>
  <c r="G379" i="1"/>
  <c r="A379" i="1"/>
  <c r="P378" i="1"/>
  <c r="Q378" i="1" s="1"/>
  <c r="S378" i="1" s="1"/>
  <c r="K378" i="1"/>
  <c r="T378" i="1" s="1"/>
  <c r="P377" i="1"/>
  <c r="Q377" i="1" s="1"/>
  <c r="S377" i="1" s="1"/>
  <c r="K377" i="1"/>
  <c r="M377" i="1" s="1"/>
  <c r="P376" i="1"/>
  <c r="Q376" i="1" s="1"/>
  <c r="S376" i="1" s="1"/>
  <c r="K376" i="1"/>
  <c r="M376" i="1" s="1"/>
  <c r="P375" i="1"/>
  <c r="Q375" i="1" s="1"/>
  <c r="S375" i="1" s="1"/>
  <c r="K375" i="1"/>
  <c r="P374" i="1"/>
  <c r="Q374" i="1" s="1"/>
  <c r="S374" i="1" s="1"/>
  <c r="K374" i="1"/>
  <c r="T374" i="1" s="1"/>
  <c r="P373" i="1"/>
  <c r="Q373" i="1" s="1"/>
  <c r="S373" i="1" s="1"/>
  <c r="K373" i="1"/>
  <c r="M373" i="1" s="1"/>
  <c r="P372" i="1"/>
  <c r="Q372" i="1" s="1"/>
  <c r="S372" i="1" s="1"/>
  <c r="K372" i="1"/>
  <c r="T372" i="1" s="1"/>
  <c r="G372" i="1"/>
  <c r="P371" i="1"/>
  <c r="Q371" i="1" s="1"/>
  <c r="S371" i="1" s="1"/>
  <c r="K371" i="1"/>
  <c r="M371" i="1" s="1"/>
  <c r="G371" i="1"/>
  <c r="P370" i="1"/>
  <c r="Q370" i="1" s="1"/>
  <c r="S370" i="1" s="1"/>
  <c r="K370" i="1"/>
  <c r="T370" i="1" s="1"/>
  <c r="G370" i="1"/>
  <c r="A370" i="1"/>
  <c r="T369" i="1"/>
  <c r="P369" i="1"/>
  <c r="Q369" i="1" s="1"/>
  <c r="S369" i="1" s="1"/>
  <c r="M369" i="1"/>
  <c r="L369" i="1"/>
  <c r="G369" i="1"/>
  <c r="T368" i="1"/>
  <c r="P368" i="1"/>
  <c r="Q368" i="1" s="1"/>
  <c r="S368" i="1" s="1"/>
  <c r="M368" i="1"/>
  <c r="L368" i="1"/>
  <c r="G368" i="1"/>
  <c r="A368" i="1"/>
  <c r="P367" i="1"/>
  <c r="Q367" i="1" s="1"/>
  <c r="S367" i="1" s="1"/>
  <c r="K367" i="1"/>
  <c r="T367" i="1" s="1"/>
  <c r="G367" i="1"/>
  <c r="A367" i="1"/>
  <c r="T366" i="1"/>
  <c r="P366" i="1"/>
  <c r="Q366" i="1" s="1"/>
  <c r="S366" i="1" s="1"/>
  <c r="G366" i="1"/>
  <c r="A366" i="1"/>
  <c r="T365" i="1"/>
  <c r="P365" i="1"/>
  <c r="Q365" i="1" s="1"/>
  <c r="S365" i="1" s="1"/>
  <c r="M365" i="1"/>
  <c r="L365" i="1"/>
  <c r="G365" i="1"/>
  <c r="A365" i="1"/>
  <c r="T364" i="1"/>
  <c r="P364" i="1"/>
  <c r="Q364" i="1" s="1"/>
  <c r="S364" i="1" s="1"/>
  <c r="M364" i="1"/>
  <c r="L364" i="1"/>
  <c r="G364" i="1"/>
  <c r="A364" i="1"/>
  <c r="P363" i="1"/>
  <c r="Q363" i="1" s="1"/>
  <c r="S363" i="1" s="1"/>
  <c r="K363" i="1"/>
  <c r="T363" i="1" s="1"/>
  <c r="G363" i="1"/>
  <c r="A363" i="1"/>
  <c r="P362" i="1"/>
  <c r="Q362" i="1" s="1"/>
  <c r="S362" i="1" s="1"/>
  <c r="K362" i="1"/>
  <c r="M362" i="1" s="1"/>
  <c r="G362" i="1"/>
  <c r="A362" i="1"/>
  <c r="T361" i="1"/>
  <c r="P361" i="1"/>
  <c r="Q361" i="1" s="1"/>
  <c r="S361" i="1" s="1"/>
  <c r="M361" i="1"/>
  <c r="L361" i="1"/>
  <c r="G361" i="1"/>
  <c r="T360" i="1"/>
  <c r="P360" i="1"/>
  <c r="Q360" i="1" s="1"/>
  <c r="S360" i="1" s="1"/>
  <c r="M360" i="1"/>
  <c r="L360" i="1"/>
  <c r="G360" i="1"/>
  <c r="T359" i="1"/>
  <c r="P359" i="1"/>
  <c r="Q359" i="1" s="1"/>
  <c r="S359" i="1" s="1"/>
  <c r="M359" i="1"/>
  <c r="L359" i="1"/>
  <c r="G359" i="1"/>
  <c r="A359" i="1"/>
  <c r="AI358" i="1"/>
  <c r="W358" i="1"/>
  <c r="Y358" i="1" s="1"/>
  <c r="AI357" i="1"/>
  <c r="W357" i="1"/>
  <c r="Y357" i="1" s="1"/>
  <c r="AI356" i="1"/>
  <c r="W356" i="1"/>
  <c r="Y356" i="1" s="1"/>
  <c r="AI355" i="1"/>
  <c r="W355" i="1"/>
  <c r="Y355" i="1" s="1"/>
  <c r="AI354" i="1"/>
  <c r="W354" i="1"/>
  <c r="Y354" i="1" s="1"/>
  <c r="AC354" i="1" s="1"/>
  <c r="AE354" i="1" s="1"/>
  <c r="AH354" i="1" s="1"/>
  <c r="AJ354" i="1" s="1"/>
  <c r="T353" i="1"/>
  <c r="P353" i="1"/>
  <c r="Q353" i="1" s="1"/>
  <c r="S353" i="1" s="1"/>
  <c r="M353" i="1"/>
  <c r="L353" i="1"/>
  <c r="G353" i="1"/>
  <c r="T352" i="1"/>
  <c r="P352" i="1"/>
  <c r="Q352" i="1" s="1"/>
  <c r="S352" i="1" s="1"/>
  <c r="M352" i="1"/>
  <c r="L352" i="1"/>
  <c r="G352" i="1"/>
  <c r="T351" i="1"/>
  <c r="P351" i="1"/>
  <c r="Q351" i="1" s="1"/>
  <c r="S351" i="1" s="1"/>
  <c r="M351" i="1"/>
  <c r="L351" i="1"/>
  <c r="G351" i="1"/>
  <c r="T350" i="1"/>
  <c r="P350" i="1"/>
  <c r="Q350" i="1" s="1"/>
  <c r="S350" i="1" s="1"/>
  <c r="M350" i="1"/>
  <c r="L350" i="1"/>
  <c r="G350" i="1"/>
  <c r="T349" i="1"/>
  <c r="P349" i="1"/>
  <c r="Q349" i="1" s="1"/>
  <c r="S349" i="1" s="1"/>
  <c r="M349" i="1"/>
  <c r="L349" i="1"/>
  <c r="G349" i="1"/>
  <c r="A349" i="1"/>
  <c r="AI348" i="1"/>
  <c r="W348" i="1"/>
  <c r="Y348" i="1" s="1"/>
  <c r="T347" i="1"/>
  <c r="P347" i="1"/>
  <c r="Q347" i="1" s="1"/>
  <c r="S347" i="1" s="1"/>
  <c r="M347" i="1"/>
  <c r="L347" i="1"/>
  <c r="G347" i="1"/>
  <c r="AI346" i="1"/>
  <c r="W346" i="1"/>
  <c r="Y346" i="1" s="1"/>
  <c r="AI345" i="1"/>
  <c r="W345" i="1"/>
  <c r="Y345" i="1" s="1"/>
  <c r="AI344" i="1"/>
  <c r="W344" i="1"/>
  <c r="Y344" i="1" s="1"/>
  <c r="AC344" i="1" s="1"/>
  <c r="AE344" i="1" s="1"/>
  <c r="AH344" i="1" s="1"/>
  <c r="AJ344" i="1" s="1"/>
  <c r="AI343" i="1"/>
  <c r="W343" i="1"/>
  <c r="Y343" i="1" s="1"/>
  <c r="T342" i="1"/>
  <c r="P342" i="1"/>
  <c r="Q342" i="1" s="1"/>
  <c r="S342" i="1" s="1"/>
  <c r="M342" i="1"/>
  <c r="L342" i="1"/>
  <c r="G342" i="1"/>
  <c r="AI341" i="1"/>
  <c r="W341" i="1"/>
  <c r="Y341" i="1" s="1"/>
  <c r="AC341" i="1" s="1"/>
  <c r="AE341" i="1" s="1"/>
  <c r="AH341" i="1" s="1"/>
  <c r="AJ341" i="1" s="1"/>
  <c r="AI340" i="1"/>
  <c r="W340" i="1"/>
  <c r="Y340" i="1" s="1"/>
  <c r="AI339" i="1"/>
  <c r="W339" i="1"/>
  <c r="Y339" i="1" s="1"/>
  <c r="AI338" i="1"/>
  <c r="W338" i="1"/>
  <c r="Y338" i="1" s="1"/>
  <c r="AI337" i="1"/>
  <c r="W337" i="1"/>
  <c r="Y337" i="1" s="1"/>
  <c r="AI336" i="1"/>
  <c r="W336" i="1"/>
  <c r="Y336" i="1" s="1"/>
  <c r="AC336" i="1" s="1"/>
  <c r="AE336" i="1" s="1"/>
  <c r="AH336" i="1" s="1"/>
  <c r="AJ336" i="1" s="1"/>
  <c r="T335" i="1"/>
  <c r="P335" i="1"/>
  <c r="Q335" i="1" s="1"/>
  <c r="S335" i="1" s="1"/>
  <c r="M335" i="1"/>
  <c r="L335" i="1"/>
  <c r="G335" i="1"/>
  <c r="T334" i="1"/>
  <c r="P334" i="1"/>
  <c r="Q334" i="1" s="1"/>
  <c r="S334" i="1" s="1"/>
  <c r="M334" i="1"/>
  <c r="L334" i="1"/>
  <c r="G334" i="1"/>
  <c r="AI333" i="1"/>
  <c r="W333" i="1"/>
  <c r="Y333" i="1" s="1"/>
  <c r="T332" i="1"/>
  <c r="P332" i="1"/>
  <c r="Q332" i="1" s="1"/>
  <c r="S332" i="1" s="1"/>
  <c r="M332" i="1"/>
  <c r="L332" i="1"/>
  <c r="G332" i="1"/>
  <c r="T331" i="1"/>
  <c r="P331" i="1"/>
  <c r="Q331" i="1" s="1"/>
  <c r="S331" i="1" s="1"/>
  <c r="M331" i="1"/>
  <c r="L331" i="1"/>
  <c r="G331" i="1"/>
  <c r="T330" i="1"/>
  <c r="P330" i="1"/>
  <c r="Q330" i="1" s="1"/>
  <c r="S330" i="1" s="1"/>
  <c r="M330" i="1"/>
  <c r="L330" i="1"/>
  <c r="G330" i="1"/>
  <c r="A330" i="1"/>
  <c r="P329" i="1"/>
  <c r="Q329" i="1" s="1"/>
  <c r="S329" i="1" s="1"/>
  <c r="K329" i="1"/>
  <c r="T329" i="1" s="1"/>
  <c r="G329" i="1"/>
  <c r="A329" i="1"/>
  <c r="T328" i="1"/>
  <c r="P328" i="1"/>
  <c r="Q328" i="1" s="1"/>
  <c r="S328" i="1" s="1"/>
  <c r="M328" i="1"/>
  <c r="L328" i="1"/>
  <c r="G328" i="1"/>
  <c r="T327" i="1"/>
  <c r="P327" i="1"/>
  <c r="Q327" i="1" s="1"/>
  <c r="S327" i="1" s="1"/>
  <c r="M327" i="1"/>
  <c r="L327" i="1"/>
  <c r="G327" i="1"/>
  <c r="T326" i="1"/>
  <c r="P326" i="1"/>
  <c r="Q326" i="1" s="1"/>
  <c r="S326" i="1" s="1"/>
  <c r="M326" i="1"/>
  <c r="L326" i="1"/>
  <c r="G326" i="1"/>
  <c r="A326" i="1"/>
  <c r="P325" i="1"/>
  <c r="Q325" i="1" s="1"/>
  <c r="S325" i="1" s="1"/>
  <c r="K325" i="1"/>
  <c r="T325" i="1" s="1"/>
  <c r="G325" i="1"/>
  <c r="B325" i="1"/>
  <c r="A325" i="1"/>
  <c r="P324" i="1"/>
  <c r="Q324" i="1" s="1"/>
  <c r="S324" i="1" s="1"/>
  <c r="K324" i="1"/>
  <c r="M324" i="1" s="1"/>
  <c r="G324" i="1"/>
  <c r="A324" i="1"/>
  <c r="P323" i="1"/>
  <c r="Q323" i="1" s="1"/>
  <c r="S323" i="1" s="1"/>
  <c r="K323" i="1"/>
  <c r="M323" i="1" s="1"/>
  <c r="G323" i="1"/>
  <c r="A323" i="1"/>
  <c r="P322" i="1"/>
  <c r="Q322" i="1" s="1"/>
  <c r="S322" i="1" s="1"/>
  <c r="K322" i="1"/>
  <c r="T322" i="1" s="1"/>
  <c r="G322" i="1"/>
  <c r="A322" i="1"/>
  <c r="T321" i="1"/>
  <c r="P321" i="1"/>
  <c r="Q321" i="1" s="1"/>
  <c r="S321" i="1" s="1"/>
  <c r="M321" i="1"/>
  <c r="L321" i="1"/>
  <c r="T320" i="1"/>
  <c r="P320" i="1"/>
  <c r="Q320" i="1" s="1"/>
  <c r="S320" i="1" s="1"/>
  <c r="M320" i="1"/>
  <c r="L320" i="1"/>
  <c r="T319" i="1"/>
  <c r="P319" i="1"/>
  <c r="Q319" i="1" s="1"/>
  <c r="S319" i="1" s="1"/>
  <c r="M319" i="1"/>
  <c r="L319" i="1"/>
  <c r="T318" i="1"/>
  <c r="P318" i="1"/>
  <c r="Q318" i="1" s="1"/>
  <c r="S318" i="1" s="1"/>
  <c r="M318" i="1"/>
  <c r="L318" i="1"/>
  <c r="P317" i="1"/>
  <c r="Q317" i="1" s="1"/>
  <c r="S317" i="1" s="1"/>
  <c r="K317" i="1"/>
  <c r="G317" i="1"/>
  <c r="P316" i="1"/>
  <c r="Q316" i="1" s="1"/>
  <c r="S316" i="1" s="1"/>
  <c r="K316" i="1"/>
  <c r="M316" i="1" s="1"/>
  <c r="G316" i="1"/>
  <c r="A316" i="1"/>
  <c r="T315" i="1"/>
  <c r="P315" i="1"/>
  <c r="Q315" i="1" s="1"/>
  <c r="S315" i="1" s="1"/>
  <c r="M315" i="1"/>
  <c r="L315" i="1"/>
  <c r="T314" i="1"/>
  <c r="P314" i="1"/>
  <c r="Q314" i="1" s="1"/>
  <c r="S314" i="1" s="1"/>
  <c r="M314" i="1"/>
  <c r="G314" i="1"/>
  <c r="A314" i="1"/>
  <c r="P313" i="1"/>
  <c r="Q313" i="1" s="1"/>
  <c r="S313" i="1" s="1"/>
  <c r="K313" i="1"/>
  <c r="M313" i="1" s="1"/>
  <c r="G313" i="1"/>
  <c r="P312" i="1"/>
  <c r="Q312" i="1" s="1"/>
  <c r="S312" i="1" s="1"/>
  <c r="K312" i="1"/>
  <c r="T312" i="1" s="1"/>
  <c r="G312" i="1"/>
  <c r="A312" i="1"/>
  <c r="P311" i="1"/>
  <c r="Q311" i="1" s="1"/>
  <c r="S311" i="1" s="1"/>
  <c r="K311" i="1"/>
  <c r="M311" i="1" s="1"/>
  <c r="G311" i="1"/>
  <c r="A311" i="1"/>
  <c r="P310" i="1"/>
  <c r="Q310" i="1" s="1"/>
  <c r="S310" i="1" s="1"/>
  <c r="K310" i="1"/>
  <c r="T310" i="1" s="1"/>
  <c r="G310" i="1"/>
  <c r="P309" i="1"/>
  <c r="Q309" i="1" s="1"/>
  <c r="S309" i="1" s="1"/>
  <c r="K309" i="1"/>
  <c r="T309" i="1" s="1"/>
  <c r="G309" i="1"/>
  <c r="P308" i="1"/>
  <c r="Q308" i="1" s="1"/>
  <c r="S308" i="1" s="1"/>
  <c r="K308" i="1"/>
  <c r="T308" i="1" s="1"/>
  <c r="G308" i="1"/>
  <c r="P307" i="1"/>
  <c r="Q307" i="1" s="1"/>
  <c r="S307" i="1" s="1"/>
  <c r="K307" i="1"/>
  <c r="M307" i="1" s="1"/>
  <c r="G307" i="1"/>
  <c r="P306" i="1"/>
  <c r="Q306" i="1" s="1"/>
  <c r="S306" i="1" s="1"/>
  <c r="K306" i="1"/>
  <c r="T306" i="1" s="1"/>
  <c r="G306" i="1"/>
  <c r="P305" i="1"/>
  <c r="Q305" i="1" s="1"/>
  <c r="S305" i="1" s="1"/>
  <c r="K305" i="1"/>
  <c r="T305" i="1" s="1"/>
  <c r="G305" i="1"/>
  <c r="P304" i="1"/>
  <c r="Q304" i="1" s="1"/>
  <c r="S304" i="1" s="1"/>
  <c r="K304" i="1"/>
  <c r="T304" i="1" s="1"/>
  <c r="G304" i="1"/>
  <c r="P303" i="1"/>
  <c r="Q303" i="1" s="1"/>
  <c r="S303" i="1" s="1"/>
  <c r="K303" i="1"/>
  <c r="G303" i="1"/>
  <c r="A303" i="1"/>
  <c r="P302" i="1"/>
  <c r="Q302" i="1" s="1"/>
  <c r="S302" i="1" s="1"/>
  <c r="K302" i="1"/>
  <c r="M302" i="1" s="1"/>
  <c r="G302" i="1"/>
  <c r="A302" i="1"/>
  <c r="T301" i="1"/>
  <c r="P301" i="1"/>
  <c r="Q301" i="1" s="1"/>
  <c r="S301" i="1" s="1"/>
  <c r="M301" i="1"/>
  <c r="L301" i="1"/>
  <c r="G301" i="1"/>
  <c r="T300" i="1"/>
  <c r="P300" i="1"/>
  <c r="Q300" i="1" s="1"/>
  <c r="S300" i="1" s="1"/>
  <c r="M300" i="1"/>
  <c r="L300" i="1"/>
  <c r="G300" i="1"/>
  <c r="T299" i="1"/>
  <c r="P299" i="1"/>
  <c r="Q299" i="1" s="1"/>
  <c r="S299" i="1" s="1"/>
  <c r="M299" i="1"/>
  <c r="L299" i="1"/>
  <c r="G299" i="1"/>
  <c r="T298" i="1"/>
  <c r="P298" i="1"/>
  <c r="Q298" i="1" s="1"/>
  <c r="S298" i="1" s="1"/>
  <c r="M298" i="1"/>
  <c r="L298" i="1"/>
  <c r="G298" i="1"/>
  <c r="A298" i="1"/>
  <c r="T297" i="1"/>
  <c r="P297" i="1"/>
  <c r="Q297" i="1" s="1"/>
  <c r="S297" i="1" s="1"/>
  <c r="M297" i="1"/>
  <c r="L297" i="1"/>
  <c r="G297" i="1"/>
  <c r="A297" i="1"/>
  <c r="T296" i="1"/>
  <c r="P296" i="1"/>
  <c r="Q296" i="1" s="1"/>
  <c r="S296" i="1" s="1"/>
  <c r="M296" i="1"/>
  <c r="L296" i="1"/>
  <c r="G296" i="1"/>
  <c r="A296" i="1"/>
  <c r="T295" i="1"/>
  <c r="P295" i="1"/>
  <c r="Q295" i="1" s="1"/>
  <c r="S295" i="1" s="1"/>
  <c r="M295" i="1"/>
  <c r="L295" i="1"/>
  <c r="G295" i="1"/>
  <c r="A295" i="1"/>
  <c r="T294" i="1"/>
  <c r="P294" i="1"/>
  <c r="Q294" i="1" s="1"/>
  <c r="S294" i="1" s="1"/>
  <c r="M294" i="1"/>
  <c r="L294" i="1"/>
  <c r="G294" i="1"/>
  <c r="A294" i="1"/>
  <c r="T293" i="1"/>
  <c r="P293" i="1"/>
  <c r="Q293" i="1" s="1"/>
  <c r="S293" i="1" s="1"/>
  <c r="M293" i="1"/>
  <c r="L293" i="1"/>
  <c r="G293" i="1"/>
  <c r="T292" i="1"/>
  <c r="P292" i="1"/>
  <c r="Q292" i="1" s="1"/>
  <c r="S292" i="1" s="1"/>
  <c r="M292" i="1"/>
  <c r="L292" i="1"/>
  <c r="G292" i="1"/>
  <c r="A292" i="1"/>
  <c r="T291" i="1"/>
  <c r="P291" i="1"/>
  <c r="Q291" i="1" s="1"/>
  <c r="S291" i="1" s="1"/>
  <c r="M291" i="1"/>
  <c r="L291" i="1"/>
  <c r="G291" i="1"/>
  <c r="T290" i="1"/>
  <c r="P290" i="1"/>
  <c r="Q290" i="1" s="1"/>
  <c r="S290" i="1" s="1"/>
  <c r="M290" i="1"/>
  <c r="L290" i="1"/>
  <c r="G290" i="1"/>
  <c r="A290" i="1"/>
  <c r="T289" i="1"/>
  <c r="P289" i="1"/>
  <c r="Q289" i="1" s="1"/>
  <c r="S289" i="1" s="1"/>
  <c r="M289" i="1"/>
  <c r="G289" i="1"/>
  <c r="B289" i="1"/>
  <c r="A289" i="1"/>
  <c r="P288" i="1"/>
  <c r="Q288" i="1" s="1"/>
  <c r="S288" i="1" s="1"/>
  <c r="K288" i="1"/>
  <c r="G288" i="1"/>
  <c r="P287" i="1"/>
  <c r="Q287" i="1" s="1"/>
  <c r="S287" i="1" s="1"/>
  <c r="K287" i="1"/>
  <c r="T287" i="1" s="1"/>
  <c r="G287" i="1"/>
  <c r="A287" i="1"/>
  <c r="T286" i="1"/>
  <c r="P286" i="1"/>
  <c r="Q286" i="1" s="1"/>
  <c r="S286" i="1" s="1"/>
  <c r="M286" i="1"/>
  <c r="L286" i="1"/>
  <c r="P285" i="1"/>
  <c r="Q285" i="1" s="1"/>
  <c r="S285" i="1" s="1"/>
  <c r="K285" i="1"/>
  <c r="M285" i="1" s="1"/>
  <c r="G285" i="1"/>
  <c r="P284" i="1"/>
  <c r="Q284" i="1" s="1"/>
  <c r="S284" i="1" s="1"/>
  <c r="K284" i="1"/>
  <c r="T284" i="1" s="1"/>
  <c r="G284" i="1"/>
  <c r="P283" i="1"/>
  <c r="Q283" i="1" s="1"/>
  <c r="S283" i="1" s="1"/>
  <c r="K283" i="1"/>
  <c r="T283" i="1" s="1"/>
  <c r="G283" i="1"/>
  <c r="P282" i="1"/>
  <c r="Q282" i="1" s="1"/>
  <c r="S282" i="1" s="1"/>
  <c r="K282" i="1"/>
  <c r="T282" i="1" s="1"/>
  <c r="G282" i="1"/>
  <c r="P281" i="1"/>
  <c r="Q281" i="1" s="1"/>
  <c r="S281" i="1" s="1"/>
  <c r="K281" i="1"/>
  <c r="M281" i="1" s="1"/>
  <c r="G281" i="1"/>
  <c r="P280" i="1"/>
  <c r="Q280" i="1" s="1"/>
  <c r="S280" i="1" s="1"/>
  <c r="K280" i="1"/>
  <c r="T280" i="1" s="1"/>
  <c r="G280" i="1"/>
  <c r="A280" i="1"/>
  <c r="T279" i="1"/>
  <c r="P279" i="1"/>
  <c r="Q279" i="1" s="1"/>
  <c r="S279" i="1" s="1"/>
  <c r="M279" i="1"/>
  <c r="L279" i="1"/>
  <c r="G279" i="1"/>
  <c r="T278" i="1"/>
  <c r="P278" i="1"/>
  <c r="Q278" i="1" s="1"/>
  <c r="S278" i="1" s="1"/>
  <c r="M278" i="1"/>
  <c r="L278" i="1"/>
  <c r="G278" i="1"/>
  <c r="A278" i="1"/>
  <c r="P277" i="1"/>
  <c r="Q277" i="1" s="1"/>
  <c r="S277" i="1" s="1"/>
  <c r="K277" i="1"/>
  <c r="M277" i="1" s="1"/>
  <c r="G277" i="1"/>
  <c r="A277" i="1"/>
  <c r="P276" i="1"/>
  <c r="Q276" i="1" s="1"/>
  <c r="S276" i="1" s="1"/>
  <c r="K276" i="1"/>
  <c r="M276" i="1" s="1"/>
  <c r="G276" i="1"/>
  <c r="P275" i="1"/>
  <c r="Q275" i="1" s="1"/>
  <c r="S275" i="1" s="1"/>
  <c r="K275" i="1"/>
  <c r="T275" i="1" s="1"/>
  <c r="G275" i="1"/>
  <c r="B275" i="1"/>
  <c r="A275" i="1"/>
  <c r="P274" i="1"/>
  <c r="Q274" i="1" s="1"/>
  <c r="S274" i="1" s="1"/>
  <c r="K274" i="1"/>
  <c r="T274" i="1" s="1"/>
  <c r="G274" i="1"/>
  <c r="A274" i="1"/>
  <c r="J273" i="1"/>
  <c r="P273" i="1" s="1"/>
  <c r="P272" i="1"/>
  <c r="Q272" i="1" s="1"/>
  <c r="S272" i="1" s="1"/>
  <c r="K272" i="1"/>
  <c r="M272" i="1" s="1"/>
  <c r="T271" i="1"/>
  <c r="T273" i="1" s="1"/>
  <c r="P271" i="1"/>
  <c r="Q271" i="1" s="1"/>
  <c r="S271" i="1" s="1"/>
  <c r="M271" i="1"/>
  <c r="L271" i="1"/>
  <c r="L273" i="1" s="1"/>
  <c r="G271" i="1"/>
  <c r="A271" i="1"/>
  <c r="T270" i="1"/>
  <c r="P270" i="1"/>
  <c r="Q270" i="1" s="1"/>
  <c r="S270" i="1" s="1"/>
  <c r="M270" i="1"/>
  <c r="L270" i="1"/>
  <c r="G270" i="1"/>
  <c r="T269" i="1"/>
  <c r="P269" i="1"/>
  <c r="Q269" i="1" s="1"/>
  <c r="S269" i="1" s="1"/>
  <c r="M269" i="1"/>
  <c r="L269" i="1"/>
  <c r="T268" i="1"/>
  <c r="P268" i="1"/>
  <c r="Q268" i="1" s="1"/>
  <c r="S268" i="1" s="1"/>
  <c r="M268" i="1"/>
  <c r="L268" i="1"/>
  <c r="G268" i="1"/>
  <c r="A268" i="1"/>
  <c r="T267" i="1"/>
  <c r="P267" i="1"/>
  <c r="Q267" i="1" s="1"/>
  <c r="S267" i="1" s="1"/>
  <c r="M267" i="1"/>
  <c r="L267" i="1"/>
  <c r="G267" i="1"/>
  <c r="A267" i="1"/>
  <c r="T266" i="1"/>
  <c r="P266" i="1"/>
  <c r="Q266" i="1" s="1"/>
  <c r="S266" i="1" s="1"/>
  <c r="M266" i="1"/>
  <c r="L266" i="1"/>
  <c r="G266" i="1"/>
  <c r="A266" i="1"/>
  <c r="P265" i="1"/>
  <c r="Q265" i="1" s="1"/>
  <c r="S265" i="1" s="1"/>
  <c r="K265" i="1"/>
  <c r="M265" i="1" s="1"/>
  <c r="G265" i="1"/>
  <c r="P264" i="1"/>
  <c r="Q264" i="1" s="1"/>
  <c r="S264" i="1" s="1"/>
  <c r="K264" i="1"/>
  <c r="T264" i="1" s="1"/>
  <c r="G264" i="1"/>
  <c r="A264" i="1"/>
  <c r="P263" i="1"/>
  <c r="Q263" i="1" s="1"/>
  <c r="S263" i="1" s="1"/>
  <c r="K263" i="1"/>
  <c r="G263" i="1"/>
  <c r="A263" i="1"/>
  <c r="T262" i="1"/>
  <c r="P262" i="1"/>
  <c r="Q262" i="1" s="1"/>
  <c r="S262" i="1" s="1"/>
  <c r="M262" i="1"/>
  <c r="L262" i="1"/>
  <c r="G262" i="1"/>
  <c r="T261" i="1"/>
  <c r="P261" i="1"/>
  <c r="Q261" i="1" s="1"/>
  <c r="S261" i="1" s="1"/>
  <c r="M261" i="1"/>
  <c r="L261" i="1"/>
  <c r="G261" i="1"/>
  <c r="A261" i="1"/>
  <c r="P260" i="1"/>
  <c r="Q260" i="1" s="1"/>
  <c r="S260" i="1" s="1"/>
  <c r="K260" i="1"/>
  <c r="M260" i="1" s="1"/>
  <c r="G260" i="1"/>
  <c r="P259" i="1"/>
  <c r="Q259" i="1" s="1"/>
  <c r="S259" i="1" s="1"/>
  <c r="K259" i="1"/>
  <c r="G259" i="1"/>
  <c r="P258" i="1"/>
  <c r="Q258" i="1" s="1"/>
  <c r="S258" i="1" s="1"/>
  <c r="K258" i="1"/>
  <c r="T258" i="1" s="1"/>
  <c r="G258" i="1"/>
  <c r="P257" i="1"/>
  <c r="Q257" i="1" s="1"/>
  <c r="S257" i="1" s="1"/>
  <c r="K257" i="1"/>
  <c r="G257" i="1"/>
  <c r="A257" i="1"/>
  <c r="T256" i="1"/>
  <c r="P256" i="1"/>
  <c r="Q256" i="1" s="1"/>
  <c r="S256" i="1" s="1"/>
  <c r="M256" i="1"/>
  <c r="G256" i="1"/>
  <c r="T255" i="1"/>
  <c r="P255" i="1"/>
  <c r="Q255" i="1" s="1"/>
  <c r="S255" i="1" s="1"/>
  <c r="M255" i="1"/>
  <c r="G255" i="1"/>
  <c r="T254" i="1"/>
  <c r="P254" i="1"/>
  <c r="Q254" i="1" s="1"/>
  <c r="S254" i="1" s="1"/>
  <c r="M254" i="1"/>
  <c r="G254" i="1"/>
  <c r="A254" i="1"/>
  <c r="P253" i="1"/>
  <c r="Q253" i="1" s="1"/>
  <c r="S253" i="1" s="1"/>
  <c r="K253" i="1"/>
  <c r="M253" i="1" s="1"/>
  <c r="G253" i="1"/>
  <c r="P252" i="1"/>
  <c r="Q252" i="1" s="1"/>
  <c r="S252" i="1" s="1"/>
  <c r="K252" i="1"/>
  <c r="G252" i="1"/>
  <c r="A252" i="1"/>
  <c r="P251" i="1"/>
  <c r="Q251" i="1" s="1"/>
  <c r="S251" i="1" s="1"/>
  <c r="K251" i="1"/>
  <c r="M251" i="1" s="1"/>
  <c r="G251" i="1"/>
  <c r="P250" i="1"/>
  <c r="Q250" i="1" s="1"/>
  <c r="S250" i="1" s="1"/>
  <c r="K250" i="1"/>
  <c r="T250" i="1" s="1"/>
  <c r="G250" i="1"/>
  <c r="P249" i="1"/>
  <c r="Q249" i="1" s="1"/>
  <c r="S249" i="1" s="1"/>
  <c r="K249" i="1"/>
  <c r="M249" i="1" s="1"/>
  <c r="G249" i="1"/>
  <c r="P248" i="1"/>
  <c r="Q248" i="1" s="1"/>
  <c r="S248" i="1" s="1"/>
  <c r="K248" i="1"/>
  <c r="M248" i="1" s="1"/>
  <c r="G248" i="1"/>
  <c r="A248" i="1"/>
  <c r="P247" i="1"/>
  <c r="Q247" i="1" s="1"/>
  <c r="S247" i="1" s="1"/>
  <c r="K247" i="1"/>
  <c r="T247" i="1" s="1"/>
  <c r="G247" i="1"/>
  <c r="A247" i="1"/>
  <c r="P246" i="1"/>
  <c r="Q246" i="1" s="1"/>
  <c r="S246" i="1" s="1"/>
  <c r="K246" i="1"/>
  <c r="M246" i="1" s="1"/>
  <c r="P245" i="1"/>
  <c r="Q245" i="1" s="1"/>
  <c r="S245" i="1" s="1"/>
  <c r="K245" i="1"/>
  <c r="P244" i="1"/>
  <c r="Q244" i="1" s="1"/>
  <c r="S244" i="1" s="1"/>
  <c r="K244" i="1"/>
  <c r="M244" i="1" s="1"/>
  <c r="P243" i="1"/>
  <c r="Q243" i="1" s="1"/>
  <c r="S243" i="1" s="1"/>
  <c r="K243" i="1"/>
  <c r="T243" i="1" s="1"/>
  <c r="P242" i="1"/>
  <c r="Q242" i="1" s="1"/>
  <c r="S242" i="1" s="1"/>
  <c r="K242" i="1"/>
  <c r="M242" i="1" s="1"/>
  <c r="P241" i="1"/>
  <c r="Q241" i="1" s="1"/>
  <c r="S241" i="1" s="1"/>
  <c r="K241" i="1"/>
  <c r="T240" i="1"/>
  <c r="P240" i="1"/>
  <c r="Q240" i="1" s="1"/>
  <c r="S240" i="1" s="1"/>
  <c r="M240" i="1"/>
  <c r="L240" i="1"/>
  <c r="G240" i="1"/>
  <c r="T239" i="1"/>
  <c r="P239" i="1"/>
  <c r="Q239" i="1" s="1"/>
  <c r="S239" i="1" s="1"/>
  <c r="M239" i="1"/>
  <c r="L239" i="1"/>
  <c r="G239" i="1"/>
  <c r="A239" i="1"/>
  <c r="T238" i="1"/>
  <c r="P238" i="1"/>
  <c r="Q238" i="1" s="1"/>
  <c r="S238" i="1" s="1"/>
  <c r="M238" i="1"/>
  <c r="G238" i="1"/>
  <c r="A238" i="1"/>
  <c r="T237" i="1"/>
  <c r="P237" i="1"/>
  <c r="Q237" i="1" s="1"/>
  <c r="S237" i="1" s="1"/>
  <c r="M237" i="1"/>
  <c r="L237" i="1"/>
  <c r="G237" i="1"/>
  <c r="A237" i="1"/>
  <c r="P236" i="1"/>
  <c r="Q236" i="1" s="1"/>
  <c r="S236" i="1" s="1"/>
  <c r="K236" i="1"/>
  <c r="T236" i="1" s="1"/>
  <c r="G236" i="1"/>
  <c r="A236" i="1"/>
  <c r="P235" i="1"/>
  <c r="Q235" i="1" s="1"/>
  <c r="S235" i="1" s="1"/>
  <c r="K235" i="1"/>
  <c r="G235" i="1"/>
  <c r="P234" i="1"/>
  <c r="Q234" i="1" s="1"/>
  <c r="S234" i="1" s="1"/>
  <c r="K234" i="1"/>
  <c r="G234" i="1"/>
  <c r="A234" i="1"/>
  <c r="P233" i="1"/>
  <c r="Q233" i="1" s="1"/>
  <c r="S233" i="1" s="1"/>
  <c r="K233" i="1"/>
  <c r="M233" i="1" s="1"/>
  <c r="G233" i="1"/>
  <c r="P232" i="1"/>
  <c r="Q232" i="1" s="1"/>
  <c r="S232" i="1" s="1"/>
  <c r="K232" i="1"/>
  <c r="M232" i="1" s="1"/>
  <c r="G232" i="1"/>
  <c r="A232" i="1"/>
  <c r="P231" i="1"/>
  <c r="Q231" i="1" s="1"/>
  <c r="S231" i="1" s="1"/>
  <c r="K231" i="1"/>
  <c r="T231" i="1" s="1"/>
  <c r="G231" i="1"/>
  <c r="A231" i="1"/>
  <c r="P230" i="1"/>
  <c r="Q230" i="1" s="1"/>
  <c r="S230" i="1" s="1"/>
  <c r="K230" i="1"/>
  <c r="T230" i="1" s="1"/>
  <c r="G230" i="1"/>
  <c r="P229" i="1"/>
  <c r="Q229" i="1" s="1"/>
  <c r="S229" i="1" s="1"/>
  <c r="K229" i="1"/>
  <c r="T229" i="1" s="1"/>
  <c r="G229" i="1"/>
  <c r="A229" i="1"/>
  <c r="P228" i="1"/>
  <c r="Q228" i="1" s="1"/>
  <c r="S228" i="1" s="1"/>
  <c r="K228" i="1"/>
  <c r="T228" i="1" s="1"/>
  <c r="G228" i="1"/>
  <c r="A228" i="1"/>
  <c r="P227" i="1"/>
  <c r="Q227" i="1" s="1"/>
  <c r="S227" i="1" s="1"/>
  <c r="K227" i="1"/>
  <c r="M227" i="1" s="1"/>
  <c r="G227" i="1"/>
  <c r="A227" i="1"/>
  <c r="P226" i="1"/>
  <c r="Q226" i="1" s="1"/>
  <c r="S226" i="1" s="1"/>
  <c r="K226" i="1"/>
  <c r="T226" i="1" s="1"/>
  <c r="G226" i="1"/>
  <c r="A226" i="1"/>
  <c r="P225" i="1"/>
  <c r="Q225" i="1" s="1"/>
  <c r="S225" i="1" s="1"/>
  <c r="K225" i="1"/>
  <c r="G225" i="1"/>
  <c r="A225" i="1"/>
  <c r="T224" i="1"/>
  <c r="P224" i="1"/>
  <c r="Q224" i="1" s="1"/>
  <c r="M224" i="1"/>
  <c r="L224" i="1"/>
  <c r="G224" i="1"/>
  <c r="A224" i="1"/>
  <c r="P223" i="1"/>
  <c r="Q223" i="1" s="1"/>
  <c r="S223" i="1" s="1"/>
  <c r="K223" i="1"/>
  <c r="M223" i="1" s="1"/>
  <c r="G223" i="1"/>
  <c r="P222" i="1"/>
  <c r="Q222" i="1" s="1"/>
  <c r="S222" i="1" s="1"/>
  <c r="K222" i="1"/>
  <c r="M222" i="1" s="1"/>
  <c r="G222" i="1"/>
  <c r="T221" i="1"/>
  <c r="P221" i="1"/>
  <c r="Q221" i="1" s="1"/>
  <c r="S221" i="1" s="1"/>
  <c r="M221" i="1"/>
  <c r="L221" i="1"/>
  <c r="G221" i="1"/>
  <c r="P220" i="1"/>
  <c r="Q220" i="1" s="1"/>
  <c r="S220" i="1" s="1"/>
  <c r="K220" i="1"/>
  <c r="T220" i="1" s="1"/>
  <c r="G220" i="1"/>
  <c r="P219" i="1"/>
  <c r="Q219" i="1" s="1"/>
  <c r="S219" i="1" s="1"/>
  <c r="K219" i="1"/>
  <c r="G219" i="1"/>
  <c r="A219" i="1"/>
  <c r="T218" i="1"/>
  <c r="P218" i="1"/>
  <c r="Q218" i="1" s="1"/>
  <c r="S218" i="1" s="1"/>
  <c r="M218" i="1"/>
  <c r="L218" i="1"/>
  <c r="G218" i="1"/>
  <c r="T217" i="1"/>
  <c r="P217" i="1"/>
  <c r="Q217" i="1" s="1"/>
  <c r="S217" i="1" s="1"/>
  <c r="M217" i="1"/>
  <c r="L217" i="1"/>
  <c r="G217" i="1"/>
  <c r="A217" i="1"/>
  <c r="T216" i="1"/>
  <c r="P216" i="1"/>
  <c r="Q216" i="1" s="1"/>
  <c r="S216" i="1" s="1"/>
  <c r="M216" i="1"/>
  <c r="L216" i="1"/>
  <c r="T215" i="1"/>
  <c r="P215" i="1"/>
  <c r="Q215" i="1" s="1"/>
  <c r="S215" i="1" s="1"/>
  <c r="M215" i="1"/>
  <c r="L215" i="1"/>
  <c r="P214" i="1"/>
  <c r="Q214" i="1" s="1"/>
  <c r="S214" i="1" s="1"/>
  <c r="K214" i="1"/>
  <c r="M214" i="1" s="1"/>
  <c r="P213" i="1"/>
  <c r="Q213" i="1" s="1"/>
  <c r="S213" i="1" s="1"/>
  <c r="K213" i="1"/>
  <c r="T213" i="1" s="1"/>
  <c r="P212" i="1"/>
  <c r="Q212" i="1" s="1"/>
  <c r="S212" i="1" s="1"/>
  <c r="K212" i="1"/>
  <c r="M212" i="1" s="1"/>
  <c r="P211" i="1"/>
  <c r="Q211" i="1" s="1"/>
  <c r="S211" i="1" s="1"/>
  <c r="K211" i="1"/>
  <c r="M211" i="1" s="1"/>
  <c r="P210" i="1"/>
  <c r="Q210" i="1" s="1"/>
  <c r="S210" i="1" s="1"/>
  <c r="K210" i="1"/>
  <c r="T210" i="1" s="1"/>
  <c r="P209" i="1"/>
  <c r="Q209" i="1" s="1"/>
  <c r="S209" i="1" s="1"/>
  <c r="K209" i="1"/>
  <c r="T209" i="1" s="1"/>
  <c r="G209" i="1"/>
  <c r="A209" i="1"/>
  <c r="P208" i="1"/>
  <c r="Q208" i="1" s="1"/>
  <c r="S208" i="1" s="1"/>
  <c r="K208" i="1"/>
  <c r="P207" i="1"/>
  <c r="Q207" i="1" s="1"/>
  <c r="S207" i="1" s="1"/>
  <c r="K207" i="1"/>
  <c r="T207" i="1" s="1"/>
  <c r="P206" i="1"/>
  <c r="Q206" i="1" s="1"/>
  <c r="S206" i="1" s="1"/>
  <c r="K206" i="1"/>
  <c r="G206" i="1"/>
  <c r="A206" i="1"/>
  <c r="P205" i="1"/>
  <c r="Q205" i="1" s="1"/>
  <c r="S205" i="1" s="1"/>
  <c r="K205" i="1"/>
  <c r="G205" i="1"/>
  <c r="P204" i="1"/>
  <c r="Q204" i="1" s="1"/>
  <c r="S204" i="1" s="1"/>
  <c r="K204" i="1"/>
  <c r="T204" i="1" s="1"/>
  <c r="G204" i="1"/>
  <c r="A204" i="1"/>
  <c r="P203" i="1"/>
  <c r="Q203" i="1" s="1"/>
  <c r="S203" i="1" s="1"/>
  <c r="K203" i="1"/>
  <c r="T203" i="1" s="1"/>
  <c r="G203" i="1"/>
  <c r="P202" i="1"/>
  <c r="Q202" i="1" s="1"/>
  <c r="S202" i="1" s="1"/>
  <c r="K202" i="1"/>
  <c r="M202" i="1" s="1"/>
  <c r="G202" i="1"/>
  <c r="P201" i="1"/>
  <c r="Q201" i="1" s="1"/>
  <c r="S201" i="1" s="1"/>
  <c r="K201" i="1"/>
  <c r="T201" i="1" s="1"/>
  <c r="G201" i="1"/>
  <c r="P200" i="1"/>
  <c r="Q200" i="1" s="1"/>
  <c r="S200" i="1" s="1"/>
  <c r="K200" i="1"/>
  <c r="T200" i="1" s="1"/>
  <c r="G200" i="1"/>
  <c r="A200" i="1"/>
  <c r="P199" i="1"/>
  <c r="Q199" i="1" s="1"/>
  <c r="S199" i="1" s="1"/>
  <c r="K199" i="1"/>
  <c r="T199" i="1" s="1"/>
  <c r="P198" i="1"/>
  <c r="Q198" i="1" s="1"/>
  <c r="S198" i="1" s="1"/>
  <c r="K198" i="1"/>
  <c r="M198" i="1" s="1"/>
  <c r="G198" i="1"/>
  <c r="P197" i="1"/>
  <c r="Q197" i="1" s="1"/>
  <c r="S197" i="1" s="1"/>
  <c r="K197" i="1"/>
  <c r="M197" i="1" s="1"/>
  <c r="G197" i="1"/>
  <c r="A197" i="1"/>
  <c r="P196" i="1"/>
  <c r="Q196" i="1" s="1"/>
  <c r="S196" i="1" s="1"/>
  <c r="K196" i="1"/>
  <c r="T196" i="1" s="1"/>
  <c r="G196" i="1"/>
  <c r="A196" i="1"/>
  <c r="T195" i="1"/>
  <c r="P195" i="1"/>
  <c r="Q195" i="1" s="1"/>
  <c r="S195" i="1" s="1"/>
  <c r="M195" i="1"/>
  <c r="G195" i="1"/>
  <c r="T194" i="1"/>
  <c r="P194" i="1"/>
  <c r="Q194" i="1" s="1"/>
  <c r="S194" i="1" s="1"/>
  <c r="M194" i="1"/>
  <c r="G194" i="1"/>
  <c r="T193" i="1"/>
  <c r="P193" i="1"/>
  <c r="Q193" i="1" s="1"/>
  <c r="S193" i="1" s="1"/>
  <c r="M193" i="1"/>
  <c r="G193" i="1"/>
  <c r="A193" i="1"/>
  <c r="T192" i="1"/>
  <c r="P192" i="1"/>
  <c r="Q192" i="1" s="1"/>
  <c r="S192" i="1" s="1"/>
  <c r="M192" i="1"/>
  <c r="G192" i="1"/>
  <c r="T191" i="1"/>
  <c r="P191" i="1"/>
  <c r="Q191" i="1" s="1"/>
  <c r="S191" i="1" s="1"/>
  <c r="M191" i="1"/>
  <c r="G191" i="1"/>
  <c r="T190" i="1"/>
  <c r="P190" i="1"/>
  <c r="Q190" i="1" s="1"/>
  <c r="S190" i="1" s="1"/>
  <c r="M190" i="1"/>
  <c r="G190" i="1"/>
  <c r="T189" i="1"/>
  <c r="P189" i="1"/>
  <c r="Q189" i="1" s="1"/>
  <c r="S189" i="1" s="1"/>
  <c r="M189" i="1"/>
  <c r="G189" i="1"/>
  <c r="T188" i="1"/>
  <c r="P188" i="1"/>
  <c r="Q188" i="1" s="1"/>
  <c r="S188" i="1" s="1"/>
  <c r="M188" i="1"/>
  <c r="G188" i="1"/>
  <c r="T187" i="1"/>
  <c r="P187" i="1"/>
  <c r="Q187" i="1" s="1"/>
  <c r="S187" i="1" s="1"/>
  <c r="M187" i="1"/>
  <c r="G187" i="1"/>
  <c r="T186" i="1"/>
  <c r="P186" i="1"/>
  <c r="Q186" i="1" s="1"/>
  <c r="S186" i="1" s="1"/>
  <c r="M186" i="1"/>
  <c r="G186" i="1"/>
  <c r="T185" i="1"/>
  <c r="P185" i="1"/>
  <c r="Q185" i="1" s="1"/>
  <c r="S185" i="1" s="1"/>
  <c r="M185" i="1"/>
  <c r="G185" i="1"/>
  <c r="T184" i="1"/>
  <c r="P184" i="1"/>
  <c r="Q184" i="1" s="1"/>
  <c r="S184" i="1" s="1"/>
  <c r="M184" i="1"/>
  <c r="G184" i="1"/>
  <c r="T183" i="1"/>
  <c r="P183" i="1"/>
  <c r="Q183" i="1" s="1"/>
  <c r="S183" i="1" s="1"/>
  <c r="M183" i="1"/>
  <c r="G183" i="1"/>
  <c r="A183" i="1"/>
  <c r="P182" i="1"/>
  <c r="Q182" i="1" s="1"/>
  <c r="S182" i="1" s="1"/>
  <c r="K182" i="1"/>
  <c r="M182" i="1" s="1"/>
  <c r="G182" i="1"/>
  <c r="P181" i="1"/>
  <c r="Q181" i="1" s="1"/>
  <c r="S181" i="1" s="1"/>
  <c r="K181" i="1"/>
  <c r="T181" i="1" s="1"/>
  <c r="G181" i="1"/>
  <c r="P180" i="1"/>
  <c r="Q180" i="1" s="1"/>
  <c r="S180" i="1" s="1"/>
  <c r="K180" i="1"/>
  <c r="M180" i="1" s="1"/>
  <c r="G180" i="1"/>
  <c r="A180" i="1"/>
  <c r="P179" i="1"/>
  <c r="Q179" i="1" s="1"/>
  <c r="S179" i="1" s="1"/>
  <c r="K179" i="1"/>
  <c r="T179" i="1" s="1"/>
  <c r="G179" i="1"/>
  <c r="A179" i="1"/>
  <c r="P178" i="1"/>
  <c r="Q178" i="1" s="1"/>
  <c r="S178" i="1" s="1"/>
  <c r="K178" i="1"/>
  <c r="M178" i="1" s="1"/>
  <c r="G178" i="1"/>
  <c r="A178" i="1"/>
  <c r="T177" i="1"/>
  <c r="P177" i="1"/>
  <c r="Q177" i="1" s="1"/>
  <c r="S177" i="1" s="1"/>
  <c r="M177" i="1"/>
  <c r="L177" i="1"/>
  <c r="G177" i="1"/>
  <c r="A177" i="1"/>
  <c r="P176" i="1"/>
  <c r="Q176" i="1" s="1"/>
  <c r="S176" i="1" s="1"/>
  <c r="K176" i="1"/>
  <c r="T176" i="1" s="1"/>
  <c r="G176" i="1"/>
  <c r="A176" i="1"/>
  <c r="P175" i="1"/>
  <c r="Q175" i="1" s="1"/>
  <c r="S175" i="1" s="1"/>
  <c r="K175" i="1"/>
  <c r="M175" i="1" s="1"/>
  <c r="G175" i="1"/>
  <c r="A175" i="1"/>
  <c r="T174" i="1"/>
  <c r="P174" i="1"/>
  <c r="Q174" i="1" s="1"/>
  <c r="S174" i="1" s="1"/>
  <c r="M174" i="1"/>
  <c r="L174" i="1"/>
  <c r="G174" i="1"/>
  <c r="T173" i="1"/>
  <c r="P173" i="1"/>
  <c r="Q173" i="1" s="1"/>
  <c r="S173" i="1" s="1"/>
  <c r="M173" i="1"/>
  <c r="L173" i="1"/>
  <c r="G173" i="1"/>
  <c r="T172" i="1"/>
  <c r="P172" i="1"/>
  <c r="Q172" i="1" s="1"/>
  <c r="S172" i="1" s="1"/>
  <c r="M172" i="1"/>
  <c r="L172" i="1"/>
  <c r="G172" i="1"/>
  <c r="T171" i="1"/>
  <c r="P171" i="1"/>
  <c r="Q171" i="1" s="1"/>
  <c r="S171" i="1" s="1"/>
  <c r="M171" i="1"/>
  <c r="L171" i="1"/>
  <c r="G171" i="1"/>
  <c r="T170" i="1"/>
  <c r="P170" i="1"/>
  <c r="Q170" i="1" s="1"/>
  <c r="S170" i="1" s="1"/>
  <c r="M170" i="1"/>
  <c r="L170" i="1"/>
  <c r="G170" i="1"/>
  <c r="T169" i="1"/>
  <c r="P169" i="1"/>
  <c r="Q169" i="1" s="1"/>
  <c r="S169" i="1" s="1"/>
  <c r="M169" i="1"/>
  <c r="L169" i="1"/>
  <c r="G169" i="1"/>
  <c r="A169" i="1"/>
  <c r="T168" i="1"/>
  <c r="P168" i="1"/>
  <c r="Q168" i="1" s="1"/>
  <c r="S168" i="1" s="1"/>
  <c r="M168" i="1"/>
  <c r="L168" i="1"/>
  <c r="T167" i="1"/>
  <c r="P167" i="1"/>
  <c r="Q167" i="1" s="1"/>
  <c r="S167" i="1" s="1"/>
  <c r="M167" i="1"/>
  <c r="L167" i="1"/>
  <c r="G167" i="1"/>
  <c r="A167" i="1"/>
  <c r="T166" i="1"/>
  <c r="P166" i="1"/>
  <c r="Q166" i="1" s="1"/>
  <c r="S166" i="1" s="1"/>
  <c r="M166" i="1"/>
  <c r="L166" i="1"/>
  <c r="G166" i="1"/>
  <c r="A166" i="1"/>
  <c r="T165" i="1"/>
  <c r="P165" i="1"/>
  <c r="Q165" i="1" s="1"/>
  <c r="S165" i="1" s="1"/>
  <c r="M165" i="1"/>
  <c r="L165" i="1"/>
  <c r="G165" i="1"/>
  <c r="A165" i="1"/>
  <c r="T164" i="1"/>
  <c r="P164" i="1"/>
  <c r="Q164" i="1" s="1"/>
  <c r="S164" i="1" s="1"/>
  <c r="M164" i="1"/>
  <c r="L164" i="1"/>
  <c r="G164" i="1"/>
  <c r="T163" i="1"/>
  <c r="P163" i="1"/>
  <c r="Q163" i="1" s="1"/>
  <c r="S163" i="1" s="1"/>
  <c r="M163" i="1"/>
  <c r="L163" i="1"/>
  <c r="G163" i="1"/>
  <c r="T162" i="1"/>
  <c r="P162" i="1"/>
  <c r="Q162" i="1" s="1"/>
  <c r="S162" i="1" s="1"/>
  <c r="M162" i="1"/>
  <c r="L162" i="1"/>
  <c r="G162" i="1"/>
  <c r="B162" i="1"/>
  <c r="A162" i="1"/>
  <c r="T161" i="1"/>
  <c r="P161" i="1"/>
  <c r="Q161" i="1" s="1"/>
  <c r="S161" i="1" s="1"/>
  <c r="M161" i="1"/>
  <c r="L161" i="1"/>
  <c r="G161" i="1"/>
  <c r="A161" i="1"/>
  <c r="P160" i="1"/>
  <c r="Q160" i="1" s="1"/>
  <c r="S160" i="1" s="1"/>
  <c r="K160" i="1"/>
  <c r="M160" i="1" s="1"/>
  <c r="G160" i="1"/>
  <c r="A160" i="1"/>
  <c r="P159" i="1"/>
  <c r="Q159" i="1" s="1"/>
  <c r="S159" i="1" s="1"/>
  <c r="K159" i="1"/>
  <c r="M159" i="1" s="1"/>
  <c r="G159" i="1"/>
  <c r="P158" i="1"/>
  <c r="Q158" i="1" s="1"/>
  <c r="S158" i="1" s="1"/>
  <c r="K158" i="1"/>
  <c r="T158" i="1" s="1"/>
  <c r="G158" i="1"/>
  <c r="P157" i="1"/>
  <c r="Q157" i="1" s="1"/>
  <c r="S157" i="1" s="1"/>
  <c r="K157" i="1"/>
  <c r="T157" i="1" s="1"/>
  <c r="G157" i="1"/>
  <c r="P156" i="1"/>
  <c r="Q156" i="1" s="1"/>
  <c r="S156" i="1" s="1"/>
  <c r="K156" i="1"/>
  <c r="T156" i="1" s="1"/>
  <c r="G156" i="1"/>
  <c r="A156" i="1"/>
  <c r="T155" i="1"/>
  <c r="P155" i="1"/>
  <c r="Q155" i="1" s="1"/>
  <c r="S155" i="1" s="1"/>
  <c r="M155" i="1"/>
  <c r="L155" i="1"/>
  <c r="G155" i="1"/>
  <c r="A155" i="1"/>
  <c r="P154" i="1"/>
  <c r="Q154" i="1" s="1"/>
  <c r="S154" i="1" s="1"/>
  <c r="K154" i="1"/>
  <c r="T154" i="1" s="1"/>
  <c r="G154" i="1"/>
  <c r="P153" i="1"/>
  <c r="Q153" i="1" s="1"/>
  <c r="S153" i="1" s="1"/>
  <c r="K153" i="1"/>
  <c r="M153" i="1" s="1"/>
  <c r="G153" i="1"/>
  <c r="A153" i="1"/>
  <c r="P152" i="1"/>
  <c r="Q152" i="1" s="1"/>
  <c r="S152" i="1" s="1"/>
  <c r="K152" i="1"/>
  <c r="T152" i="1" s="1"/>
  <c r="G152" i="1"/>
  <c r="A152" i="1"/>
  <c r="P151" i="1"/>
  <c r="Q151" i="1" s="1"/>
  <c r="S151" i="1" s="1"/>
  <c r="K151" i="1"/>
  <c r="T151" i="1" s="1"/>
  <c r="G151" i="1"/>
  <c r="A151" i="1"/>
  <c r="P150" i="1"/>
  <c r="Q150" i="1" s="1"/>
  <c r="S150" i="1" s="1"/>
  <c r="K150" i="1"/>
  <c r="T150" i="1" s="1"/>
  <c r="G150" i="1"/>
  <c r="P149" i="1"/>
  <c r="Q149" i="1" s="1"/>
  <c r="S149" i="1" s="1"/>
  <c r="K149" i="1"/>
  <c r="M149" i="1" s="1"/>
  <c r="G149" i="1"/>
  <c r="A149" i="1"/>
  <c r="P148" i="1"/>
  <c r="Q148" i="1" s="1"/>
  <c r="S148" i="1" s="1"/>
  <c r="K148" i="1"/>
  <c r="T148" i="1" s="1"/>
  <c r="G148" i="1"/>
  <c r="A148" i="1"/>
  <c r="P147" i="1"/>
  <c r="Q147" i="1" s="1"/>
  <c r="S147" i="1" s="1"/>
  <c r="K147" i="1"/>
  <c r="M147" i="1" s="1"/>
  <c r="G147" i="1"/>
  <c r="A147" i="1"/>
  <c r="P146" i="1"/>
  <c r="Q146" i="1" s="1"/>
  <c r="S146" i="1" s="1"/>
  <c r="K146" i="1"/>
  <c r="T146" i="1" s="1"/>
  <c r="G146" i="1"/>
  <c r="A146" i="1"/>
  <c r="P145" i="1"/>
  <c r="Q145" i="1" s="1"/>
  <c r="S145" i="1" s="1"/>
  <c r="K145" i="1"/>
  <c r="T145" i="1" s="1"/>
  <c r="G145" i="1"/>
  <c r="A145" i="1"/>
  <c r="T144" i="1"/>
  <c r="P144" i="1"/>
  <c r="Q144" i="1" s="1"/>
  <c r="S144" i="1" s="1"/>
  <c r="M144" i="1"/>
  <c r="L144" i="1"/>
  <c r="G144" i="1"/>
  <c r="T143" i="1"/>
  <c r="P143" i="1"/>
  <c r="Q143" i="1" s="1"/>
  <c r="S143" i="1" s="1"/>
  <c r="M143" i="1"/>
  <c r="L143" i="1"/>
  <c r="G143" i="1"/>
  <c r="T142" i="1"/>
  <c r="P142" i="1"/>
  <c r="Q142" i="1" s="1"/>
  <c r="S142" i="1" s="1"/>
  <c r="M142" i="1"/>
  <c r="L142" i="1"/>
  <c r="G142" i="1"/>
  <c r="A142" i="1"/>
  <c r="T141" i="1"/>
  <c r="P141" i="1"/>
  <c r="Q141" i="1" s="1"/>
  <c r="S141" i="1" s="1"/>
  <c r="M141" i="1"/>
  <c r="L141" i="1"/>
  <c r="G141" i="1"/>
  <c r="A141" i="1"/>
  <c r="T140" i="1"/>
  <c r="P140" i="1"/>
  <c r="Q140" i="1" s="1"/>
  <c r="S140" i="1" s="1"/>
  <c r="M140" i="1"/>
  <c r="L140" i="1"/>
  <c r="G140" i="1"/>
  <c r="A140" i="1"/>
  <c r="T139" i="1"/>
  <c r="P139" i="1"/>
  <c r="Q139" i="1" s="1"/>
  <c r="S139" i="1" s="1"/>
  <c r="M139" i="1"/>
  <c r="L139" i="1"/>
  <c r="G139" i="1"/>
  <c r="A139" i="1"/>
  <c r="P138" i="1"/>
  <c r="Q138" i="1" s="1"/>
  <c r="S138" i="1" s="1"/>
  <c r="K138" i="1"/>
  <c r="M138" i="1" s="1"/>
  <c r="G138" i="1"/>
  <c r="A138" i="1"/>
  <c r="T137" i="1"/>
  <c r="P137" i="1"/>
  <c r="Q137" i="1" s="1"/>
  <c r="S137" i="1" s="1"/>
  <c r="M137" i="1"/>
  <c r="L137" i="1"/>
  <c r="G137" i="1"/>
  <c r="A137" i="1"/>
  <c r="T136" i="1"/>
  <c r="P136" i="1"/>
  <c r="Q136" i="1" s="1"/>
  <c r="S136" i="1" s="1"/>
  <c r="M136" i="1"/>
  <c r="L136" i="1"/>
  <c r="G136" i="1"/>
  <c r="T135" i="1"/>
  <c r="P135" i="1"/>
  <c r="Q135" i="1" s="1"/>
  <c r="S135" i="1" s="1"/>
  <c r="M135" i="1"/>
  <c r="L135" i="1"/>
  <c r="G135" i="1"/>
  <c r="A135" i="1"/>
  <c r="P134" i="1"/>
  <c r="Q134" i="1" s="1"/>
  <c r="S134" i="1" s="1"/>
  <c r="K134" i="1"/>
  <c r="M134" i="1" s="1"/>
  <c r="G134" i="1"/>
  <c r="A134" i="1"/>
  <c r="T133" i="1"/>
  <c r="P133" i="1"/>
  <c r="Q133" i="1" s="1"/>
  <c r="S133" i="1" s="1"/>
  <c r="M133" i="1"/>
  <c r="L133" i="1"/>
  <c r="G133" i="1"/>
  <c r="A133" i="1"/>
  <c r="T132" i="1"/>
  <c r="P132" i="1"/>
  <c r="Q132" i="1" s="1"/>
  <c r="S132" i="1" s="1"/>
  <c r="M132" i="1"/>
  <c r="L132" i="1"/>
  <c r="G132" i="1"/>
  <c r="A132" i="1"/>
  <c r="P131" i="1"/>
  <c r="Q131" i="1" s="1"/>
  <c r="S131" i="1" s="1"/>
  <c r="K131" i="1"/>
  <c r="M131" i="1" s="1"/>
  <c r="G131" i="1"/>
  <c r="A131" i="1"/>
  <c r="P130" i="1"/>
  <c r="Q130" i="1" s="1"/>
  <c r="S130" i="1" s="1"/>
  <c r="K130" i="1"/>
  <c r="T130" i="1" s="1"/>
  <c r="G130" i="1"/>
  <c r="A130" i="1"/>
  <c r="P129" i="1"/>
  <c r="Q129" i="1" s="1"/>
  <c r="S129" i="1" s="1"/>
  <c r="K129" i="1"/>
  <c r="T129" i="1" s="1"/>
  <c r="G129" i="1"/>
  <c r="A129" i="1"/>
  <c r="T128" i="1"/>
  <c r="P128" i="1"/>
  <c r="Q128" i="1" s="1"/>
  <c r="S128" i="1" s="1"/>
  <c r="M128" i="1"/>
  <c r="L128" i="1"/>
  <c r="T127" i="1"/>
  <c r="P127" i="1"/>
  <c r="Q127" i="1" s="1"/>
  <c r="S127" i="1" s="1"/>
  <c r="M127" i="1"/>
  <c r="L127" i="1"/>
  <c r="A127" i="1"/>
  <c r="P126" i="1"/>
  <c r="Q126" i="1" s="1"/>
  <c r="S126" i="1" s="1"/>
  <c r="G126" i="1"/>
  <c r="A126" i="1"/>
  <c r="P125" i="1"/>
  <c r="Q125" i="1" s="1"/>
  <c r="S125" i="1" s="1"/>
  <c r="K125" i="1"/>
  <c r="M125" i="1" s="1"/>
  <c r="G125" i="1"/>
  <c r="P124" i="1"/>
  <c r="Q124" i="1" s="1"/>
  <c r="S124" i="1" s="1"/>
  <c r="K124" i="1"/>
  <c r="M124" i="1" s="1"/>
  <c r="G124" i="1"/>
  <c r="A124" i="1"/>
  <c r="T123" i="1"/>
  <c r="P123" i="1"/>
  <c r="Q123" i="1" s="1"/>
  <c r="S123" i="1" s="1"/>
  <c r="M123" i="1"/>
  <c r="L123" i="1"/>
  <c r="G123" i="1"/>
  <c r="A123" i="1"/>
  <c r="P122" i="1"/>
  <c r="Q122" i="1" s="1"/>
  <c r="S122" i="1" s="1"/>
  <c r="K122" i="1"/>
  <c r="M122" i="1" s="1"/>
  <c r="G122" i="1"/>
  <c r="P121" i="1"/>
  <c r="Q121" i="1" s="1"/>
  <c r="S121" i="1" s="1"/>
  <c r="K121" i="1"/>
  <c r="M121" i="1" s="1"/>
  <c r="G121" i="1"/>
  <c r="P120" i="1"/>
  <c r="Q120" i="1" s="1"/>
  <c r="S120" i="1" s="1"/>
  <c r="K120" i="1"/>
  <c r="T120" i="1" s="1"/>
  <c r="G120" i="1"/>
  <c r="A120" i="1"/>
  <c r="P119" i="1"/>
  <c r="Q119" i="1" s="1"/>
  <c r="S119" i="1" s="1"/>
  <c r="K119" i="1"/>
  <c r="T119" i="1" s="1"/>
  <c r="G119" i="1"/>
  <c r="A119" i="1"/>
  <c r="P118" i="1"/>
  <c r="Q118" i="1" s="1"/>
  <c r="S118" i="1" s="1"/>
  <c r="K118" i="1"/>
  <c r="M118" i="1" s="1"/>
  <c r="G118" i="1"/>
  <c r="A118" i="1"/>
  <c r="P117" i="1"/>
  <c r="Q117" i="1" s="1"/>
  <c r="S117" i="1" s="1"/>
  <c r="K117" i="1"/>
  <c r="T117" i="1" s="1"/>
  <c r="G117" i="1"/>
  <c r="P116" i="1"/>
  <c r="Q116" i="1" s="1"/>
  <c r="S116" i="1" s="1"/>
  <c r="K116" i="1"/>
  <c r="M116" i="1" s="1"/>
  <c r="G116" i="1"/>
  <c r="A116" i="1"/>
  <c r="T115" i="1"/>
  <c r="P115" i="1"/>
  <c r="Q115" i="1" s="1"/>
  <c r="S115" i="1" s="1"/>
  <c r="M115" i="1"/>
  <c r="L115" i="1"/>
  <c r="T114" i="1"/>
  <c r="P114" i="1"/>
  <c r="Q114" i="1" s="1"/>
  <c r="S114" i="1" s="1"/>
  <c r="M114" i="1"/>
  <c r="L114" i="1"/>
  <c r="A114" i="1"/>
  <c r="P113" i="1"/>
  <c r="Q113" i="1" s="1"/>
  <c r="S113" i="1" s="1"/>
  <c r="K113" i="1"/>
  <c r="T113" i="1" s="1"/>
  <c r="G113" i="1"/>
  <c r="A113" i="1"/>
  <c r="P112" i="1"/>
  <c r="Q112" i="1" s="1"/>
  <c r="S112" i="1" s="1"/>
  <c r="K112" i="1"/>
  <c r="T112" i="1" s="1"/>
  <c r="G112" i="1"/>
  <c r="A112" i="1"/>
  <c r="P111" i="1"/>
  <c r="Q111" i="1" s="1"/>
  <c r="S111" i="1" s="1"/>
  <c r="K111" i="1"/>
  <c r="T111" i="1" s="1"/>
  <c r="G111" i="1"/>
  <c r="A111" i="1"/>
  <c r="P110" i="1"/>
  <c r="Q110" i="1" s="1"/>
  <c r="S110" i="1" s="1"/>
  <c r="K110" i="1"/>
  <c r="M110" i="1" s="1"/>
  <c r="G110" i="1"/>
  <c r="A110" i="1"/>
  <c r="T109" i="1"/>
  <c r="P109" i="1"/>
  <c r="Q109" i="1" s="1"/>
  <c r="S109" i="1" s="1"/>
  <c r="M109" i="1"/>
  <c r="L109" i="1"/>
  <c r="G109" i="1"/>
  <c r="T108" i="1"/>
  <c r="P108" i="1"/>
  <c r="Q108" i="1" s="1"/>
  <c r="S108" i="1" s="1"/>
  <c r="M108" i="1"/>
  <c r="L108" i="1"/>
  <c r="G108" i="1"/>
  <c r="A108" i="1"/>
  <c r="T107" i="1"/>
  <c r="P107" i="1"/>
  <c r="Q107" i="1" s="1"/>
  <c r="S107" i="1" s="1"/>
  <c r="M107" i="1"/>
  <c r="G107" i="1"/>
  <c r="A107" i="1"/>
  <c r="T106" i="1"/>
  <c r="P106" i="1"/>
  <c r="Q106" i="1" s="1"/>
  <c r="M106" i="1"/>
  <c r="L106" i="1"/>
  <c r="T105" i="1"/>
  <c r="P105" i="1"/>
  <c r="Q105" i="1" s="1"/>
  <c r="S105" i="1" s="1"/>
  <c r="M105" i="1"/>
  <c r="L105" i="1"/>
  <c r="G105" i="1"/>
  <c r="A105" i="1"/>
  <c r="P104" i="1"/>
  <c r="Q104" i="1" s="1"/>
  <c r="S104" i="1" s="1"/>
  <c r="K104" i="1"/>
  <c r="M104" i="1" s="1"/>
  <c r="G104" i="1"/>
  <c r="P103" i="1"/>
  <c r="Q103" i="1" s="1"/>
  <c r="S103" i="1" s="1"/>
  <c r="K103" i="1"/>
  <c r="T103" i="1" s="1"/>
  <c r="G103" i="1"/>
  <c r="P102" i="1"/>
  <c r="Q102" i="1" s="1"/>
  <c r="S102" i="1" s="1"/>
  <c r="K102" i="1"/>
  <c r="M102" i="1" s="1"/>
  <c r="G102" i="1"/>
  <c r="P101" i="1"/>
  <c r="Q101" i="1" s="1"/>
  <c r="S101" i="1" s="1"/>
  <c r="K101" i="1"/>
  <c r="M101" i="1" s="1"/>
  <c r="G101" i="1"/>
  <c r="P100" i="1"/>
  <c r="Q100" i="1" s="1"/>
  <c r="S100" i="1" s="1"/>
  <c r="K100" i="1"/>
  <c r="M100" i="1" s="1"/>
  <c r="G100" i="1"/>
  <c r="A100" i="1"/>
  <c r="T99" i="1"/>
  <c r="P99" i="1"/>
  <c r="Q99" i="1" s="1"/>
  <c r="S99" i="1" s="1"/>
  <c r="M99" i="1"/>
  <c r="L99" i="1"/>
  <c r="G99" i="1"/>
  <c r="T98" i="1"/>
  <c r="P98" i="1"/>
  <c r="Q98" i="1" s="1"/>
  <c r="S98" i="1" s="1"/>
  <c r="M98" i="1"/>
  <c r="L98" i="1"/>
  <c r="G98" i="1"/>
  <c r="T97" i="1"/>
  <c r="P97" i="1"/>
  <c r="Q97" i="1" s="1"/>
  <c r="S97" i="1" s="1"/>
  <c r="M97" i="1"/>
  <c r="L97" i="1"/>
  <c r="G97" i="1"/>
  <c r="A97" i="1"/>
  <c r="T96" i="1"/>
  <c r="P96" i="1"/>
  <c r="Q96" i="1" s="1"/>
  <c r="S96" i="1" s="1"/>
  <c r="M96" i="1"/>
  <c r="L96" i="1"/>
  <c r="G96" i="1"/>
  <c r="A96" i="1"/>
  <c r="P95" i="1"/>
  <c r="Q95" i="1" s="1"/>
  <c r="S95" i="1" s="1"/>
  <c r="K95" i="1"/>
  <c r="T95" i="1" s="1"/>
  <c r="P94" i="1"/>
  <c r="Q94" i="1" s="1"/>
  <c r="S94" i="1" s="1"/>
  <c r="K94" i="1"/>
  <c r="T94" i="1" s="1"/>
  <c r="A94" i="1"/>
  <c r="T93" i="1"/>
  <c r="P93" i="1"/>
  <c r="Q93" i="1" s="1"/>
  <c r="S93" i="1" s="1"/>
  <c r="M93" i="1"/>
  <c r="L93" i="1"/>
  <c r="G93" i="1"/>
  <c r="T92" i="1"/>
  <c r="P92" i="1"/>
  <c r="Q92" i="1" s="1"/>
  <c r="S92" i="1" s="1"/>
  <c r="M92" i="1"/>
  <c r="L92" i="1"/>
  <c r="G92" i="1"/>
  <c r="A92" i="1"/>
  <c r="P91" i="1"/>
  <c r="Q91" i="1" s="1"/>
  <c r="S91" i="1" s="1"/>
  <c r="K91" i="1"/>
  <c r="M91" i="1" s="1"/>
  <c r="P90" i="1"/>
  <c r="Q90" i="1" s="1"/>
  <c r="S90" i="1" s="1"/>
  <c r="K90" i="1"/>
  <c r="M90" i="1" s="1"/>
  <c r="G90" i="1"/>
  <c r="B90" i="1"/>
  <c r="A90" i="1"/>
  <c r="T89" i="1"/>
  <c r="P89" i="1"/>
  <c r="Q89" i="1" s="1"/>
  <c r="S89" i="1" s="1"/>
  <c r="M89" i="1"/>
  <c r="L89" i="1"/>
  <c r="G89" i="1"/>
  <c r="A89" i="1"/>
  <c r="P88" i="1"/>
  <c r="Q88" i="1" s="1"/>
  <c r="S88" i="1" s="1"/>
  <c r="K88" i="1"/>
  <c r="T88" i="1" s="1"/>
  <c r="G88" i="1"/>
  <c r="A88" i="1"/>
  <c r="P87" i="1"/>
  <c r="Q87" i="1" s="1"/>
  <c r="S87" i="1" s="1"/>
  <c r="K87" i="1"/>
  <c r="T87" i="1" s="1"/>
  <c r="G87" i="1"/>
  <c r="P86" i="1"/>
  <c r="Q86" i="1" s="1"/>
  <c r="S86" i="1" s="1"/>
  <c r="K86" i="1"/>
  <c r="M86" i="1" s="1"/>
  <c r="G86" i="1"/>
  <c r="P85" i="1"/>
  <c r="Q85" i="1" s="1"/>
  <c r="S85" i="1" s="1"/>
  <c r="K85" i="1"/>
  <c r="M85" i="1" s="1"/>
  <c r="G85" i="1"/>
  <c r="P84" i="1"/>
  <c r="Q84" i="1" s="1"/>
  <c r="S84" i="1" s="1"/>
  <c r="K84" i="1"/>
  <c r="T84" i="1" s="1"/>
  <c r="G84" i="1"/>
  <c r="A84" i="1"/>
  <c r="P83" i="1"/>
  <c r="Q83" i="1" s="1"/>
  <c r="S83" i="1" s="1"/>
  <c r="K83" i="1"/>
  <c r="T83" i="1" s="1"/>
  <c r="G83" i="1"/>
  <c r="P82" i="1"/>
  <c r="Q82" i="1" s="1"/>
  <c r="S82" i="1" s="1"/>
  <c r="K82" i="1"/>
  <c r="T82" i="1" s="1"/>
  <c r="G82" i="1"/>
  <c r="A82" i="1"/>
  <c r="T81" i="1"/>
  <c r="P81" i="1"/>
  <c r="Q81" i="1" s="1"/>
  <c r="S81" i="1" s="1"/>
  <c r="M81" i="1"/>
  <c r="L81" i="1"/>
  <c r="G81" i="1"/>
  <c r="T80" i="1"/>
  <c r="P80" i="1"/>
  <c r="Q80" i="1" s="1"/>
  <c r="S80" i="1" s="1"/>
  <c r="M80" i="1"/>
  <c r="L80" i="1"/>
  <c r="G80" i="1"/>
  <c r="A80" i="1"/>
  <c r="P79" i="1"/>
  <c r="Q79" i="1" s="1"/>
  <c r="P78" i="1"/>
  <c r="Q78" i="1" s="1"/>
  <c r="P77" i="1"/>
  <c r="Q77" i="1" s="1"/>
  <c r="P76" i="1"/>
  <c r="Q76" i="1" s="1"/>
  <c r="P75" i="1"/>
  <c r="Q75" i="1" s="1"/>
  <c r="K75" i="1"/>
  <c r="M75" i="1" s="1"/>
  <c r="P74" i="1"/>
  <c r="Q74" i="1" s="1"/>
  <c r="S74" i="1" s="1"/>
  <c r="K74" i="1"/>
  <c r="T74" i="1" s="1"/>
  <c r="G74" i="1"/>
  <c r="A74" i="1"/>
  <c r="T73" i="1"/>
  <c r="P73" i="1"/>
  <c r="Q73" i="1" s="1"/>
  <c r="M73" i="1"/>
  <c r="L73" i="1"/>
  <c r="G73" i="1"/>
  <c r="A73" i="1"/>
  <c r="T72" i="1"/>
  <c r="P72" i="1"/>
  <c r="Q72" i="1" s="1"/>
  <c r="S72" i="1" s="1"/>
  <c r="M72" i="1"/>
  <c r="L72" i="1"/>
  <c r="G72" i="1"/>
  <c r="A72" i="1"/>
  <c r="T71" i="1"/>
  <c r="P71" i="1"/>
  <c r="Q71" i="1" s="1"/>
  <c r="S71" i="1" s="1"/>
  <c r="M71" i="1"/>
  <c r="L71" i="1"/>
  <c r="G71" i="1"/>
  <c r="A71" i="1"/>
  <c r="P70" i="1"/>
  <c r="Q70" i="1" s="1"/>
  <c r="S70" i="1" s="1"/>
  <c r="K70" i="1"/>
  <c r="M70" i="1" s="1"/>
  <c r="G70" i="1"/>
  <c r="A70" i="1"/>
  <c r="T69" i="1"/>
  <c r="P69" i="1"/>
  <c r="Q69" i="1" s="1"/>
  <c r="S69" i="1" s="1"/>
  <c r="M69" i="1"/>
  <c r="L69" i="1"/>
  <c r="G69" i="1"/>
  <c r="T68" i="1"/>
  <c r="P68" i="1"/>
  <c r="Q68" i="1" s="1"/>
  <c r="S68" i="1" s="1"/>
  <c r="M68" i="1"/>
  <c r="L68" i="1"/>
  <c r="G68" i="1"/>
  <c r="A68" i="1"/>
  <c r="P67" i="1"/>
  <c r="Q67" i="1" s="1"/>
  <c r="S67" i="1" s="1"/>
  <c r="K67" i="1"/>
  <c r="M67" i="1" s="1"/>
  <c r="H67" i="1"/>
  <c r="G67" i="1"/>
  <c r="A67" i="1"/>
  <c r="P66" i="1"/>
  <c r="Q66" i="1" s="1"/>
  <c r="S66" i="1" s="1"/>
  <c r="K66" i="1"/>
  <c r="G66" i="1"/>
  <c r="A66" i="1"/>
  <c r="P65" i="1"/>
  <c r="Q65" i="1" s="1"/>
  <c r="S65" i="1" s="1"/>
  <c r="K65" i="1"/>
  <c r="M65" i="1" s="1"/>
  <c r="G65" i="1"/>
  <c r="A65" i="1"/>
  <c r="T64" i="1"/>
  <c r="P64" i="1"/>
  <c r="Q64" i="1" s="1"/>
  <c r="S64" i="1" s="1"/>
  <c r="M64" i="1"/>
  <c r="L64" i="1"/>
  <c r="G64" i="1"/>
  <c r="A64" i="1"/>
  <c r="P63" i="1"/>
  <c r="Q63" i="1" s="1"/>
  <c r="S63" i="1" s="1"/>
  <c r="K63" i="1"/>
  <c r="M63" i="1" s="1"/>
  <c r="G63" i="1"/>
  <c r="A63" i="1"/>
  <c r="T62" i="1"/>
  <c r="P62" i="1"/>
  <c r="Q62" i="1" s="1"/>
  <c r="S62" i="1" s="1"/>
  <c r="M62" i="1"/>
  <c r="L62" i="1"/>
  <c r="G62" i="1"/>
  <c r="T61" i="1"/>
  <c r="P61" i="1"/>
  <c r="Q61" i="1" s="1"/>
  <c r="S61" i="1" s="1"/>
  <c r="M61" i="1"/>
  <c r="L61" i="1"/>
  <c r="G61" i="1"/>
  <c r="B61" i="1"/>
  <c r="A61" i="1"/>
  <c r="P60" i="1"/>
  <c r="Q60" i="1" s="1"/>
  <c r="S60" i="1" s="1"/>
  <c r="K60" i="1"/>
  <c r="T60" i="1" s="1"/>
  <c r="G60" i="1"/>
  <c r="A60" i="1"/>
  <c r="P59" i="1"/>
  <c r="Q59" i="1" s="1"/>
  <c r="S59" i="1" s="1"/>
  <c r="K59" i="1"/>
  <c r="M59" i="1" s="1"/>
  <c r="G59" i="1"/>
  <c r="A59" i="1"/>
  <c r="P58" i="1"/>
  <c r="Q58" i="1" s="1"/>
  <c r="S58" i="1" s="1"/>
  <c r="K58" i="1"/>
  <c r="T58" i="1" s="1"/>
  <c r="G58" i="1"/>
  <c r="A58" i="1"/>
  <c r="P57" i="1"/>
  <c r="Q57" i="1" s="1"/>
  <c r="S57" i="1" s="1"/>
  <c r="K57" i="1"/>
  <c r="M57" i="1" s="1"/>
  <c r="G57" i="1"/>
  <c r="A57" i="1"/>
  <c r="P56" i="1"/>
  <c r="Q56" i="1" s="1"/>
  <c r="S56" i="1" s="1"/>
  <c r="K56" i="1"/>
  <c r="T56" i="1" s="1"/>
  <c r="A56" i="1"/>
  <c r="T55" i="1"/>
  <c r="P55" i="1"/>
  <c r="Q55" i="1" s="1"/>
  <c r="S55" i="1" s="1"/>
  <c r="M55" i="1"/>
  <c r="L55" i="1"/>
  <c r="G55" i="1"/>
  <c r="A55" i="1"/>
  <c r="P54" i="1"/>
  <c r="Q54" i="1" s="1"/>
  <c r="S54" i="1" s="1"/>
  <c r="K54" i="1"/>
  <c r="T54" i="1" s="1"/>
  <c r="A54" i="1"/>
  <c r="P53" i="1"/>
  <c r="Q53" i="1" s="1"/>
  <c r="S53" i="1" s="1"/>
  <c r="K53" i="1"/>
  <c r="M53" i="1" s="1"/>
  <c r="G53" i="1"/>
  <c r="P52" i="1"/>
  <c r="Q52" i="1" s="1"/>
  <c r="S52" i="1" s="1"/>
  <c r="K52" i="1"/>
  <c r="G52" i="1"/>
  <c r="P51" i="1"/>
  <c r="Q51" i="1" s="1"/>
  <c r="S51" i="1" s="1"/>
  <c r="K51" i="1"/>
  <c r="M51" i="1" s="1"/>
  <c r="G51" i="1"/>
  <c r="A51" i="1"/>
  <c r="P50" i="1"/>
  <c r="Q50" i="1" s="1"/>
  <c r="S50" i="1" s="1"/>
  <c r="K50" i="1"/>
  <c r="T50" i="1" s="1"/>
  <c r="G50" i="1"/>
  <c r="P49" i="1"/>
  <c r="Q49" i="1" s="1"/>
  <c r="S49" i="1" s="1"/>
  <c r="K49" i="1"/>
  <c r="G49" i="1"/>
  <c r="A49" i="1"/>
  <c r="T48" i="1"/>
  <c r="P48" i="1"/>
  <c r="Q48" i="1" s="1"/>
  <c r="S48" i="1" s="1"/>
  <c r="M48" i="1"/>
  <c r="L48" i="1"/>
  <c r="G48" i="1"/>
  <c r="T47" i="1"/>
  <c r="P47" i="1"/>
  <c r="Q47" i="1" s="1"/>
  <c r="S47" i="1" s="1"/>
  <c r="M47" i="1"/>
  <c r="L47" i="1"/>
  <c r="G47" i="1"/>
  <c r="T46" i="1"/>
  <c r="P46" i="1"/>
  <c r="Q46" i="1" s="1"/>
  <c r="S46" i="1" s="1"/>
  <c r="M46" i="1"/>
  <c r="L46" i="1"/>
  <c r="G46" i="1"/>
  <c r="A46" i="1"/>
  <c r="T45" i="1"/>
  <c r="P45" i="1"/>
  <c r="Q45" i="1" s="1"/>
  <c r="S45" i="1" s="1"/>
  <c r="M45" i="1"/>
  <c r="L45" i="1"/>
  <c r="G45" i="1"/>
  <c r="T44" i="1"/>
  <c r="P44" i="1"/>
  <c r="Q44" i="1" s="1"/>
  <c r="S44" i="1" s="1"/>
  <c r="M44" i="1"/>
  <c r="L44" i="1"/>
  <c r="G44" i="1"/>
  <c r="A44" i="1"/>
  <c r="T43" i="1"/>
  <c r="P43" i="1"/>
  <c r="Q43" i="1" s="1"/>
  <c r="S43" i="1" s="1"/>
  <c r="M43" i="1"/>
  <c r="L43" i="1"/>
  <c r="G43" i="1"/>
  <c r="T42" i="1"/>
  <c r="P42" i="1"/>
  <c r="Q42" i="1" s="1"/>
  <c r="S42" i="1" s="1"/>
  <c r="M42" i="1"/>
  <c r="L42" i="1"/>
  <c r="G42" i="1"/>
  <c r="A42" i="1"/>
  <c r="T41" i="1"/>
  <c r="P41" i="1"/>
  <c r="Q41" i="1" s="1"/>
  <c r="S41" i="1" s="1"/>
  <c r="M41" i="1"/>
  <c r="L41" i="1"/>
  <c r="G41" i="1"/>
  <c r="A41" i="1"/>
  <c r="T40" i="1"/>
  <c r="P40" i="1"/>
  <c r="Q40" i="1" s="1"/>
  <c r="S40" i="1" s="1"/>
  <c r="M40" i="1"/>
  <c r="L40" i="1"/>
  <c r="G40" i="1"/>
  <c r="A40" i="1"/>
  <c r="T39" i="1"/>
  <c r="P39" i="1"/>
  <c r="Q39" i="1" s="1"/>
  <c r="S39" i="1" s="1"/>
  <c r="M39" i="1"/>
  <c r="L39" i="1"/>
  <c r="G39" i="1"/>
  <c r="A39" i="1"/>
  <c r="T38" i="1"/>
  <c r="P38" i="1"/>
  <c r="Q38" i="1" s="1"/>
  <c r="S38" i="1" s="1"/>
  <c r="M38" i="1"/>
  <c r="L38" i="1"/>
  <c r="G38" i="1"/>
  <c r="A38" i="1"/>
  <c r="T37" i="1"/>
  <c r="P37" i="1"/>
  <c r="Q37" i="1" s="1"/>
  <c r="S37" i="1" s="1"/>
  <c r="M37" i="1"/>
  <c r="L37" i="1"/>
  <c r="G37" i="1"/>
  <c r="A37" i="1"/>
  <c r="T36" i="1"/>
  <c r="P36" i="1"/>
  <c r="Q36" i="1" s="1"/>
  <c r="S36" i="1" s="1"/>
  <c r="M36" i="1"/>
  <c r="L36" i="1"/>
  <c r="G36" i="1"/>
  <c r="A36" i="1"/>
  <c r="T35" i="1"/>
  <c r="P35" i="1"/>
  <c r="Q35" i="1" s="1"/>
  <c r="S35" i="1" s="1"/>
  <c r="M35" i="1"/>
  <c r="L35" i="1"/>
  <c r="G35" i="1"/>
  <c r="A35" i="1"/>
  <c r="T34" i="1"/>
  <c r="P34" i="1"/>
  <c r="Q34" i="1" s="1"/>
  <c r="S34" i="1" s="1"/>
  <c r="M34" i="1"/>
  <c r="L34" i="1"/>
  <c r="G34" i="1"/>
  <c r="A34" i="1"/>
  <c r="P33" i="1"/>
  <c r="Q33" i="1" s="1"/>
  <c r="S33" i="1" s="1"/>
  <c r="K33" i="1"/>
  <c r="T33" i="1" s="1"/>
  <c r="G33" i="1"/>
  <c r="P32" i="1"/>
  <c r="Q32" i="1" s="1"/>
  <c r="S32" i="1" s="1"/>
  <c r="K32" i="1"/>
  <c r="T32" i="1" s="1"/>
  <c r="G32" i="1"/>
  <c r="P31" i="1"/>
  <c r="Q31" i="1" s="1"/>
  <c r="S31" i="1" s="1"/>
  <c r="K31" i="1"/>
  <c r="M31" i="1" s="1"/>
  <c r="G31" i="1"/>
  <c r="P30" i="1"/>
  <c r="Q30" i="1" s="1"/>
  <c r="S30" i="1" s="1"/>
  <c r="K30" i="1"/>
  <c r="T30" i="1" s="1"/>
  <c r="G30" i="1"/>
  <c r="P29" i="1"/>
  <c r="Q29" i="1" s="1"/>
  <c r="S29" i="1" s="1"/>
  <c r="K29" i="1"/>
  <c r="T29" i="1" s="1"/>
  <c r="G29" i="1"/>
  <c r="A29" i="1"/>
  <c r="P28" i="1"/>
  <c r="Q28" i="1" s="1"/>
  <c r="S28" i="1" s="1"/>
  <c r="K28" i="1"/>
  <c r="T28" i="1" s="1"/>
  <c r="G28" i="1"/>
  <c r="A28" i="1"/>
  <c r="T27" i="1"/>
  <c r="P27" i="1"/>
  <c r="Q27" i="1" s="1"/>
  <c r="S27" i="1" s="1"/>
  <c r="M27" i="1"/>
  <c r="L27" i="1"/>
  <c r="G27" i="1"/>
  <c r="A27" i="1"/>
  <c r="T26" i="1"/>
  <c r="P26" i="1"/>
  <c r="Q26" i="1" s="1"/>
  <c r="S26" i="1" s="1"/>
  <c r="M26" i="1"/>
  <c r="L26" i="1"/>
  <c r="G26" i="1"/>
  <c r="A26" i="1"/>
  <c r="P25" i="1"/>
  <c r="Q25" i="1" s="1"/>
  <c r="S25" i="1" s="1"/>
  <c r="K25" i="1"/>
  <c r="T25" i="1" s="1"/>
  <c r="G25" i="1"/>
  <c r="A25" i="1"/>
  <c r="T24" i="1"/>
  <c r="P24" i="1"/>
  <c r="Q24" i="1" s="1"/>
  <c r="S24" i="1" s="1"/>
  <c r="M24" i="1"/>
  <c r="L24" i="1"/>
  <c r="G24" i="1"/>
  <c r="A24" i="1"/>
  <c r="T23" i="1"/>
  <c r="P23" i="1"/>
  <c r="Q23" i="1" s="1"/>
  <c r="S23" i="1" s="1"/>
  <c r="M23" i="1"/>
  <c r="L23" i="1"/>
  <c r="G23" i="1"/>
  <c r="A23" i="1"/>
  <c r="P22" i="1"/>
  <c r="Q22" i="1" s="1"/>
  <c r="S22" i="1" s="1"/>
  <c r="K22" i="1"/>
  <c r="T22" i="1" s="1"/>
  <c r="G22" i="1"/>
  <c r="A22" i="1"/>
  <c r="P21" i="1"/>
  <c r="Q21" i="1" s="1"/>
  <c r="S21" i="1" s="1"/>
  <c r="K21" i="1"/>
  <c r="M21" i="1" s="1"/>
  <c r="G21" i="1"/>
  <c r="A21" i="1"/>
  <c r="P20" i="1"/>
  <c r="Q20" i="1" s="1"/>
  <c r="S20" i="1" s="1"/>
  <c r="K20" i="1"/>
  <c r="T20" i="1" s="1"/>
  <c r="G20" i="1"/>
  <c r="A20" i="1"/>
  <c r="P19" i="1"/>
  <c r="Q19" i="1" s="1"/>
  <c r="S19" i="1" s="1"/>
  <c r="K19" i="1"/>
  <c r="M19" i="1" s="1"/>
  <c r="G19" i="1"/>
  <c r="P18" i="1"/>
  <c r="Q18" i="1" s="1"/>
  <c r="S18" i="1" s="1"/>
  <c r="K18" i="1"/>
  <c r="T18" i="1" s="1"/>
  <c r="G18" i="1"/>
  <c r="A18" i="1"/>
  <c r="P17" i="1"/>
  <c r="Q17" i="1" s="1"/>
  <c r="S17" i="1" s="1"/>
  <c r="K17" i="1"/>
  <c r="G17" i="1"/>
  <c r="A17" i="1"/>
  <c r="P16" i="1"/>
  <c r="Q16" i="1" s="1"/>
  <c r="S16" i="1" s="1"/>
  <c r="K16" i="1"/>
  <c r="T16" i="1" s="1"/>
  <c r="G16" i="1"/>
  <c r="A16" i="1"/>
  <c r="P15" i="1"/>
  <c r="Q15" i="1" s="1"/>
  <c r="S15" i="1" s="1"/>
  <c r="K15" i="1"/>
  <c r="M15" i="1" s="1"/>
  <c r="G15" i="1"/>
  <c r="A15" i="1"/>
  <c r="P14" i="1"/>
  <c r="Q14" i="1" s="1"/>
  <c r="S14" i="1" s="1"/>
  <c r="K14" i="1"/>
  <c r="M14" i="1" s="1"/>
  <c r="G14" i="1"/>
  <c r="A14" i="1"/>
  <c r="P13" i="1"/>
  <c r="Q13" i="1" s="1"/>
  <c r="S13" i="1" s="1"/>
  <c r="K13" i="1"/>
  <c r="T13" i="1" s="1"/>
  <c r="G13" i="1"/>
  <c r="A13" i="1"/>
  <c r="P12" i="1"/>
  <c r="Q12" i="1" s="1"/>
  <c r="S12" i="1" s="1"/>
  <c r="K12" i="1"/>
  <c r="M12" i="1" s="1"/>
  <c r="G12" i="1"/>
  <c r="A12" i="1"/>
  <c r="P11" i="1"/>
  <c r="Q11" i="1" s="1"/>
  <c r="S11" i="1" s="1"/>
  <c r="K11" i="1"/>
  <c r="G11" i="1"/>
  <c r="A11" i="1"/>
  <c r="AC10" i="1"/>
  <c r="AE10" i="1" s="1"/>
  <c r="AB10" i="1"/>
  <c r="AA10" i="1"/>
  <c r="P10" i="1"/>
  <c r="Q10" i="1" s="1"/>
  <c r="K10" i="1"/>
  <c r="M10" i="1" s="1"/>
  <c r="G10" i="1"/>
  <c r="P9" i="1"/>
  <c r="Q9" i="1" s="1"/>
  <c r="K9" i="1"/>
  <c r="M9" i="1" s="1"/>
  <c r="G9" i="1"/>
  <c r="A9" i="1"/>
  <c r="P8" i="1"/>
  <c r="Q8" i="1" s="1"/>
  <c r="S8" i="1" s="1"/>
  <c r="K8" i="1"/>
  <c r="M8" i="1" s="1"/>
  <c r="G8" i="1"/>
  <c r="A8" i="1"/>
  <c r="P7" i="1"/>
  <c r="Q7" i="1" s="1"/>
  <c r="S7" i="1" s="1"/>
  <c r="K7" i="1"/>
  <c r="T7" i="1" s="1"/>
  <c r="G7" i="1"/>
  <c r="A7" i="1"/>
  <c r="P6" i="1"/>
  <c r="Q6" i="1" s="1"/>
  <c r="S6" i="1" s="1"/>
  <c r="K6" i="1"/>
  <c r="T6" i="1" s="1"/>
  <c r="G6" i="1"/>
  <c r="A6" i="1"/>
  <c r="P5" i="1"/>
  <c r="Q5" i="1" s="1"/>
  <c r="R5" i="1" s="1"/>
  <c r="K5" i="1"/>
  <c r="T5" i="1" s="1"/>
  <c r="G5" i="1"/>
  <c r="A5" i="1"/>
  <c r="P4" i="1"/>
  <c r="Q4" i="1" s="1"/>
  <c r="S4" i="1" s="1"/>
  <c r="K4" i="1"/>
  <c r="G4" i="1"/>
  <c r="A4" i="1"/>
  <c r="T57" i="2" l="1"/>
  <c r="S175" i="2"/>
  <c r="S69" i="2"/>
  <c r="T158" i="2"/>
  <c r="T151" i="2"/>
  <c r="S18" i="2"/>
  <c r="U18" i="2" s="1"/>
  <c r="S9" i="2"/>
  <c r="T22" i="2"/>
  <c r="T28" i="2"/>
  <c r="T43" i="2"/>
  <c r="T10" i="2"/>
  <c r="V10" i="2" s="1"/>
  <c r="V101" i="2"/>
  <c r="Z101" i="2" s="1"/>
  <c r="AB101" i="2" s="1"/>
  <c r="T101" i="2"/>
  <c r="T104" i="2"/>
  <c r="V104" i="2" s="1"/>
  <c r="Z104" i="2" s="1"/>
  <c r="AB104" i="2" s="1"/>
  <c r="T13" i="2"/>
  <c r="T113" i="2"/>
  <c r="V113" i="2" s="1"/>
  <c r="Z113" i="2" s="1"/>
  <c r="AB113" i="2" s="1"/>
  <c r="T116" i="2"/>
  <c r="V116" i="2" s="1"/>
  <c r="Z116" i="2" s="1"/>
  <c r="AB116" i="2" s="1"/>
  <c r="V122" i="2"/>
  <c r="T122" i="2"/>
  <c r="S128" i="2"/>
  <c r="T137" i="2"/>
  <c r="V137" i="2" s="1"/>
  <c r="Z137" i="2" s="1"/>
  <c r="AB137" i="2" s="1"/>
  <c r="S65" i="2"/>
  <c r="U65" i="2" s="1"/>
  <c r="T68" i="2"/>
  <c r="V68" i="2" s="1"/>
  <c r="S68" i="2"/>
  <c r="U68" i="2" s="1"/>
  <c r="V110" i="2"/>
  <c r="Z110" i="2" s="1"/>
  <c r="AB110" i="2" s="1"/>
  <c r="T110" i="2"/>
  <c r="S76" i="2"/>
  <c r="U76" i="2" s="1"/>
  <c r="T15" i="2"/>
  <c r="T173" i="2"/>
  <c r="U77" i="2"/>
  <c r="Y77" i="2" s="1"/>
  <c r="T94" i="2"/>
  <c r="V94" i="2" s="1"/>
  <c r="S13" i="2"/>
  <c r="U13" i="2" s="1"/>
  <c r="V158" i="2"/>
  <c r="AA96" i="2"/>
  <c r="S89" i="2"/>
  <c r="U89" i="2" s="1"/>
  <c r="T153" i="2"/>
  <c r="V153" i="2" s="1"/>
  <c r="Z153" i="2" s="1"/>
  <c r="AB153" i="2" s="1"/>
  <c r="T79" i="2"/>
  <c r="V87" i="2"/>
  <c r="V107" i="2"/>
  <c r="Z107" i="2" s="1"/>
  <c r="AB107" i="2" s="1"/>
  <c r="V119" i="2"/>
  <c r="T142" i="2"/>
  <c r="T59" i="2"/>
  <c r="V59" i="2" s="1"/>
  <c r="T83" i="2"/>
  <c r="V83" i="2" s="1"/>
  <c r="T76" i="2"/>
  <c r="V76" i="2" s="1"/>
  <c r="V142" i="2"/>
  <c r="T148" i="2"/>
  <c r="V148" i="2" s="1"/>
  <c r="Z148" i="2" s="1"/>
  <c r="AB148" i="2" s="1"/>
  <c r="T55" i="2"/>
  <c r="M157" i="1"/>
  <c r="V450" i="1"/>
  <c r="X450" i="1" s="1"/>
  <c r="AA450" i="1" s="1"/>
  <c r="M477" i="1"/>
  <c r="V108" i="1"/>
  <c r="M274" i="1"/>
  <c r="M95" i="1"/>
  <c r="T57" i="1"/>
  <c r="W57" i="1" s="1"/>
  <c r="Y57" i="1" s="1"/>
  <c r="M283" i="1"/>
  <c r="M306" i="1"/>
  <c r="M363" i="1"/>
  <c r="M158" i="1"/>
  <c r="M450" i="1"/>
  <c r="M329" i="1"/>
  <c r="T412" i="1"/>
  <c r="M429" i="1"/>
  <c r="M275" i="1"/>
  <c r="M231" i="1"/>
  <c r="W47" i="1"/>
  <c r="W231" i="1"/>
  <c r="Y231" i="1" s="1"/>
  <c r="AC231" i="1" s="1"/>
  <c r="AE231" i="1" s="1"/>
  <c r="T251" i="1"/>
  <c r="V251" i="1" s="1"/>
  <c r="X251" i="1" s="1"/>
  <c r="T102" i="1"/>
  <c r="M119" i="1"/>
  <c r="V459" i="1"/>
  <c r="X459" i="1" s="1"/>
  <c r="T125" i="1"/>
  <c r="V125" i="1" s="1"/>
  <c r="X125" i="1" s="1"/>
  <c r="M428" i="1"/>
  <c r="W55" i="1"/>
  <c r="Y55" i="1" s="1"/>
  <c r="M491" i="1"/>
  <c r="W556" i="1"/>
  <c r="Y556" i="1" s="1"/>
  <c r="W645" i="1"/>
  <c r="Y645" i="1" s="1"/>
  <c r="T178" i="1"/>
  <c r="M226" i="1"/>
  <c r="T244" i="1"/>
  <c r="T371" i="1"/>
  <c r="M94" i="1"/>
  <c r="T232" i="1"/>
  <c r="W232" i="1" s="1"/>
  <c r="Y232" i="1" s="1"/>
  <c r="T487" i="1"/>
  <c r="W487" i="1" s="1"/>
  <c r="Y487" i="1" s="1"/>
  <c r="W653" i="1"/>
  <c r="Y653" i="1" s="1"/>
  <c r="AC653" i="1" s="1"/>
  <c r="AE653" i="1" s="1"/>
  <c r="AD10" i="1"/>
  <c r="AF10" i="1" s="1"/>
  <c r="V24" i="1"/>
  <c r="X24" i="1" s="1"/>
  <c r="T572" i="1"/>
  <c r="V511" i="1"/>
  <c r="M88" i="1"/>
  <c r="T407" i="1"/>
  <c r="T468" i="1"/>
  <c r="T493" i="1"/>
  <c r="V493" i="1" s="1"/>
  <c r="X493" i="1" s="1"/>
  <c r="T85" i="1"/>
  <c r="W85" i="1" s="1"/>
  <c r="Y85" i="1" s="1"/>
  <c r="T559" i="1"/>
  <c r="W559" i="1" s="1"/>
  <c r="Y559" i="1" s="1"/>
  <c r="T214" i="1"/>
  <c r="V214" i="1" s="1"/>
  <c r="X214" i="1" s="1"/>
  <c r="M83" i="1"/>
  <c r="M111" i="1"/>
  <c r="M154" i="1"/>
  <c r="M156" i="1"/>
  <c r="M204" i="1"/>
  <c r="T211" i="1"/>
  <c r="T223" i="1"/>
  <c r="M388" i="1"/>
  <c r="V6" i="1"/>
  <c r="W6" i="1" s="1"/>
  <c r="Y6" i="1" s="1"/>
  <c r="M258" i="1"/>
  <c r="M273" i="1"/>
  <c r="M287" i="1"/>
  <c r="M391" i="1"/>
  <c r="T19" i="1"/>
  <c r="W19" i="1" s="1"/>
  <c r="Y19" i="1" s="1"/>
  <c r="M32" i="1"/>
  <c r="W68" i="1"/>
  <c r="Y68" i="1" s="1"/>
  <c r="W267" i="1"/>
  <c r="Y267" i="1" s="1"/>
  <c r="AC267" i="1" s="1"/>
  <c r="AE267" i="1" s="1"/>
  <c r="T31" i="1"/>
  <c r="V31" i="1" s="1"/>
  <c r="X31" i="1" s="1"/>
  <c r="T8" i="1"/>
  <c r="M230" i="1"/>
  <c r="W30" i="1"/>
  <c r="Y30" i="1" s="1"/>
  <c r="V164" i="1"/>
  <c r="X164" i="1" s="1"/>
  <c r="AB164" i="1" s="1"/>
  <c r="W505" i="1"/>
  <c r="Y505" i="1" s="1"/>
  <c r="W517" i="1"/>
  <c r="Y517" i="1" s="1"/>
  <c r="M60" i="1"/>
  <c r="T182" i="1"/>
  <c r="W182" i="1" s="1"/>
  <c r="Y182" i="1" s="1"/>
  <c r="T198" i="1"/>
  <c r="V198" i="1" s="1"/>
  <c r="X198" i="1" s="1"/>
  <c r="M280" i="1"/>
  <c r="T376" i="1"/>
  <c r="W376" i="1" s="1"/>
  <c r="Y376" i="1" s="1"/>
  <c r="M415" i="1"/>
  <c r="M454" i="1"/>
  <c r="T492" i="1"/>
  <c r="W492" i="1" s="1"/>
  <c r="Y492" i="1" s="1"/>
  <c r="M207" i="1"/>
  <c r="M210" i="1"/>
  <c r="M228" i="1"/>
  <c r="M310" i="1"/>
  <c r="M504" i="1"/>
  <c r="V22" i="1"/>
  <c r="X22" i="1" s="1"/>
  <c r="M28" i="1"/>
  <c r="T246" i="1"/>
  <c r="W413" i="1"/>
  <c r="Y413" i="1" s="1"/>
  <c r="T486" i="1"/>
  <c r="V486" i="1" s="1"/>
  <c r="X486" i="1" s="1"/>
  <c r="T544" i="1"/>
  <c r="V544" i="1" s="1"/>
  <c r="X544" i="1" s="1"/>
  <c r="M569" i="1"/>
  <c r="M20" i="1"/>
  <c r="M56" i="1"/>
  <c r="M82" i="1"/>
  <c r="M84" i="1"/>
  <c r="T153" i="1"/>
  <c r="V153" i="1" s="1"/>
  <c r="X153" i="1" s="1"/>
  <c r="M181" i="1"/>
  <c r="M284" i="1"/>
  <c r="V295" i="1"/>
  <c r="M305" i="1"/>
  <c r="T416" i="1"/>
  <c r="W508" i="1"/>
  <c r="T560" i="1"/>
  <c r="W560" i="1" s="1"/>
  <c r="Y560" i="1" s="1"/>
  <c r="T520" i="1"/>
  <c r="W520" i="1" s="1"/>
  <c r="Y520" i="1" s="1"/>
  <c r="M18" i="1"/>
  <c r="T63" i="1"/>
  <c r="V63" i="1" s="1"/>
  <c r="X63" i="1" s="1"/>
  <c r="T104" i="1"/>
  <c r="W104" i="1" s="1"/>
  <c r="Y104" i="1" s="1"/>
  <c r="AC104" i="1" s="1"/>
  <c r="AE104" i="1" s="1"/>
  <c r="T122" i="1"/>
  <c r="V122" i="1" s="1"/>
  <c r="X122" i="1" s="1"/>
  <c r="M220" i="1"/>
  <c r="T222" i="1"/>
  <c r="V222" i="1" s="1"/>
  <c r="X222" i="1" s="1"/>
  <c r="M247" i="1"/>
  <c r="M250" i="1"/>
  <c r="M387" i="1"/>
  <c r="M409" i="1"/>
  <c r="M414" i="1"/>
  <c r="M427" i="1"/>
  <c r="M455" i="1"/>
  <c r="M641" i="1"/>
  <c r="V658" i="1"/>
  <c r="X658" i="1" s="1"/>
  <c r="V32" i="1"/>
  <c r="X32" i="1" s="1"/>
  <c r="V61" i="1"/>
  <c r="X61" i="1" s="1"/>
  <c r="M406" i="1"/>
  <c r="T422" i="1"/>
  <c r="W422" i="1" s="1"/>
  <c r="Y422" i="1" s="1"/>
  <c r="V457" i="1"/>
  <c r="X457" i="1" s="1"/>
  <c r="W641" i="1"/>
  <c r="Y641" i="1" s="1"/>
  <c r="S9" i="1"/>
  <c r="T124" i="1"/>
  <c r="W124" i="1" s="1"/>
  <c r="Y124" i="1" s="1"/>
  <c r="W38" i="1"/>
  <c r="Y38" i="1" s="1"/>
  <c r="M309" i="1"/>
  <c r="T324" i="1"/>
  <c r="W324" i="1" s="1"/>
  <c r="Y324" i="1" s="1"/>
  <c r="M483" i="1"/>
  <c r="M500" i="1"/>
  <c r="T503" i="1"/>
  <c r="V503" i="1" s="1"/>
  <c r="X503" i="1" s="1"/>
  <c r="V613" i="1"/>
  <c r="X613" i="1" s="1"/>
  <c r="V115" i="1"/>
  <c r="X115" i="1" s="1"/>
  <c r="AB115" i="1" s="1"/>
  <c r="W115" i="1"/>
  <c r="Y115" i="1" s="1"/>
  <c r="W236" i="1"/>
  <c r="Y236" i="1" s="1"/>
  <c r="AC236" i="1" s="1"/>
  <c r="AE236" i="1" s="1"/>
  <c r="W43" i="1"/>
  <c r="Y43" i="1" s="1"/>
  <c r="AC43" i="1" s="1"/>
  <c r="AE43" i="1" s="1"/>
  <c r="V43" i="1"/>
  <c r="X43" i="1" s="1"/>
  <c r="AB43" i="1" s="1"/>
  <c r="W186" i="1"/>
  <c r="Y186" i="1" s="1"/>
  <c r="W20" i="1"/>
  <c r="Y20" i="1" s="1"/>
  <c r="V20" i="1"/>
  <c r="X20" i="1" s="1"/>
  <c r="W189" i="1"/>
  <c r="Y189" i="1" s="1"/>
  <c r="AC189" i="1" s="1"/>
  <c r="AE189" i="1" s="1"/>
  <c r="W16" i="1"/>
  <c r="Y16" i="1" s="1"/>
  <c r="AC16" i="1" s="1"/>
  <c r="AE16" i="1" s="1"/>
  <c r="V16" i="1"/>
  <c r="X16" i="1" s="1"/>
  <c r="AB16" i="1" s="1"/>
  <c r="W114" i="1"/>
  <c r="Y114" i="1" s="1"/>
  <c r="AC114" i="1" s="1"/>
  <c r="AE114" i="1" s="1"/>
  <c r="W158" i="1"/>
  <c r="Y158" i="1" s="1"/>
  <c r="AC158" i="1" s="1"/>
  <c r="AE158" i="1" s="1"/>
  <c r="W192" i="1"/>
  <c r="Y192" i="1" s="1"/>
  <c r="AC192" i="1" s="1"/>
  <c r="AE192" i="1" s="1"/>
  <c r="W32" i="1"/>
  <c r="W109" i="1"/>
  <c r="Y109" i="1" s="1"/>
  <c r="AC109" i="1" s="1"/>
  <c r="AE109" i="1" s="1"/>
  <c r="V109" i="1"/>
  <c r="X109" i="1" s="1"/>
  <c r="AB109" i="1" s="1"/>
  <c r="W220" i="1"/>
  <c r="Y220" i="1" s="1"/>
  <c r="AC220" i="1" s="1"/>
  <c r="AE220" i="1" s="1"/>
  <c r="T263" i="1"/>
  <c r="W263" i="1" s="1"/>
  <c r="Y263" i="1" s="1"/>
  <c r="M263" i="1"/>
  <c r="T313" i="1"/>
  <c r="W313" i="1" s="1"/>
  <c r="Y313" i="1" s="1"/>
  <c r="W315" i="1"/>
  <c r="Y315" i="1" s="1"/>
  <c r="V315" i="1"/>
  <c r="X315" i="1" s="1"/>
  <c r="AC356" i="1"/>
  <c r="AE356" i="1" s="1"/>
  <c r="AH356" i="1" s="1"/>
  <c r="AJ356" i="1" s="1"/>
  <c r="V537" i="1"/>
  <c r="X537" i="1" s="1"/>
  <c r="W537" i="1"/>
  <c r="Y537" i="1" s="1"/>
  <c r="V531" i="1"/>
  <c r="X531" i="1" s="1"/>
  <c r="W531" i="1"/>
  <c r="Y531" i="1" s="1"/>
  <c r="AC531" i="1" s="1"/>
  <c r="AE531" i="1" s="1"/>
  <c r="M146" i="1"/>
  <c r="M236" i="1"/>
  <c r="W516" i="1"/>
  <c r="Y516" i="1" s="1"/>
  <c r="M33" i="1"/>
  <c r="M203" i="1"/>
  <c r="M16" i="1"/>
  <c r="M30" i="1"/>
  <c r="T51" i="1"/>
  <c r="W51" i="1" s="1"/>
  <c r="Y51" i="1" s="1"/>
  <c r="M54" i="1"/>
  <c r="T67" i="1"/>
  <c r="T100" i="1"/>
  <c r="W100" i="1" s="1"/>
  <c r="Y100" i="1" s="1"/>
  <c r="M103" i="1"/>
  <c r="T118" i="1"/>
  <c r="W118" i="1" s="1"/>
  <c r="Y118" i="1" s="1"/>
  <c r="T134" i="1"/>
  <c r="W134" i="1" s="1"/>
  <c r="Y134" i="1" s="1"/>
  <c r="M200" i="1"/>
  <c r="T12" i="1"/>
  <c r="V12" i="1" s="1"/>
  <c r="X12" i="1" s="1"/>
  <c r="T14" i="1"/>
  <c r="W14" i="1" s="1"/>
  <c r="Y14" i="1" s="1"/>
  <c r="T208" i="1"/>
  <c r="W208" i="1" s="1"/>
  <c r="Y208" i="1" s="1"/>
  <c r="M208" i="1"/>
  <c r="T225" i="1"/>
  <c r="V225" i="1" s="1"/>
  <c r="X225" i="1" s="1"/>
  <c r="M225" i="1"/>
  <c r="AC357" i="1"/>
  <c r="AE357" i="1" s="1"/>
  <c r="AH357" i="1" s="1"/>
  <c r="AJ357" i="1" s="1"/>
  <c r="T375" i="1"/>
  <c r="M375" i="1"/>
  <c r="T577" i="1"/>
  <c r="W577" i="1" s="1"/>
  <c r="Y577" i="1" s="1"/>
  <c r="AC577" i="1" s="1"/>
  <c r="AE577" i="1" s="1"/>
  <c r="M577" i="1"/>
  <c r="T75" i="1"/>
  <c r="T219" i="1"/>
  <c r="V219" i="1" s="1"/>
  <c r="X219" i="1" s="1"/>
  <c r="M219" i="1"/>
  <c r="T234" i="1"/>
  <c r="W234" i="1" s="1"/>
  <c r="M234" i="1"/>
  <c r="T259" i="1"/>
  <c r="W259" i="1" s="1"/>
  <c r="M259" i="1"/>
  <c r="W264" i="1"/>
  <c r="Y264" i="1" s="1"/>
  <c r="AC264" i="1" s="1"/>
  <c r="AE264" i="1" s="1"/>
  <c r="V499" i="1"/>
  <c r="M622" i="1"/>
  <c r="T622" i="1"/>
  <c r="M7" i="1"/>
  <c r="M25" i="1"/>
  <c r="M58" i="1"/>
  <c r="T90" i="1"/>
  <c r="W90" i="1" s="1"/>
  <c r="M113" i="1"/>
  <c r="T131" i="1"/>
  <c r="V131" i="1" s="1"/>
  <c r="X131" i="1" s="1"/>
  <c r="M152" i="1"/>
  <c r="T206" i="1"/>
  <c r="M206" i="1"/>
  <c r="M213" i="1"/>
  <c r="M264" i="1"/>
  <c r="V517" i="1"/>
  <c r="T241" i="1"/>
  <c r="W241" i="1" s="1"/>
  <c r="Y241" i="1" s="1"/>
  <c r="M241" i="1"/>
  <c r="T257" i="1"/>
  <c r="W257" i="1" s="1"/>
  <c r="Y257" i="1" s="1"/>
  <c r="M257" i="1"/>
  <c r="W526" i="1"/>
  <c r="Y526" i="1" s="1"/>
  <c r="AC526" i="1" s="1"/>
  <c r="AE526" i="1" s="1"/>
  <c r="V526" i="1"/>
  <c r="X526" i="1" s="1"/>
  <c r="M245" i="1"/>
  <c r="T245" i="1"/>
  <c r="W245" i="1" s="1"/>
  <c r="Y245" i="1" s="1"/>
  <c r="M150" i="1"/>
  <c r="T235" i="1"/>
  <c r="W235" i="1" s="1"/>
  <c r="Y235" i="1" s="1"/>
  <c r="M235" i="1"/>
  <c r="V521" i="1"/>
  <c r="X521" i="1" s="1"/>
  <c r="V536" i="1"/>
  <c r="X536" i="1" s="1"/>
  <c r="V543" i="1"/>
  <c r="X543" i="1" s="1"/>
  <c r="AB543" i="1" s="1"/>
  <c r="W543" i="1"/>
  <c r="Y543" i="1" s="1"/>
  <c r="AC543" i="1" s="1"/>
  <c r="AE543" i="1" s="1"/>
  <c r="T639" i="1"/>
  <c r="W639" i="1" s="1"/>
  <c r="Y639" i="1" s="1"/>
  <c r="M639" i="1"/>
  <c r="V596" i="1"/>
  <c r="X596" i="1" s="1"/>
  <c r="W596" i="1"/>
  <c r="Y596" i="1" s="1"/>
  <c r="AC596" i="1" s="1"/>
  <c r="AE596" i="1" s="1"/>
  <c r="S5" i="1"/>
  <c r="Y5" i="1" s="1"/>
  <c r="AC5" i="1" s="1"/>
  <c r="AE5" i="1" s="1"/>
  <c r="M13" i="1"/>
  <c r="M22" i="1"/>
  <c r="M29" i="1"/>
  <c r="M130" i="1"/>
  <c r="T147" i="1"/>
  <c r="W147" i="1" s="1"/>
  <c r="Y147" i="1" s="1"/>
  <c r="T249" i="1"/>
  <c r="W249" i="1" s="1"/>
  <c r="Y249" i="1" s="1"/>
  <c r="W290" i="1"/>
  <c r="Y290" i="1" s="1"/>
  <c r="V290" i="1"/>
  <c r="X290" i="1" s="1"/>
  <c r="AB290" i="1" s="1"/>
  <c r="T385" i="1"/>
  <c r="V385" i="1" s="1"/>
  <c r="X385" i="1" s="1"/>
  <c r="M385" i="1"/>
  <c r="V570" i="1"/>
  <c r="X570" i="1" s="1"/>
  <c r="AA570" i="1" s="1"/>
  <c r="W570" i="1"/>
  <c r="Y570" i="1" s="1"/>
  <c r="AC570" i="1" s="1"/>
  <c r="AE570" i="1" s="1"/>
  <c r="W613" i="1"/>
  <c r="Y613" i="1" s="1"/>
  <c r="M243" i="1"/>
  <c r="T252" i="1"/>
  <c r="M252" i="1"/>
  <c r="T317" i="1"/>
  <c r="V317" i="1" s="1"/>
  <c r="X317" i="1" s="1"/>
  <c r="M317" i="1"/>
  <c r="T404" i="1"/>
  <c r="W404" i="1" s="1"/>
  <c r="Y404" i="1" s="1"/>
  <c r="M404" i="1"/>
  <c r="V490" i="1"/>
  <c r="X490" i="1" s="1"/>
  <c r="V618" i="1"/>
  <c r="X618" i="1" s="1"/>
  <c r="W618" i="1"/>
  <c r="Y618" i="1" s="1"/>
  <c r="AC618" i="1" s="1"/>
  <c r="AE618" i="1" s="1"/>
  <c r="W361" i="1"/>
  <c r="Y361" i="1" s="1"/>
  <c r="V361" i="1"/>
  <c r="X361" i="1" s="1"/>
  <c r="M205" i="1"/>
  <c r="T205" i="1"/>
  <c r="W295" i="1"/>
  <c r="Y295" i="1" s="1"/>
  <c r="T21" i="1"/>
  <c r="V21" i="1" s="1"/>
  <c r="X21" i="1" s="1"/>
  <c r="T15" i="1"/>
  <c r="V15" i="1" s="1"/>
  <c r="X15" i="1" s="1"/>
  <c r="T70" i="1"/>
  <c r="W70" i="1" s="1"/>
  <c r="Y70" i="1" s="1"/>
  <c r="W211" i="1"/>
  <c r="Y211" i="1" s="1"/>
  <c r="AC211" i="1" s="1"/>
  <c r="AE211" i="1" s="1"/>
  <c r="M550" i="1"/>
  <c r="T550" i="1"/>
  <c r="W550" i="1" s="1"/>
  <c r="Y550" i="1" s="1"/>
  <c r="T650" i="1"/>
  <c r="V650" i="1" s="1"/>
  <c r="X650" i="1" s="1"/>
  <c r="M469" i="1"/>
  <c r="M498" i="1"/>
  <c r="M517" i="1"/>
  <c r="M519" i="1"/>
  <c r="V525" i="1"/>
  <c r="X525" i="1" s="1"/>
  <c r="M628" i="1"/>
  <c r="M452" i="1"/>
  <c r="T478" i="1"/>
  <c r="W478" i="1" s="1"/>
  <c r="Y478" i="1" s="1"/>
  <c r="M531" i="1"/>
  <c r="V556" i="1"/>
  <c r="X556" i="1" s="1"/>
  <c r="AB556" i="1" s="1"/>
  <c r="T389" i="1"/>
  <c r="W389" i="1" s="1"/>
  <c r="Y389" i="1" s="1"/>
  <c r="M392" i="1"/>
  <c r="M413" i="1"/>
  <c r="T431" i="1"/>
  <c r="M570" i="1"/>
  <c r="T649" i="1"/>
  <c r="T323" i="1"/>
  <c r="W323" i="1" s="1"/>
  <c r="Y323" i="1" s="1"/>
  <c r="T420" i="1"/>
  <c r="W420" i="1" s="1"/>
  <c r="Y420" i="1" s="1"/>
  <c r="M451" i="1"/>
  <c r="M499" i="1"/>
  <c r="M629" i="1"/>
  <c r="T393" i="1"/>
  <c r="W393" i="1" s="1"/>
  <c r="Y393" i="1" s="1"/>
  <c r="M312" i="1"/>
  <c r="M410" i="1"/>
  <c r="M476" i="1"/>
  <c r="M515" i="1"/>
  <c r="T534" i="1"/>
  <c r="V534" i="1" s="1"/>
  <c r="X534" i="1" s="1"/>
  <c r="M552" i="1"/>
  <c r="V577" i="1"/>
  <c r="X577" i="1" s="1"/>
  <c r="AB577" i="1" s="1"/>
  <c r="T643" i="1"/>
  <c r="V643" i="1" s="1"/>
  <c r="X643" i="1" s="1"/>
  <c r="T627" i="1"/>
  <c r="W627" i="1" s="1"/>
  <c r="Y627" i="1" s="1"/>
  <c r="M370" i="1"/>
  <c r="M421" i="1"/>
  <c r="T495" i="1"/>
  <c r="V495" i="1" s="1"/>
  <c r="X495" i="1" s="1"/>
  <c r="T512" i="1"/>
  <c r="V512" i="1" s="1"/>
  <c r="X512" i="1" s="1"/>
  <c r="T600" i="1"/>
  <c r="V36" i="1"/>
  <c r="X36" i="1" s="1"/>
  <c r="W36" i="1"/>
  <c r="Y36" i="1" s="1"/>
  <c r="W26" i="1"/>
  <c r="Y26" i="1" s="1"/>
  <c r="V26" i="1"/>
  <c r="X26" i="1" s="1"/>
  <c r="W40" i="1"/>
  <c r="Y40" i="1" s="1"/>
  <c r="V40" i="1"/>
  <c r="X40" i="1" s="1"/>
  <c r="W35" i="1"/>
  <c r="Y35" i="1" s="1"/>
  <c r="V35" i="1"/>
  <c r="X35" i="1" s="1"/>
  <c r="W7" i="1"/>
  <c r="Y7" i="1" s="1"/>
  <c r="V7" i="1"/>
  <c r="X7" i="1" s="1"/>
  <c r="W25" i="1"/>
  <c r="Y25" i="1" s="1"/>
  <c r="V25" i="1"/>
  <c r="X25" i="1" s="1"/>
  <c r="W107" i="1"/>
  <c r="Y107" i="1" s="1"/>
  <c r="V107" i="1"/>
  <c r="X107" i="1" s="1"/>
  <c r="V13" i="1"/>
  <c r="X13" i="1" s="1"/>
  <c r="W13" i="1"/>
  <c r="Y13" i="1" s="1"/>
  <c r="W8" i="1"/>
  <c r="Y8" i="1" s="1"/>
  <c r="V8" i="1"/>
  <c r="X8" i="1" s="1"/>
  <c r="W41" i="1"/>
  <c r="Y41" i="1" s="1"/>
  <c r="V41" i="1"/>
  <c r="X41" i="1" s="1"/>
  <c r="W93" i="1"/>
  <c r="Y93" i="1" s="1"/>
  <c r="V93" i="1"/>
  <c r="X93" i="1" s="1"/>
  <c r="W84" i="1"/>
  <c r="Y84" i="1" s="1"/>
  <c r="W129" i="1"/>
  <c r="Y129" i="1" s="1"/>
  <c r="V129" i="1"/>
  <c r="X129" i="1" s="1"/>
  <c r="V203" i="1"/>
  <c r="X203" i="1" s="1"/>
  <c r="W203" i="1"/>
  <c r="Y203" i="1" s="1"/>
  <c r="M4" i="1"/>
  <c r="T4" i="1"/>
  <c r="V4" i="1" s="1"/>
  <c r="W37" i="1"/>
  <c r="Y37" i="1" s="1"/>
  <c r="V37" i="1"/>
  <c r="X37" i="1" s="1"/>
  <c r="M49" i="1"/>
  <c r="T49" i="1"/>
  <c r="V68" i="1"/>
  <c r="X68" i="1" s="1"/>
  <c r="W81" i="1"/>
  <c r="Y81" i="1" s="1"/>
  <c r="V81" i="1"/>
  <c r="X81" i="1" s="1"/>
  <c r="V123" i="1"/>
  <c r="X123" i="1" s="1"/>
  <c r="W123" i="1"/>
  <c r="Y123" i="1" s="1"/>
  <c r="W127" i="1"/>
  <c r="Y127" i="1" s="1"/>
  <c r="V127" i="1"/>
  <c r="X127" i="1" s="1"/>
  <c r="W142" i="1"/>
  <c r="Y142" i="1" s="1"/>
  <c r="V142" i="1"/>
  <c r="X142" i="1" s="1"/>
  <c r="V162" i="1"/>
  <c r="W162" i="1" s="1"/>
  <c r="Y162" i="1" s="1"/>
  <c r="W179" i="1"/>
  <c r="Y179" i="1" s="1"/>
  <c r="V179" i="1"/>
  <c r="X179" i="1" s="1"/>
  <c r="W198" i="1"/>
  <c r="Y198" i="1" s="1"/>
  <c r="W230" i="1"/>
  <c r="Y230" i="1" s="1"/>
  <c r="V230" i="1"/>
  <c r="X230" i="1" s="1"/>
  <c r="W268" i="1"/>
  <c r="Y268" i="1" s="1"/>
  <c r="V268" i="1"/>
  <c r="X268" i="1" s="1"/>
  <c r="W270" i="1"/>
  <c r="Y270" i="1" s="1"/>
  <c r="V270" i="1"/>
  <c r="X270" i="1" s="1"/>
  <c r="W74" i="1"/>
  <c r="Y74" i="1" s="1"/>
  <c r="V74" i="1"/>
  <c r="X74" i="1" s="1"/>
  <c r="R77" i="1"/>
  <c r="S77" i="1" s="1"/>
  <c r="V84" i="1"/>
  <c r="X84" i="1" s="1"/>
  <c r="W152" i="1"/>
  <c r="Y152" i="1" s="1"/>
  <c r="V152" i="1"/>
  <c r="X152" i="1" s="1"/>
  <c r="W154" i="1"/>
  <c r="Y154" i="1" s="1"/>
  <c r="V154" i="1"/>
  <c r="X154" i="1" s="1"/>
  <c r="W172" i="1"/>
  <c r="Y172" i="1" s="1"/>
  <c r="V172" i="1"/>
  <c r="X172" i="1" s="1"/>
  <c r="W177" i="1"/>
  <c r="Y177" i="1" s="1"/>
  <c r="V177" i="1"/>
  <c r="X177" i="1" s="1"/>
  <c r="W209" i="1"/>
  <c r="Y209" i="1" s="1"/>
  <c r="V209" i="1"/>
  <c r="X209" i="1" s="1"/>
  <c r="W215" i="1"/>
  <c r="Y215" i="1" s="1"/>
  <c r="V215" i="1"/>
  <c r="X215" i="1" s="1"/>
  <c r="W240" i="1"/>
  <c r="Y240" i="1" s="1"/>
  <c r="V240" i="1"/>
  <c r="X240" i="1" s="1"/>
  <c r="W251" i="1"/>
  <c r="Y251" i="1" s="1"/>
  <c r="W256" i="1"/>
  <c r="Y256" i="1" s="1"/>
  <c r="V256" i="1"/>
  <c r="X256" i="1" s="1"/>
  <c r="W200" i="1"/>
  <c r="Y200" i="1" s="1"/>
  <c r="V200" i="1"/>
  <c r="X200" i="1" s="1"/>
  <c r="W54" i="1"/>
  <c r="Y54" i="1" s="1"/>
  <c r="V54" i="1"/>
  <c r="X54" i="1" s="1"/>
  <c r="W45" i="1"/>
  <c r="Y45" i="1" s="1"/>
  <c r="W71" i="1"/>
  <c r="Y71" i="1" s="1"/>
  <c r="V71" i="1"/>
  <c r="X71" i="1" s="1"/>
  <c r="W105" i="1"/>
  <c r="Y105" i="1" s="1"/>
  <c r="V105" i="1"/>
  <c r="X105" i="1" s="1"/>
  <c r="W133" i="1"/>
  <c r="Y133" i="1" s="1"/>
  <c r="V133" i="1"/>
  <c r="X133" i="1" s="1"/>
  <c r="W156" i="1"/>
  <c r="Y156" i="1" s="1"/>
  <c r="V156" i="1"/>
  <c r="X156" i="1" s="1"/>
  <c r="W191" i="1"/>
  <c r="Y191" i="1" s="1"/>
  <c r="V191" i="1"/>
  <c r="X191" i="1" s="1"/>
  <c r="W193" i="1"/>
  <c r="Y193" i="1" s="1"/>
  <c r="V193" i="1"/>
  <c r="X193" i="1" s="1"/>
  <c r="W217" i="1"/>
  <c r="Y217" i="1" s="1"/>
  <c r="V217" i="1"/>
  <c r="X217" i="1" s="1"/>
  <c r="W228" i="1"/>
  <c r="Y228" i="1" s="1"/>
  <c r="V228" i="1"/>
  <c r="X228" i="1" s="1"/>
  <c r="W238" i="1"/>
  <c r="Y238" i="1" s="1"/>
  <c r="V238" i="1"/>
  <c r="X238" i="1" s="1"/>
  <c r="W279" i="1"/>
  <c r="Y279" i="1" s="1"/>
  <c r="V279" i="1"/>
  <c r="X279" i="1" s="1"/>
  <c r="W72" i="1"/>
  <c r="Y72" i="1" s="1"/>
  <c r="V72" i="1"/>
  <c r="X72" i="1" s="1"/>
  <c r="W88" i="1"/>
  <c r="Y88" i="1" s="1"/>
  <c r="V88" i="1"/>
  <c r="X88" i="1" s="1"/>
  <c r="W262" i="1"/>
  <c r="Y262" i="1" s="1"/>
  <c r="V262" i="1"/>
  <c r="X262" i="1" s="1"/>
  <c r="M11" i="1"/>
  <c r="T11" i="1"/>
  <c r="V11" i="1" s="1"/>
  <c r="W22" i="1"/>
  <c r="Y22" i="1" s="1"/>
  <c r="W83" i="1"/>
  <c r="Y83" i="1" s="1"/>
  <c r="V83" i="1"/>
  <c r="X83" i="1" s="1"/>
  <c r="W95" i="1"/>
  <c r="Y95" i="1" s="1"/>
  <c r="V95" i="1"/>
  <c r="X95" i="1" s="1"/>
  <c r="V117" i="1"/>
  <c r="X117" i="1" s="1"/>
  <c r="W117" i="1"/>
  <c r="Y117" i="1" s="1"/>
  <c r="W119" i="1"/>
  <c r="Y119" i="1" s="1"/>
  <c r="V119" i="1"/>
  <c r="X119" i="1" s="1"/>
  <c r="W135" i="1"/>
  <c r="Y135" i="1" s="1"/>
  <c r="V135" i="1"/>
  <c r="X135" i="1" s="1"/>
  <c r="W139" i="1"/>
  <c r="Y139" i="1" s="1"/>
  <c r="V139" i="1"/>
  <c r="X139" i="1" s="1"/>
  <c r="V145" i="1"/>
  <c r="X145" i="1" s="1"/>
  <c r="W145" i="1"/>
  <c r="Y145" i="1" s="1"/>
  <c r="W150" i="1"/>
  <c r="Y150" i="1" s="1"/>
  <c r="V150" i="1"/>
  <c r="X150" i="1" s="1"/>
  <c r="W166" i="1"/>
  <c r="Y166" i="1" s="1"/>
  <c r="V166" i="1"/>
  <c r="X166" i="1" s="1"/>
  <c r="W170" i="1"/>
  <c r="Y170" i="1" s="1"/>
  <c r="V170" i="1"/>
  <c r="X170" i="1" s="1"/>
  <c r="W201" i="1"/>
  <c r="Y201" i="1" s="1"/>
  <c r="V201" i="1"/>
  <c r="X201" i="1" s="1"/>
  <c r="W207" i="1"/>
  <c r="Y207" i="1" s="1"/>
  <c r="V207" i="1"/>
  <c r="X207" i="1" s="1"/>
  <c r="W226" i="1"/>
  <c r="Y226" i="1" s="1"/>
  <c r="V226" i="1"/>
  <c r="X226" i="1" s="1"/>
  <c r="W243" i="1"/>
  <c r="Y243" i="1" s="1"/>
  <c r="V243" i="1"/>
  <c r="X243" i="1" s="1"/>
  <c r="W113" i="1"/>
  <c r="Y113" i="1" s="1"/>
  <c r="V113" i="1"/>
  <c r="X113" i="1" s="1"/>
  <c r="W61" i="1"/>
  <c r="Y61" i="1" s="1"/>
  <c r="M5" i="1"/>
  <c r="W5" i="1"/>
  <c r="V5" i="1"/>
  <c r="M6" i="1"/>
  <c r="W23" i="1"/>
  <c r="Y23" i="1" s="1"/>
  <c r="V23" i="1"/>
  <c r="X23" i="1" s="1"/>
  <c r="V27" i="1"/>
  <c r="X27" i="1" s="1"/>
  <c r="V28" i="1"/>
  <c r="X28" i="1" s="1"/>
  <c r="V45" i="1"/>
  <c r="X45" i="1" s="1"/>
  <c r="W60" i="1"/>
  <c r="Y60" i="1" s="1"/>
  <c r="V60" i="1"/>
  <c r="X60" i="1" s="1"/>
  <c r="R78" i="1"/>
  <c r="V87" i="1"/>
  <c r="X87" i="1" s="1"/>
  <c r="W87" i="1"/>
  <c r="Y87" i="1" s="1"/>
  <c r="W102" i="1"/>
  <c r="Y102" i="1" s="1"/>
  <c r="V102" i="1"/>
  <c r="X102" i="1" s="1"/>
  <c r="W130" i="1"/>
  <c r="Y130" i="1" s="1"/>
  <c r="V130" i="1"/>
  <c r="X130" i="1" s="1"/>
  <c r="V161" i="1"/>
  <c r="X161" i="1" s="1"/>
  <c r="W161" i="1"/>
  <c r="Y161" i="1" s="1"/>
  <c r="W168" i="1"/>
  <c r="Y168" i="1" s="1"/>
  <c r="V168" i="1"/>
  <c r="X168" i="1" s="1"/>
  <c r="W185" i="1"/>
  <c r="Y185" i="1" s="1"/>
  <c r="V185" i="1"/>
  <c r="X185" i="1" s="1"/>
  <c r="W187" i="1"/>
  <c r="Y187" i="1" s="1"/>
  <c r="V187" i="1"/>
  <c r="X187" i="1" s="1"/>
  <c r="W196" i="1"/>
  <c r="Y196" i="1" s="1"/>
  <c r="V196" i="1"/>
  <c r="X196" i="1" s="1"/>
  <c r="W221" i="1"/>
  <c r="Y221" i="1" s="1"/>
  <c r="V221" i="1"/>
  <c r="X221" i="1" s="1"/>
  <c r="W247" i="1"/>
  <c r="Y247" i="1" s="1"/>
  <c r="V247" i="1"/>
  <c r="X247" i="1" s="1"/>
  <c r="W254" i="1"/>
  <c r="Y254" i="1" s="1"/>
  <c r="V254" i="1"/>
  <c r="X254" i="1" s="1"/>
  <c r="W294" i="1"/>
  <c r="Y294" i="1" s="1"/>
  <c r="V294" i="1"/>
  <c r="X294" i="1" s="1"/>
  <c r="W96" i="1"/>
  <c r="Y96" i="1" s="1"/>
  <c r="V96" i="1"/>
  <c r="X96" i="1" s="1"/>
  <c r="T9" i="1"/>
  <c r="M17" i="1"/>
  <c r="T17" i="1"/>
  <c r="W24" i="1"/>
  <c r="Y24" i="1" s="1"/>
  <c r="W27" i="1"/>
  <c r="Y27" i="1" s="1"/>
  <c r="W28" i="1"/>
  <c r="Y28" i="1" s="1"/>
  <c r="M66" i="1"/>
  <c r="T66" i="1"/>
  <c r="W92" i="1"/>
  <c r="Y92" i="1" s="1"/>
  <c r="V92" i="1"/>
  <c r="X92" i="1" s="1"/>
  <c r="W112" i="1"/>
  <c r="Y112" i="1" s="1"/>
  <c r="V112" i="1"/>
  <c r="X112" i="1" s="1"/>
  <c r="W128" i="1"/>
  <c r="Y128" i="1" s="1"/>
  <c r="V128" i="1"/>
  <c r="X128" i="1" s="1"/>
  <c r="W143" i="1"/>
  <c r="Y143" i="1" s="1"/>
  <c r="V143" i="1"/>
  <c r="X143" i="1" s="1"/>
  <c r="W261" i="1"/>
  <c r="Y261" i="1" s="1"/>
  <c r="V261" i="1"/>
  <c r="X261" i="1" s="1"/>
  <c r="W275" i="1"/>
  <c r="Y275" i="1" s="1"/>
  <c r="V275" i="1"/>
  <c r="X275" i="1" s="1"/>
  <c r="W184" i="1"/>
  <c r="Y184" i="1" s="1"/>
  <c r="V184" i="1"/>
  <c r="X184" i="1" s="1"/>
  <c r="W46" i="1"/>
  <c r="Y46" i="1" s="1"/>
  <c r="V46" i="1"/>
  <c r="X46" i="1" s="1"/>
  <c r="W18" i="1"/>
  <c r="Y18" i="1" s="1"/>
  <c r="V18" i="1"/>
  <c r="X18" i="1" s="1"/>
  <c r="W29" i="1"/>
  <c r="Y29" i="1" s="1"/>
  <c r="V29" i="1"/>
  <c r="X29" i="1" s="1"/>
  <c r="V30" i="1"/>
  <c r="X30" i="1" s="1"/>
  <c r="W44" i="1"/>
  <c r="Y44" i="1" s="1"/>
  <c r="V44" i="1"/>
  <c r="X44" i="1" s="1"/>
  <c r="W48" i="1"/>
  <c r="Y48" i="1" s="1"/>
  <c r="V48" i="1"/>
  <c r="X48" i="1" s="1"/>
  <c r="R73" i="1"/>
  <c r="W97" i="1"/>
  <c r="Y97" i="1" s="1"/>
  <c r="V97" i="1"/>
  <c r="X97" i="1" s="1"/>
  <c r="V163" i="1"/>
  <c r="W163" i="1" s="1"/>
  <c r="Y163" i="1" s="1"/>
  <c r="W173" i="1"/>
  <c r="Y173" i="1" s="1"/>
  <c r="V173" i="1"/>
  <c r="X173" i="1" s="1"/>
  <c r="W183" i="1"/>
  <c r="Y183" i="1" s="1"/>
  <c r="V183" i="1"/>
  <c r="X183" i="1" s="1"/>
  <c r="V194" i="1"/>
  <c r="X194" i="1" s="1"/>
  <c r="W194" i="1"/>
  <c r="Y194" i="1" s="1"/>
  <c r="W199" i="1"/>
  <c r="Y199" i="1" s="1"/>
  <c r="V199" i="1"/>
  <c r="X199" i="1" s="1"/>
  <c r="W210" i="1"/>
  <c r="Y210" i="1" s="1"/>
  <c r="V210" i="1"/>
  <c r="X210" i="1" s="1"/>
  <c r="V269" i="1"/>
  <c r="X269" i="1" s="1"/>
  <c r="W269" i="1"/>
  <c r="Y269" i="1" s="1"/>
  <c r="W195" i="1"/>
  <c r="Y195" i="1" s="1"/>
  <c r="V195" i="1"/>
  <c r="X195" i="1" s="1"/>
  <c r="W34" i="1"/>
  <c r="Y34" i="1" s="1"/>
  <c r="W42" i="1"/>
  <c r="Y42" i="1" s="1"/>
  <c r="W56" i="1"/>
  <c r="Y56" i="1" s="1"/>
  <c r="V56" i="1"/>
  <c r="X56" i="1" s="1"/>
  <c r="W89" i="1"/>
  <c r="Y89" i="1" s="1"/>
  <c r="R106" i="1"/>
  <c r="S106" i="1" s="1"/>
  <c r="X106" i="1" s="1"/>
  <c r="W120" i="1"/>
  <c r="Y120" i="1" s="1"/>
  <c r="V120" i="1"/>
  <c r="X120" i="1" s="1"/>
  <c r="W132" i="1"/>
  <c r="Y132" i="1" s="1"/>
  <c r="V132" i="1"/>
  <c r="X132" i="1" s="1"/>
  <c r="W148" i="1"/>
  <c r="Y148" i="1" s="1"/>
  <c r="V148" i="1"/>
  <c r="X148" i="1" s="1"/>
  <c r="W157" i="1"/>
  <c r="Y157" i="1" s="1"/>
  <c r="V157" i="1"/>
  <c r="X157" i="1" s="1"/>
  <c r="W178" i="1"/>
  <c r="Y178" i="1" s="1"/>
  <c r="V178" i="1"/>
  <c r="X178" i="1" s="1"/>
  <c r="W216" i="1"/>
  <c r="Y216" i="1" s="1"/>
  <c r="V216" i="1"/>
  <c r="X216" i="1" s="1"/>
  <c r="V218" i="1"/>
  <c r="X218" i="1" s="1"/>
  <c r="W218" i="1"/>
  <c r="Y218" i="1" s="1"/>
  <c r="W213" i="1"/>
  <c r="Y213" i="1" s="1"/>
  <c r="V213" i="1"/>
  <c r="X213" i="1" s="1"/>
  <c r="W58" i="1"/>
  <c r="Y58" i="1" s="1"/>
  <c r="V58" i="1"/>
  <c r="X58" i="1" s="1"/>
  <c r="W98" i="1"/>
  <c r="Y98" i="1" s="1"/>
  <c r="V98" i="1"/>
  <c r="X98" i="1" s="1"/>
  <c r="W33" i="1"/>
  <c r="Y33" i="1" s="1"/>
  <c r="V33" i="1"/>
  <c r="X33" i="1" s="1"/>
  <c r="V50" i="1"/>
  <c r="X50" i="1" s="1"/>
  <c r="W69" i="1"/>
  <c r="Y69" i="1" s="1"/>
  <c r="V69" i="1"/>
  <c r="X69" i="1" s="1"/>
  <c r="W82" i="1"/>
  <c r="Y82" i="1" s="1"/>
  <c r="V82" i="1"/>
  <c r="X82" i="1" s="1"/>
  <c r="W94" i="1"/>
  <c r="Y94" i="1" s="1"/>
  <c r="W99" i="1"/>
  <c r="Y99" i="1" s="1"/>
  <c r="W146" i="1"/>
  <c r="Y146" i="1" s="1"/>
  <c r="V146" i="1"/>
  <c r="X146" i="1" s="1"/>
  <c r="V151" i="1"/>
  <c r="X151" i="1" s="1"/>
  <c r="W151" i="1"/>
  <c r="Y151" i="1" s="1"/>
  <c r="W155" i="1"/>
  <c r="Y155" i="1" s="1"/>
  <c r="V155" i="1"/>
  <c r="X155" i="1" s="1"/>
  <c r="W171" i="1"/>
  <c r="Y171" i="1" s="1"/>
  <c r="V171" i="1"/>
  <c r="X171" i="1" s="1"/>
  <c r="V176" i="1"/>
  <c r="X176" i="1" s="1"/>
  <c r="W176" i="1"/>
  <c r="Y176" i="1" s="1"/>
  <c r="W181" i="1"/>
  <c r="Y181" i="1" s="1"/>
  <c r="V181" i="1"/>
  <c r="X181" i="1" s="1"/>
  <c r="W229" i="1"/>
  <c r="Y229" i="1" s="1"/>
  <c r="V229" i="1"/>
  <c r="X229" i="1" s="1"/>
  <c r="V239" i="1"/>
  <c r="X239" i="1" s="1"/>
  <c r="W239" i="1"/>
  <c r="Y239" i="1" s="1"/>
  <c r="W252" i="1"/>
  <c r="Y252" i="1" s="1"/>
  <c r="V252" i="1"/>
  <c r="X252" i="1" s="1"/>
  <c r="W255" i="1"/>
  <c r="Y255" i="1" s="1"/>
  <c r="V255" i="1"/>
  <c r="X255" i="1" s="1"/>
  <c r="W280" i="1"/>
  <c r="Y280" i="1" s="1"/>
  <c r="V280" i="1"/>
  <c r="X280" i="1" s="1"/>
  <c r="W287" i="1"/>
  <c r="Y287" i="1" s="1"/>
  <c r="V287" i="1"/>
  <c r="X287" i="1" s="1"/>
  <c r="W103" i="1"/>
  <c r="Y103" i="1" s="1"/>
  <c r="V103" i="1"/>
  <c r="X103" i="1" s="1"/>
  <c r="W174" i="1"/>
  <c r="Y174" i="1" s="1"/>
  <c r="V174" i="1"/>
  <c r="X174" i="1" s="1"/>
  <c r="W205" i="1"/>
  <c r="Y205" i="1" s="1"/>
  <c r="V205" i="1"/>
  <c r="X205" i="1" s="1"/>
  <c r="V34" i="1"/>
  <c r="X34" i="1" s="1"/>
  <c r="V38" i="1"/>
  <c r="X38" i="1" s="1"/>
  <c r="V42" i="1"/>
  <c r="X42" i="1" s="1"/>
  <c r="W50" i="1"/>
  <c r="Y50" i="1" s="1"/>
  <c r="T52" i="1"/>
  <c r="M52" i="1"/>
  <c r="W62" i="1"/>
  <c r="Y62" i="1" s="1"/>
  <c r="V62" i="1"/>
  <c r="X62" i="1" s="1"/>
  <c r="V89" i="1"/>
  <c r="X89" i="1" s="1"/>
  <c r="W136" i="1"/>
  <c r="Y136" i="1" s="1"/>
  <c r="V136" i="1"/>
  <c r="X136" i="1" s="1"/>
  <c r="V140" i="1"/>
  <c r="X140" i="1" s="1"/>
  <c r="W140" i="1"/>
  <c r="Y140" i="1" s="1"/>
  <c r="W165" i="1"/>
  <c r="Y165" i="1" s="1"/>
  <c r="V165" i="1"/>
  <c r="X165" i="1" s="1"/>
  <c r="W188" i="1"/>
  <c r="Y188" i="1" s="1"/>
  <c r="V188" i="1"/>
  <c r="X188" i="1" s="1"/>
  <c r="W190" i="1"/>
  <c r="Y190" i="1" s="1"/>
  <c r="V190" i="1"/>
  <c r="X190" i="1" s="1"/>
  <c r="W237" i="1"/>
  <c r="Y237" i="1" s="1"/>
  <c r="V237" i="1"/>
  <c r="X237" i="1" s="1"/>
  <c r="W246" i="1"/>
  <c r="Y246" i="1" s="1"/>
  <c r="V246" i="1"/>
  <c r="X246" i="1" s="1"/>
  <c r="W274" i="1"/>
  <c r="Y274" i="1" s="1"/>
  <c r="V274" i="1"/>
  <c r="X274" i="1" s="1"/>
  <c r="Y32" i="1"/>
  <c r="W39" i="1"/>
  <c r="Y39" i="1" s="1"/>
  <c r="V39" i="1"/>
  <c r="X39" i="1" s="1"/>
  <c r="Y47" i="1"/>
  <c r="V55" i="1"/>
  <c r="X55" i="1" s="1"/>
  <c r="R76" i="1"/>
  <c r="S76" i="1" s="1"/>
  <c r="V94" i="1"/>
  <c r="X94" i="1" s="1"/>
  <c r="V99" i="1"/>
  <c r="X99" i="1" s="1"/>
  <c r="X108" i="1"/>
  <c r="W108" i="1"/>
  <c r="Y108" i="1" s="1"/>
  <c r="W111" i="1"/>
  <c r="Y111" i="1" s="1"/>
  <c r="V111" i="1"/>
  <c r="X111" i="1" s="1"/>
  <c r="W144" i="1"/>
  <c r="Y144" i="1" s="1"/>
  <c r="V144" i="1"/>
  <c r="X144" i="1" s="1"/>
  <c r="W167" i="1"/>
  <c r="Y167" i="1" s="1"/>
  <c r="V167" i="1"/>
  <c r="X167" i="1" s="1"/>
  <c r="W169" i="1"/>
  <c r="Y169" i="1" s="1"/>
  <c r="V169" i="1"/>
  <c r="X169" i="1" s="1"/>
  <c r="V266" i="1"/>
  <c r="X266" i="1" s="1"/>
  <c r="W266" i="1"/>
  <c r="Y266" i="1" s="1"/>
  <c r="W283" i="1"/>
  <c r="Y283" i="1" s="1"/>
  <c r="V283" i="1"/>
  <c r="X283" i="1" s="1"/>
  <c r="M120" i="1"/>
  <c r="M148" i="1"/>
  <c r="T160" i="1"/>
  <c r="W160" i="1" s="1"/>
  <c r="Y160" i="1" s="1"/>
  <c r="T175" i="1"/>
  <c r="M179" i="1"/>
  <c r="M196" i="1"/>
  <c r="M201" i="1"/>
  <c r="T233" i="1"/>
  <c r="V233" i="1" s="1"/>
  <c r="T253" i="1"/>
  <c r="T265" i="1"/>
  <c r="W329" i="1"/>
  <c r="Y329" i="1" s="1"/>
  <c r="V329" i="1"/>
  <c r="X329" i="1" s="1"/>
  <c r="AC348" i="1"/>
  <c r="AE348" i="1" s="1"/>
  <c r="AH348" i="1" s="1"/>
  <c r="AJ348" i="1" s="1"/>
  <c r="W366" i="1"/>
  <c r="Y366" i="1" s="1"/>
  <c r="V366" i="1"/>
  <c r="X366" i="1" s="1"/>
  <c r="W379" i="1"/>
  <c r="Y379" i="1" s="1"/>
  <c r="V379" i="1"/>
  <c r="X379" i="1" s="1"/>
  <c r="W386" i="1"/>
  <c r="Y386" i="1" s="1"/>
  <c r="V386" i="1"/>
  <c r="X386" i="1" s="1"/>
  <c r="V389" i="1"/>
  <c r="X389" i="1" s="1"/>
  <c r="W399" i="1"/>
  <c r="Y399" i="1" s="1"/>
  <c r="V399" i="1"/>
  <c r="X399" i="1" s="1"/>
  <c r="V413" i="1"/>
  <c r="X413" i="1" s="1"/>
  <c r="W431" i="1"/>
  <c r="Y431" i="1" s="1"/>
  <c r="V431" i="1"/>
  <c r="X431" i="1" s="1"/>
  <c r="W440" i="1"/>
  <c r="Y440" i="1" s="1"/>
  <c r="V440" i="1"/>
  <c r="X440" i="1" s="1"/>
  <c r="W444" i="1"/>
  <c r="Y444" i="1" s="1"/>
  <c r="V444" i="1"/>
  <c r="X444" i="1" s="1"/>
  <c r="W456" i="1"/>
  <c r="Y456" i="1" s="1"/>
  <c r="V456" i="1"/>
  <c r="X456" i="1" s="1"/>
  <c r="W461" i="1"/>
  <c r="Y461" i="1" s="1"/>
  <c r="V461" i="1"/>
  <c r="X461" i="1" s="1"/>
  <c r="W465" i="1"/>
  <c r="Y465" i="1" s="1"/>
  <c r="V465" i="1"/>
  <c r="X465" i="1" s="1"/>
  <c r="W467" i="1"/>
  <c r="Y467" i="1" s="1"/>
  <c r="V467" i="1"/>
  <c r="X467" i="1" s="1"/>
  <c r="W498" i="1"/>
  <c r="Y498" i="1" s="1"/>
  <c r="V498" i="1"/>
  <c r="X498" i="1" s="1"/>
  <c r="W513" i="1"/>
  <c r="Y513" i="1" s="1"/>
  <c r="V513" i="1"/>
  <c r="X513" i="1" s="1"/>
  <c r="T53" i="1"/>
  <c r="T59" i="1"/>
  <c r="V59" i="1" s="1"/>
  <c r="T86" i="1"/>
  <c r="T91" i="1"/>
  <c r="T110" i="1"/>
  <c r="V110" i="1" s="1"/>
  <c r="T116" i="1"/>
  <c r="T121" i="1"/>
  <c r="V121" i="1" s="1"/>
  <c r="X121" i="1" s="1"/>
  <c r="T202" i="1"/>
  <c r="W202" i="1" s="1"/>
  <c r="T227" i="1"/>
  <c r="V227" i="1" s="1"/>
  <c r="X227" i="1" s="1"/>
  <c r="T248" i="1"/>
  <c r="V248" i="1" s="1"/>
  <c r="V293" i="1"/>
  <c r="X293" i="1" s="1"/>
  <c r="W325" i="1"/>
  <c r="Y325" i="1" s="1"/>
  <c r="V325" i="1"/>
  <c r="X325" i="1" s="1"/>
  <c r="W331" i="1"/>
  <c r="Y331" i="1" s="1"/>
  <c r="V331" i="1"/>
  <c r="X331" i="1" s="1"/>
  <c r="W334" i="1"/>
  <c r="Y334" i="1" s="1"/>
  <c r="V334" i="1"/>
  <c r="X334" i="1" s="1"/>
  <c r="W364" i="1"/>
  <c r="Y364" i="1" s="1"/>
  <c r="V364" i="1"/>
  <c r="X364" i="1" s="1"/>
  <c r="W371" i="1"/>
  <c r="Y371" i="1" s="1"/>
  <c r="V371" i="1"/>
  <c r="X371" i="1" s="1"/>
  <c r="W374" i="1"/>
  <c r="Y374" i="1" s="1"/>
  <c r="V374" i="1"/>
  <c r="X374" i="1" s="1"/>
  <c r="W381" i="1"/>
  <c r="Y381" i="1" s="1"/>
  <c r="V381" i="1"/>
  <c r="X381" i="1" s="1"/>
  <c r="W384" i="1"/>
  <c r="Y384" i="1" s="1"/>
  <c r="V384" i="1"/>
  <c r="X384" i="1" s="1"/>
  <c r="W397" i="1"/>
  <c r="Y397" i="1" s="1"/>
  <c r="V397" i="1"/>
  <c r="X397" i="1" s="1"/>
  <c r="AB450" i="1"/>
  <c r="W452" i="1"/>
  <c r="Y452" i="1" s="1"/>
  <c r="V452" i="1"/>
  <c r="X452" i="1" s="1"/>
  <c r="W463" i="1"/>
  <c r="Y463" i="1" s="1"/>
  <c r="V463" i="1"/>
  <c r="X463" i="1" s="1"/>
  <c r="W469" i="1"/>
  <c r="Y469" i="1" s="1"/>
  <c r="V469" i="1"/>
  <c r="X469" i="1" s="1"/>
  <c r="W471" i="1"/>
  <c r="Y471" i="1" s="1"/>
  <c r="V471" i="1"/>
  <c r="X471" i="1" s="1"/>
  <c r="W473" i="1"/>
  <c r="Y473" i="1" s="1"/>
  <c r="V473" i="1"/>
  <c r="X473" i="1" s="1"/>
  <c r="W482" i="1"/>
  <c r="Y482" i="1" s="1"/>
  <c r="V482" i="1"/>
  <c r="X482" i="1" s="1"/>
  <c r="W488" i="1"/>
  <c r="Y488" i="1" s="1"/>
  <c r="V488" i="1"/>
  <c r="X488" i="1" s="1"/>
  <c r="V519" i="1"/>
  <c r="X519" i="1" s="1"/>
  <c r="W519" i="1"/>
  <c r="Y519" i="1" s="1"/>
  <c r="W529" i="1"/>
  <c r="Y529" i="1" s="1"/>
  <c r="V529" i="1"/>
  <c r="X529" i="1" s="1"/>
  <c r="T65" i="1"/>
  <c r="W65" i="1" s="1"/>
  <c r="Y65" i="1" s="1"/>
  <c r="T101" i="1"/>
  <c r="T138" i="1"/>
  <c r="W138" i="1" s="1"/>
  <c r="Y138" i="1" s="1"/>
  <c r="T149" i="1"/>
  <c r="V149" i="1" s="1"/>
  <c r="X149" i="1" s="1"/>
  <c r="T159" i="1"/>
  <c r="T180" i="1"/>
  <c r="T197" i="1"/>
  <c r="V197" i="1" s="1"/>
  <c r="T212" i="1"/>
  <c r="V212" i="1" s="1"/>
  <c r="T242" i="1"/>
  <c r="T260" i="1"/>
  <c r="W260" i="1" s="1"/>
  <c r="Y260" i="1" s="1"/>
  <c r="W298" i="1"/>
  <c r="Y298" i="1" s="1"/>
  <c r="V298" i="1"/>
  <c r="X298" i="1" s="1"/>
  <c r="W306" i="1"/>
  <c r="Y306" i="1" s="1"/>
  <c r="V306" i="1"/>
  <c r="X306" i="1" s="1"/>
  <c r="V392" i="1"/>
  <c r="X392" i="1" s="1"/>
  <c r="W392" i="1"/>
  <c r="Y392" i="1" s="1"/>
  <c r="W411" i="1"/>
  <c r="Y411" i="1" s="1"/>
  <c r="V411" i="1"/>
  <c r="X411" i="1" s="1"/>
  <c r="V415" i="1"/>
  <c r="X415" i="1" s="1"/>
  <c r="W415" i="1"/>
  <c r="Y415" i="1" s="1"/>
  <c r="W417" i="1"/>
  <c r="Y417" i="1" s="1"/>
  <c r="V417" i="1"/>
  <c r="X417" i="1" s="1"/>
  <c r="W436" i="1"/>
  <c r="Y436" i="1" s="1"/>
  <c r="V436" i="1"/>
  <c r="X436" i="1" s="1"/>
  <c r="W438" i="1"/>
  <c r="Y438" i="1" s="1"/>
  <c r="V438" i="1"/>
  <c r="X438" i="1" s="1"/>
  <c r="W458" i="1"/>
  <c r="Y458" i="1" s="1"/>
  <c r="V458" i="1"/>
  <c r="X458" i="1" s="1"/>
  <c r="W480" i="1"/>
  <c r="Y480" i="1" s="1"/>
  <c r="V480" i="1"/>
  <c r="X480" i="1" s="1"/>
  <c r="W496" i="1"/>
  <c r="Y496" i="1" s="1"/>
  <c r="V496" i="1"/>
  <c r="X496" i="1" s="1"/>
  <c r="T288" i="1"/>
  <c r="M288" i="1"/>
  <c r="W293" i="1"/>
  <c r="Y293" i="1" s="1"/>
  <c r="W301" i="1"/>
  <c r="Y301" i="1" s="1"/>
  <c r="V301" i="1"/>
  <c r="X301" i="1" s="1"/>
  <c r="W321" i="1"/>
  <c r="Y321" i="1" s="1"/>
  <c r="V321" i="1"/>
  <c r="X321" i="1" s="1"/>
  <c r="W359" i="1"/>
  <c r="Y359" i="1" s="1"/>
  <c r="V359" i="1"/>
  <c r="X359" i="1" s="1"/>
  <c r="W395" i="1"/>
  <c r="Y395" i="1" s="1"/>
  <c r="V395" i="1"/>
  <c r="X395" i="1" s="1"/>
  <c r="V406" i="1"/>
  <c r="X406" i="1" s="1"/>
  <c r="W406" i="1"/>
  <c r="Y406" i="1" s="1"/>
  <c r="W434" i="1"/>
  <c r="Y434" i="1" s="1"/>
  <c r="V434" i="1"/>
  <c r="X434" i="1" s="1"/>
  <c r="W449" i="1"/>
  <c r="Y449" i="1" s="1"/>
  <c r="V449" i="1"/>
  <c r="X449" i="1" s="1"/>
  <c r="W475" i="1"/>
  <c r="Y475" i="1" s="1"/>
  <c r="V475" i="1"/>
  <c r="X475" i="1" s="1"/>
  <c r="W484" i="1"/>
  <c r="Y484" i="1" s="1"/>
  <c r="V484" i="1"/>
  <c r="X484" i="1" s="1"/>
  <c r="V492" i="1"/>
  <c r="X492" i="1" s="1"/>
  <c r="K273" i="1"/>
  <c r="W292" i="1"/>
  <c r="Y292" i="1" s="1"/>
  <c r="V292" i="1"/>
  <c r="X292" i="1" s="1"/>
  <c r="M303" i="1"/>
  <c r="T303" i="1"/>
  <c r="W303" i="1" s="1"/>
  <c r="Y303" i="1" s="1"/>
  <c r="W309" i="1"/>
  <c r="Y309" i="1" s="1"/>
  <c r="V309" i="1"/>
  <c r="X309" i="1" s="1"/>
  <c r="W353" i="1"/>
  <c r="Y353" i="1" s="1"/>
  <c r="V353" i="1"/>
  <c r="X353" i="1" s="1"/>
  <c r="W369" i="1"/>
  <c r="Y369" i="1" s="1"/>
  <c r="V369" i="1"/>
  <c r="X369" i="1" s="1"/>
  <c r="W409" i="1"/>
  <c r="Y409" i="1" s="1"/>
  <c r="V409" i="1"/>
  <c r="X409" i="1" s="1"/>
  <c r="W425" i="1"/>
  <c r="Y425" i="1" s="1"/>
  <c r="V425" i="1"/>
  <c r="X425" i="1" s="1"/>
  <c r="W427" i="1"/>
  <c r="Y427" i="1" s="1"/>
  <c r="V427" i="1"/>
  <c r="X427" i="1" s="1"/>
  <c r="W429" i="1"/>
  <c r="Y429" i="1" s="1"/>
  <c r="V429" i="1"/>
  <c r="X429" i="1" s="1"/>
  <c r="W432" i="1"/>
  <c r="Y432" i="1" s="1"/>
  <c r="V432" i="1"/>
  <c r="X432" i="1" s="1"/>
  <c r="W447" i="1"/>
  <c r="Y447" i="1" s="1"/>
  <c r="V447" i="1"/>
  <c r="X447" i="1" s="1"/>
  <c r="W453" i="1"/>
  <c r="Y453" i="1" s="1"/>
  <c r="V453" i="1"/>
  <c r="X453" i="1" s="1"/>
  <c r="W460" i="1"/>
  <c r="Y460" i="1" s="1"/>
  <c r="V460" i="1"/>
  <c r="X460" i="1" s="1"/>
  <c r="W477" i="1"/>
  <c r="Y477" i="1" s="1"/>
  <c r="V477" i="1"/>
  <c r="X477" i="1" s="1"/>
  <c r="V504" i="1"/>
  <c r="X504" i="1" s="1"/>
  <c r="W504" i="1"/>
  <c r="Y504" i="1" s="1"/>
  <c r="W509" i="1"/>
  <c r="Y509" i="1" s="1"/>
  <c r="V509" i="1"/>
  <c r="X509" i="1" s="1"/>
  <c r="M50" i="1"/>
  <c r="V64" i="1"/>
  <c r="X64" i="1" s="1"/>
  <c r="M74" i="1"/>
  <c r="R75" i="1"/>
  <c r="S75" i="1" s="1"/>
  <c r="R79" i="1"/>
  <c r="S79" i="1" s="1"/>
  <c r="V80" i="1"/>
  <c r="X80" i="1" s="1"/>
  <c r="M112" i="1"/>
  <c r="M129" i="1"/>
  <c r="V137" i="1"/>
  <c r="X137" i="1" s="1"/>
  <c r="M199" i="1"/>
  <c r="M209" i="1"/>
  <c r="R224" i="1"/>
  <c r="S224" i="1" s="1"/>
  <c r="X224" i="1" s="1"/>
  <c r="M229" i="1"/>
  <c r="V271" i="1"/>
  <c r="X271" i="1" s="1"/>
  <c r="W319" i="1"/>
  <c r="Y319" i="1" s="1"/>
  <c r="V319" i="1"/>
  <c r="X319" i="1" s="1"/>
  <c r="W328" i="1"/>
  <c r="Y328" i="1" s="1"/>
  <c r="V328" i="1"/>
  <c r="X328" i="1" s="1"/>
  <c r="AC339" i="1"/>
  <c r="AE339" i="1" s="1"/>
  <c r="AH339" i="1" s="1"/>
  <c r="AJ339" i="1" s="1"/>
  <c r="W342" i="1"/>
  <c r="Y342" i="1" s="1"/>
  <c r="V342" i="1"/>
  <c r="X342" i="1" s="1"/>
  <c r="W387" i="1"/>
  <c r="Y387" i="1" s="1"/>
  <c r="V387" i="1"/>
  <c r="X387" i="1" s="1"/>
  <c r="W390" i="1"/>
  <c r="Y390" i="1" s="1"/>
  <c r="V390" i="1"/>
  <c r="X390" i="1" s="1"/>
  <c r="W398" i="1"/>
  <c r="Y398" i="1" s="1"/>
  <c r="V398" i="1"/>
  <c r="X398" i="1" s="1"/>
  <c r="V400" i="1"/>
  <c r="X400" i="1" s="1"/>
  <c r="W400" i="1"/>
  <c r="Y400" i="1" s="1"/>
  <c r="W402" i="1"/>
  <c r="Y402" i="1" s="1"/>
  <c r="V402" i="1"/>
  <c r="X402" i="1" s="1"/>
  <c r="W443" i="1"/>
  <c r="Y443" i="1" s="1"/>
  <c r="V443" i="1"/>
  <c r="X443" i="1" s="1"/>
  <c r="W455" i="1"/>
  <c r="Y455" i="1" s="1"/>
  <c r="V455" i="1"/>
  <c r="X455" i="1" s="1"/>
  <c r="V483" i="1"/>
  <c r="X483" i="1" s="1"/>
  <c r="V47" i="1"/>
  <c r="X47" i="1" s="1"/>
  <c r="V57" i="1"/>
  <c r="X57" i="1" s="1"/>
  <c r="W64" i="1"/>
  <c r="Y64" i="1" s="1"/>
  <c r="W80" i="1"/>
  <c r="Y80" i="1" s="1"/>
  <c r="M87" i="1"/>
  <c r="V114" i="1"/>
  <c r="X114" i="1" s="1"/>
  <c r="M117" i="1"/>
  <c r="W137" i="1"/>
  <c r="Y137" i="1" s="1"/>
  <c r="M145" i="1"/>
  <c r="M151" i="1"/>
  <c r="V158" i="1"/>
  <c r="X158" i="1" s="1"/>
  <c r="M176" i="1"/>
  <c r="V186" i="1"/>
  <c r="X186" i="1" s="1"/>
  <c r="V189" i="1"/>
  <c r="X189" i="1" s="1"/>
  <c r="V192" i="1"/>
  <c r="X192" i="1" s="1"/>
  <c r="V206" i="1"/>
  <c r="X206" i="1" s="1"/>
  <c r="V211" i="1"/>
  <c r="X211" i="1" s="1"/>
  <c r="V220" i="1"/>
  <c r="X220" i="1" s="1"/>
  <c r="V231" i="1"/>
  <c r="X231" i="1" s="1"/>
  <c r="V236" i="1"/>
  <c r="X236" i="1" s="1"/>
  <c r="V264" i="1"/>
  <c r="X264" i="1" s="1"/>
  <c r="V267" i="1"/>
  <c r="X267" i="1" s="1"/>
  <c r="W271" i="1"/>
  <c r="Y271" i="1" s="1"/>
  <c r="W289" i="1"/>
  <c r="Y289" i="1" s="1"/>
  <c r="W291" i="1"/>
  <c r="Y291" i="1" s="1"/>
  <c r="V291" i="1"/>
  <c r="X291" i="1" s="1"/>
  <c r="W297" i="1"/>
  <c r="Y297" i="1" s="1"/>
  <c r="V297" i="1"/>
  <c r="X297" i="1" s="1"/>
  <c r="W305" i="1"/>
  <c r="Y305" i="1" s="1"/>
  <c r="W326" i="1"/>
  <c r="Y326" i="1" s="1"/>
  <c r="V326" i="1"/>
  <c r="X326" i="1" s="1"/>
  <c r="V332" i="1"/>
  <c r="X332" i="1" s="1"/>
  <c r="W332" i="1"/>
  <c r="Y332" i="1" s="1"/>
  <c r="W335" i="1"/>
  <c r="Y335" i="1" s="1"/>
  <c r="V335" i="1"/>
  <c r="X335" i="1" s="1"/>
  <c r="W349" i="1"/>
  <c r="Y349" i="1" s="1"/>
  <c r="V349" i="1"/>
  <c r="X349" i="1" s="1"/>
  <c r="W351" i="1"/>
  <c r="Y351" i="1" s="1"/>
  <c r="V351" i="1"/>
  <c r="X351" i="1" s="1"/>
  <c r="W367" i="1"/>
  <c r="Y367" i="1" s="1"/>
  <c r="V367" i="1"/>
  <c r="X367" i="1" s="1"/>
  <c r="W372" i="1"/>
  <c r="Y372" i="1" s="1"/>
  <c r="V372" i="1"/>
  <c r="X372" i="1" s="1"/>
  <c r="W375" i="1"/>
  <c r="Y375" i="1" s="1"/>
  <c r="V375" i="1"/>
  <c r="X375" i="1" s="1"/>
  <c r="W407" i="1"/>
  <c r="Y407" i="1" s="1"/>
  <c r="V407" i="1"/>
  <c r="X407" i="1" s="1"/>
  <c r="W423" i="1"/>
  <c r="Y423" i="1" s="1"/>
  <c r="V423" i="1"/>
  <c r="X423" i="1" s="1"/>
  <c r="W441" i="1"/>
  <c r="Y441" i="1" s="1"/>
  <c r="V441" i="1"/>
  <c r="X441" i="1" s="1"/>
  <c r="W445" i="1"/>
  <c r="Y445" i="1" s="1"/>
  <c r="V445" i="1"/>
  <c r="X445" i="1" s="1"/>
  <c r="W466" i="1"/>
  <c r="Y466" i="1" s="1"/>
  <c r="V466" i="1"/>
  <c r="X466" i="1" s="1"/>
  <c r="V476" i="1"/>
  <c r="X476" i="1" s="1"/>
  <c r="W489" i="1"/>
  <c r="Y489" i="1" s="1"/>
  <c r="V489" i="1"/>
  <c r="X489" i="1" s="1"/>
  <c r="W534" i="1"/>
  <c r="Y534" i="1" s="1"/>
  <c r="W272" i="1"/>
  <c r="Y272" i="1" s="1"/>
  <c r="V272" i="1"/>
  <c r="X272" i="1" s="1"/>
  <c r="W284" i="1"/>
  <c r="Y284" i="1" s="1"/>
  <c r="V286" i="1"/>
  <c r="X286" i="1" s="1"/>
  <c r="W300" i="1"/>
  <c r="Y300" i="1" s="1"/>
  <c r="W314" i="1"/>
  <c r="Y314" i="1" s="1"/>
  <c r="V314" i="1"/>
  <c r="X314" i="1" s="1"/>
  <c r="W330" i="1"/>
  <c r="Y330" i="1" s="1"/>
  <c r="V330" i="1"/>
  <c r="X330" i="1" s="1"/>
  <c r="AC343" i="1"/>
  <c r="AE343" i="1" s="1"/>
  <c r="AH343" i="1" s="1"/>
  <c r="AJ343" i="1" s="1"/>
  <c r="W363" i="1"/>
  <c r="Y363" i="1" s="1"/>
  <c r="V363" i="1"/>
  <c r="X363" i="1" s="1"/>
  <c r="W365" i="1"/>
  <c r="Y365" i="1" s="1"/>
  <c r="V365" i="1"/>
  <c r="X365" i="1" s="1"/>
  <c r="W378" i="1"/>
  <c r="Y378" i="1" s="1"/>
  <c r="V378" i="1"/>
  <c r="X378" i="1" s="1"/>
  <c r="W380" i="1"/>
  <c r="Y380" i="1" s="1"/>
  <c r="V380" i="1"/>
  <c r="X380" i="1" s="1"/>
  <c r="W416" i="1"/>
  <c r="Y416" i="1" s="1"/>
  <c r="V416" i="1"/>
  <c r="X416" i="1" s="1"/>
  <c r="W439" i="1"/>
  <c r="Y439" i="1" s="1"/>
  <c r="V439" i="1"/>
  <c r="X439" i="1" s="1"/>
  <c r="W451" i="1"/>
  <c r="Y451" i="1" s="1"/>
  <c r="V451" i="1"/>
  <c r="X451" i="1" s="1"/>
  <c r="W462" i="1"/>
  <c r="Y462" i="1" s="1"/>
  <c r="V462" i="1"/>
  <c r="X462" i="1" s="1"/>
  <c r="W464" i="1"/>
  <c r="Y464" i="1" s="1"/>
  <c r="V464" i="1"/>
  <c r="X464" i="1" s="1"/>
  <c r="W468" i="1"/>
  <c r="Y468" i="1" s="1"/>
  <c r="V468" i="1"/>
  <c r="X468" i="1" s="1"/>
  <c r="W470" i="1"/>
  <c r="Y470" i="1" s="1"/>
  <c r="V470" i="1"/>
  <c r="X470" i="1" s="1"/>
  <c r="W472" i="1"/>
  <c r="Y472" i="1" s="1"/>
  <c r="V472" i="1"/>
  <c r="X472" i="1" s="1"/>
  <c r="W474" i="1"/>
  <c r="Y474" i="1" s="1"/>
  <c r="V474" i="1"/>
  <c r="X474" i="1" s="1"/>
  <c r="W479" i="1"/>
  <c r="Y479" i="1" s="1"/>
  <c r="V479" i="1"/>
  <c r="X479" i="1" s="1"/>
  <c r="W481" i="1"/>
  <c r="Y481" i="1" s="1"/>
  <c r="V481" i="1"/>
  <c r="X481" i="1" s="1"/>
  <c r="W497" i="1"/>
  <c r="Y497" i="1" s="1"/>
  <c r="V497" i="1"/>
  <c r="X497" i="1" s="1"/>
  <c r="Q273" i="1"/>
  <c r="M282" i="1"/>
  <c r="T285" i="1"/>
  <c r="V289" i="1"/>
  <c r="X289" i="1" s="1"/>
  <c r="V305" i="1"/>
  <c r="X305" i="1" s="1"/>
  <c r="W312" i="1"/>
  <c r="Y312" i="1" s="1"/>
  <c r="V312" i="1"/>
  <c r="X312" i="1" s="1"/>
  <c r="AC333" i="1"/>
  <c r="AE333" i="1" s="1"/>
  <c r="AH333" i="1" s="1"/>
  <c r="AJ333" i="1" s="1"/>
  <c r="AC340" i="1"/>
  <c r="AE340" i="1" s="1"/>
  <c r="AH340" i="1" s="1"/>
  <c r="AJ340" i="1" s="1"/>
  <c r="AC358" i="1"/>
  <c r="AE358" i="1" s="1"/>
  <c r="AH358" i="1" s="1"/>
  <c r="AJ358" i="1" s="1"/>
  <c r="V396" i="1"/>
  <c r="X396" i="1" s="1"/>
  <c r="W396" i="1"/>
  <c r="Y396" i="1" s="1"/>
  <c r="V410" i="1"/>
  <c r="X410" i="1" s="1"/>
  <c r="W410" i="1"/>
  <c r="Y410" i="1" s="1"/>
  <c r="W418" i="1"/>
  <c r="Y418" i="1" s="1"/>
  <c r="V418" i="1"/>
  <c r="X418" i="1" s="1"/>
  <c r="W435" i="1"/>
  <c r="Y435" i="1" s="1"/>
  <c r="V435" i="1"/>
  <c r="X435" i="1" s="1"/>
  <c r="W437" i="1"/>
  <c r="Y437" i="1" s="1"/>
  <c r="V437" i="1"/>
  <c r="X437" i="1" s="1"/>
  <c r="W485" i="1"/>
  <c r="Y485" i="1" s="1"/>
  <c r="V485" i="1"/>
  <c r="X485" i="1" s="1"/>
  <c r="W515" i="1"/>
  <c r="Y515" i="1" s="1"/>
  <c r="V515" i="1"/>
  <c r="X515" i="1" s="1"/>
  <c r="W518" i="1"/>
  <c r="Y518" i="1" s="1"/>
  <c r="V518" i="1"/>
  <c r="X518" i="1" s="1"/>
  <c r="V141" i="1"/>
  <c r="X141" i="1" s="1"/>
  <c r="V204" i="1"/>
  <c r="X204" i="1" s="1"/>
  <c r="V223" i="1"/>
  <c r="X223" i="1" s="1"/>
  <c r="V244" i="1"/>
  <c r="X244" i="1" s="1"/>
  <c r="V250" i="1"/>
  <c r="X250" i="1" s="1"/>
  <c r="V258" i="1"/>
  <c r="X258" i="1" s="1"/>
  <c r="S273" i="1"/>
  <c r="T276" i="1"/>
  <c r="V284" i="1"/>
  <c r="X284" i="1" s="1"/>
  <c r="W286" i="1"/>
  <c r="Y286" i="1" s="1"/>
  <c r="W296" i="1"/>
  <c r="Y296" i="1" s="1"/>
  <c r="V296" i="1"/>
  <c r="X296" i="1" s="1"/>
  <c r="V300" i="1"/>
  <c r="X300" i="1" s="1"/>
  <c r="W310" i="1"/>
  <c r="Y310" i="1" s="1"/>
  <c r="V310" i="1"/>
  <c r="X310" i="1" s="1"/>
  <c r="W322" i="1"/>
  <c r="Y322" i="1" s="1"/>
  <c r="V322" i="1"/>
  <c r="X322" i="1" s="1"/>
  <c r="W360" i="1"/>
  <c r="Y360" i="1" s="1"/>
  <c r="V360" i="1"/>
  <c r="X360" i="1" s="1"/>
  <c r="V388" i="1"/>
  <c r="X388" i="1" s="1"/>
  <c r="W388" i="1"/>
  <c r="Y388" i="1" s="1"/>
  <c r="W412" i="1"/>
  <c r="Y412" i="1" s="1"/>
  <c r="V412" i="1"/>
  <c r="X412" i="1" s="1"/>
  <c r="V426" i="1"/>
  <c r="X426" i="1" s="1"/>
  <c r="W426" i="1"/>
  <c r="Y426" i="1" s="1"/>
  <c r="W428" i="1"/>
  <c r="Y428" i="1" s="1"/>
  <c r="V428" i="1"/>
  <c r="X428" i="1" s="1"/>
  <c r="W433" i="1"/>
  <c r="Y433" i="1" s="1"/>
  <c r="V433" i="1"/>
  <c r="X433" i="1" s="1"/>
  <c r="W448" i="1"/>
  <c r="Y448" i="1" s="1"/>
  <c r="V448" i="1"/>
  <c r="X448" i="1" s="1"/>
  <c r="W501" i="1"/>
  <c r="Y501" i="1" s="1"/>
  <c r="V501" i="1"/>
  <c r="X501" i="1" s="1"/>
  <c r="W141" i="1"/>
  <c r="Y141" i="1" s="1"/>
  <c r="W204" i="1"/>
  <c r="Y204" i="1" s="1"/>
  <c r="W223" i="1"/>
  <c r="Y223" i="1" s="1"/>
  <c r="W244" i="1"/>
  <c r="Y244" i="1" s="1"/>
  <c r="W250" i="1"/>
  <c r="Y250" i="1" s="1"/>
  <c r="W258" i="1"/>
  <c r="Y258" i="1" s="1"/>
  <c r="W277" i="1"/>
  <c r="Y277" i="1" s="1"/>
  <c r="V277" i="1"/>
  <c r="X277" i="1" s="1"/>
  <c r="T281" i="1"/>
  <c r="W282" i="1"/>
  <c r="Y282" i="1" s="1"/>
  <c r="V282" i="1"/>
  <c r="X282" i="1" s="1"/>
  <c r="W320" i="1"/>
  <c r="Y320" i="1" s="1"/>
  <c r="V320" i="1"/>
  <c r="X320" i="1" s="1"/>
  <c r="W347" i="1"/>
  <c r="Y347" i="1" s="1"/>
  <c r="V347" i="1"/>
  <c r="X347" i="1" s="1"/>
  <c r="V370" i="1"/>
  <c r="X370" i="1" s="1"/>
  <c r="W370" i="1"/>
  <c r="Y370" i="1" s="1"/>
  <c r="W391" i="1"/>
  <c r="Y391" i="1" s="1"/>
  <c r="V391" i="1"/>
  <c r="X391" i="1" s="1"/>
  <c r="W414" i="1"/>
  <c r="Y414" i="1" s="1"/>
  <c r="V414" i="1"/>
  <c r="X414" i="1" s="1"/>
  <c r="V421" i="1"/>
  <c r="X421" i="1" s="1"/>
  <c r="W421" i="1"/>
  <c r="Y421" i="1" s="1"/>
  <c r="W454" i="1"/>
  <c r="Y454" i="1" s="1"/>
  <c r="V454" i="1"/>
  <c r="X454" i="1" s="1"/>
  <c r="AB457" i="1"/>
  <c r="AA457" i="1"/>
  <c r="W491" i="1"/>
  <c r="Y491" i="1" s="1"/>
  <c r="V491" i="1"/>
  <c r="X491" i="1" s="1"/>
  <c r="W278" i="1"/>
  <c r="Y278" i="1" s="1"/>
  <c r="V278" i="1"/>
  <c r="X278" i="1" s="1"/>
  <c r="W299" i="1"/>
  <c r="Y299" i="1" s="1"/>
  <c r="V299" i="1"/>
  <c r="X299" i="1" s="1"/>
  <c r="W304" i="1"/>
  <c r="Y304" i="1" s="1"/>
  <c r="V304" i="1"/>
  <c r="X304" i="1" s="1"/>
  <c r="W308" i="1"/>
  <c r="Y308" i="1" s="1"/>
  <c r="V308" i="1"/>
  <c r="X308" i="1" s="1"/>
  <c r="W327" i="1"/>
  <c r="Y327" i="1" s="1"/>
  <c r="V327" i="1"/>
  <c r="X327" i="1" s="1"/>
  <c r="W352" i="1"/>
  <c r="Y352" i="1" s="1"/>
  <c r="V352" i="1"/>
  <c r="X352" i="1" s="1"/>
  <c r="W368" i="1"/>
  <c r="Y368" i="1" s="1"/>
  <c r="V368" i="1"/>
  <c r="X368" i="1" s="1"/>
  <c r="V376" i="1"/>
  <c r="X376" i="1" s="1"/>
  <c r="W394" i="1"/>
  <c r="Y394" i="1" s="1"/>
  <c r="V394" i="1"/>
  <c r="X394" i="1" s="1"/>
  <c r="W401" i="1"/>
  <c r="Y401" i="1" s="1"/>
  <c r="V401" i="1"/>
  <c r="X401" i="1" s="1"/>
  <c r="W403" i="1"/>
  <c r="Y403" i="1" s="1"/>
  <c r="V403" i="1"/>
  <c r="X403" i="1" s="1"/>
  <c r="W408" i="1"/>
  <c r="Y408" i="1" s="1"/>
  <c r="V408" i="1"/>
  <c r="X408" i="1" s="1"/>
  <c r="W442" i="1"/>
  <c r="Y442" i="1" s="1"/>
  <c r="V442" i="1"/>
  <c r="X442" i="1" s="1"/>
  <c r="V446" i="1"/>
  <c r="X446" i="1" s="1"/>
  <c r="W446" i="1"/>
  <c r="Y446" i="1" s="1"/>
  <c r="T307" i="1"/>
  <c r="M325" i="1"/>
  <c r="AC337" i="1"/>
  <c r="AE337" i="1" s="1"/>
  <c r="AH337" i="1" s="1"/>
  <c r="AJ337" i="1" s="1"/>
  <c r="AC345" i="1"/>
  <c r="AE345" i="1" s="1"/>
  <c r="AH345" i="1" s="1"/>
  <c r="AJ345" i="1" s="1"/>
  <c r="AC355" i="1"/>
  <c r="AE355" i="1" s="1"/>
  <c r="AH355" i="1" s="1"/>
  <c r="AJ355" i="1" s="1"/>
  <c r="M367" i="1"/>
  <c r="M372" i="1"/>
  <c r="M381" i="1"/>
  <c r="T383" i="1"/>
  <c r="W383" i="1" s="1"/>
  <c r="Y383" i="1" s="1"/>
  <c r="M386" i="1"/>
  <c r="M390" i="1"/>
  <c r="T405" i="1"/>
  <c r="V405" i="1" s="1"/>
  <c r="M408" i="1"/>
  <c r="M418" i="1"/>
  <c r="M423" i="1"/>
  <c r="W459" i="1"/>
  <c r="Y459" i="1" s="1"/>
  <c r="W476" i="1"/>
  <c r="Y476" i="1" s="1"/>
  <c r="W483" i="1"/>
  <c r="Y483" i="1" s="1"/>
  <c r="W490" i="1"/>
  <c r="Y490" i="1" s="1"/>
  <c r="V516" i="1"/>
  <c r="X516" i="1" s="1"/>
  <c r="W521" i="1"/>
  <c r="Y521" i="1" s="1"/>
  <c r="W527" i="1"/>
  <c r="Y527" i="1" s="1"/>
  <c r="V527" i="1"/>
  <c r="X527" i="1" s="1"/>
  <c r="AB537" i="1"/>
  <c r="AA537" i="1"/>
  <c r="AK537" i="1"/>
  <c r="W586" i="1"/>
  <c r="Y586" i="1" s="1"/>
  <c r="V586" i="1"/>
  <c r="X586" i="1" s="1"/>
  <c r="W632" i="1"/>
  <c r="Y632" i="1" s="1"/>
  <c r="V632" i="1"/>
  <c r="X632" i="1" s="1"/>
  <c r="W634" i="1"/>
  <c r="Y634" i="1" s="1"/>
  <c r="V634" i="1"/>
  <c r="X634" i="1" s="1"/>
  <c r="AC645" i="1"/>
  <c r="AE645" i="1" s="1"/>
  <c r="W647" i="1"/>
  <c r="Y647" i="1" s="1"/>
  <c r="V647" i="1"/>
  <c r="X647" i="1" s="1"/>
  <c r="T311" i="1"/>
  <c r="T316" i="1"/>
  <c r="V316" i="1" s="1"/>
  <c r="X316" i="1" s="1"/>
  <c r="T362" i="1"/>
  <c r="V500" i="1"/>
  <c r="X500" i="1" s="1"/>
  <c r="V506" i="1"/>
  <c r="X506" i="1" s="1"/>
  <c r="T510" i="1"/>
  <c r="W510" i="1" s="1"/>
  <c r="W525" i="1"/>
  <c r="Y525" i="1" s="1"/>
  <c r="W536" i="1"/>
  <c r="Y536" i="1" s="1"/>
  <c r="V540" i="1"/>
  <c r="X540" i="1" s="1"/>
  <c r="W540" i="1"/>
  <c r="Y540" i="1" s="1"/>
  <c r="W623" i="1"/>
  <c r="Y623" i="1" s="1"/>
  <c r="V623" i="1"/>
  <c r="X623" i="1" s="1"/>
  <c r="W638" i="1"/>
  <c r="Y638" i="1" s="1"/>
  <c r="V638" i="1"/>
  <c r="X638" i="1" s="1"/>
  <c r="AC641" i="1"/>
  <c r="AE641" i="1" s="1"/>
  <c r="W654" i="1"/>
  <c r="Y654" i="1" s="1"/>
  <c r="V654" i="1"/>
  <c r="X654" i="1" s="1"/>
  <c r="T302" i="1"/>
  <c r="T373" i="1"/>
  <c r="T377" i="1"/>
  <c r="T382" i="1"/>
  <c r="T419" i="1"/>
  <c r="T424" i="1"/>
  <c r="V424" i="1" s="1"/>
  <c r="T430" i="1"/>
  <c r="V430" i="1" s="1"/>
  <c r="T494" i="1"/>
  <c r="W500" i="1"/>
  <c r="Y500" i="1" s="1"/>
  <c r="W506" i="1"/>
  <c r="Y506" i="1" s="1"/>
  <c r="W524" i="1"/>
  <c r="Y524" i="1" s="1"/>
  <c r="V524" i="1"/>
  <c r="X524" i="1" s="1"/>
  <c r="V553" i="1"/>
  <c r="X553" i="1" s="1"/>
  <c r="W553" i="1"/>
  <c r="Y553" i="1" s="1"/>
  <c r="V572" i="1"/>
  <c r="X572" i="1" s="1"/>
  <c r="W572" i="1"/>
  <c r="Y572" i="1" s="1"/>
  <c r="W574" i="1"/>
  <c r="Y574" i="1" s="1"/>
  <c r="V574" i="1"/>
  <c r="X574" i="1" s="1"/>
  <c r="W584" i="1"/>
  <c r="Y584" i="1" s="1"/>
  <c r="V584" i="1"/>
  <c r="X584" i="1" s="1"/>
  <c r="W593" i="1"/>
  <c r="Y593" i="1" s="1"/>
  <c r="V593" i="1"/>
  <c r="X593" i="1" s="1"/>
  <c r="W595" i="1"/>
  <c r="Y595" i="1" s="1"/>
  <c r="V595" i="1"/>
  <c r="X595" i="1" s="1"/>
  <c r="W601" i="1"/>
  <c r="Y601" i="1" s="1"/>
  <c r="V601" i="1"/>
  <c r="X601" i="1" s="1"/>
  <c r="W609" i="1"/>
  <c r="Y609" i="1" s="1"/>
  <c r="V609" i="1"/>
  <c r="X609" i="1" s="1"/>
  <c r="W617" i="1"/>
  <c r="Y617" i="1" s="1"/>
  <c r="V617" i="1"/>
  <c r="X617" i="1" s="1"/>
  <c r="W621" i="1"/>
  <c r="Y621" i="1" s="1"/>
  <c r="V621" i="1"/>
  <c r="X621" i="1" s="1"/>
  <c r="W656" i="1"/>
  <c r="Y656" i="1" s="1"/>
  <c r="V656" i="1"/>
  <c r="X656" i="1" s="1"/>
  <c r="M485" i="1"/>
  <c r="M497" i="1"/>
  <c r="T502" i="1"/>
  <c r="V502" i="1" s="1"/>
  <c r="M513" i="1"/>
  <c r="X517" i="1"/>
  <c r="M518" i="1"/>
  <c r="M523" i="1"/>
  <c r="W546" i="1"/>
  <c r="Y546" i="1" s="1"/>
  <c r="V546" i="1"/>
  <c r="X546" i="1" s="1"/>
  <c r="W555" i="1"/>
  <c r="Y555" i="1" s="1"/>
  <c r="V555" i="1"/>
  <c r="X555" i="1" s="1"/>
  <c r="W568" i="1"/>
  <c r="Y568" i="1" s="1"/>
  <c r="V568" i="1"/>
  <c r="X568" i="1" s="1"/>
  <c r="W578" i="1"/>
  <c r="Y578" i="1" s="1"/>
  <c r="V578" i="1"/>
  <c r="X578" i="1" s="1"/>
  <c r="W589" i="1"/>
  <c r="Y589" i="1" s="1"/>
  <c r="V589" i="1"/>
  <c r="X589" i="1" s="1"/>
  <c r="W591" i="1"/>
  <c r="Y591" i="1" s="1"/>
  <c r="V591" i="1"/>
  <c r="X591" i="1" s="1"/>
  <c r="W603" i="1"/>
  <c r="Y603" i="1" s="1"/>
  <c r="V603" i="1"/>
  <c r="X603" i="1" s="1"/>
  <c r="W605" i="1"/>
  <c r="Y605" i="1" s="1"/>
  <c r="V605" i="1"/>
  <c r="X605" i="1" s="1"/>
  <c r="W607" i="1"/>
  <c r="Y607" i="1" s="1"/>
  <c r="V607" i="1"/>
  <c r="X607" i="1" s="1"/>
  <c r="W611" i="1"/>
  <c r="Y611" i="1" s="1"/>
  <c r="V611" i="1"/>
  <c r="X611" i="1" s="1"/>
  <c r="W615" i="1"/>
  <c r="Y615" i="1" s="1"/>
  <c r="V615" i="1"/>
  <c r="X615" i="1" s="1"/>
  <c r="AK613" i="1" s="1"/>
  <c r="W628" i="1"/>
  <c r="Y628" i="1" s="1"/>
  <c r="V628" i="1"/>
  <c r="X628" i="1" s="1"/>
  <c r="W640" i="1"/>
  <c r="Y640" i="1" s="1"/>
  <c r="V640" i="1"/>
  <c r="X640" i="1" s="1"/>
  <c r="W644" i="1"/>
  <c r="Y644" i="1" s="1"/>
  <c r="V644" i="1"/>
  <c r="X644" i="1" s="1"/>
  <c r="W523" i="1"/>
  <c r="Y523" i="1" s="1"/>
  <c r="V523" i="1"/>
  <c r="X523" i="1" s="1"/>
  <c r="W535" i="1"/>
  <c r="Y535" i="1" s="1"/>
  <c r="V542" i="1"/>
  <c r="X542" i="1" s="1"/>
  <c r="W562" i="1"/>
  <c r="Y562" i="1" s="1"/>
  <c r="V562" i="1"/>
  <c r="X562" i="1" s="1"/>
  <c r="W564" i="1"/>
  <c r="Y564" i="1" s="1"/>
  <c r="V564" i="1"/>
  <c r="X564" i="1" s="1"/>
  <c r="W566" i="1"/>
  <c r="Y566" i="1" s="1"/>
  <c r="V566" i="1"/>
  <c r="X566" i="1" s="1"/>
  <c r="W582" i="1"/>
  <c r="Y582" i="1" s="1"/>
  <c r="V582" i="1"/>
  <c r="X582" i="1" s="1"/>
  <c r="W597" i="1"/>
  <c r="Y597" i="1" s="1"/>
  <c r="V597" i="1"/>
  <c r="X597" i="1" s="1"/>
  <c r="W599" i="1"/>
  <c r="Y599" i="1" s="1"/>
  <c r="V599" i="1"/>
  <c r="X599" i="1" s="1"/>
  <c r="W619" i="1"/>
  <c r="Y619" i="1" s="1"/>
  <c r="V619" i="1"/>
  <c r="X619" i="1" s="1"/>
  <c r="M304" i="1"/>
  <c r="M308" i="1"/>
  <c r="M322" i="1"/>
  <c r="M384" i="1"/>
  <c r="M432" i="1"/>
  <c r="M447" i="1"/>
  <c r="W450" i="1"/>
  <c r="Y450" i="1" s="1"/>
  <c r="M453" i="1"/>
  <c r="W457" i="1"/>
  <c r="Y457" i="1" s="1"/>
  <c r="W486" i="1"/>
  <c r="Y486" i="1" s="1"/>
  <c r="W499" i="1"/>
  <c r="Y499" i="1" s="1"/>
  <c r="M501" i="1"/>
  <c r="V507" i="1"/>
  <c r="X507" i="1" s="1"/>
  <c r="W511" i="1"/>
  <c r="Y511" i="1" s="1"/>
  <c r="W539" i="1"/>
  <c r="Y539" i="1" s="1"/>
  <c r="V539" i="1"/>
  <c r="X539" i="1" s="1"/>
  <c r="W548" i="1"/>
  <c r="Y548" i="1" s="1"/>
  <c r="V548" i="1"/>
  <c r="X548" i="1" s="1"/>
  <c r="W557" i="1"/>
  <c r="Y557" i="1" s="1"/>
  <c r="V557" i="1"/>
  <c r="X557" i="1" s="1"/>
  <c r="V580" i="1"/>
  <c r="X580" i="1" s="1"/>
  <c r="W580" i="1"/>
  <c r="Y580" i="1" s="1"/>
  <c r="W587" i="1"/>
  <c r="Y587" i="1" s="1"/>
  <c r="V587" i="1"/>
  <c r="X587" i="1" s="1"/>
  <c r="AC613" i="1"/>
  <c r="AE613" i="1" s="1"/>
  <c r="W624" i="1"/>
  <c r="Y624" i="1" s="1"/>
  <c r="V624" i="1"/>
  <c r="X624" i="1" s="1"/>
  <c r="W626" i="1"/>
  <c r="Y626" i="1" s="1"/>
  <c r="V626" i="1"/>
  <c r="X626" i="1" s="1"/>
  <c r="W642" i="1"/>
  <c r="Y642" i="1" s="1"/>
  <c r="V642" i="1"/>
  <c r="X642" i="1" s="1"/>
  <c r="W651" i="1"/>
  <c r="Y651" i="1" s="1"/>
  <c r="V651" i="1"/>
  <c r="X651" i="1" s="1"/>
  <c r="X499" i="1"/>
  <c r="Y508" i="1"/>
  <c r="V508" i="1"/>
  <c r="X508" i="1" s="1"/>
  <c r="X511" i="1"/>
  <c r="T514" i="1"/>
  <c r="W514" i="1" s="1"/>
  <c r="M522" i="1"/>
  <c r="T522" i="1"/>
  <c r="V535" i="1"/>
  <c r="X535" i="1" s="1"/>
  <c r="W542" i="1"/>
  <c r="Y542" i="1" s="1"/>
  <c r="AB613" i="1"/>
  <c r="AA613" i="1"/>
  <c r="W631" i="1"/>
  <c r="Y631" i="1" s="1"/>
  <c r="V631" i="1"/>
  <c r="X631" i="1" s="1"/>
  <c r="W633" i="1"/>
  <c r="Y633" i="1" s="1"/>
  <c r="V633" i="1"/>
  <c r="X633" i="1" s="1"/>
  <c r="W635" i="1"/>
  <c r="Y635" i="1" s="1"/>
  <c r="V635" i="1"/>
  <c r="X635" i="1" s="1"/>
  <c r="W646" i="1"/>
  <c r="Y646" i="1" s="1"/>
  <c r="V646" i="1"/>
  <c r="X646" i="1" s="1"/>
  <c r="AC338" i="1"/>
  <c r="AE338" i="1" s="1"/>
  <c r="AH338" i="1" s="1"/>
  <c r="AJ338" i="1" s="1"/>
  <c r="AC346" i="1"/>
  <c r="AE346" i="1" s="1"/>
  <c r="AH346" i="1" s="1"/>
  <c r="AJ346" i="1" s="1"/>
  <c r="M374" i="1"/>
  <c r="M378" i="1"/>
  <c r="W507" i="1"/>
  <c r="Y507" i="1" s="1"/>
  <c r="V530" i="1"/>
  <c r="X530" i="1" s="1"/>
  <c r="W585" i="1"/>
  <c r="Y585" i="1" s="1"/>
  <c r="V585" i="1"/>
  <c r="X585" i="1" s="1"/>
  <c r="W622" i="1"/>
  <c r="Y622" i="1" s="1"/>
  <c r="V622" i="1"/>
  <c r="X622" i="1" s="1"/>
  <c r="W637" i="1"/>
  <c r="Y637" i="1" s="1"/>
  <c r="V637" i="1"/>
  <c r="X637" i="1" s="1"/>
  <c r="W648" i="1"/>
  <c r="Y648" i="1" s="1"/>
  <c r="V648" i="1"/>
  <c r="X648" i="1" s="1"/>
  <c r="W655" i="1"/>
  <c r="Y655" i="1" s="1"/>
  <c r="V655" i="1"/>
  <c r="X655" i="1" s="1"/>
  <c r="W657" i="1"/>
  <c r="Y657" i="1" s="1"/>
  <c r="V657" i="1"/>
  <c r="X657" i="1" s="1"/>
  <c r="X295" i="1"/>
  <c r="W503" i="1"/>
  <c r="Y503" i="1" s="1"/>
  <c r="V505" i="1"/>
  <c r="X505" i="1" s="1"/>
  <c r="W530" i="1"/>
  <c r="Y530" i="1" s="1"/>
  <c r="W552" i="1"/>
  <c r="Y552" i="1" s="1"/>
  <c r="V552" i="1"/>
  <c r="X552" i="1" s="1"/>
  <c r="W573" i="1"/>
  <c r="Y573" i="1" s="1"/>
  <c r="V573" i="1"/>
  <c r="X573" i="1" s="1"/>
  <c r="W575" i="1"/>
  <c r="Y575" i="1" s="1"/>
  <c r="V575" i="1"/>
  <c r="X575" i="1" s="1"/>
  <c r="W592" i="1"/>
  <c r="Y592" i="1" s="1"/>
  <c r="V592" i="1"/>
  <c r="X592" i="1" s="1"/>
  <c r="W600" i="1"/>
  <c r="Y600" i="1" s="1"/>
  <c r="V600" i="1"/>
  <c r="X600" i="1" s="1"/>
  <c r="W608" i="1"/>
  <c r="Y608" i="1" s="1"/>
  <c r="V608" i="1"/>
  <c r="X608" i="1" s="1"/>
  <c r="W659" i="1"/>
  <c r="Y659" i="1" s="1"/>
  <c r="V659" i="1"/>
  <c r="X659" i="1" s="1"/>
  <c r="V318" i="1"/>
  <c r="X318" i="1" s="1"/>
  <c r="V350" i="1"/>
  <c r="X350" i="1" s="1"/>
  <c r="W538" i="1"/>
  <c r="Y538" i="1" s="1"/>
  <c r="V538" i="1"/>
  <c r="X538" i="1" s="1"/>
  <c r="W541" i="1"/>
  <c r="Y541" i="1" s="1"/>
  <c r="V541" i="1"/>
  <c r="X541" i="1" s="1"/>
  <c r="W554" i="1"/>
  <c r="Y554" i="1" s="1"/>
  <c r="V554" i="1"/>
  <c r="X554" i="1" s="1"/>
  <c r="W569" i="1"/>
  <c r="Y569" i="1" s="1"/>
  <c r="V569" i="1"/>
  <c r="X569" i="1" s="1"/>
  <c r="W583" i="1"/>
  <c r="Y583" i="1" s="1"/>
  <c r="V583" i="1"/>
  <c r="X583" i="1" s="1"/>
  <c r="W590" i="1"/>
  <c r="Y590" i="1" s="1"/>
  <c r="V590" i="1"/>
  <c r="X590" i="1" s="1"/>
  <c r="V594" i="1"/>
  <c r="X594" i="1" s="1"/>
  <c r="W594" i="1"/>
  <c r="Y594" i="1" s="1"/>
  <c r="AB596" i="1"/>
  <c r="AA596" i="1"/>
  <c r="W602" i="1"/>
  <c r="Y602" i="1" s="1"/>
  <c r="V602" i="1"/>
  <c r="X602" i="1" s="1"/>
  <c r="W606" i="1"/>
  <c r="Y606" i="1" s="1"/>
  <c r="V606" i="1"/>
  <c r="X606" i="1" s="1"/>
  <c r="V610" i="1"/>
  <c r="X610" i="1" s="1"/>
  <c r="W610" i="1"/>
  <c r="Y610" i="1" s="1"/>
  <c r="W612" i="1"/>
  <c r="Y612" i="1" s="1"/>
  <c r="V612" i="1"/>
  <c r="X612" i="1" s="1"/>
  <c r="W616" i="1"/>
  <c r="Y616" i="1" s="1"/>
  <c r="V616" i="1"/>
  <c r="X616" i="1" s="1"/>
  <c r="AB618" i="1"/>
  <c r="AA618" i="1"/>
  <c r="W629" i="1"/>
  <c r="Y629" i="1" s="1"/>
  <c r="V629" i="1"/>
  <c r="X629" i="1" s="1"/>
  <c r="W318" i="1"/>
  <c r="Y318" i="1" s="1"/>
  <c r="W350" i="1"/>
  <c r="Y350" i="1" s="1"/>
  <c r="W528" i="1"/>
  <c r="Y528" i="1" s="1"/>
  <c r="V528" i="1"/>
  <c r="X528" i="1" s="1"/>
  <c r="M533" i="1"/>
  <c r="V547" i="1"/>
  <c r="X547" i="1" s="1"/>
  <c r="W547" i="1"/>
  <c r="Y547" i="1" s="1"/>
  <c r="W558" i="1"/>
  <c r="Y558" i="1" s="1"/>
  <c r="V558" i="1"/>
  <c r="X558" i="1" s="1"/>
  <c r="W563" i="1"/>
  <c r="Y563" i="1" s="1"/>
  <c r="V563" i="1"/>
  <c r="X563" i="1" s="1"/>
  <c r="W565" i="1"/>
  <c r="Y565" i="1" s="1"/>
  <c r="V565" i="1"/>
  <c r="X565" i="1" s="1"/>
  <c r="W567" i="1"/>
  <c r="Y567" i="1" s="1"/>
  <c r="V567" i="1"/>
  <c r="X567" i="1" s="1"/>
  <c r="W579" i="1"/>
  <c r="Y579" i="1" s="1"/>
  <c r="V579" i="1"/>
  <c r="X579" i="1" s="1"/>
  <c r="W581" i="1"/>
  <c r="Y581" i="1" s="1"/>
  <c r="V581" i="1"/>
  <c r="X581" i="1" s="1"/>
  <c r="W604" i="1"/>
  <c r="Y604" i="1" s="1"/>
  <c r="V604" i="1"/>
  <c r="X604" i="1" s="1"/>
  <c r="W614" i="1"/>
  <c r="Y614" i="1" s="1"/>
  <c r="V614" i="1"/>
  <c r="X614" i="1" s="1"/>
  <c r="W533" i="1"/>
  <c r="Y533" i="1" s="1"/>
  <c r="V533" i="1"/>
  <c r="X533" i="1" s="1"/>
  <c r="W549" i="1"/>
  <c r="Y549" i="1" s="1"/>
  <c r="V549" i="1"/>
  <c r="X549" i="1" s="1"/>
  <c r="AC556" i="1"/>
  <c r="AE556" i="1" s="1"/>
  <c r="W598" i="1"/>
  <c r="Y598" i="1" s="1"/>
  <c r="V598" i="1"/>
  <c r="X598" i="1" s="1"/>
  <c r="W625" i="1"/>
  <c r="Y625" i="1" s="1"/>
  <c r="V625" i="1"/>
  <c r="X625" i="1" s="1"/>
  <c r="W652" i="1"/>
  <c r="Y652" i="1" s="1"/>
  <c r="V652" i="1"/>
  <c r="X652" i="1" s="1"/>
  <c r="V636" i="1"/>
  <c r="X636" i="1" s="1"/>
  <c r="W658" i="1"/>
  <c r="Y658" i="1" s="1"/>
  <c r="M521" i="1"/>
  <c r="T571" i="1"/>
  <c r="M575" i="1"/>
  <c r="T588" i="1"/>
  <c r="W588" i="1" s="1"/>
  <c r="M607" i="1"/>
  <c r="T620" i="1"/>
  <c r="V620" i="1" s="1"/>
  <c r="W636" i="1"/>
  <c r="Y636" i="1" s="1"/>
  <c r="M652" i="1"/>
  <c r="T532" i="1"/>
  <c r="T545" i="1"/>
  <c r="W545" i="1" s="1"/>
  <c r="Y545" i="1" s="1"/>
  <c r="T551" i="1"/>
  <c r="T60" i="2"/>
  <c r="V60" i="2" s="1"/>
  <c r="S60" i="2"/>
  <c r="U60" i="2" s="1"/>
  <c r="T561" i="1"/>
  <c r="T576" i="1"/>
  <c r="V576" i="1" s="1"/>
  <c r="T630" i="1"/>
  <c r="V630" i="1" s="1"/>
  <c r="X630" i="1" s="1"/>
  <c r="V641" i="1"/>
  <c r="X641" i="1" s="1"/>
  <c r="V645" i="1"/>
  <c r="X645" i="1" s="1"/>
  <c r="V653" i="1"/>
  <c r="X653" i="1" s="1"/>
  <c r="M558" i="1"/>
  <c r="M599" i="1"/>
  <c r="T51" i="2"/>
  <c r="V51" i="2" s="1"/>
  <c r="S51" i="2"/>
  <c r="U51" i="2" s="1"/>
  <c r="S39" i="2"/>
  <c r="U39" i="2" s="1"/>
  <c r="AH77" i="2"/>
  <c r="V96" i="2"/>
  <c r="S96" i="2"/>
  <c r="T96" i="2"/>
  <c r="T164" i="2"/>
  <c r="V164" i="2" s="1"/>
  <c r="S164" i="2"/>
  <c r="U164" i="2" s="1"/>
  <c r="S20" i="2"/>
  <c r="U20" i="2" s="1"/>
  <c r="S24" i="2"/>
  <c r="U24" i="2" s="1"/>
  <c r="T140" i="2"/>
  <c r="S140" i="2"/>
  <c r="U140" i="2" s="1"/>
  <c r="V140" i="2"/>
  <c r="S35" i="2"/>
  <c r="U35" i="2" s="1"/>
  <c r="U42" i="2"/>
  <c r="T42" i="2"/>
  <c r="V42" i="2" s="1"/>
  <c r="S42" i="2"/>
  <c r="S170" i="2"/>
  <c r="U170" i="2" s="1"/>
  <c r="S144" i="2"/>
  <c r="U144" i="2" s="1"/>
  <c r="T62" i="2"/>
  <c r="V62" i="2" s="1"/>
  <c r="S62" i="2"/>
  <c r="U62" i="2" s="1"/>
  <c r="U38" i="2"/>
  <c r="T38" i="2"/>
  <c r="V38" i="2" s="1"/>
  <c r="S38" i="2"/>
  <c r="T48" i="2"/>
  <c r="V48" i="2" s="1"/>
  <c r="S48" i="2"/>
  <c r="U48" i="2" s="1"/>
  <c r="T8" i="2"/>
  <c r="V8" i="2" s="1"/>
  <c r="S8" i="2"/>
  <c r="U8" i="2" s="1"/>
  <c r="T19" i="2"/>
  <c r="V19" i="2" s="1"/>
  <c r="S167" i="2"/>
  <c r="U167" i="2" s="1"/>
  <c r="V7" i="2"/>
  <c r="S7" i="2"/>
  <c r="U7" i="2" s="1"/>
  <c r="V11" i="2"/>
  <c r="S11" i="2"/>
  <c r="U11" i="2" s="1"/>
  <c r="T34" i="2"/>
  <c r="V34" i="2" s="1"/>
  <c r="S34" i="2"/>
  <c r="U34" i="2" s="1"/>
  <c r="T54" i="2"/>
  <c r="V54" i="2" s="1"/>
  <c r="S54" i="2"/>
  <c r="U54" i="2" s="1"/>
  <c r="U69" i="2"/>
  <c r="T72" i="2"/>
  <c r="V72" i="2" s="1"/>
  <c r="T132" i="2"/>
  <c r="V132" i="2" s="1"/>
  <c r="S132" i="2"/>
  <c r="U132" i="2" s="1"/>
  <c r="V151" i="2"/>
  <c r="S151" i="2"/>
  <c r="U151" i="2" s="1"/>
  <c r="T174" i="2"/>
  <c r="V174" i="2" s="1"/>
  <c r="S174" i="2"/>
  <c r="U174" i="2" s="1"/>
  <c r="S176" i="2"/>
  <c r="U176" i="2" s="1"/>
  <c r="T176" i="2"/>
  <c r="V176" i="2" s="1"/>
  <c r="S179" i="2"/>
  <c r="U179" i="2" s="1"/>
  <c r="T179" i="2"/>
  <c r="V179" i="2" s="1"/>
  <c r="T6" i="2"/>
  <c r="V6" i="2" s="1"/>
  <c r="S10" i="2"/>
  <c r="U10" i="2" s="1"/>
  <c r="T12" i="2"/>
  <c r="V12" i="2" s="1"/>
  <c r="T14" i="2"/>
  <c r="V14" i="2" s="1"/>
  <c r="S14" i="2"/>
  <c r="U14" i="2" s="1"/>
  <c r="S15" i="2"/>
  <c r="U15" i="2" s="1"/>
  <c r="V26" i="2"/>
  <c r="T26" i="2"/>
  <c r="T27" i="2"/>
  <c r="V27" i="2" s="1"/>
  <c r="T39" i="2"/>
  <c r="V39" i="2" s="1"/>
  <c r="T45" i="2"/>
  <c r="V45" i="2" s="1"/>
  <c r="S45" i="2"/>
  <c r="U45" i="2" s="1"/>
  <c r="V79" i="2"/>
  <c r="T90" i="2"/>
  <c r="V90" i="2" s="1"/>
  <c r="S90" i="2"/>
  <c r="U90" i="2" s="1"/>
  <c r="T92" i="2"/>
  <c r="V92" i="2" s="1"/>
  <c r="T98" i="2"/>
  <c r="V98" i="2" s="1"/>
  <c r="S98" i="2"/>
  <c r="U98" i="2" s="1"/>
  <c r="T106" i="2"/>
  <c r="V106" i="2" s="1"/>
  <c r="S106" i="2"/>
  <c r="U106" i="2" s="1"/>
  <c r="T112" i="2"/>
  <c r="V112" i="2" s="1"/>
  <c r="S112" i="2"/>
  <c r="U112" i="2" s="1"/>
  <c r="T118" i="2"/>
  <c r="V118" i="2" s="1"/>
  <c r="S118" i="2"/>
  <c r="U118" i="2" s="1"/>
  <c r="Z122" i="2"/>
  <c r="T124" i="2"/>
  <c r="V124" i="2" s="1"/>
  <c r="S124" i="2"/>
  <c r="U124" i="2" s="1"/>
  <c r="T130" i="2"/>
  <c r="V130" i="2" s="1"/>
  <c r="S130" i="2"/>
  <c r="U130" i="2" s="1"/>
  <c r="T138" i="2"/>
  <c r="V138" i="2" s="1"/>
  <c r="S138" i="2"/>
  <c r="U138" i="2" s="1"/>
  <c r="T167" i="2"/>
  <c r="V167" i="2" s="1"/>
  <c r="T170" i="2"/>
  <c r="V170" i="2" s="1"/>
  <c r="T172" i="2"/>
  <c r="V172" i="2" s="1"/>
  <c r="S172" i="2"/>
  <c r="U172" i="2" s="1"/>
  <c r="U9" i="2"/>
  <c r="S26" i="2"/>
  <c r="U26" i="2" s="1"/>
  <c r="S27" i="2"/>
  <c r="U27" i="2" s="1"/>
  <c r="V57" i="2"/>
  <c r="S57" i="2"/>
  <c r="U57" i="2" s="1"/>
  <c r="T64" i="2"/>
  <c r="V64" i="2" s="1"/>
  <c r="S72" i="2"/>
  <c r="U72" i="2" s="1"/>
  <c r="T75" i="2"/>
  <c r="V75" i="2" s="1"/>
  <c r="S75" i="2"/>
  <c r="U75" i="2" s="1"/>
  <c r="T84" i="2"/>
  <c r="V84" i="2" s="1"/>
  <c r="S84" i="2"/>
  <c r="U84" i="2" s="1"/>
  <c r="S92" i="2"/>
  <c r="U92" i="2" s="1"/>
  <c r="AC96" i="2"/>
  <c r="AD96" i="2" s="1"/>
  <c r="AF96" i="2" s="1"/>
  <c r="T102" i="2"/>
  <c r="V102" i="2" s="1"/>
  <c r="T108" i="2"/>
  <c r="V108" i="2" s="1"/>
  <c r="T114" i="2"/>
  <c r="V114" i="2" s="1"/>
  <c r="T120" i="2"/>
  <c r="V120" i="2" s="1"/>
  <c r="T126" i="2"/>
  <c r="V126" i="2" s="1"/>
  <c r="S126" i="2"/>
  <c r="U126" i="2" s="1"/>
  <c r="V128" i="2"/>
  <c r="U128" i="2"/>
  <c r="T128" i="2"/>
  <c r="V145" i="2"/>
  <c r="S145" i="2"/>
  <c r="U145" i="2" s="1"/>
  <c r="T149" i="2"/>
  <c r="V149" i="2" s="1"/>
  <c r="S149" i="2"/>
  <c r="U149" i="2" s="1"/>
  <c r="T5" i="2"/>
  <c r="S5" i="2"/>
  <c r="U5" i="2" s="1"/>
  <c r="S50" i="2"/>
  <c r="U50" i="2" s="1"/>
  <c r="V71" i="2"/>
  <c r="T71" i="2"/>
  <c r="S71" i="2"/>
  <c r="U71" i="2" s="1"/>
  <c r="V81" i="2"/>
  <c r="S81" i="2"/>
  <c r="U81" i="2" s="1"/>
  <c r="T88" i="2"/>
  <c r="V88" i="2" s="1"/>
  <c r="S88" i="2"/>
  <c r="U88" i="2" s="1"/>
  <c r="S102" i="2"/>
  <c r="U102" i="2" s="1"/>
  <c r="S108" i="2"/>
  <c r="U108" i="2" s="1"/>
  <c r="S114" i="2"/>
  <c r="U114" i="2" s="1"/>
  <c r="U120" i="2"/>
  <c r="S120" i="2"/>
  <c r="S156" i="2"/>
  <c r="T156" i="2"/>
  <c r="V156" i="2" s="1"/>
  <c r="Z158" i="2"/>
  <c r="AB158" i="2" s="1"/>
  <c r="U160" i="2"/>
  <c r="T160" i="2"/>
  <c r="V160" i="2" s="1"/>
  <c r="S160" i="2"/>
  <c r="U6" i="2"/>
  <c r="T9" i="2"/>
  <c r="V9" i="2" s="1"/>
  <c r="U12" i="2"/>
  <c r="V13" i="2"/>
  <c r="V15" i="2"/>
  <c r="S16" i="2"/>
  <c r="U16" i="2" s="1"/>
  <c r="S17" i="2"/>
  <c r="U17" i="2" s="1"/>
  <c r="T18" i="2"/>
  <c r="V18" i="2" s="1"/>
  <c r="S19" i="2"/>
  <c r="U19" i="2" s="1"/>
  <c r="T20" i="2"/>
  <c r="V20" i="2" s="1"/>
  <c r="T24" i="2"/>
  <c r="V24" i="2" s="1"/>
  <c r="T33" i="2"/>
  <c r="V33" i="2" s="1"/>
  <c r="S33" i="2"/>
  <c r="U33" i="2" s="1"/>
  <c r="T44" i="2"/>
  <c r="V44" i="2" s="1"/>
  <c r="S44" i="2"/>
  <c r="U44" i="2" s="1"/>
  <c r="T47" i="2"/>
  <c r="V47" i="2" s="1"/>
  <c r="S47" i="2"/>
  <c r="U47" i="2" s="1"/>
  <c r="T50" i="2"/>
  <c r="V50" i="2" s="1"/>
  <c r="S53" i="2"/>
  <c r="U53" i="2" s="1"/>
  <c r="S61" i="2"/>
  <c r="U61" i="2" s="1"/>
  <c r="S64" i="2"/>
  <c r="U64" i="2" s="1"/>
  <c r="T67" i="2"/>
  <c r="V67" i="2" s="1"/>
  <c r="S67" i="2"/>
  <c r="U67" i="2" s="1"/>
  <c r="T81" i="2"/>
  <c r="T133" i="2"/>
  <c r="V133" i="2" s="1"/>
  <c r="S133" i="2"/>
  <c r="U133" i="2" s="1"/>
  <c r="T135" i="2"/>
  <c r="V135" i="2" s="1"/>
  <c r="T143" i="2"/>
  <c r="V143" i="2" s="1"/>
  <c r="S143" i="2"/>
  <c r="U143" i="2" s="1"/>
  <c r="T154" i="2"/>
  <c r="V154" i="2" s="1"/>
  <c r="S154" i="2"/>
  <c r="U154" i="2" s="1"/>
  <c r="U156" i="2"/>
  <c r="V177" i="2"/>
  <c r="T177" i="2"/>
  <c r="S177" i="2"/>
  <c r="U177" i="2" s="1"/>
  <c r="V5" i="2"/>
  <c r="T16" i="2"/>
  <c r="V16" i="2" s="1"/>
  <c r="T17" i="2"/>
  <c r="V17" i="2" s="1"/>
  <c r="V22" i="2"/>
  <c r="S22" i="2"/>
  <c r="U22" i="2" s="1"/>
  <c r="T23" i="2"/>
  <c r="V23" i="2" s="1"/>
  <c r="S25" i="2"/>
  <c r="U25" i="2" s="1"/>
  <c r="T25" i="2"/>
  <c r="V25" i="2" s="1"/>
  <c r="T41" i="2"/>
  <c r="V41" i="2" s="1"/>
  <c r="S41" i="2"/>
  <c r="U41" i="2" s="1"/>
  <c r="T53" i="2"/>
  <c r="V53" i="2" s="1"/>
  <c r="T61" i="2"/>
  <c r="V61" i="2" s="1"/>
  <c r="T78" i="2"/>
  <c r="V78" i="2" s="1"/>
  <c r="S78" i="2"/>
  <c r="U78" i="2" s="1"/>
  <c r="S135" i="2"/>
  <c r="U135" i="2" s="1"/>
  <c r="T168" i="2"/>
  <c r="V168" i="2" s="1"/>
  <c r="S168" i="2"/>
  <c r="U168" i="2" s="1"/>
  <c r="U175" i="2"/>
  <c r="T175" i="2"/>
  <c r="V175" i="2" s="1"/>
  <c r="S21" i="2"/>
  <c r="T21" i="2"/>
  <c r="V21" i="2" s="1"/>
  <c r="S23" i="2"/>
  <c r="U23" i="2" s="1"/>
  <c r="S32" i="2"/>
  <c r="U32" i="2" s="1"/>
  <c r="T37" i="2"/>
  <c r="V37" i="2" s="1"/>
  <c r="S37" i="2"/>
  <c r="U37" i="2" s="1"/>
  <c r="U56" i="2"/>
  <c r="T56" i="2"/>
  <c r="V56" i="2" s="1"/>
  <c r="S56" i="2"/>
  <c r="V63" i="2"/>
  <c r="U63" i="2"/>
  <c r="T63" i="2"/>
  <c r="T74" i="2"/>
  <c r="V74" i="2" s="1"/>
  <c r="S74" i="2"/>
  <c r="U74" i="2" s="1"/>
  <c r="T95" i="2"/>
  <c r="V95" i="2" s="1"/>
  <c r="S95" i="2"/>
  <c r="U95" i="2" s="1"/>
  <c r="T99" i="2"/>
  <c r="V99" i="2" s="1"/>
  <c r="V131" i="2"/>
  <c r="T131" i="2"/>
  <c r="T139" i="2"/>
  <c r="V139" i="2" s="1"/>
  <c r="U21" i="2"/>
  <c r="T32" i="2"/>
  <c r="V32" i="2" s="1"/>
  <c r="V46" i="2"/>
  <c r="S46" i="2"/>
  <c r="U46" i="2" s="1"/>
  <c r="S63" i="2"/>
  <c r="T70" i="2"/>
  <c r="V70" i="2" s="1"/>
  <c r="S70" i="2"/>
  <c r="U70" i="2" s="1"/>
  <c r="T91" i="2"/>
  <c r="V91" i="2" s="1"/>
  <c r="S91" i="2"/>
  <c r="U91" i="2" s="1"/>
  <c r="T93" i="2"/>
  <c r="V93" i="2" s="1"/>
  <c r="S93" i="2"/>
  <c r="U93" i="2" s="1"/>
  <c r="S99" i="2"/>
  <c r="U99" i="2" s="1"/>
  <c r="T103" i="2"/>
  <c r="V103" i="2" s="1"/>
  <c r="S103" i="2"/>
  <c r="U103" i="2"/>
  <c r="T109" i="2"/>
  <c r="V109" i="2" s="1"/>
  <c r="S109" i="2"/>
  <c r="U109" i="2" s="1"/>
  <c r="T115" i="2"/>
  <c r="V115" i="2" s="1"/>
  <c r="S115" i="2"/>
  <c r="U115" i="2" s="1"/>
  <c r="Z119" i="2"/>
  <c r="AB119" i="2" s="1"/>
  <c r="T121" i="2"/>
  <c r="V121" i="2" s="1"/>
  <c r="S121" i="2"/>
  <c r="U121" i="2" s="1"/>
  <c r="S131" i="2"/>
  <c r="U131" i="2" s="1"/>
  <c r="S139" i="2"/>
  <c r="U139" i="2" s="1"/>
  <c r="T163" i="2"/>
  <c r="V163" i="2" s="1"/>
  <c r="S163" i="2"/>
  <c r="U163" i="2" s="1"/>
  <c r="S171" i="2"/>
  <c r="T171" i="2"/>
  <c r="V171" i="2" s="1"/>
  <c r="V173" i="2"/>
  <c r="S31" i="2"/>
  <c r="U31" i="2" s="1"/>
  <c r="V43" i="2"/>
  <c r="S43" i="2"/>
  <c r="U43" i="2" s="1"/>
  <c r="T46" i="2"/>
  <c r="T52" i="2"/>
  <c r="V52" i="2" s="1"/>
  <c r="S52" i="2"/>
  <c r="U52" i="2" s="1"/>
  <c r="T66" i="2"/>
  <c r="V66" i="2" s="1"/>
  <c r="S66" i="2"/>
  <c r="U66" i="2" s="1"/>
  <c r="T80" i="2"/>
  <c r="V80" i="2" s="1"/>
  <c r="S80" i="2"/>
  <c r="U80" i="2" s="1"/>
  <c r="T105" i="2"/>
  <c r="V105" i="2" s="1"/>
  <c r="T111" i="2"/>
  <c r="V111" i="2" s="1"/>
  <c r="T117" i="2"/>
  <c r="V117" i="2" s="1"/>
  <c r="T123" i="2"/>
  <c r="V123" i="2" s="1"/>
  <c r="V125" i="2"/>
  <c r="T125" i="2"/>
  <c r="S125" i="2"/>
  <c r="U125" i="2" s="1"/>
  <c r="T127" i="2"/>
  <c r="V127" i="2" s="1"/>
  <c r="S127" i="2"/>
  <c r="U127" i="2" s="1"/>
  <c r="T150" i="2"/>
  <c r="V150" i="2" s="1"/>
  <c r="S150" i="2"/>
  <c r="U150" i="2" s="1"/>
  <c r="U171" i="2"/>
  <c r="T178" i="2"/>
  <c r="V178" i="2" s="1"/>
  <c r="S178" i="2"/>
  <c r="U178" i="2" s="1"/>
  <c r="T29" i="2"/>
  <c r="V29" i="2" s="1"/>
  <c r="S30" i="2"/>
  <c r="U30" i="2" s="1"/>
  <c r="S36" i="2"/>
  <c r="U36" i="2" s="1"/>
  <c r="T40" i="2"/>
  <c r="V40" i="2" s="1"/>
  <c r="S40" i="2"/>
  <c r="U40" i="2" s="1"/>
  <c r="T49" i="2"/>
  <c r="V49" i="2" s="1"/>
  <c r="S49" i="2"/>
  <c r="U49" i="2" s="1"/>
  <c r="V55" i="2"/>
  <c r="T85" i="2"/>
  <c r="V85" i="2" s="1"/>
  <c r="Z87" i="2"/>
  <c r="AB87" i="2" s="1"/>
  <c r="S105" i="2"/>
  <c r="U105" i="2" s="1"/>
  <c r="S111" i="2"/>
  <c r="U111" i="2" s="1"/>
  <c r="S117" i="2"/>
  <c r="U117" i="2" s="1"/>
  <c r="S123" i="2"/>
  <c r="U123" i="2" s="1"/>
  <c r="V134" i="2"/>
  <c r="U134" i="2"/>
  <c r="T134" i="2"/>
  <c r="S134" i="2"/>
  <c r="S146" i="2"/>
  <c r="T146" i="2"/>
  <c r="V146" i="2" s="1"/>
  <c r="T155" i="2"/>
  <c r="V155" i="2" s="1"/>
  <c r="T157" i="2"/>
  <c r="V157" i="2" s="1"/>
  <c r="S157" i="2"/>
  <c r="U157" i="2" s="1"/>
  <c r="T159" i="2"/>
  <c r="V159" i="2" s="1"/>
  <c r="S159" i="2"/>
  <c r="U159" i="2" s="1"/>
  <c r="U161" i="2"/>
  <c r="T161" i="2"/>
  <c r="V161" i="2" s="1"/>
  <c r="T166" i="2"/>
  <c r="V166" i="2" s="1"/>
  <c r="S166" i="2"/>
  <c r="U166" i="2" s="1"/>
  <c r="V28" i="2"/>
  <c r="S28" i="2"/>
  <c r="U28" i="2" s="1"/>
  <c r="S29" i="2"/>
  <c r="U29" i="2" s="1"/>
  <c r="T30" i="2"/>
  <c r="V30" i="2" s="1"/>
  <c r="T31" i="2"/>
  <c r="V31" i="2" s="1"/>
  <c r="T35" i="2"/>
  <c r="V35" i="2" s="1"/>
  <c r="T36" i="2"/>
  <c r="V36" i="2" s="1"/>
  <c r="T58" i="2"/>
  <c r="V58" i="2" s="1"/>
  <c r="S58" i="2"/>
  <c r="U58" i="2" s="1"/>
  <c r="S73" i="2"/>
  <c r="U73" i="2" s="1"/>
  <c r="S85" i="2"/>
  <c r="U85" i="2" s="1"/>
  <c r="T136" i="2"/>
  <c r="V136" i="2" s="1"/>
  <c r="S136" i="2"/>
  <c r="U136" i="2" s="1"/>
  <c r="U146" i="2"/>
  <c r="S155" i="2"/>
  <c r="U155" i="2" s="1"/>
  <c r="T65" i="2"/>
  <c r="V65" i="2" s="1"/>
  <c r="T69" i="2"/>
  <c r="V69" i="2" s="1"/>
  <c r="T73" i="2"/>
  <c r="V73" i="2" s="1"/>
  <c r="T77" i="2"/>
  <c r="V77" i="2" s="1"/>
  <c r="T89" i="2"/>
  <c r="V89" i="2" s="1"/>
  <c r="V100" i="2"/>
  <c r="T144" i="2"/>
  <c r="V144" i="2" s="1"/>
  <c r="S55" i="2"/>
  <c r="U55" i="2" s="1"/>
  <c r="S59" i="2"/>
  <c r="U59" i="2" s="1"/>
  <c r="S79" i="2"/>
  <c r="U79" i="2" s="1"/>
  <c r="S83" i="2"/>
  <c r="U83" i="2" s="1"/>
  <c r="S87" i="2"/>
  <c r="U87" i="2" s="1"/>
  <c r="S94" i="2"/>
  <c r="U94" i="2" s="1"/>
  <c r="S101" i="2"/>
  <c r="U101" i="2" s="1"/>
  <c r="S104" i="2"/>
  <c r="S107" i="2"/>
  <c r="U107" i="2" s="1"/>
  <c r="S110" i="2"/>
  <c r="U110" i="2" s="1"/>
  <c r="S113" i="2"/>
  <c r="U113" i="2" s="1"/>
  <c r="S116" i="2"/>
  <c r="S119" i="2"/>
  <c r="U119" i="2" s="1"/>
  <c r="S122" i="2"/>
  <c r="U122" i="2" s="1"/>
  <c r="S137" i="2"/>
  <c r="U137" i="2" s="1"/>
  <c r="S142" i="2"/>
  <c r="U142" i="2" s="1"/>
  <c r="S148" i="2"/>
  <c r="S153" i="2"/>
  <c r="U153" i="2" s="1"/>
  <c r="S158" i="2"/>
  <c r="U158" i="2" s="1"/>
  <c r="S169" i="2"/>
  <c r="S173" i="2"/>
  <c r="T169" i="2"/>
  <c r="V169" i="2" s="1"/>
  <c r="U104" i="2"/>
  <c r="U116" i="2"/>
  <c r="U148" i="2"/>
  <c r="U169" i="2"/>
  <c r="U173" i="2"/>
  <c r="S82" i="2"/>
  <c r="U82" i="2" s="1"/>
  <c r="S86" i="2"/>
  <c r="U86" i="2" s="1"/>
  <c r="S97" i="2"/>
  <c r="U97" i="2" s="1"/>
  <c r="S100" i="2"/>
  <c r="U100" i="2" s="1"/>
  <c r="S129" i="2"/>
  <c r="U129" i="2" s="1"/>
  <c r="S141" i="2"/>
  <c r="U141" i="2" s="1"/>
  <c r="S147" i="2"/>
  <c r="U147" i="2" s="1"/>
  <c r="S152" i="2"/>
  <c r="U152" i="2" s="1"/>
  <c r="S162" i="2"/>
  <c r="U162" i="2" s="1"/>
  <c r="S165" i="2"/>
  <c r="U165" i="2" s="1"/>
  <c r="T82" i="2"/>
  <c r="V82" i="2" s="1"/>
  <c r="T86" i="2"/>
  <c r="V86" i="2" s="1"/>
  <c r="T97" i="2"/>
  <c r="V97" i="2" s="1"/>
  <c r="T100" i="2"/>
  <c r="T129" i="2"/>
  <c r="V129" i="2" s="1"/>
  <c r="T141" i="2"/>
  <c r="V141" i="2" s="1"/>
  <c r="T147" i="2"/>
  <c r="V147" i="2" s="1"/>
  <c r="T152" i="2"/>
  <c r="V152" i="2" s="1"/>
  <c r="T162" i="2"/>
  <c r="V162" i="2" s="1"/>
  <c r="T165" i="2"/>
  <c r="V165" i="2" s="1"/>
  <c r="AC8" i="3"/>
  <c r="AA8" i="3"/>
  <c r="Y21" i="3"/>
  <c r="AB21" i="3" s="1"/>
  <c r="Z21" i="3"/>
  <c r="Z5" i="3"/>
  <c r="Y5" i="3"/>
  <c r="AB5" i="3" s="1"/>
  <c r="AA12" i="3"/>
  <c r="AC12" i="3" s="1"/>
  <c r="AA5" i="3"/>
  <c r="AC5" i="3" s="1"/>
  <c r="AB7" i="3"/>
  <c r="Z7" i="3"/>
  <c r="Y7" i="3"/>
  <c r="U10" i="3"/>
  <c r="W10" i="3" s="1"/>
  <c r="T10" i="3"/>
  <c r="V10" i="3" s="1"/>
  <c r="T14" i="3"/>
  <c r="V14" i="3" s="1"/>
  <c r="U14" i="3"/>
  <c r="W14" i="3" s="1"/>
  <c r="AC16" i="3"/>
  <c r="AA16" i="3"/>
  <c r="AA7" i="3"/>
  <c r="AC7" i="3" s="1"/>
  <c r="AA20" i="3"/>
  <c r="AC20" i="3" s="1"/>
  <c r="U6" i="3"/>
  <c r="W6" i="3" s="1"/>
  <c r="T6" i="3"/>
  <c r="V6" i="3" s="1"/>
  <c r="U11" i="3"/>
  <c r="W11" i="3" s="1"/>
  <c r="T11" i="3"/>
  <c r="V11" i="3" s="1"/>
  <c r="U15" i="3"/>
  <c r="W15" i="3" s="1"/>
  <c r="T15" i="3"/>
  <c r="V15" i="3" s="1"/>
  <c r="T19" i="3"/>
  <c r="V19" i="3" s="1"/>
  <c r="U19" i="3"/>
  <c r="W19" i="3" s="1"/>
  <c r="AC9" i="3"/>
  <c r="AA9" i="3"/>
  <c r="AC21" i="3"/>
  <c r="AA21" i="3"/>
  <c r="T16" i="3"/>
  <c r="V16" i="3" s="1"/>
  <c r="Z20" i="3"/>
  <c r="AB20" i="3"/>
  <c r="T17" i="3"/>
  <c r="V17" i="3" s="1"/>
  <c r="U24" i="3"/>
  <c r="W24" i="3" s="1"/>
  <c r="T24" i="3"/>
  <c r="V24" i="3" s="1"/>
  <c r="T26" i="3"/>
  <c r="V26" i="3" s="1"/>
  <c r="U26" i="3"/>
  <c r="W26" i="3" s="1"/>
  <c r="U17" i="3"/>
  <c r="W17" i="3" s="1"/>
  <c r="Y8" i="3"/>
  <c r="AB8" i="3" s="1"/>
  <c r="T18" i="3"/>
  <c r="V18" i="3" s="1"/>
  <c r="U23" i="3"/>
  <c r="W23" i="3" s="1"/>
  <c r="T23" i="3"/>
  <c r="V23" i="3" s="1"/>
  <c r="Z8" i="3"/>
  <c r="T9" i="3"/>
  <c r="V9" i="3" s="1"/>
  <c r="T13" i="3"/>
  <c r="V13" i="3" s="1"/>
  <c r="U18" i="3"/>
  <c r="W18" i="3" s="1"/>
  <c r="U22" i="3"/>
  <c r="W22" i="3" s="1"/>
  <c r="T22" i="3"/>
  <c r="V22" i="3" s="1"/>
  <c r="AB12" i="3"/>
  <c r="Z12" i="3"/>
  <c r="U25" i="3"/>
  <c r="W25" i="3" s="1"/>
  <c r="T25" i="3"/>
  <c r="V25" i="3" s="1"/>
  <c r="U13" i="3"/>
  <c r="W13" i="3" s="1"/>
  <c r="O2" i="5"/>
  <c r="Q2" i="5" s="1"/>
  <c r="V235" i="1" l="1"/>
  <c r="X235" i="1" s="1"/>
  <c r="W222" i="1"/>
  <c r="Y222" i="1" s="1"/>
  <c r="AA16" i="1"/>
  <c r="W153" i="1"/>
  <c r="Y153" i="1" s="1"/>
  <c r="V182" i="1"/>
  <c r="X182" i="1" s="1"/>
  <c r="W495" i="1"/>
  <c r="Y495" i="1" s="1"/>
  <c r="V124" i="1"/>
  <c r="X124" i="1" s="1"/>
  <c r="Z142" i="2"/>
  <c r="AB142" i="2" s="1"/>
  <c r="AB122" i="2"/>
  <c r="Z94" i="2"/>
  <c r="AB94" i="2"/>
  <c r="AH65" i="2"/>
  <c r="X65" i="2"/>
  <c r="Y65" i="2"/>
  <c r="AA65" i="2" s="1"/>
  <c r="AC65" i="2" s="1"/>
  <c r="AD65" i="2" s="1"/>
  <c r="AF65" i="2" s="1"/>
  <c r="X77" i="2"/>
  <c r="AA77" i="2" s="1"/>
  <c r="AC77" i="2" s="1"/>
  <c r="AD77" i="2" s="1"/>
  <c r="AF77" i="2" s="1"/>
  <c r="Z83" i="2"/>
  <c r="AB83" i="2"/>
  <c r="V393" i="1"/>
  <c r="X393" i="1" s="1"/>
  <c r="AB393" i="1" s="1"/>
  <c r="W122" i="1"/>
  <c r="Y122" i="1" s="1"/>
  <c r="W385" i="1"/>
  <c r="Y385" i="1" s="1"/>
  <c r="AA556" i="1"/>
  <c r="AD556" i="1" s="1"/>
  <c r="AF556" i="1" s="1"/>
  <c r="AH556" i="1" s="1"/>
  <c r="AJ556" i="1" s="1"/>
  <c r="V208" i="1"/>
  <c r="X208" i="1" s="1"/>
  <c r="W15" i="1"/>
  <c r="Y15" i="1" s="1"/>
  <c r="AC15" i="1" s="1"/>
  <c r="AE15" i="1" s="1"/>
  <c r="AK543" i="1"/>
  <c r="AA543" i="1"/>
  <c r="AD543" i="1" s="1"/>
  <c r="AF543" i="1" s="1"/>
  <c r="W12" i="1"/>
  <c r="Y12" i="1" s="1"/>
  <c r="AC12" i="1" s="1"/>
  <c r="AE12" i="1" s="1"/>
  <c r="V263" i="1"/>
  <c r="X263" i="1" s="1"/>
  <c r="AB263" i="1" s="1"/>
  <c r="X75" i="1"/>
  <c r="AB75" i="1" s="1"/>
  <c r="AD596" i="1"/>
  <c r="W493" i="1"/>
  <c r="Y493" i="1" s="1"/>
  <c r="AC493" i="1" s="1"/>
  <c r="AE493" i="1" s="1"/>
  <c r="V85" i="1"/>
  <c r="X85" i="1" s="1"/>
  <c r="AK85" i="1" s="1"/>
  <c r="V232" i="1"/>
  <c r="X232" i="1" s="1"/>
  <c r="AB232" i="1" s="1"/>
  <c r="W164" i="1"/>
  <c r="Y164" i="1" s="1"/>
  <c r="AC164" i="1" s="1"/>
  <c r="AE164" i="1" s="1"/>
  <c r="AA164" i="1"/>
  <c r="AD164" i="1" s="1"/>
  <c r="AF164" i="1" s="1"/>
  <c r="AG164" i="1" s="1"/>
  <c r="AI164" i="1" s="1"/>
  <c r="AC517" i="1"/>
  <c r="AE517" i="1" s="1"/>
  <c r="W317" i="1"/>
  <c r="Y317" i="1" s="1"/>
  <c r="AA577" i="1"/>
  <c r="AD577" i="1" s="1"/>
  <c r="AF577" i="1" s="1"/>
  <c r="W214" i="1"/>
  <c r="Y214" i="1" s="1"/>
  <c r="AC214" i="1" s="1"/>
  <c r="AE214" i="1" s="1"/>
  <c r="V420" i="1"/>
  <c r="X420" i="1" s="1"/>
  <c r="AB420" i="1" s="1"/>
  <c r="V487" i="1"/>
  <c r="X487" i="1" s="1"/>
  <c r="AM487" i="1" s="1"/>
  <c r="V313" i="1"/>
  <c r="X313" i="1" s="1"/>
  <c r="AB313" i="1" s="1"/>
  <c r="V90" i="1"/>
  <c r="X90" i="1" s="1"/>
  <c r="AB90" i="1" s="1"/>
  <c r="V104" i="1"/>
  <c r="X104" i="1" s="1"/>
  <c r="AB104" i="1" s="1"/>
  <c r="Y90" i="1"/>
  <c r="AC90" i="1" s="1"/>
  <c r="AE90" i="1" s="1"/>
  <c r="V147" i="1"/>
  <c r="X147" i="1" s="1"/>
  <c r="AA147" i="1" s="1"/>
  <c r="W643" i="1"/>
  <c r="Y643" i="1" s="1"/>
  <c r="AC643" i="1" s="1"/>
  <c r="AE643" i="1" s="1"/>
  <c r="W125" i="1"/>
  <c r="Y125" i="1" s="1"/>
  <c r="AC125" i="1" s="1"/>
  <c r="AE125" i="1" s="1"/>
  <c r="V324" i="1"/>
  <c r="X324" i="1" s="1"/>
  <c r="AB324" i="1" s="1"/>
  <c r="V245" i="1"/>
  <c r="X245" i="1" s="1"/>
  <c r="AA245" i="1" s="1"/>
  <c r="W31" i="1"/>
  <c r="Y31" i="1" s="1"/>
  <c r="AC31" i="1" s="1"/>
  <c r="AE31" i="1" s="1"/>
  <c r="V118" i="1"/>
  <c r="X118" i="1" s="1"/>
  <c r="AB118" i="1" s="1"/>
  <c r="V559" i="1"/>
  <c r="X559" i="1" s="1"/>
  <c r="AB559" i="1" s="1"/>
  <c r="W63" i="1"/>
  <c r="Y63" i="1" s="1"/>
  <c r="AC63" i="1" s="1"/>
  <c r="AE63" i="1" s="1"/>
  <c r="X5" i="1"/>
  <c r="AB5" i="1" s="1"/>
  <c r="AB544" i="1"/>
  <c r="AA544" i="1"/>
  <c r="Y259" i="1"/>
  <c r="AC259" i="1" s="1"/>
  <c r="AE259" i="1" s="1"/>
  <c r="V520" i="1"/>
  <c r="X520" i="1" s="1"/>
  <c r="AA520" i="1" s="1"/>
  <c r="V234" i="1"/>
  <c r="X234" i="1" s="1"/>
  <c r="AB234" i="1" s="1"/>
  <c r="W544" i="1"/>
  <c r="Y544" i="1" s="1"/>
  <c r="AC544" i="1" s="1"/>
  <c r="AE544" i="1" s="1"/>
  <c r="AA43" i="1"/>
  <c r="V639" i="1"/>
  <c r="X639" i="1" s="1"/>
  <c r="AA639" i="1" s="1"/>
  <c r="V249" i="1"/>
  <c r="X249" i="1" s="1"/>
  <c r="AB249" i="1" s="1"/>
  <c r="V100" i="1"/>
  <c r="X100" i="1" s="1"/>
  <c r="AB100" i="1" s="1"/>
  <c r="AC115" i="1"/>
  <c r="AE115" i="1" s="1"/>
  <c r="AB531" i="1"/>
  <c r="AA531" i="1"/>
  <c r="V627" i="1"/>
  <c r="X627" i="1" s="1"/>
  <c r="AB627" i="1" s="1"/>
  <c r="W21" i="1"/>
  <c r="Y21" i="1" s="1"/>
  <c r="AC21" i="1" s="1"/>
  <c r="AE21" i="1" s="1"/>
  <c r="W502" i="1"/>
  <c r="Y502" i="1" s="1"/>
  <c r="AC502" i="1" s="1"/>
  <c r="AE502" i="1" s="1"/>
  <c r="V138" i="1"/>
  <c r="X138" i="1" s="1"/>
  <c r="AA109" i="1"/>
  <c r="AD109" i="1" s="1"/>
  <c r="AF109" i="1" s="1"/>
  <c r="AH109" i="1" s="1"/>
  <c r="AJ109" i="1" s="1"/>
  <c r="AD43" i="1"/>
  <c r="AF43" i="1" s="1"/>
  <c r="AH43" i="1" s="1"/>
  <c r="AJ43" i="1" s="1"/>
  <c r="X6" i="1"/>
  <c r="AB6" i="1" s="1"/>
  <c r="AA115" i="1"/>
  <c r="AD115" i="1" s="1"/>
  <c r="AF115" i="1" s="1"/>
  <c r="AG115" i="1" s="1"/>
  <c r="AI115" i="1" s="1"/>
  <c r="V323" i="1"/>
  <c r="X323" i="1" s="1"/>
  <c r="AB323" i="1" s="1"/>
  <c r="V134" i="1"/>
  <c r="X134" i="1" s="1"/>
  <c r="AA134" i="1" s="1"/>
  <c r="V422" i="1"/>
  <c r="X422" i="1" s="1"/>
  <c r="AB422" i="1" s="1"/>
  <c r="V259" i="1"/>
  <c r="X259" i="1" s="1"/>
  <c r="AB259" i="1" s="1"/>
  <c r="V70" i="1"/>
  <c r="X70" i="1" s="1"/>
  <c r="AA70" i="1" s="1"/>
  <c r="V19" i="1"/>
  <c r="X19" i="1" s="1"/>
  <c r="AB19" i="1" s="1"/>
  <c r="V478" i="1"/>
  <c r="X478" i="1" s="1"/>
  <c r="AA478" i="1" s="1"/>
  <c r="V404" i="1"/>
  <c r="X404" i="1" s="1"/>
  <c r="AB404" i="1" s="1"/>
  <c r="V67" i="1"/>
  <c r="X67" i="1" s="1"/>
  <c r="AB67" i="1" s="1"/>
  <c r="W67" i="1"/>
  <c r="Y67" i="1" s="1"/>
  <c r="AC67" i="1" s="1"/>
  <c r="AE67" i="1" s="1"/>
  <c r="AD618" i="1"/>
  <c r="AF618" i="1" s="1"/>
  <c r="AH618" i="1" s="1"/>
  <c r="AJ618" i="1" s="1"/>
  <c r="AC315" i="1"/>
  <c r="AE315" i="1" s="1"/>
  <c r="AB536" i="1"/>
  <c r="AK536" i="1"/>
  <c r="AL536" i="1" s="1"/>
  <c r="AA536" i="1"/>
  <c r="AB521" i="1"/>
  <c r="AA521" i="1"/>
  <c r="AB570" i="1"/>
  <c r="AD570" i="1" s="1"/>
  <c r="AF570" i="1" s="1"/>
  <c r="AD457" i="1"/>
  <c r="AF457" i="1" s="1"/>
  <c r="AG457" i="1" s="1"/>
  <c r="AI457" i="1" s="1"/>
  <c r="AC537" i="1"/>
  <c r="AE537" i="1" s="1"/>
  <c r="X248" i="1"/>
  <c r="AB248" i="1" s="1"/>
  <c r="V241" i="1"/>
  <c r="X241" i="1" s="1"/>
  <c r="W424" i="1"/>
  <c r="Y424" i="1" s="1"/>
  <c r="AC424" i="1" s="1"/>
  <c r="AE424" i="1" s="1"/>
  <c r="W233" i="1"/>
  <c r="Y233" i="1" s="1"/>
  <c r="AC233" i="1" s="1"/>
  <c r="AE233" i="1" s="1"/>
  <c r="V550" i="1"/>
  <c r="X550" i="1" s="1"/>
  <c r="W219" i="1"/>
  <c r="Y219" i="1" s="1"/>
  <c r="AC219" i="1" s="1"/>
  <c r="AE219" i="1" s="1"/>
  <c r="W512" i="1"/>
  <c r="Y512" i="1" s="1"/>
  <c r="AC512" i="1" s="1"/>
  <c r="AE512" i="1" s="1"/>
  <c r="V51" i="1"/>
  <c r="X51" i="1" s="1"/>
  <c r="AB51" i="1" s="1"/>
  <c r="W430" i="1"/>
  <c r="Y430" i="1" s="1"/>
  <c r="AC430" i="1" s="1"/>
  <c r="AE430" i="1" s="1"/>
  <c r="AD537" i="1"/>
  <c r="AF537" i="1" s="1"/>
  <c r="AG537" i="1" s="1"/>
  <c r="AI537" i="1" s="1"/>
  <c r="V91" i="1"/>
  <c r="X91" i="1" s="1"/>
  <c r="V14" i="1"/>
  <c r="X14" i="1" s="1"/>
  <c r="AB14" i="1" s="1"/>
  <c r="V510" i="1"/>
  <c r="X510" i="1" s="1"/>
  <c r="AA510" i="1" s="1"/>
  <c r="AD16" i="1"/>
  <c r="AF16" i="1" s="1"/>
  <c r="AH16" i="1" s="1"/>
  <c r="AJ16" i="1" s="1"/>
  <c r="V560" i="1"/>
  <c r="X560" i="1" s="1"/>
  <c r="AA560" i="1" s="1"/>
  <c r="W650" i="1"/>
  <c r="Y650" i="1" s="1"/>
  <c r="AC650" i="1" s="1"/>
  <c r="AE650" i="1" s="1"/>
  <c r="X502" i="1"/>
  <c r="AB502" i="1" s="1"/>
  <c r="AB315" i="1"/>
  <c r="AA315" i="1"/>
  <c r="AC295" i="1"/>
  <c r="AE295" i="1" s="1"/>
  <c r="AC516" i="1"/>
  <c r="AE516" i="1" s="1"/>
  <c r="AC186" i="1"/>
  <c r="AE186" i="1" s="1"/>
  <c r="AA361" i="1"/>
  <c r="AB361" i="1"/>
  <c r="AC361" i="1"/>
  <c r="AE361" i="1" s="1"/>
  <c r="AA503" i="1"/>
  <c r="AB503" i="1"/>
  <c r="AC550" i="1"/>
  <c r="AE550" i="1" s="1"/>
  <c r="AB526" i="1"/>
  <c r="AA526" i="1"/>
  <c r="AD613" i="1"/>
  <c r="AF613" i="1" s="1"/>
  <c r="AG613" i="1" s="1"/>
  <c r="AI613" i="1" s="1"/>
  <c r="AA290" i="1"/>
  <c r="AD290" i="1" s="1"/>
  <c r="X212" i="1"/>
  <c r="AB212" i="1" s="1"/>
  <c r="Y234" i="1"/>
  <c r="AC234" i="1" s="1"/>
  <c r="AE234" i="1" s="1"/>
  <c r="W131" i="1"/>
  <c r="Y131" i="1" s="1"/>
  <c r="V303" i="1"/>
  <c r="X303" i="1" s="1"/>
  <c r="V288" i="1"/>
  <c r="X288" i="1" s="1"/>
  <c r="V383" i="1"/>
  <c r="X383" i="1" s="1"/>
  <c r="AB383" i="1" s="1"/>
  <c r="X620" i="1"/>
  <c r="AB620" i="1" s="1"/>
  <c r="V160" i="1"/>
  <c r="X160" i="1" s="1"/>
  <c r="V66" i="1"/>
  <c r="X66" i="1" s="1"/>
  <c r="AB66" i="1" s="1"/>
  <c r="V17" i="1"/>
  <c r="X17" i="1" s="1"/>
  <c r="AA17" i="1" s="1"/>
  <c r="V532" i="1"/>
  <c r="X532" i="1" s="1"/>
  <c r="W532" i="1"/>
  <c r="Y532" i="1" s="1"/>
  <c r="AC532" i="1" s="1"/>
  <c r="AE532" i="1" s="1"/>
  <c r="V545" i="1"/>
  <c r="X545" i="1" s="1"/>
  <c r="AA545" i="1" s="1"/>
  <c r="X197" i="1"/>
  <c r="AB197" i="1" s="1"/>
  <c r="W66" i="1"/>
  <c r="Y66" i="1" s="1"/>
  <c r="W17" i="1"/>
  <c r="Y17" i="1" s="1"/>
  <c r="AC17" i="1" s="1"/>
  <c r="AE17" i="1" s="1"/>
  <c r="W206" i="1"/>
  <c r="Y206" i="1" s="1"/>
  <c r="W649" i="1"/>
  <c r="Y649" i="1" s="1"/>
  <c r="AC649" i="1" s="1"/>
  <c r="AE649" i="1" s="1"/>
  <c r="Y588" i="1"/>
  <c r="AC588" i="1" s="1"/>
  <c r="AE588" i="1" s="1"/>
  <c r="W405" i="1"/>
  <c r="Y405" i="1" s="1"/>
  <c r="AC405" i="1" s="1"/>
  <c r="AE405" i="1" s="1"/>
  <c r="V649" i="1"/>
  <c r="X649" i="1" s="1"/>
  <c r="AA649" i="1" s="1"/>
  <c r="X233" i="1"/>
  <c r="AB233" i="1" s="1"/>
  <c r="V257" i="1"/>
  <c r="X257" i="1" s="1"/>
  <c r="AA257" i="1" s="1"/>
  <c r="W225" i="1"/>
  <c r="Y225" i="1" s="1"/>
  <c r="AC225" i="1" s="1"/>
  <c r="AE225" i="1" s="1"/>
  <c r="W630" i="1"/>
  <c r="Y630" i="1" s="1"/>
  <c r="AC630" i="1" s="1"/>
  <c r="AE630" i="1" s="1"/>
  <c r="AD450" i="1"/>
  <c r="AF450" i="1" s="1"/>
  <c r="AG450" i="1" s="1"/>
  <c r="AI450" i="1" s="1"/>
  <c r="Z169" i="2"/>
  <c r="AB169" i="2" s="1"/>
  <c r="AB605" i="1"/>
  <c r="AA605" i="1"/>
  <c r="Z49" i="2"/>
  <c r="AB49" i="2" s="1"/>
  <c r="AB316" i="1"/>
  <c r="AA316" i="1"/>
  <c r="AC260" i="1"/>
  <c r="AE260" i="1" s="1"/>
  <c r="Y28" i="2"/>
  <c r="X28" i="2"/>
  <c r="AC587" i="1"/>
  <c r="AE587" i="1" s="1"/>
  <c r="Z86" i="2"/>
  <c r="AB86" i="2" s="1"/>
  <c r="Y123" i="2"/>
  <c r="X123" i="2"/>
  <c r="AH123" i="2"/>
  <c r="Y38" i="2"/>
  <c r="X38" i="2"/>
  <c r="AA38" i="2" s="1"/>
  <c r="AE5" i="3"/>
  <c r="AG5" i="3" s="1"/>
  <c r="AD5" i="3"/>
  <c r="AE21" i="3"/>
  <c r="AG21" i="3" s="1"/>
  <c r="AD21" i="3"/>
  <c r="AF5" i="3"/>
  <c r="AH5" i="3" s="1"/>
  <c r="AA6" i="3"/>
  <c r="AC6" i="3" s="1"/>
  <c r="X23" i="2"/>
  <c r="Y23" i="2"/>
  <c r="X25" i="2"/>
  <c r="Y25" i="2"/>
  <c r="AC554" i="1"/>
  <c r="AE554" i="1" s="1"/>
  <c r="AB318" i="1"/>
  <c r="AA318" i="1"/>
  <c r="AF7" i="3"/>
  <c r="AH7" i="3" s="1"/>
  <c r="Y137" i="2"/>
  <c r="X137" i="2"/>
  <c r="AA137" i="2" s="1"/>
  <c r="Y79" i="2"/>
  <c r="X79" i="2"/>
  <c r="AH79" i="2"/>
  <c r="Z170" i="2"/>
  <c r="AB170" i="2" s="1"/>
  <c r="Z45" i="2"/>
  <c r="AB45" i="2" s="1"/>
  <c r="AK581" i="1"/>
  <c r="AB581" i="1"/>
  <c r="AA581" i="1"/>
  <c r="AD8" i="3"/>
  <c r="AE8" i="3" s="1"/>
  <c r="AG8" i="3" s="1"/>
  <c r="Y100" i="2"/>
  <c r="X100" i="2"/>
  <c r="AA100" i="2" s="1"/>
  <c r="AC634" i="1"/>
  <c r="AE634" i="1" s="1"/>
  <c r="AB352" i="1"/>
  <c r="AA352" i="1"/>
  <c r="AK352" i="1"/>
  <c r="AB454" i="1"/>
  <c r="AA454" i="1"/>
  <c r="AB391" i="1"/>
  <c r="AA391" i="1"/>
  <c r="AC223" i="1"/>
  <c r="AE223" i="1" s="1"/>
  <c r="AB410" i="1"/>
  <c r="AA410" i="1"/>
  <c r="AB236" i="1"/>
  <c r="AA236" i="1"/>
  <c r="AB439" i="1"/>
  <c r="AA439" i="1"/>
  <c r="AB365" i="1"/>
  <c r="AA365" i="1"/>
  <c r="AB314" i="1"/>
  <c r="AA314" i="1"/>
  <c r="AC349" i="1"/>
  <c r="AE349" i="1" s="1"/>
  <c r="AC64" i="1"/>
  <c r="AE64" i="1" s="1"/>
  <c r="AB149" i="1"/>
  <c r="AA149" i="1"/>
  <c r="AA34" i="1"/>
  <c r="AB34" i="1"/>
  <c r="AB15" i="3"/>
  <c r="Z15" i="3"/>
  <c r="Y15" i="3"/>
  <c r="AB121" i="1"/>
  <c r="AA121" i="1"/>
  <c r="AK121" i="1"/>
  <c r="Y108" i="2"/>
  <c r="X108" i="2"/>
  <c r="AH108" i="2"/>
  <c r="Y170" i="2"/>
  <c r="X170" i="2"/>
  <c r="AA170" i="2" s="1"/>
  <c r="AI170" i="2"/>
  <c r="Y143" i="2"/>
  <c r="X143" i="2"/>
  <c r="AA143" i="2" s="1"/>
  <c r="AI143" i="2"/>
  <c r="Y61" i="2"/>
  <c r="X61" i="2"/>
  <c r="AA61" i="2" s="1"/>
  <c r="AH61" i="2"/>
  <c r="Z20" i="2"/>
  <c r="AB20" i="2" s="1"/>
  <c r="AB595" i="1"/>
  <c r="AA595" i="1"/>
  <c r="AK596" i="1"/>
  <c r="AB572" i="1"/>
  <c r="AA572" i="1"/>
  <c r="AC65" i="1"/>
  <c r="AE65" i="1" s="1"/>
  <c r="AA94" i="1"/>
  <c r="AB94" i="1"/>
  <c r="AA96" i="1"/>
  <c r="AB96" i="1"/>
  <c r="AB228" i="1"/>
  <c r="AA228" i="1"/>
  <c r="Y19" i="3"/>
  <c r="AB19" i="3" s="1"/>
  <c r="Z19" i="3"/>
  <c r="Y6" i="3"/>
  <c r="AB6" i="3" s="1"/>
  <c r="Z6" i="3"/>
  <c r="Y129" i="2"/>
  <c r="X129" i="2"/>
  <c r="AA129" i="2" s="1"/>
  <c r="Y142" i="2"/>
  <c r="X142" i="2"/>
  <c r="AI142" i="2"/>
  <c r="AA142" i="2"/>
  <c r="Y83" i="2"/>
  <c r="X83" i="2"/>
  <c r="AH83" i="2"/>
  <c r="AA83" i="2"/>
  <c r="Y29" i="2"/>
  <c r="AA29" i="2" s="1"/>
  <c r="X29" i="2"/>
  <c r="Z134" i="2"/>
  <c r="AB134" i="2" s="1"/>
  <c r="AH74" i="2"/>
  <c r="X74" i="2"/>
  <c r="Y74" i="2"/>
  <c r="Z102" i="2"/>
  <c r="AB102" i="2" s="1"/>
  <c r="Z172" i="2"/>
  <c r="AB172" i="2" s="1"/>
  <c r="Y45" i="2"/>
  <c r="X45" i="2"/>
  <c r="Y69" i="2"/>
  <c r="X69" i="2"/>
  <c r="AH69" i="2"/>
  <c r="Y167" i="2"/>
  <c r="X167" i="2"/>
  <c r="AA167" i="2" s="1"/>
  <c r="AI167" i="2"/>
  <c r="Z38" i="2"/>
  <c r="AB38" i="2" s="1"/>
  <c r="Z164" i="2"/>
  <c r="AB164" i="2" s="1"/>
  <c r="AC533" i="1"/>
  <c r="AE533" i="1" s="1"/>
  <c r="AB643" i="1"/>
  <c r="AA643" i="1"/>
  <c r="AB594" i="1"/>
  <c r="AA594" i="1"/>
  <c r="AB554" i="1"/>
  <c r="AA554" i="1"/>
  <c r="AB350" i="1"/>
  <c r="AA350" i="1"/>
  <c r="AB295" i="1"/>
  <c r="AA295" i="1"/>
  <c r="AA530" i="1"/>
  <c r="AB530" i="1"/>
  <c r="AC539" i="1"/>
  <c r="AE539" i="1" s="1"/>
  <c r="AC450" i="1"/>
  <c r="AE450" i="1" s="1"/>
  <c r="AC566" i="1"/>
  <c r="AE566" i="1" s="1"/>
  <c r="AB644" i="1"/>
  <c r="AA644" i="1"/>
  <c r="AC546" i="1"/>
  <c r="AE546" i="1" s="1"/>
  <c r="AB656" i="1"/>
  <c r="AA656" i="1"/>
  <c r="AL656" i="1"/>
  <c r="AC572" i="1"/>
  <c r="AE572" i="1" s="1"/>
  <c r="AA506" i="1"/>
  <c r="AB506" i="1"/>
  <c r="AB401" i="1"/>
  <c r="AA401" i="1"/>
  <c r="AC299" i="1"/>
  <c r="AE299" i="1" s="1"/>
  <c r="AC244" i="1"/>
  <c r="AE244" i="1" s="1"/>
  <c r="AB448" i="1"/>
  <c r="AA448" i="1"/>
  <c r="AC412" i="1"/>
  <c r="AE412" i="1" s="1"/>
  <c r="AB322" i="1"/>
  <c r="AA322" i="1"/>
  <c r="AC445" i="1"/>
  <c r="AE445" i="1" s="1"/>
  <c r="AC305" i="1"/>
  <c r="AE305" i="1" s="1"/>
  <c r="AB509" i="1"/>
  <c r="AA509" i="1"/>
  <c r="AC447" i="1"/>
  <c r="AE447" i="1" s="1"/>
  <c r="AB425" i="1"/>
  <c r="AA425" i="1"/>
  <c r="AB301" i="1"/>
  <c r="AA301" i="1"/>
  <c r="AK438" i="1"/>
  <c r="AB438" i="1"/>
  <c r="AA438" i="1"/>
  <c r="AC392" i="1"/>
  <c r="AE392" i="1" s="1"/>
  <c r="W159" i="1"/>
  <c r="Y159" i="1" s="1"/>
  <c r="V159" i="1"/>
  <c r="X159" i="1" s="1"/>
  <c r="AB471" i="1"/>
  <c r="AA471" i="1"/>
  <c r="AA461" i="1"/>
  <c r="AB461" i="1"/>
  <c r="AC431" i="1"/>
  <c r="AE431" i="1" s="1"/>
  <c r="AC386" i="1"/>
  <c r="AE386" i="1" s="1"/>
  <c r="AC283" i="1"/>
  <c r="AE283" i="1" s="1"/>
  <c r="AB20" i="1"/>
  <c r="AA20" i="1"/>
  <c r="AB188" i="1"/>
  <c r="AA188" i="1"/>
  <c r="AC99" i="1"/>
  <c r="AE99" i="1" s="1"/>
  <c r="AB216" i="1"/>
  <c r="AA216" i="1"/>
  <c r="AB120" i="1"/>
  <c r="AA120" i="1"/>
  <c r="AB199" i="1"/>
  <c r="AA199" i="1"/>
  <c r="AB235" i="1"/>
  <c r="AA235" i="1"/>
  <c r="AC28" i="1"/>
  <c r="AE28" i="1" s="1"/>
  <c r="AC185" i="1"/>
  <c r="AE185" i="1" s="1"/>
  <c r="AC102" i="1"/>
  <c r="AE102" i="1" s="1"/>
  <c r="AA45" i="1"/>
  <c r="AB45" i="1"/>
  <c r="AB113" i="1"/>
  <c r="AA113" i="1"/>
  <c r="AB135" i="1"/>
  <c r="AA135" i="1"/>
  <c r="AC83" i="1"/>
  <c r="AE83" i="1" s="1"/>
  <c r="AB152" i="1"/>
  <c r="AA152" i="1"/>
  <c r="AC142" i="1"/>
  <c r="AE142" i="1" s="1"/>
  <c r="AC25" i="1"/>
  <c r="AE25" i="1" s="1"/>
  <c r="AC509" i="1"/>
  <c r="AE509" i="1" s="1"/>
  <c r="AC216" i="1"/>
  <c r="AE216" i="1" s="1"/>
  <c r="AB221" i="1"/>
  <c r="AA221" i="1"/>
  <c r="AA13" i="3"/>
  <c r="AC13" i="3" s="1"/>
  <c r="Y22" i="3"/>
  <c r="AB22" i="3"/>
  <c r="Z22" i="3"/>
  <c r="AC26" i="3"/>
  <c r="AA26" i="3"/>
  <c r="AA15" i="3"/>
  <c r="AC15" i="3" s="1"/>
  <c r="Y97" i="2"/>
  <c r="X97" i="2"/>
  <c r="Y116" i="2"/>
  <c r="AA116" i="2" s="1"/>
  <c r="X116" i="2"/>
  <c r="AH116" i="2"/>
  <c r="Y85" i="2"/>
  <c r="AA85" i="2" s="1"/>
  <c r="X85" i="2"/>
  <c r="Z178" i="2"/>
  <c r="AB178" i="2" s="1"/>
  <c r="Z52" i="2"/>
  <c r="AB52" i="2" s="1"/>
  <c r="Z32" i="2"/>
  <c r="AB32" i="2" s="1"/>
  <c r="Z25" i="2"/>
  <c r="AB25" i="2" s="1"/>
  <c r="Z143" i="2"/>
  <c r="AB143" i="2" s="1"/>
  <c r="Y19" i="2"/>
  <c r="X19" i="2"/>
  <c r="Y50" i="2"/>
  <c r="X50" i="2"/>
  <c r="AA50" i="2" s="1"/>
  <c r="Y92" i="2"/>
  <c r="X92" i="2"/>
  <c r="X39" i="2"/>
  <c r="Y39" i="2"/>
  <c r="AC545" i="1"/>
  <c r="AE545" i="1" s="1"/>
  <c r="AC598" i="1"/>
  <c r="AE598" i="1" s="1"/>
  <c r="AC581" i="1"/>
  <c r="AE581" i="1" s="1"/>
  <c r="AB563" i="1"/>
  <c r="AA563" i="1"/>
  <c r="AA629" i="1"/>
  <c r="AB629" i="1"/>
  <c r="AC590" i="1"/>
  <c r="AE590" i="1" s="1"/>
  <c r="AC573" i="1"/>
  <c r="AE573" i="1" s="1"/>
  <c r="AC507" i="1"/>
  <c r="AE507" i="1" s="1"/>
  <c r="W522" i="1"/>
  <c r="Y522" i="1" s="1"/>
  <c r="V522" i="1"/>
  <c r="X522" i="1" s="1"/>
  <c r="AB512" i="1"/>
  <c r="AA512" i="1"/>
  <c r="AB640" i="1"/>
  <c r="AA640" i="1"/>
  <c r="AL640" i="1"/>
  <c r="AB568" i="1"/>
  <c r="AA568" i="1"/>
  <c r="AB593" i="1"/>
  <c r="AA593" i="1"/>
  <c r="AC524" i="1"/>
  <c r="AE524" i="1" s="1"/>
  <c r="AB442" i="1"/>
  <c r="AA442" i="1"/>
  <c r="AC454" i="1"/>
  <c r="AE454" i="1" s="1"/>
  <c r="AB258" i="1"/>
  <c r="AA258" i="1"/>
  <c r="AC515" i="1"/>
  <c r="AE515" i="1" s="1"/>
  <c r="AC437" i="1"/>
  <c r="AE437" i="1" s="1"/>
  <c r="AA305" i="1"/>
  <c r="AB305" i="1"/>
  <c r="AA479" i="1"/>
  <c r="AB479" i="1"/>
  <c r="AC468" i="1"/>
  <c r="AE468" i="1" s="1"/>
  <c r="AC439" i="1"/>
  <c r="AE439" i="1" s="1"/>
  <c r="AB534" i="1"/>
  <c r="AA534" i="1"/>
  <c r="AB441" i="1"/>
  <c r="AA441" i="1"/>
  <c r="AB231" i="1"/>
  <c r="AA231" i="1"/>
  <c r="AC137" i="1"/>
  <c r="AE137" i="1" s="1"/>
  <c r="AA57" i="1"/>
  <c r="AB57" i="1"/>
  <c r="AC390" i="1"/>
  <c r="AE390" i="1" s="1"/>
  <c r="AC504" i="1"/>
  <c r="AE504" i="1" s="1"/>
  <c r="AC309" i="1"/>
  <c r="AE309" i="1" s="1"/>
  <c r="AC138" i="1"/>
  <c r="AE138" i="1" s="1"/>
  <c r="AC488" i="1"/>
  <c r="AE488" i="1" s="1"/>
  <c r="AB331" i="1"/>
  <c r="AA331" i="1"/>
  <c r="AK332" i="1"/>
  <c r="AB498" i="1"/>
  <c r="AA498" i="1"/>
  <c r="AB413" i="1"/>
  <c r="AA413" i="1"/>
  <c r="AC379" i="1"/>
  <c r="AE379" i="1" s="1"/>
  <c r="AB165" i="1"/>
  <c r="AA165" i="1"/>
  <c r="AB239" i="1"/>
  <c r="AA239" i="1"/>
  <c r="AB181" i="1"/>
  <c r="AA181" i="1"/>
  <c r="AB151" i="1"/>
  <c r="AA151" i="1"/>
  <c r="AC94" i="1"/>
  <c r="AE94" i="1" s="1"/>
  <c r="AC257" i="1"/>
  <c r="AE257" i="1" s="1"/>
  <c r="AB56" i="1"/>
  <c r="AA56" i="1"/>
  <c r="AC194" i="1"/>
  <c r="AE194" i="1" s="1"/>
  <c r="AB30" i="1"/>
  <c r="AA30" i="1"/>
  <c r="AC112" i="1"/>
  <c r="AE112" i="1" s="1"/>
  <c r="AB201" i="1"/>
  <c r="AA201" i="1"/>
  <c r="AB88" i="1"/>
  <c r="AA88" i="1"/>
  <c r="AC228" i="1"/>
  <c r="AE228" i="1" s="1"/>
  <c r="AC200" i="1"/>
  <c r="AE200" i="1" s="1"/>
  <c r="AB240" i="1"/>
  <c r="AA240" i="1"/>
  <c r="AC182" i="1"/>
  <c r="AE182" i="1" s="1"/>
  <c r="AA84" i="1"/>
  <c r="AB84" i="1"/>
  <c r="AC230" i="1"/>
  <c r="AE230" i="1" s="1"/>
  <c r="AB390" i="1"/>
  <c r="AA390" i="1"/>
  <c r="W73" i="1"/>
  <c r="S73" i="1"/>
  <c r="X73" i="1" s="1"/>
  <c r="AC88" i="1"/>
  <c r="AE88" i="1" s="1"/>
  <c r="AI23" i="3"/>
  <c r="Z25" i="3"/>
  <c r="AB25" i="3" s="1"/>
  <c r="Y25" i="3"/>
  <c r="AI24" i="3"/>
  <c r="AI18" i="3"/>
  <c r="AI19" i="3"/>
  <c r="AI20" i="3"/>
  <c r="AI21" i="3"/>
  <c r="AI22" i="3"/>
  <c r="AC22" i="3"/>
  <c r="AA22" i="3"/>
  <c r="Y9" i="3"/>
  <c r="AB9" i="3" s="1"/>
  <c r="Z9" i="3"/>
  <c r="Z26" i="3"/>
  <c r="Y26" i="3"/>
  <c r="AB26" i="3" s="1"/>
  <c r="Y16" i="3"/>
  <c r="AB16" i="3"/>
  <c r="Z16" i="3"/>
  <c r="Y86" i="2"/>
  <c r="X86" i="2"/>
  <c r="Y113" i="2"/>
  <c r="X113" i="2"/>
  <c r="AH113" i="2"/>
  <c r="Y119" i="2"/>
  <c r="AA119" i="2" s="1"/>
  <c r="X119" i="2"/>
  <c r="AH119" i="2"/>
  <c r="Y55" i="2"/>
  <c r="X55" i="2"/>
  <c r="AA55" i="2"/>
  <c r="Y73" i="2"/>
  <c r="X73" i="2"/>
  <c r="AH73" i="2"/>
  <c r="Z155" i="2"/>
  <c r="AB155" i="2" s="1"/>
  <c r="Y117" i="2"/>
  <c r="X117" i="2"/>
  <c r="AA117" i="2" s="1"/>
  <c r="AH117" i="2"/>
  <c r="Y40" i="2"/>
  <c r="AH40" i="2"/>
  <c r="X40" i="2"/>
  <c r="Y178" i="2"/>
  <c r="X178" i="2"/>
  <c r="AI178" i="2"/>
  <c r="X21" i="2"/>
  <c r="Y21" i="2"/>
  <c r="AA21" i="2" s="1"/>
  <c r="Z135" i="2"/>
  <c r="AB135" i="2" s="1"/>
  <c r="Y53" i="2"/>
  <c r="X53" i="2"/>
  <c r="AH18" i="2"/>
  <c r="Z18" i="2"/>
  <c r="AB18" i="2" s="1"/>
  <c r="Y17" i="2"/>
  <c r="X17" i="2"/>
  <c r="AA17" i="2" s="1"/>
  <c r="AA84" i="2"/>
  <c r="Y84" i="2"/>
  <c r="X84" i="2"/>
  <c r="AH84" i="2"/>
  <c r="Y138" i="2"/>
  <c r="X138" i="2"/>
  <c r="AI138" i="2"/>
  <c r="Z27" i="2"/>
  <c r="AB27" i="2" s="1"/>
  <c r="Y151" i="2"/>
  <c r="X151" i="2"/>
  <c r="AI151" i="2"/>
  <c r="Y67" i="2"/>
  <c r="X67" i="2"/>
  <c r="AH67" i="2"/>
  <c r="X24" i="2"/>
  <c r="AA24" i="2" s="1"/>
  <c r="Y24" i="2"/>
  <c r="Z96" i="2"/>
  <c r="AB96" i="2" s="1"/>
  <c r="AE96" i="2" s="1"/>
  <c r="AG96" i="2" s="1"/>
  <c r="AA528" i="1"/>
  <c r="AB528" i="1"/>
  <c r="AB606" i="1"/>
  <c r="AA606" i="1"/>
  <c r="AK541" i="1"/>
  <c r="AB541" i="1"/>
  <c r="AA541" i="1"/>
  <c r="AC580" i="1"/>
  <c r="AE580" i="1" s="1"/>
  <c r="AC511" i="1"/>
  <c r="AE511" i="1" s="1"/>
  <c r="AB603" i="1"/>
  <c r="AA603" i="1"/>
  <c r="AC559" i="1"/>
  <c r="AE559" i="1" s="1"/>
  <c r="AC286" i="1"/>
  <c r="AE286" i="1" s="1"/>
  <c r="AC433" i="1"/>
  <c r="AE433" i="1" s="1"/>
  <c r="AB250" i="1"/>
  <c r="AA250" i="1"/>
  <c r="AC534" i="1"/>
  <c r="AE534" i="1" s="1"/>
  <c r="AC441" i="1"/>
  <c r="AE441" i="1" s="1"/>
  <c r="AB335" i="1"/>
  <c r="AA335" i="1"/>
  <c r="AB297" i="1"/>
  <c r="AA297" i="1"/>
  <c r="AB225" i="1"/>
  <c r="AA225" i="1"/>
  <c r="AB131" i="1"/>
  <c r="AA131" i="1"/>
  <c r="AA47" i="1"/>
  <c r="AB47" i="1"/>
  <c r="AC400" i="1"/>
  <c r="AE400" i="1" s="1"/>
  <c r="AB306" i="1"/>
  <c r="AA306" i="1"/>
  <c r="AC422" i="1"/>
  <c r="AE422" i="1" s="1"/>
  <c r="AB266" i="1"/>
  <c r="AA266" i="1"/>
  <c r="AB144" i="1"/>
  <c r="AA144" i="1"/>
  <c r="AC237" i="1"/>
  <c r="AE237" i="1" s="1"/>
  <c r="AC165" i="1"/>
  <c r="AE165" i="1" s="1"/>
  <c r="AC181" i="1"/>
  <c r="AE181" i="1" s="1"/>
  <c r="AC146" i="1"/>
  <c r="AE146" i="1" s="1"/>
  <c r="AB82" i="1"/>
  <c r="AA82" i="1"/>
  <c r="AA153" i="1"/>
  <c r="AB153" i="1"/>
  <c r="AC100" i="1"/>
  <c r="AE100" i="1" s="1"/>
  <c r="AB294" i="1"/>
  <c r="AA294" i="1"/>
  <c r="AB87" i="1"/>
  <c r="AA87" i="1"/>
  <c r="AB23" i="1"/>
  <c r="AA23" i="1"/>
  <c r="AB150" i="1"/>
  <c r="AA150" i="1"/>
  <c r="AK150" i="1"/>
  <c r="AB217" i="1"/>
  <c r="AA217" i="1"/>
  <c r="AB71" i="1"/>
  <c r="AA71" i="1"/>
  <c r="AC240" i="1"/>
  <c r="AE240" i="1" s="1"/>
  <c r="AC8" i="1"/>
  <c r="AE8" i="1" s="1"/>
  <c r="AB447" i="1"/>
  <c r="AA447" i="1"/>
  <c r="AB167" i="1"/>
  <c r="AA167" i="1"/>
  <c r="AA287" i="1"/>
  <c r="AB287" i="1"/>
  <c r="AC235" i="1"/>
  <c r="AE235" i="1" s="1"/>
  <c r="AC135" i="1"/>
  <c r="AE135" i="1" s="1"/>
  <c r="AA25" i="3"/>
  <c r="AC25" i="3" s="1"/>
  <c r="AC18" i="3"/>
  <c r="AA18" i="3"/>
  <c r="Z24" i="3"/>
  <c r="Y24" i="3"/>
  <c r="AB24" i="3" s="1"/>
  <c r="AB10" i="3"/>
  <c r="Z10" i="3"/>
  <c r="Y10" i="3"/>
  <c r="AH82" i="2"/>
  <c r="Y82" i="2"/>
  <c r="X82" i="2"/>
  <c r="Z69" i="2"/>
  <c r="AB69" i="2" s="1"/>
  <c r="Y155" i="2"/>
  <c r="X155" i="2"/>
  <c r="AI155" i="2"/>
  <c r="Z111" i="2"/>
  <c r="AB111" i="2" s="1"/>
  <c r="Y43" i="2"/>
  <c r="X43" i="2"/>
  <c r="Y93" i="2"/>
  <c r="AA93" i="2" s="1"/>
  <c r="X93" i="2"/>
  <c r="Z139" i="2"/>
  <c r="AB139" i="2" s="1"/>
  <c r="X63" i="2"/>
  <c r="Y63" i="2"/>
  <c r="Y81" i="2"/>
  <c r="X81" i="2"/>
  <c r="AA81" i="2" s="1"/>
  <c r="AH81" i="2"/>
  <c r="Z23" i="2"/>
  <c r="AB23" i="2" s="1"/>
  <c r="AH23" i="2"/>
  <c r="Z50" i="2"/>
  <c r="AB50" i="2" s="1"/>
  <c r="Y102" i="2"/>
  <c r="X102" i="2"/>
  <c r="AA102" i="2" s="1"/>
  <c r="AH102" i="2"/>
  <c r="X16" i="2"/>
  <c r="Y16" i="2"/>
  <c r="AA16" i="2" s="1"/>
  <c r="Z138" i="2"/>
  <c r="AB138" i="2" s="1"/>
  <c r="Y112" i="2"/>
  <c r="X112" i="2"/>
  <c r="AA112" i="2" s="1"/>
  <c r="AH112" i="2"/>
  <c r="Z24" i="2"/>
  <c r="AB24" i="2" s="1"/>
  <c r="AB636" i="1"/>
  <c r="AA636" i="1"/>
  <c r="AC528" i="1"/>
  <c r="AE528" i="1" s="1"/>
  <c r="AB583" i="1"/>
  <c r="AA583" i="1"/>
  <c r="AC552" i="1"/>
  <c r="AE552" i="1" s="1"/>
  <c r="AC585" i="1"/>
  <c r="AE585" i="1" s="1"/>
  <c r="AB507" i="1"/>
  <c r="AA507" i="1"/>
  <c r="AB621" i="1"/>
  <c r="AA621" i="1"/>
  <c r="AC553" i="1"/>
  <c r="AE553" i="1" s="1"/>
  <c r="AC506" i="1"/>
  <c r="AE506" i="1" s="1"/>
  <c r="AB527" i="1"/>
  <c r="AA527" i="1"/>
  <c r="AB394" i="1"/>
  <c r="AA394" i="1"/>
  <c r="AC327" i="1"/>
  <c r="AE327" i="1" s="1"/>
  <c r="AC278" i="1"/>
  <c r="AE278" i="1" s="1"/>
  <c r="AC204" i="1"/>
  <c r="AE204" i="1" s="1"/>
  <c r="AB310" i="1"/>
  <c r="AA310" i="1"/>
  <c r="AK244" i="1"/>
  <c r="AB244" i="1"/>
  <c r="AA244" i="1"/>
  <c r="AB495" i="1"/>
  <c r="AA495" i="1"/>
  <c r="AC435" i="1"/>
  <c r="AE435" i="1" s="1"/>
  <c r="AB396" i="1"/>
  <c r="AA396" i="1"/>
  <c r="AB464" i="1"/>
  <c r="AA464" i="1"/>
  <c r="AC416" i="1"/>
  <c r="AE416" i="1" s="1"/>
  <c r="AC363" i="1"/>
  <c r="AE363" i="1" s="1"/>
  <c r="AB489" i="1"/>
  <c r="AA489" i="1"/>
  <c r="AB423" i="1"/>
  <c r="AA423" i="1"/>
  <c r="AC335" i="1"/>
  <c r="AE335" i="1" s="1"/>
  <c r="AB395" i="1"/>
  <c r="AA395" i="1"/>
  <c r="AK395" i="1"/>
  <c r="AC436" i="1"/>
  <c r="AE436" i="1" s="1"/>
  <c r="AA397" i="1"/>
  <c r="AB397" i="1"/>
  <c r="AC456" i="1"/>
  <c r="AE456" i="1" s="1"/>
  <c r="AC144" i="1"/>
  <c r="AE144" i="1" s="1"/>
  <c r="AK98" i="1"/>
  <c r="AB98" i="1"/>
  <c r="AA98" i="1"/>
  <c r="AC29" i="1"/>
  <c r="AE29" i="1" s="1"/>
  <c r="AC294" i="1"/>
  <c r="AE294" i="1" s="1"/>
  <c r="AB196" i="1"/>
  <c r="AA196" i="1"/>
  <c r="AC161" i="1"/>
  <c r="AE161" i="1" s="1"/>
  <c r="AC150" i="1"/>
  <c r="AE150" i="1" s="1"/>
  <c r="AC72" i="1"/>
  <c r="AE72" i="1" s="1"/>
  <c r="AC217" i="1"/>
  <c r="AE217" i="1" s="1"/>
  <c r="AB156" i="1"/>
  <c r="AA156" i="1"/>
  <c r="AB177" i="1"/>
  <c r="AA177" i="1"/>
  <c r="AB74" i="1"/>
  <c r="AA74" i="1"/>
  <c r="AB198" i="1"/>
  <c r="AA198" i="1"/>
  <c r="AB26" i="1"/>
  <c r="AA26" i="1"/>
  <c r="AC275" i="1"/>
  <c r="AE275" i="1" s="1"/>
  <c r="AA40" i="1"/>
  <c r="AB40" i="1"/>
  <c r="Y13" i="3"/>
  <c r="AB13" i="3"/>
  <c r="Z13" i="3"/>
  <c r="AC24" i="3"/>
  <c r="AA24" i="3"/>
  <c r="AA10" i="3"/>
  <c r="AC10" i="3" s="1"/>
  <c r="Z165" i="2"/>
  <c r="AB165" i="2" s="1"/>
  <c r="Z58" i="2"/>
  <c r="AB58" i="2" s="1"/>
  <c r="Y111" i="2"/>
  <c r="X111" i="2"/>
  <c r="AA111" i="2" s="1"/>
  <c r="AH111" i="2"/>
  <c r="Y150" i="2"/>
  <c r="X150" i="2"/>
  <c r="AI150" i="2"/>
  <c r="Z171" i="2"/>
  <c r="AB171" i="2" s="1"/>
  <c r="Z93" i="2"/>
  <c r="AB93" i="2" s="1"/>
  <c r="Z63" i="2"/>
  <c r="AB63" i="2" s="1"/>
  <c r="AH78" i="2"/>
  <c r="X78" i="2"/>
  <c r="AA78" i="2" s="1"/>
  <c r="Y78" i="2"/>
  <c r="X22" i="2"/>
  <c r="Y22" i="2"/>
  <c r="Z133" i="2"/>
  <c r="AB133" i="2" s="1"/>
  <c r="AH47" i="2"/>
  <c r="Y47" i="2"/>
  <c r="X47" i="2"/>
  <c r="Z160" i="2"/>
  <c r="AB160" i="2" s="1"/>
  <c r="Y88" i="2"/>
  <c r="X88" i="2"/>
  <c r="Y5" i="2"/>
  <c r="X5" i="2"/>
  <c r="Y130" i="2"/>
  <c r="X130" i="2"/>
  <c r="AA130" i="2" s="1"/>
  <c r="Z90" i="2"/>
  <c r="AB90" i="2" s="1"/>
  <c r="Y132" i="2"/>
  <c r="X132" i="2"/>
  <c r="AI132" i="2"/>
  <c r="X8" i="2"/>
  <c r="AA8" i="2" s="1"/>
  <c r="Y8" i="2"/>
  <c r="Y62" i="2"/>
  <c r="X62" i="2"/>
  <c r="Z42" i="2"/>
  <c r="AB42" i="2" s="1"/>
  <c r="AB579" i="1"/>
  <c r="AA579" i="1"/>
  <c r="AC558" i="1"/>
  <c r="AE558" i="1" s="1"/>
  <c r="AC583" i="1"/>
  <c r="AE583" i="1" s="1"/>
  <c r="AC655" i="1"/>
  <c r="AE655" i="1" s="1"/>
  <c r="AB585" i="1"/>
  <c r="AA585" i="1"/>
  <c r="AB642" i="1"/>
  <c r="AA642" i="1"/>
  <c r="AB591" i="1"/>
  <c r="AA591" i="1"/>
  <c r="AM591" i="1"/>
  <c r="AA617" i="1"/>
  <c r="AK617" i="1"/>
  <c r="AB617" i="1"/>
  <c r="AK618" i="1"/>
  <c r="AB553" i="1"/>
  <c r="AA553" i="1"/>
  <c r="AC421" i="1"/>
  <c r="AE421" i="1" s="1"/>
  <c r="AB282" i="1"/>
  <c r="AA282" i="1"/>
  <c r="AC141" i="1"/>
  <c r="AE141" i="1" s="1"/>
  <c r="AB223" i="1"/>
  <c r="AA223" i="1"/>
  <c r="AB289" i="1"/>
  <c r="AA289" i="1"/>
  <c r="AB497" i="1"/>
  <c r="AA497" i="1"/>
  <c r="AC474" i="1"/>
  <c r="AE474" i="1" s="1"/>
  <c r="AC464" i="1"/>
  <c r="AE464" i="1" s="1"/>
  <c r="AC372" i="1"/>
  <c r="AE372" i="1" s="1"/>
  <c r="AC332" i="1"/>
  <c r="AE332" i="1" s="1"/>
  <c r="AB211" i="1"/>
  <c r="AA211" i="1"/>
  <c r="AB387" i="1"/>
  <c r="AA387" i="1"/>
  <c r="AB477" i="1"/>
  <c r="AA477" i="1"/>
  <c r="AA292" i="1"/>
  <c r="AB292" i="1"/>
  <c r="AC395" i="1"/>
  <c r="AE395" i="1" s="1"/>
  <c r="AB496" i="1"/>
  <c r="AA496" i="1"/>
  <c r="AB298" i="1"/>
  <c r="AA298" i="1"/>
  <c r="AC469" i="1"/>
  <c r="AE469" i="1" s="1"/>
  <c r="AC325" i="1"/>
  <c r="AE325" i="1" s="1"/>
  <c r="AC366" i="1"/>
  <c r="AE366" i="1" s="1"/>
  <c r="AB55" i="1"/>
  <c r="AA55" i="1"/>
  <c r="AC205" i="1"/>
  <c r="AE205" i="1" s="1"/>
  <c r="AC98" i="1"/>
  <c r="AE98" i="1" s="1"/>
  <c r="AC208" i="1"/>
  <c r="AE208" i="1" s="1"/>
  <c r="AB183" i="1"/>
  <c r="AA183" i="1"/>
  <c r="AC122" i="1"/>
  <c r="AE122" i="1" s="1"/>
  <c r="AB46" i="1"/>
  <c r="AA46" i="1"/>
  <c r="AC254" i="1"/>
  <c r="AE254" i="1" s="1"/>
  <c r="AC196" i="1"/>
  <c r="AE196" i="1" s="1"/>
  <c r="AB161" i="1"/>
  <c r="AA161" i="1"/>
  <c r="AC119" i="1"/>
  <c r="AE119" i="1" s="1"/>
  <c r="AB256" i="1"/>
  <c r="AA256" i="1"/>
  <c r="AC177" i="1"/>
  <c r="AE177" i="1" s="1"/>
  <c r="AC74" i="1"/>
  <c r="AE74" i="1" s="1"/>
  <c r="AC198" i="1"/>
  <c r="AE198" i="1" s="1"/>
  <c r="AA309" i="1"/>
  <c r="AB309" i="1"/>
  <c r="AC27" i="1"/>
  <c r="AE27" i="1" s="1"/>
  <c r="AD12" i="3"/>
  <c r="AF12" i="3" s="1"/>
  <c r="AH12" i="3" s="1"/>
  <c r="AE12" i="3"/>
  <c r="AG12" i="3" s="1"/>
  <c r="AC17" i="3"/>
  <c r="AA17" i="3"/>
  <c r="AB17" i="3"/>
  <c r="Z17" i="3"/>
  <c r="Y17" i="3"/>
  <c r="Z162" i="2"/>
  <c r="AB162" i="2" s="1"/>
  <c r="Y110" i="2"/>
  <c r="X110" i="2"/>
  <c r="AH110" i="2"/>
  <c r="Z166" i="2"/>
  <c r="AB166" i="2" s="1"/>
  <c r="Z146" i="2"/>
  <c r="AB146" i="2" s="1"/>
  <c r="Y105" i="2"/>
  <c r="X105" i="2"/>
  <c r="AA105" i="2" s="1"/>
  <c r="AH105" i="2"/>
  <c r="Z150" i="2"/>
  <c r="AB150" i="2" s="1"/>
  <c r="Y32" i="2"/>
  <c r="X32" i="2"/>
  <c r="Y91" i="2"/>
  <c r="X91" i="2"/>
  <c r="X133" i="2"/>
  <c r="AI133" i="2"/>
  <c r="Y133" i="2"/>
  <c r="AB47" i="2"/>
  <c r="Z47" i="2"/>
  <c r="Z88" i="2"/>
  <c r="AB88" i="2" s="1"/>
  <c r="AB132" i="2"/>
  <c r="Z132" i="2"/>
  <c r="Z8" i="2"/>
  <c r="AB8" i="2" s="1"/>
  <c r="Y42" i="2"/>
  <c r="X42" i="2"/>
  <c r="AB659" i="1"/>
  <c r="AA659" i="1"/>
  <c r="AC530" i="1"/>
  <c r="AE530" i="1" s="1"/>
  <c r="AB557" i="1"/>
  <c r="AA557" i="1"/>
  <c r="AC582" i="1"/>
  <c r="AE582" i="1" s="1"/>
  <c r="AC562" i="1"/>
  <c r="AE562" i="1" s="1"/>
  <c r="AC591" i="1"/>
  <c r="AE591" i="1" s="1"/>
  <c r="AB555" i="1"/>
  <c r="AA555" i="1"/>
  <c r="AC500" i="1"/>
  <c r="AE500" i="1" s="1"/>
  <c r="AB540" i="1"/>
  <c r="AA540" i="1"/>
  <c r="AK540" i="1"/>
  <c r="AC383" i="1"/>
  <c r="AE383" i="1" s="1"/>
  <c r="AB408" i="1"/>
  <c r="AA408" i="1"/>
  <c r="AB421" i="1"/>
  <c r="AA421" i="1"/>
  <c r="AB370" i="1"/>
  <c r="AA370" i="1"/>
  <c r="AC282" i="1"/>
  <c r="AE282" i="1" s="1"/>
  <c r="AC428" i="1"/>
  <c r="AE428" i="1" s="1"/>
  <c r="AB219" i="1"/>
  <c r="AA219" i="1"/>
  <c r="AB332" i="1"/>
  <c r="AA332" i="1"/>
  <c r="AA455" i="1"/>
  <c r="AB455" i="1"/>
  <c r="AB317" i="1"/>
  <c r="AA317" i="1"/>
  <c r="AC477" i="1"/>
  <c r="AE477" i="1" s="1"/>
  <c r="AC409" i="1"/>
  <c r="AE409" i="1" s="1"/>
  <c r="AC292" i="1"/>
  <c r="AE292" i="1" s="1"/>
  <c r="AB449" i="1"/>
  <c r="AA449" i="1"/>
  <c r="AC359" i="1"/>
  <c r="AE359" i="1" s="1"/>
  <c r="AC496" i="1"/>
  <c r="AE496" i="1" s="1"/>
  <c r="AA417" i="1"/>
  <c r="AB417" i="1"/>
  <c r="AC298" i="1"/>
  <c r="AE298" i="1" s="1"/>
  <c r="AB529" i="1"/>
  <c r="AA529" i="1"/>
  <c r="AB463" i="1"/>
  <c r="AA463" i="1"/>
  <c r="AK463" i="1"/>
  <c r="AB364" i="1"/>
  <c r="AA364" i="1"/>
  <c r="AC467" i="1"/>
  <c r="AE467" i="1" s="1"/>
  <c r="AB444" i="1"/>
  <c r="AA444" i="1"/>
  <c r="AK446" i="1"/>
  <c r="AB399" i="1"/>
  <c r="AA399" i="1"/>
  <c r="AC160" i="1"/>
  <c r="AE160" i="1" s="1"/>
  <c r="AB222" i="1"/>
  <c r="AA222" i="1"/>
  <c r="AB140" i="1"/>
  <c r="AA140" i="1"/>
  <c r="AB176" i="1"/>
  <c r="AA176" i="1"/>
  <c r="AB58" i="1"/>
  <c r="AA58" i="1"/>
  <c r="AB148" i="1"/>
  <c r="AA148" i="1"/>
  <c r="AB48" i="1"/>
  <c r="AA48" i="1"/>
  <c r="AB141" i="1"/>
  <c r="AA141" i="1"/>
  <c r="AC92" i="1"/>
  <c r="AE92" i="1" s="1"/>
  <c r="AB254" i="1"/>
  <c r="AA254" i="1"/>
  <c r="AB60" i="1"/>
  <c r="AA60" i="1"/>
  <c r="AC243" i="1"/>
  <c r="AE243" i="1" s="1"/>
  <c r="AB279" i="1"/>
  <c r="AA279" i="1"/>
  <c r="AK279" i="1"/>
  <c r="AB193" i="1"/>
  <c r="AA193" i="1"/>
  <c r="AC256" i="1"/>
  <c r="AE256" i="1" s="1"/>
  <c r="AB172" i="1"/>
  <c r="AA172" i="1"/>
  <c r="AC123" i="1"/>
  <c r="AE123" i="1" s="1"/>
  <c r="AC84" i="1"/>
  <c r="AE84" i="1" s="1"/>
  <c r="AC13" i="1"/>
  <c r="AE13" i="1" s="1"/>
  <c r="AC425" i="1"/>
  <c r="AE425" i="1" s="1"/>
  <c r="AC157" i="1"/>
  <c r="AE157" i="1" s="1"/>
  <c r="AC113" i="1"/>
  <c r="AE113" i="1" s="1"/>
  <c r="Z23" i="3"/>
  <c r="AB23" i="3" s="1"/>
  <c r="Y23" i="3"/>
  <c r="AA14" i="3"/>
  <c r="AC14" i="3" s="1"/>
  <c r="Z152" i="2"/>
  <c r="AB152" i="2" s="1"/>
  <c r="AI165" i="2"/>
  <c r="Y165" i="2"/>
  <c r="X165" i="2"/>
  <c r="Z161" i="2"/>
  <c r="AB161" i="2" s="1"/>
  <c r="Z105" i="2"/>
  <c r="AB105" i="2" s="1"/>
  <c r="Y31" i="2"/>
  <c r="X31" i="2"/>
  <c r="Y163" i="2"/>
  <c r="X163" i="2"/>
  <c r="AA163" i="2" s="1"/>
  <c r="AI163" i="2"/>
  <c r="Z91" i="2"/>
  <c r="AB91" i="2" s="1"/>
  <c r="Z56" i="2"/>
  <c r="AB56" i="2" s="1"/>
  <c r="X44" i="2"/>
  <c r="Y44" i="2"/>
  <c r="Z156" i="2"/>
  <c r="AB156" i="2" s="1"/>
  <c r="Y106" i="2"/>
  <c r="X106" i="2"/>
  <c r="AA106" i="2" s="1"/>
  <c r="AH106" i="2"/>
  <c r="Y15" i="2"/>
  <c r="X15" i="2"/>
  <c r="AA15" i="2" s="1"/>
  <c r="Z179" i="2"/>
  <c r="AB179" i="2" s="1"/>
  <c r="X35" i="2"/>
  <c r="Y35" i="2"/>
  <c r="X51" i="2"/>
  <c r="Y51" i="2"/>
  <c r="AA51" i="2" s="1"/>
  <c r="AB630" i="1"/>
  <c r="AA630" i="1"/>
  <c r="AC547" i="1"/>
  <c r="AE547" i="1" s="1"/>
  <c r="AB602" i="1"/>
  <c r="AA602" i="1"/>
  <c r="AA538" i="1"/>
  <c r="AK538" i="1"/>
  <c r="AB538" i="1"/>
  <c r="AB646" i="1"/>
  <c r="AA646" i="1"/>
  <c r="AL646" i="1"/>
  <c r="AB626" i="1"/>
  <c r="AA626" i="1"/>
  <c r="AC499" i="1"/>
  <c r="AE499" i="1" s="1"/>
  <c r="AC523" i="1"/>
  <c r="AE523" i="1" s="1"/>
  <c r="AB615" i="1"/>
  <c r="AA615" i="1"/>
  <c r="AB589" i="1"/>
  <c r="AA589" i="1"/>
  <c r="AB609" i="1"/>
  <c r="AA609" i="1"/>
  <c r="AC376" i="1"/>
  <c r="AE376" i="1" s="1"/>
  <c r="AB308" i="1"/>
  <c r="AA308" i="1"/>
  <c r="AC501" i="1"/>
  <c r="AE501" i="1" s="1"/>
  <c r="AB214" i="1"/>
  <c r="AA214" i="1"/>
  <c r="AA472" i="1"/>
  <c r="AK472" i="1"/>
  <c r="AB472" i="1"/>
  <c r="AC380" i="1"/>
  <c r="AE380" i="1" s="1"/>
  <c r="AA286" i="1"/>
  <c r="AB286" i="1"/>
  <c r="AB367" i="1"/>
  <c r="AA367" i="1"/>
  <c r="AC455" i="1"/>
  <c r="AE455" i="1" s="1"/>
  <c r="AB342" i="1"/>
  <c r="AA342" i="1"/>
  <c r="AK342" i="1"/>
  <c r="AB460" i="1"/>
  <c r="AA460" i="1"/>
  <c r="AB429" i="1"/>
  <c r="AA429" i="1"/>
  <c r="AC449" i="1"/>
  <c r="AE449" i="1" s="1"/>
  <c r="AB359" i="1"/>
  <c r="AA359" i="1"/>
  <c r="AC417" i="1"/>
  <c r="AE417" i="1" s="1"/>
  <c r="AC482" i="1"/>
  <c r="AE482" i="1" s="1"/>
  <c r="AB384" i="1"/>
  <c r="AA384" i="1"/>
  <c r="V86" i="1"/>
  <c r="X86" i="1" s="1"/>
  <c r="W86" i="1"/>
  <c r="Y86" i="1" s="1"/>
  <c r="AC444" i="1"/>
  <c r="AE444" i="1" s="1"/>
  <c r="AC222" i="1"/>
  <c r="AE222" i="1" s="1"/>
  <c r="AB174" i="1"/>
  <c r="AA174" i="1"/>
  <c r="AB171" i="1"/>
  <c r="AA171" i="1"/>
  <c r="AC69" i="1"/>
  <c r="AE69" i="1" s="1"/>
  <c r="AC58" i="1"/>
  <c r="AE58" i="1" s="1"/>
  <c r="AC148" i="1"/>
  <c r="AE148" i="1" s="1"/>
  <c r="AB18" i="1"/>
  <c r="AA18" i="1"/>
  <c r="AC60" i="1"/>
  <c r="AE60" i="1" s="1"/>
  <c r="AB170" i="1"/>
  <c r="AA170" i="1"/>
  <c r="AB145" i="1"/>
  <c r="AA145" i="1"/>
  <c r="AC147" i="1"/>
  <c r="AE147" i="1" s="1"/>
  <c r="AC172" i="1"/>
  <c r="AE172" i="1" s="1"/>
  <c r="AA13" i="1"/>
  <c r="AB13" i="1"/>
  <c r="AB200" i="1"/>
  <c r="AA200" i="1"/>
  <c r="AC23" i="3"/>
  <c r="AA23" i="3"/>
  <c r="AF21" i="3"/>
  <c r="AH21" i="3" s="1"/>
  <c r="Y14" i="3"/>
  <c r="AB14" i="3"/>
  <c r="Z14" i="3"/>
  <c r="AE7" i="3"/>
  <c r="AG7" i="3" s="1"/>
  <c r="AD7" i="3"/>
  <c r="AF8" i="3"/>
  <c r="AH8" i="3" s="1"/>
  <c r="Z147" i="2"/>
  <c r="AB147" i="2" s="1"/>
  <c r="AI162" i="2"/>
  <c r="Y162" i="2"/>
  <c r="X162" i="2"/>
  <c r="AA162" i="2" s="1"/>
  <c r="Y30" i="2"/>
  <c r="X30" i="2"/>
  <c r="AA30" i="2" s="1"/>
  <c r="Y80" i="2"/>
  <c r="AA80" i="2" s="1"/>
  <c r="X80" i="2"/>
  <c r="AH80" i="2"/>
  <c r="Z163" i="2"/>
  <c r="AB163" i="2" s="1"/>
  <c r="Z99" i="2"/>
  <c r="AB99" i="2" s="1"/>
  <c r="Z175" i="2"/>
  <c r="AB175" i="2" s="1"/>
  <c r="Z61" i="2"/>
  <c r="AB61" i="2" s="1"/>
  <c r="Z44" i="2"/>
  <c r="AB44" i="2" s="1"/>
  <c r="Z13" i="2"/>
  <c r="AB13" i="2" s="1"/>
  <c r="Z81" i="2"/>
  <c r="AB81" i="2" s="1"/>
  <c r="Z75" i="2"/>
  <c r="AB75" i="2" s="1"/>
  <c r="Y124" i="2"/>
  <c r="X124" i="2"/>
  <c r="AH124" i="2"/>
  <c r="Y179" i="2"/>
  <c r="AA179" i="2" s="1"/>
  <c r="X179" i="2"/>
  <c r="AI179" i="2"/>
  <c r="X11" i="2"/>
  <c r="Y11" i="2"/>
  <c r="AC567" i="1"/>
  <c r="AE567" i="1" s="1"/>
  <c r="AC350" i="1"/>
  <c r="AE350" i="1" s="1"/>
  <c r="AC592" i="1"/>
  <c r="AE592" i="1" s="1"/>
  <c r="AB505" i="1"/>
  <c r="AA505" i="1"/>
  <c r="AA542" i="1"/>
  <c r="AK542" i="1"/>
  <c r="AB542" i="1"/>
  <c r="AC490" i="1"/>
  <c r="AE490" i="1" s="1"/>
  <c r="AC478" i="1"/>
  <c r="AE478" i="1" s="1"/>
  <c r="AC491" i="1"/>
  <c r="AE491" i="1" s="1"/>
  <c r="AC347" i="1"/>
  <c r="AE347" i="1" s="1"/>
  <c r="AK204" i="1"/>
  <c r="AK205" i="1"/>
  <c r="AB204" i="1"/>
  <c r="AA204" i="1"/>
  <c r="AB418" i="1"/>
  <c r="AA418" i="1"/>
  <c r="AC487" i="1"/>
  <c r="AE487" i="1" s="1"/>
  <c r="AC472" i="1"/>
  <c r="AE472" i="1" s="1"/>
  <c r="AB462" i="1"/>
  <c r="AA462" i="1"/>
  <c r="AB466" i="1"/>
  <c r="AA466" i="1"/>
  <c r="AC407" i="1"/>
  <c r="AE407" i="1" s="1"/>
  <c r="AC367" i="1"/>
  <c r="AE367" i="1" s="1"/>
  <c r="AC326" i="1"/>
  <c r="AE326" i="1" s="1"/>
  <c r="AB398" i="1"/>
  <c r="AA398" i="1"/>
  <c r="AK398" i="1"/>
  <c r="AC342" i="1"/>
  <c r="AE342" i="1" s="1"/>
  <c r="AC303" i="1"/>
  <c r="AE303" i="1" s="1"/>
  <c r="AC460" i="1"/>
  <c r="AE460" i="1" s="1"/>
  <c r="AB369" i="1"/>
  <c r="AA369" i="1"/>
  <c r="AB492" i="1"/>
  <c r="AA492" i="1"/>
  <c r="AK492" i="1"/>
  <c r="AB434" i="1"/>
  <c r="AA434" i="1"/>
  <c r="AC480" i="1"/>
  <c r="AE480" i="1" s="1"/>
  <c r="AC415" i="1"/>
  <c r="AE415" i="1" s="1"/>
  <c r="AB473" i="1"/>
  <c r="AA473" i="1"/>
  <c r="AC384" i="1"/>
  <c r="AE384" i="1" s="1"/>
  <c r="AC323" i="1"/>
  <c r="AE323" i="1" s="1"/>
  <c r="AB440" i="1"/>
  <c r="AA440" i="1"/>
  <c r="AA329" i="1"/>
  <c r="AB329" i="1"/>
  <c r="AC111" i="1"/>
  <c r="AE111" i="1" s="1"/>
  <c r="AC174" i="1"/>
  <c r="AE174" i="1" s="1"/>
  <c r="AC255" i="1"/>
  <c r="AE255" i="1" s="1"/>
  <c r="AC134" i="1"/>
  <c r="AE134" i="1" s="1"/>
  <c r="AB213" i="1"/>
  <c r="AA213" i="1"/>
  <c r="AB269" i="1"/>
  <c r="AA269" i="1"/>
  <c r="AB97" i="1"/>
  <c r="AA97" i="1"/>
  <c r="AC18" i="1"/>
  <c r="AE18" i="1" s="1"/>
  <c r="AC184" i="1"/>
  <c r="AE184" i="1" s="1"/>
  <c r="AB247" i="1"/>
  <c r="AA247" i="1"/>
  <c r="AB226" i="1"/>
  <c r="AA226" i="1"/>
  <c r="AC170" i="1"/>
  <c r="AE170" i="1" s="1"/>
  <c r="AB117" i="1"/>
  <c r="AA117" i="1"/>
  <c r="AB21" i="1"/>
  <c r="AA21" i="1"/>
  <c r="AA215" i="1"/>
  <c r="AB215" i="1"/>
  <c r="AC270" i="1"/>
  <c r="AE270" i="1" s="1"/>
  <c r="W4" i="1"/>
  <c r="Y4" i="1" s="1"/>
  <c r="X4" i="1"/>
  <c r="AC93" i="1"/>
  <c r="AE93" i="1" s="1"/>
  <c r="AC14" i="1"/>
  <c r="AE14" i="1" s="1"/>
  <c r="AB406" i="1"/>
  <c r="AA406" i="1"/>
  <c r="AB33" i="1"/>
  <c r="AA33" i="1"/>
  <c r="AB168" i="1"/>
  <c r="AA168" i="1"/>
  <c r="AC152" i="1"/>
  <c r="AE152" i="1" s="1"/>
  <c r="Y18" i="3"/>
  <c r="AB18" i="3" s="1"/>
  <c r="Z18" i="3"/>
  <c r="AI152" i="2"/>
  <c r="Y152" i="2"/>
  <c r="X152" i="2"/>
  <c r="AB35" i="2"/>
  <c r="Z35" i="2"/>
  <c r="Y159" i="2"/>
  <c r="X159" i="2"/>
  <c r="AI159" i="2"/>
  <c r="Z85" i="2"/>
  <c r="AB85" i="2" s="1"/>
  <c r="Z80" i="2"/>
  <c r="AB80" i="2" s="1"/>
  <c r="Y139" i="2"/>
  <c r="X139" i="2"/>
  <c r="AI139" i="2"/>
  <c r="Z109" i="2"/>
  <c r="AB109" i="2" s="1"/>
  <c r="AH70" i="2"/>
  <c r="X70" i="2"/>
  <c r="Y70" i="2"/>
  <c r="Y99" i="2"/>
  <c r="X99" i="2"/>
  <c r="X37" i="2"/>
  <c r="AA37" i="2" s="1"/>
  <c r="Y37" i="2"/>
  <c r="Y175" i="2"/>
  <c r="X175" i="2"/>
  <c r="AI175" i="2"/>
  <c r="Z53" i="2"/>
  <c r="AB53" i="2" s="1"/>
  <c r="Y156" i="2"/>
  <c r="X156" i="2"/>
  <c r="AI156" i="2"/>
  <c r="AJ155" i="2" s="1"/>
  <c r="Y12" i="2"/>
  <c r="X12" i="2"/>
  <c r="Y71" i="2"/>
  <c r="X71" i="2"/>
  <c r="AH71" i="2"/>
  <c r="Y149" i="2"/>
  <c r="X149" i="2"/>
  <c r="AI149" i="2"/>
  <c r="Z120" i="2"/>
  <c r="AB120" i="2" s="1"/>
  <c r="Z124" i="2"/>
  <c r="AB124" i="2" s="1"/>
  <c r="Z176" i="2"/>
  <c r="AB176" i="2" s="1"/>
  <c r="X48" i="2"/>
  <c r="Y48" i="2"/>
  <c r="AB653" i="1"/>
  <c r="AA653" i="1"/>
  <c r="AL653" i="1"/>
  <c r="AC549" i="1"/>
  <c r="AE549" i="1" s="1"/>
  <c r="AC318" i="1"/>
  <c r="AE318" i="1" s="1"/>
  <c r="AK616" i="1"/>
  <c r="AB616" i="1"/>
  <c r="AA616" i="1"/>
  <c r="AB635" i="1"/>
  <c r="AA635" i="1"/>
  <c r="AB624" i="1"/>
  <c r="AA624" i="1"/>
  <c r="AB548" i="1"/>
  <c r="AA548" i="1"/>
  <c r="AC486" i="1"/>
  <c r="AE486" i="1" s="1"/>
  <c r="AC619" i="1"/>
  <c r="AE619" i="1" s="1"/>
  <c r="AB611" i="1"/>
  <c r="AA611" i="1"/>
  <c r="AB601" i="1"/>
  <c r="AA601" i="1"/>
  <c r="AB574" i="1"/>
  <c r="AA574" i="1"/>
  <c r="AC525" i="1"/>
  <c r="AE525" i="1" s="1"/>
  <c r="AB647" i="1"/>
  <c r="AA647" i="1"/>
  <c r="AL647" i="1"/>
  <c r="AC483" i="1"/>
  <c r="AE483" i="1" s="1"/>
  <c r="AC403" i="1"/>
  <c r="AE403" i="1" s="1"/>
  <c r="AB368" i="1"/>
  <c r="AA368" i="1"/>
  <c r="AK368" i="1"/>
  <c r="AB304" i="1"/>
  <c r="AA304" i="1"/>
  <c r="AC426" i="1"/>
  <c r="AE426" i="1" s="1"/>
  <c r="AC360" i="1"/>
  <c r="AE360" i="1" s="1"/>
  <c r="AB114" i="1"/>
  <c r="AA114" i="1"/>
  <c r="AK114" i="1"/>
  <c r="AB378" i="1"/>
  <c r="AA378" i="1"/>
  <c r="AB351" i="1"/>
  <c r="AA351" i="1"/>
  <c r="AC369" i="1"/>
  <c r="AE369" i="1" s="1"/>
  <c r="AC492" i="1"/>
  <c r="AE492" i="1" s="1"/>
  <c r="AB321" i="1"/>
  <c r="AA321" i="1"/>
  <c r="AB415" i="1"/>
  <c r="AA415" i="1"/>
  <c r="AK415" i="1"/>
  <c r="AB381" i="1"/>
  <c r="AA381" i="1"/>
  <c r="AC389" i="1"/>
  <c r="AE389" i="1" s="1"/>
  <c r="AB229" i="1"/>
  <c r="AA229" i="1"/>
  <c r="AK229" i="1"/>
  <c r="AC213" i="1"/>
  <c r="AE213" i="1" s="1"/>
  <c r="AA178" i="1"/>
  <c r="AB178" i="1"/>
  <c r="AB210" i="1"/>
  <c r="AA210" i="1"/>
  <c r="AC173" i="1"/>
  <c r="AE173" i="1" s="1"/>
  <c r="AC97" i="1"/>
  <c r="AE97" i="1" s="1"/>
  <c r="AC44" i="1"/>
  <c r="AE44" i="1" s="1"/>
  <c r="AB261" i="1"/>
  <c r="AA261" i="1"/>
  <c r="AC247" i="1"/>
  <c r="AE247" i="1" s="1"/>
  <c r="AC226" i="1"/>
  <c r="AE226" i="1" s="1"/>
  <c r="AB95" i="1"/>
  <c r="AA95" i="1"/>
  <c r="AB133" i="1"/>
  <c r="AA133" i="1"/>
  <c r="AC215" i="1"/>
  <c r="AE215" i="1" s="1"/>
  <c r="AC179" i="1"/>
  <c r="AE179" i="1" s="1"/>
  <c r="AC107" i="1"/>
  <c r="AE107" i="1" s="1"/>
  <c r="AB35" i="1"/>
  <c r="AA35" i="1"/>
  <c r="AC402" i="1"/>
  <c r="AE402" i="1" s="1"/>
  <c r="AA89" i="1"/>
  <c r="AB89" i="1"/>
  <c r="AA195" i="1"/>
  <c r="AB195" i="1"/>
  <c r="AB112" i="1"/>
  <c r="AA112" i="1"/>
  <c r="Y11" i="3"/>
  <c r="AB11" i="3" s="1"/>
  <c r="Z11" i="3"/>
  <c r="Z129" i="2"/>
  <c r="AB129" i="2" s="1"/>
  <c r="AI147" i="2"/>
  <c r="Y147" i="2"/>
  <c r="X147" i="2"/>
  <c r="Y153" i="2"/>
  <c r="X153" i="2"/>
  <c r="AA153" i="2" s="1"/>
  <c r="AI153" i="2"/>
  <c r="Y94" i="2"/>
  <c r="X94" i="2"/>
  <c r="Z100" i="2"/>
  <c r="AB100" i="2" s="1"/>
  <c r="Z159" i="2"/>
  <c r="AB159" i="2" s="1"/>
  <c r="Z127" i="2"/>
  <c r="AB127" i="2" s="1"/>
  <c r="Z70" i="2"/>
  <c r="AB70" i="2" s="1"/>
  <c r="Y95" i="2"/>
  <c r="X95" i="2"/>
  <c r="AI95" i="2"/>
  <c r="Z37" i="2"/>
  <c r="AB37" i="2" s="1"/>
  <c r="Y154" i="2"/>
  <c r="X154" i="2"/>
  <c r="AA154" i="2" s="1"/>
  <c r="AI154" i="2"/>
  <c r="Z33" i="2"/>
  <c r="AB33" i="2" s="1"/>
  <c r="Z149" i="2"/>
  <c r="AB149" i="2"/>
  <c r="Z114" i="2"/>
  <c r="AB114" i="2" s="1"/>
  <c r="Y98" i="2"/>
  <c r="X98" i="2"/>
  <c r="AA98" i="2" s="1"/>
  <c r="Z14" i="2"/>
  <c r="AB14" i="2" s="1"/>
  <c r="AB48" i="2"/>
  <c r="Z48" i="2"/>
  <c r="Y144" i="2"/>
  <c r="X144" i="2"/>
  <c r="AA144" i="2" s="1"/>
  <c r="AI144" i="2"/>
  <c r="AB645" i="1"/>
  <c r="AA645" i="1"/>
  <c r="Y60" i="2"/>
  <c r="X60" i="2"/>
  <c r="AB625" i="1"/>
  <c r="AA625" i="1"/>
  <c r="AC604" i="1"/>
  <c r="AE604" i="1" s="1"/>
  <c r="AB565" i="1"/>
  <c r="AA565" i="1"/>
  <c r="AC313" i="1"/>
  <c r="AE313" i="1" s="1"/>
  <c r="AB612" i="1"/>
  <c r="AA612" i="1"/>
  <c r="AB569" i="1"/>
  <c r="AA569" i="1"/>
  <c r="AB575" i="1"/>
  <c r="AA575" i="1"/>
  <c r="AC548" i="1"/>
  <c r="AE548" i="1" s="1"/>
  <c r="AB638" i="1"/>
  <c r="AA638" i="1"/>
  <c r="AC476" i="1"/>
  <c r="AE476" i="1" s="1"/>
  <c r="AC368" i="1"/>
  <c r="AE368" i="1" s="1"/>
  <c r="AC304" i="1"/>
  <c r="AE304" i="1" s="1"/>
  <c r="AB476" i="1"/>
  <c r="AA476" i="1"/>
  <c r="AC258" i="1"/>
  <c r="AE258" i="1" s="1"/>
  <c r="AB426" i="1"/>
  <c r="AA426" i="1"/>
  <c r="AB481" i="1"/>
  <c r="AA481" i="1"/>
  <c r="AC378" i="1"/>
  <c r="AE378" i="1" s="1"/>
  <c r="AB272" i="1"/>
  <c r="AA272" i="1"/>
  <c r="AA385" i="1"/>
  <c r="AB385" i="1"/>
  <c r="AA443" i="1"/>
  <c r="AB443" i="1"/>
  <c r="AC328" i="1"/>
  <c r="AE328" i="1" s="1"/>
  <c r="AB427" i="1"/>
  <c r="AA427" i="1"/>
  <c r="AB353" i="1"/>
  <c r="AA353" i="1"/>
  <c r="AB458" i="1"/>
  <c r="AA458" i="1"/>
  <c r="AB411" i="1"/>
  <c r="AA411" i="1"/>
  <c r="AC519" i="1"/>
  <c r="AE519" i="1" s="1"/>
  <c r="AC452" i="1"/>
  <c r="AE452" i="1" s="1"/>
  <c r="AC381" i="1"/>
  <c r="AE381" i="1" s="1"/>
  <c r="AB334" i="1"/>
  <c r="AA334" i="1"/>
  <c r="AC329" i="1"/>
  <c r="AE329" i="1" s="1"/>
  <c r="AA283" i="1"/>
  <c r="AB283" i="1"/>
  <c r="AB169" i="1"/>
  <c r="AA169" i="1"/>
  <c r="AC108" i="1"/>
  <c r="AE108" i="1" s="1"/>
  <c r="AB246" i="1"/>
  <c r="AA246" i="1"/>
  <c r="AB42" i="1"/>
  <c r="AA42" i="1"/>
  <c r="AC103" i="1"/>
  <c r="AE103" i="1" s="1"/>
  <c r="AB252" i="1"/>
  <c r="AA252" i="1"/>
  <c r="AB155" i="1"/>
  <c r="AA155" i="1"/>
  <c r="AC118" i="1"/>
  <c r="AE118" i="1" s="1"/>
  <c r="AB50" i="1"/>
  <c r="AA50" i="1"/>
  <c r="AC19" i="1"/>
  <c r="AE19" i="1" s="1"/>
  <c r="AC210" i="1"/>
  <c r="AE210" i="1" s="1"/>
  <c r="AB185" i="1"/>
  <c r="AA185" i="1"/>
  <c r="AC51" i="1"/>
  <c r="AE51" i="1" s="1"/>
  <c r="AC61" i="1"/>
  <c r="AE61" i="1" s="1"/>
  <c r="AB262" i="1"/>
  <c r="AA262" i="1"/>
  <c r="AC133" i="1"/>
  <c r="AE133" i="1" s="1"/>
  <c r="AB154" i="1"/>
  <c r="AA154" i="1"/>
  <c r="AC162" i="1"/>
  <c r="AE162" i="1" s="1"/>
  <c r="AA81" i="1"/>
  <c r="AB81" i="1"/>
  <c r="AB107" i="1"/>
  <c r="AA107" i="1"/>
  <c r="AC36" i="1"/>
  <c r="AE36" i="1" s="1"/>
  <c r="AB319" i="1"/>
  <c r="AA319" i="1"/>
  <c r="AC188" i="1"/>
  <c r="AE188" i="1" s="1"/>
  <c r="AB28" i="1"/>
  <c r="AA28" i="1"/>
  <c r="AC105" i="1"/>
  <c r="AE105" i="1" s="1"/>
  <c r="AD20" i="3"/>
  <c r="AE20" i="3" s="1"/>
  <c r="AG20" i="3" s="1"/>
  <c r="AA19" i="3"/>
  <c r="AC19" i="3"/>
  <c r="AA11" i="3"/>
  <c r="AC11" i="3" s="1"/>
  <c r="AI141" i="2"/>
  <c r="Y141" i="2"/>
  <c r="X141" i="2"/>
  <c r="AA141" i="2" s="1"/>
  <c r="Z97" i="2"/>
  <c r="AB97" i="2" s="1"/>
  <c r="Z30" i="2"/>
  <c r="AB30" i="2" s="1"/>
  <c r="AI125" i="2"/>
  <c r="X125" i="2"/>
  <c r="Y125" i="2"/>
  <c r="AA125" i="2" s="1"/>
  <c r="Z66" i="2"/>
  <c r="AB66" i="2" s="1"/>
  <c r="Y121" i="2"/>
  <c r="X121" i="2"/>
  <c r="AA121" i="2" s="1"/>
  <c r="AH121" i="2"/>
  <c r="Z95" i="2"/>
  <c r="AB95" i="2" s="1"/>
  <c r="Y33" i="2"/>
  <c r="X33" i="2"/>
  <c r="AA33" i="2" s="1"/>
  <c r="Y174" i="2"/>
  <c r="X174" i="2"/>
  <c r="AI174" i="2"/>
  <c r="Z7" i="2"/>
  <c r="AB7" i="2" s="1"/>
  <c r="Y164" i="2"/>
  <c r="X164" i="2"/>
  <c r="AI164" i="2"/>
  <c r="AB641" i="1"/>
  <c r="AA641" i="1"/>
  <c r="Z60" i="2"/>
  <c r="AB60" i="2" s="1"/>
  <c r="AA533" i="1"/>
  <c r="AB533" i="1"/>
  <c r="AC565" i="1"/>
  <c r="AE565" i="1" s="1"/>
  <c r="AC575" i="1"/>
  <c r="AE575" i="1" s="1"/>
  <c r="AC560" i="1"/>
  <c r="AE560" i="1" s="1"/>
  <c r="AB633" i="1"/>
  <c r="AA633" i="1"/>
  <c r="AC542" i="1"/>
  <c r="AE542" i="1" s="1"/>
  <c r="AA539" i="1"/>
  <c r="AK539" i="1"/>
  <c r="AB539" i="1"/>
  <c r="AB566" i="1"/>
  <c r="AA566" i="1"/>
  <c r="AC535" i="1"/>
  <c r="AE535" i="1" s="1"/>
  <c r="AB607" i="1"/>
  <c r="AA607" i="1"/>
  <c r="AC574" i="1"/>
  <c r="AE574" i="1" s="1"/>
  <c r="AC459" i="1"/>
  <c r="AE459" i="1" s="1"/>
  <c r="AK299" i="1"/>
  <c r="AB299" i="1"/>
  <c r="AA299" i="1"/>
  <c r="AK301" i="1"/>
  <c r="AC320" i="1"/>
  <c r="AE320" i="1" s="1"/>
  <c r="AC250" i="1"/>
  <c r="AE250" i="1" s="1"/>
  <c r="AA518" i="1"/>
  <c r="AB518" i="1"/>
  <c r="AK518" i="1"/>
  <c r="AC457" i="1"/>
  <c r="AE457" i="1" s="1"/>
  <c r="AC481" i="1"/>
  <c r="AE481" i="1" s="1"/>
  <c r="AB470" i="1"/>
  <c r="AA470" i="1"/>
  <c r="AC451" i="1"/>
  <c r="AE451" i="1" s="1"/>
  <c r="AC385" i="1"/>
  <c r="AE385" i="1" s="1"/>
  <c r="AC324" i="1"/>
  <c r="AE324" i="1" s="1"/>
  <c r="AC80" i="1"/>
  <c r="AE80" i="1" s="1"/>
  <c r="AC393" i="1"/>
  <c r="AE393" i="1" s="1"/>
  <c r="AB328" i="1"/>
  <c r="AA328" i="1"/>
  <c r="AB224" i="1"/>
  <c r="AA224" i="1"/>
  <c r="AC453" i="1"/>
  <c r="AE453" i="1" s="1"/>
  <c r="AC427" i="1"/>
  <c r="AE427" i="1" s="1"/>
  <c r="AC458" i="1"/>
  <c r="AE458" i="1" s="1"/>
  <c r="AC411" i="1"/>
  <c r="AE411" i="1" s="1"/>
  <c r="AB374" i="1"/>
  <c r="AA374" i="1"/>
  <c r="AC334" i="1"/>
  <c r="AE334" i="1" s="1"/>
  <c r="AB293" i="1"/>
  <c r="AA293" i="1"/>
  <c r="AB386" i="1"/>
  <c r="AA386" i="1"/>
  <c r="AC246" i="1"/>
  <c r="AE246" i="1" s="1"/>
  <c r="AC190" i="1"/>
  <c r="AE190" i="1" s="1"/>
  <c r="AC252" i="1"/>
  <c r="AE252" i="1" s="1"/>
  <c r="AC155" i="1"/>
  <c r="AE155" i="1" s="1"/>
  <c r="AC199" i="1"/>
  <c r="AE199" i="1" s="1"/>
  <c r="AC163" i="1"/>
  <c r="AE163" i="1" s="1"/>
  <c r="AC85" i="1"/>
  <c r="AE85" i="1" s="1"/>
  <c r="AB102" i="1"/>
  <c r="AA102" i="1"/>
  <c r="AB166" i="1"/>
  <c r="AA166" i="1"/>
  <c r="AC262" i="1"/>
  <c r="AE262" i="1" s="1"/>
  <c r="AB238" i="1"/>
  <c r="AA238" i="1"/>
  <c r="AB209" i="1"/>
  <c r="AA209" i="1"/>
  <c r="AC268" i="1"/>
  <c r="AE268" i="1" s="1"/>
  <c r="AA142" i="1"/>
  <c r="AB142" i="1"/>
  <c r="AC81" i="1"/>
  <c r="AE81" i="1" s="1"/>
  <c r="AB203" i="1"/>
  <c r="AA203" i="1"/>
  <c r="AB25" i="1"/>
  <c r="AA25" i="1"/>
  <c r="AB36" i="1"/>
  <c r="AA36" i="1"/>
  <c r="Y89" i="2"/>
  <c r="X89" i="2"/>
  <c r="AA89" i="2" s="1"/>
  <c r="Y166" i="2"/>
  <c r="X166" i="2"/>
  <c r="AI166" i="2"/>
  <c r="AB157" i="2"/>
  <c r="Z157" i="2"/>
  <c r="Y134" i="2"/>
  <c r="X134" i="2"/>
  <c r="AH134" i="2"/>
  <c r="Y49" i="2"/>
  <c r="X49" i="2"/>
  <c r="Y127" i="2"/>
  <c r="X127" i="2"/>
  <c r="AA127" i="2" s="1"/>
  <c r="AI127" i="2"/>
  <c r="Z43" i="2"/>
  <c r="AB43" i="2" s="1"/>
  <c r="Z46" i="2"/>
  <c r="AB46" i="2" s="1"/>
  <c r="Z131" i="2"/>
  <c r="AB131" i="2" s="1"/>
  <c r="Z41" i="2"/>
  <c r="AB41" i="2" s="1"/>
  <c r="AB177" i="2"/>
  <c r="Z177" i="2"/>
  <c r="Y57" i="2"/>
  <c r="X57" i="2"/>
  <c r="AA57" i="2" s="1"/>
  <c r="AH15" i="2"/>
  <c r="Z15" i="2"/>
  <c r="AB15" i="2"/>
  <c r="Y160" i="2"/>
  <c r="X160" i="2"/>
  <c r="AI160" i="2"/>
  <c r="Z126" i="2"/>
  <c r="AB126" i="2" s="1"/>
  <c r="Y75" i="2"/>
  <c r="X75" i="2"/>
  <c r="AA75" i="2" s="1"/>
  <c r="AH75" i="2"/>
  <c r="X9" i="2"/>
  <c r="Y9" i="2"/>
  <c r="AI172" i="2"/>
  <c r="X172" i="2"/>
  <c r="Y172" i="2"/>
  <c r="AA172" i="2" s="1"/>
  <c r="Z112" i="2"/>
  <c r="AB112" i="2" s="1"/>
  <c r="Y7" i="2"/>
  <c r="X7" i="2"/>
  <c r="AC503" i="1"/>
  <c r="AE503" i="1" s="1"/>
  <c r="AC616" i="1"/>
  <c r="AE616" i="1" s="1"/>
  <c r="AC602" i="1"/>
  <c r="AE602" i="1" s="1"/>
  <c r="AB590" i="1"/>
  <c r="AA590" i="1"/>
  <c r="AC538" i="1"/>
  <c r="AE538" i="1" s="1"/>
  <c r="AC659" i="1"/>
  <c r="AE659" i="1" s="1"/>
  <c r="AB631" i="1"/>
  <c r="AA631" i="1"/>
  <c r="AB486" i="1"/>
  <c r="AA486" i="1"/>
  <c r="AM486" i="1"/>
  <c r="AK486" i="1"/>
  <c r="AB651" i="1"/>
  <c r="AA651" i="1"/>
  <c r="AC578" i="1"/>
  <c r="AE578" i="1" s="1"/>
  <c r="AB546" i="1"/>
  <c r="AA546" i="1"/>
  <c r="AC621" i="1"/>
  <c r="AE621" i="1" s="1"/>
  <c r="AC595" i="1"/>
  <c r="AE595" i="1" s="1"/>
  <c r="AB491" i="1"/>
  <c r="AA491" i="1"/>
  <c r="X424" i="1"/>
  <c r="X405" i="1"/>
  <c r="AC370" i="1"/>
  <c r="AE370" i="1" s="1"/>
  <c r="AC485" i="1"/>
  <c r="AE485" i="1" s="1"/>
  <c r="X430" i="1"/>
  <c r="AC396" i="1"/>
  <c r="AE396" i="1" s="1"/>
  <c r="AC312" i="1"/>
  <c r="AE312" i="1" s="1"/>
  <c r="AB125" i="1"/>
  <c r="AA125" i="1"/>
  <c r="AC330" i="1"/>
  <c r="AE330" i="1" s="1"/>
  <c r="AC300" i="1"/>
  <c r="AE300" i="1" s="1"/>
  <c r="AC475" i="1"/>
  <c r="AE475" i="1" s="1"/>
  <c r="AB482" i="1"/>
  <c r="AA482" i="1"/>
  <c r="AB469" i="1"/>
  <c r="AA469" i="1"/>
  <c r="AC371" i="1"/>
  <c r="AE371" i="1" s="1"/>
  <c r="W316" i="1"/>
  <c r="Y316" i="1" s="1"/>
  <c r="W76" i="1"/>
  <c r="AC32" i="1"/>
  <c r="AE32" i="1" s="1"/>
  <c r="AB237" i="1"/>
  <c r="AA237" i="1"/>
  <c r="AB190" i="1"/>
  <c r="AA190" i="1"/>
  <c r="AC140" i="1"/>
  <c r="AE140" i="1" s="1"/>
  <c r="AK62" i="1"/>
  <c r="AB62" i="1"/>
  <c r="AA62" i="1"/>
  <c r="AC38" i="1"/>
  <c r="AE38" i="1" s="1"/>
  <c r="W197" i="1"/>
  <c r="Y197" i="1" s="1"/>
  <c r="AC241" i="1"/>
  <c r="AE241" i="1" s="1"/>
  <c r="W212" i="1"/>
  <c r="Y212" i="1" s="1"/>
  <c r="Y202" i="1"/>
  <c r="AB157" i="1"/>
  <c r="AA157" i="1"/>
  <c r="AC132" i="1"/>
  <c r="AE132" i="1" s="1"/>
  <c r="AB85" i="1"/>
  <c r="AA85" i="1"/>
  <c r="AB12" i="1"/>
  <c r="AA12" i="1"/>
  <c r="W91" i="1"/>
  <c r="Y91" i="1" s="1"/>
  <c r="AC263" i="1"/>
  <c r="AE263" i="1" s="1"/>
  <c r="AC143" i="1"/>
  <c r="AE143" i="1" s="1"/>
  <c r="AC187" i="1"/>
  <c r="AE187" i="1" s="1"/>
  <c r="AC130" i="1"/>
  <c r="AE130" i="1" s="1"/>
  <c r="AC87" i="1"/>
  <c r="AE87" i="1" s="1"/>
  <c r="AC207" i="1"/>
  <c r="AE207" i="1" s="1"/>
  <c r="AC145" i="1"/>
  <c r="AE145" i="1" s="1"/>
  <c r="AA119" i="1"/>
  <c r="AB119" i="1"/>
  <c r="AB83" i="1"/>
  <c r="AA83" i="1"/>
  <c r="W121" i="1"/>
  <c r="Y121" i="1" s="1"/>
  <c r="AC37" i="1"/>
  <c r="AE37" i="1" s="1"/>
  <c r="W149" i="1"/>
  <c r="Y149" i="1" s="1"/>
  <c r="AC251" i="1"/>
  <c r="AE251" i="1" s="1"/>
  <c r="AB179" i="1"/>
  <c r="AA179" i="1"/>
  <c r="AC127" i="1"/>
  <c r="AE127" i="1" s="1"/>
  <c r="Z92" i="2"/>
  <c r="AB92" i="2" s="1"/>
  <c r="Y13" i="2"/>
  <c r="X13" i="2"/>
  <c r="Z151" i="2"/>
  <c r="AB151" i="2" s="1"/>
  <c r="Z54" i="2"/>
  <c r="AB54" i="2" s="1"/>
  <c r="Z62" i="2"/>
  <c r="AB62" i="2" s="1"/>
  <c r="Z39" i="2"/>
  <c r="AB39" i="2" s="1"/>
  <c r="Z51" i="2"/>
  <c r="AB51" i="2" s="1"/>
  <c r="AB598" i="1"/>
  <c r="AA598" i="1"/>
  <c r="AB604" i="1"/>
  <c r="AA604" i="1"/>
  <c r="AC579" i="1"/>
  <c r="AE579" i="1" s="1"/>
  <c r="AC563" i="1"/>
  <c r="AE563" i="1" s="1"/>
  <c r="AC629" i="1"/>
  <c r="AE629" i="1" s="1"/>
  <c r="AF596" i="1"/>
  <c r="AC569" i="1"/>
  <c r="AE569" i="1" s="1"/>
  <c r="AB592" i="1"/>
  <c r="AA592" i="1"/>
  <c r="AB552" i="1"/>
  <c r="AA552" i="1"/>
  <c r="AB655" i="1"/>
  <c r="AA655" i="1"/>
  <c r="AL655" i="1"/>
  <c r="AC646" i="1"/>
  <c r="AE646" i="1" s="1"/>
  <c r="AC642" i="1"/>
  <c r="AE642" i="1" s="1"/>
  <c r="AB587" i="1"/>
  <c r="AA587" i="1"/>
  <c r="AB619" i="1"/>
  <c r="AA619" i="1"/>
  <c r="AK619" i="1"/>
  <c r="AB562" i="1"/>
  <c r="AA562" i="1"/>
  <c r="AC644" i="1"/>
  <c r="AE644" i="1" s="1"/>
  <c r="AC611" i="1"/>
  <c r="AE611" i="1" s="1"/>
  <c r="AC568" i="1"/>
  <c r="AE568" i="1" s="1"/>
  <c r="AB525" i="1"/>
  <c r="AA525" i="1"/>
  <c r="AB634" i="1"/>
  <c r="AA634" i="1"/>
  <c r="AC408" i="1"/>
  <c r="AE408" i="1" s="1"/>
  <c r="AC394" i="1"/>
  <c r="AE394" i="1" s="1"/>
  <c r="AC352" i="1"/>
  <c r="AE352" i="1" s="1"/>
  <c r="AB278" i="1"/>
  <c r="AA278" i="1"/>
  <c r="AC284" i="1"/>
  <c r="AE284" i="1" s="1"/>
  <c r="AC448" i="1"/>
  <c r="AE448" i="1" s="1"/>
  <c r="AC310" i="1"/>
  <c r="AE310" i="1" s="1"/>
  <c r="AA515" i="1"/>
  <c r="AB515" i="1"/>
  <c r="AB437" i="1"/>
  <c r="AA437" i="1"/>
  <c r="AC291" i="1"/>
  <c r="AE291" i="1" s="1"/>
  <c r="AC497" i="1"/>
  <c r="AE497" i="1" s="1"/>
  <c r="AC479" i="1"/>
  <c r="AE479" i="1" s="1"/>
  <c r="AC470" i="1"/>
  <c r="AE470" i="1" s="1"/>
  <c r="AC462" i="1"/>
  <c r="AE462" i="1" s="1"/>
  <c r="AB416" i="1"/>
  <c r="AA416" i="1"/>
  <c r="AC365" i="1"/>
  <c r="AE365" i="1" s="1"/>
  <c r="AB445" i="1"/>
  <c r="AA445" i="1"/>
  <c r="AB407" i="1"/>
  <c r="AA407" i="1"/>
  <c r="AB372" i="1"/>
  <c r="AA372" i="1"/>
  <c r="AB349" i="1"/>
  <c r="AA349" i="1"/>
  <c r="AB326" i="1"/>
  <c r="AA326" i="1"/>
  <c r="AC297" i="1"/>
  <c r="AE297" i="1" s="1"/>
  <c r="AC443" i="1"/>
  <c r="AE443" i="1" s="1"/>
  <c r="AC398" i="1"/>
  <c r="AE398" i="1" s="1"/>
  <c r="AC387" i="1"/>
  <c r="AE387" i="1" s="1"/>
  <c r="AB80" i="1"/>
  <c r="AA80" i="1"/>
  <c r="AB409" i="1"/>
  <c r="AA409" i="1"/>
  <c r="AC301" i="1"/>
  <c r="AE301" i="1" s="1"/>
  <c r="AB480" i="1"/>
  <c r="AA480" i="1"/>
  <c r="AK480" i="1"/>
  <c r="AB436" i="1"/>
  <c r="AA436" i="1"/>
  <c r="AC306" i="1"/>
  <c r="AE306" i="1" s="1"/>
  <c r="AB519" i="1"/>
  <c r="AA519" i="1"/>
  <c r="AC364" i="1"/>
  <c r="AE364" i="1" s="1"/>
  <c r="AC331" i="1"/>
  <c r="AE331" i="1" s="1"/>
  <c r="AB467" i="1"/>
  <c r="AA467" i="1"/>
  <c r="AB456" i="1"/>
  <c r="AA456" i="1"/>
  <c r="AB431" i="1"/>
  <c r="AA431" i="1"/>
  <c r="AK431" i="1"/>
  <c r="AC399" i="1"/>
  <c r="AE399" i="1" s="1"/>
  <c r="AB379" i="1"/>
  <c r="AA379" i="1"/>
  <c r="AC169" i="1"/>
  <c r="AE169" i="1" s="1"/>
  <c r="AC20" i="1"/>
  <c r="AE20" i="1" s="1"/>
  <c r="W59" i="1"/>
  <c r="Y59" i="1" s="1"/>
  <c r="AC33" i="1"/>
  <c r="AE33" i="1" s="1"/>
  <c r="AB103" i="1"/>
  <c r="AA103" i="1"/>
  <c r="AB255" i="1"/>
  <c r="AA255" i="1"/>
  <c r="AA99" i="1"/>
  <c r="AK99" i="1"/>
  <c r="AB99" i="1"/>
  <c r="AB69" i="1"/>
  <c r="AA69" i="1"/>
  <c r="AC34" i="1"/>
  <c r="AE34" i="1" s="1"/>
  <c r="AB173" i="1"/>
  <c r="AA173" i="1"/>
  <c r="AB122" i="1"/>
  <c r="AA122" i="1"/>
  <c r="AK122" i="1"/>
  <c r="AC48" i="1"/>
  <c r="AE48" i="1" s="1"/>
  <c r="AB29" i="1"/>
  <c r="AA29" i="1"/>
  <c r="AC6" i="1"/>
  <c r="AE6" i="1" s="1"/>
  <c r="AC95" i="1"/>
  <c r="AE95" i="1" s="1"/>
  <c r="AC96" i="1"/>
  <c r="AE96" i="1" s="1"/>
  <c r="W110" i="1"/>
  <c r="Y110" i="1" s="1"/>
  <c r="W78" i="1"/>
  <c r="AB61" i="1"/>
  <c r="AA61" i="1"/>
  <c r="AB243" i="1"/>
  <c r="AA243" i="1"/>
  <c r="AC166" i="1"/>
  <c r="AE166" i="1" s="1"/>
  <c r="AC238" i="1"/>
  <c r="AE238" i="1" s="1"/>
  <c r="AC156" i="1"/>
  <c r="AE156" i="1" s="1"/>
  <c r="AB182" i="1"/>
  <c r="AA182" i="1"/>
  <c r="AC154" i="1"/>
  <c r="AE154" i="1" s="1"/>
  <c r="AB270" i="1"/>
  <c r="AA270" i="1"/>
  <c r="X162" i="1"/>
  <c r="AC203" i="1"/>
  <c r="AE203" i="1" s="1"/>
  <c r="AB93" i="1"/>
  <c r="AA93" i="1"/>
  <c r="AB8" i="1"/>
  <c r="AA8" i="1"/>
  <c r="AC40" i="1"/>
  <c r="AE40" i="1" s="1"/>
  <c r="AA161" i="2"/>
  <c r="Y161" i="2"/>
  <c r="X161" i="2"/>
  <c r="AI161" i="2"/>
  <c r="Z173" i="2"/>
  <c r="AB173" i="2" s="1"/>
  <c r="Z121" i="2"/>
  <c r="AB121" i="2" s="1"/>
  <c r="Z108" i="2"/>
  <c r="AB108" i="2" s="1"/>
  <c r="V588" i="1"/>
  <c r="X588" i="1" s="1"/>
  <c r="AC612" i="1"/>
  <c r="AE612" i="1" s="1"/>
  <c r="AC617" i="1"/>
  <c r="AE617" i="1" s="1"/>
  <c r="V302" i="1"/>
  <c r="X302" i="1" s="1"/>
  <c r="AC290" i="1"/>
  <c r="AE290" i="1" s="1"/>
  <c r="V382" i="1"/>
  <c r="X382" i="1" s="1"/>
  <c r="W79" i="1"/>
  <c r="AC404" i="1"/>
  <c r="AE404" i="1" s="1"/>
  <c r="W248" i="1"/>
  <c r="Y248" i="1" s="1"/>
  <c r="W227" i="1"/>
  <c r="Y227" i="1" s="1"/>
  <c r="X59" i="1"/>
  <c r="AA44" i="1"/>
  <c r="AB44" i="1"/>
  <c r="AA24" i="1"/>
  <c r="AB24" i="1"/>
  <c r="X110" i="1"/>
  <c r="S78" i="1"/>
  <c r="Y173" i="2"/>
  <c r="X173" i="2"/>
  <c r="AI173" i="2"/>
  <c r="Y107" i="2"/>
  <c r="X107" i="2"/>
  <c r="AH107" i="2"/>
  <c r="Z28" i="2"/>
  <c r="AB28" i="2" s="1"/>
  <c r="Z123" i="2"/>
  <c r="AB123" i="2" s="1"/>
  <c r="Y36" i="2"/>
  <c r="X36" i="2"/>
  <c r="AA36" i="2" s="1"/>
  <c r="Y171" i="2"/>
  <c r="X171" i="2"/>
  <c r="AA171" i="2" s="1"/>
  <c r="AI171" i="2"/>
  <c r="Z31" i="2"/>
  <c r="AB31" i="2" s="1"/>
  <c r="Y103" i="2"/>
  <c r="X103" i="2"/>
  <c r="AH103" i="2"/>
  <c r="Y168" i="2"/>
  <c r="X168" i="2"/>
  <c r="AI168" i="2"/>
  <c r="Y6" i="2"/>
  <c r="X6" i="2"/>
  <c r="Z71" i="2"/>
  <c r="AB71" i="2" s="1"/>
  <c r="Y145" i="2"/>
  <c r="AA145" i="2" s="1"/>
  <c r="X145" i="2"/>
  <c r="AI145" i="2"/>
  <c r="AJ145" i="2" s="1"/>
  <c r="X68" i="2"/>
  <c r="AH68" i="2"/>
  <c r="Y68" i="2"/>
  <c r="Z12" i="2"/>
  <c r="AB12" i="2" s="1"/>
  <c r="Z167" i="2"/>
  <c r="AB167" i="2" s="1"/>
  <c r="AC652" i="1"/>
  <c r="AE652" i="1" s="1"/>
  <c r="AC639" i="1"/>
  <c r="AE639" i="1" s="1"/>
  <c r="AC648" i="1"/>
  <c r="AE648" i="1" s="1"/>
  <c r="AC599" i="1"/>
  <c r="AE599" i="1" s="1"/>
  <c r="AK517" i="1"/>
  <c r="AB517" i="1"/>
  <c r="AA517" i="1"/>
  <c r="AC654" i="1"/>
  <c r="AE654" i="1" s="1"/>
  <c r="AC623" i="1"/>
  <c r="AE623" i="1" s="1"/>
  <c r="AC632" i="1"/>
  <c r="AE632" i="1" s="1"/>
  <c r="AB446" i="1"/>
  <c r="AA446" i="1"/>
  <c r="W302" i="1"/>
  <c r="Y302" i="1" s="1"/>
  <c r="AB296" i="1"/>
  <c r="AA296" i="1"/>
  <c r="AB220" i="1"/>
  <c r="AA220" i="1"/>
  <c r="AB284" i="1"/>
  <c r="AA284" i="1"/>
  <c r="AB500" i="1"/>
  <c r="AA500" i="1"/>
  <c r="W382" i="1"/>
  <c r="Y382" i="1" s="1"/>
  <c r="Y75" i="1"/>
  <c r="W75" i="1"/>
  <c r="AB432" i="1"/>
  <c r="AA432" i="1"/>
  <c r="AC293" i="1"/>
  <c r="AE293" i="1" s="1"/>
  <c r="AA513" i="1"/>
  <c r="AB513" i="1"/>
  <c r="AB465" i="1"/>
  <c r="AA465" i="1"/>
  <c r="V419" i="1"/>
  <c r="X419" i="1" s="1"/>
  <c r="AC266" i="1"/>
  <c r="AE266" i="1" s="1"/>
  <c r="AC167" i="1"/>
  <c r="AE167" i="1" s="1"/>
  <c r="AC55" i="1"/>
  <c r="AE55" i="1" s="1"/>
  <c r="AB227" i="1"/>
  <c r="AA227" i="1"/>
  <c r="AA136" i="1"/>
  <c r="AB136" i="1"/>
  <c r="AC287" i="1"/>
  <c r="AE287" i="1" s="1"/>
  <c r="AC171" i="1"/>
  <c r="AE171" i="1" s="1"/>
  <c r="AB146" i="1"/>
  <c r="AA146" i="1"/>
  <c r="AC50" i="1"/>
  <c r="AE50" i="1" s="1"/>
  <c r="AB218" i="1"/>
  <c r="AA218" i="1"/>
  <c r="AC178" i="1"/>
  <c r="AE178" i="1" s="1"/>
  <c r="AC153" i="1"/>
  <c r="AE153" i="1" s="1"/>
  <c r="AC120" i="1"/>
  <c r="AE120" i="1" s="1"/>
  <c r="AC269" i="1"/>
  <c r="AE269" i="1" s="1"/>
  <c r="AB27" i="1"/>
  <c r="AA27" i="1"/>
  <c r="AC46" i="1"/>
  <c r="AE46" i="1" s="1"/>
  <c r="AC261" i="1"/>
  <c r="AE261" i="1" s="1"/>
  <c r="AB128" i="1"/>
  <c r="AA128" i="1"/>
  <c r="AC24" i="1"/>
  <c r="AE24" i="1" s="1"/>
  <c r="AC221" i="1"/>
  <c r="AE221" i="1" s="1"/>
  <c r="AC168" i="1"/>
  <c r="AE168" i="1" s="1"/>
  <c r="AC71" i="1"/>
  <c r="AE71" i="1" s="1"/>
  <c r="AC201" i="1"/>
  <c r="AE201" i="1" s="1"/>
  <c r="AB139" i="1"/>
  <c r="AA139" i="1"/>
  <c r="AC117" i="1"/>
  <c r="AE117" i="1" s="1"/>
  <c r="AA72" i="1"/>
  <c r="AB72" i="1"/>
  <c r="AC193" i="1"/>
  <c r="AE193" i="1" s="1"/>
  <c r="AB54" i="1"/>
  <c r="AA54" i="1"/>
  <c r="AC249" i="1"/>
  <c r="AE249" i="1" s="1"/>
  <c r="AB230" i="1"/>
  <c r="AA230" i="1"/>
  <c r="AB123" i="1"/>
  <c r="AA123" i="1"/>
  <c r="AB37" i="1"/>
  <c r="AA37" i="1"/>
  <c r="AB129" i="1"/>
  <c r="AA129" i="1"/>
  <c r="AB41" i="1"/>
  <c r="AA41" i="1"/>
  <c r="AC35" i="1"/>
  <c r="AE35" i="1" s="1"/>
  <c r="Y169" i="2"/>
  <c r="X169" i="2"/>
  <c r="AI169" i="2"/>
  <c r="Y104" i="2"/>
  <c r="X104" i="2"/>
  <c r="AH104" i="2"/>
  <c r="Z82" i="2"/>
  <c r="AB82" i="2" s="1"/>
  <c r="X58" i="2"/>
  <c r="Y58" i="2"/>
  <c r="AA58" i="2" s="1"/>
  <c r="AB36" i="2"/>
  <c r="Z36" i="2"/>
  <c r="Z125" i="2"/>
  <c r="AB125" i="2" s="1"/>
  <c r="AH66" i="2"/>
  <c r="X66" i="2"/>
  <c r="Y66" i="2"/>
  <c r="Z21" i="2"/>
  <c r="AB21" i="2" s="1"/>
  <c r="Z89" i="2"/>
  <c r="AB89" i="2" s="1"/>
  <c r="Y56" i="2"/>
  <c r="X56" i="2"/>
  <c r="AA56" i="2" s="1"/>
  <c r="Z17" i="2"/>
  <c r="AB17" i="2" s="1"/>
  <c r="AH20" i="2"/>
  <c r="AB78" i="2"/>
  <c r="Z78" i="2"/>
  <c r="Z154" i="2"/>
  <c r="AB154" i="2" s="1"/>
  <c r="X64" i="2"/>
  <c r="AH64" i="2"/>
  <c r="Y64" i="2"/>
  <c r="AB145" i="2"/>
  <c r="Z145" i="2"/>
  <c r="Z68" i="2"/>
  <c r="AB68" i="2" s="1"/>
  <c r="Y118" i="2"/>
  <c r="X118" i="2"/>
  <c r="AH118" i="2"/>
  <c r="Z106" i="2"/>
  <c r="AB106" i="2" s="1"/>
  <c r="X90" i="2"/>
  <c r="AA90" i="2" s="1"/>
  <c r="Y90" i="2"/>
  <c r="Y10" i="2"/>
  <c r="X10" i="2"/>
  <c r="Y54" i="2"/>
  <c r="X54" i="2"/>
  <c r="AA54" i="2" s="1"/>
  <c r="Y34" i="2"/>
  <c r="X34" i="2"/>
  <c r="AA34" i="2"/>
  <c r="AB658" i="1"/>
  <c r="AA658" i="1"/>
  <c r="AL658" i="1"/>
  <c r="AC658" i="1"/>
  <c r="AE658" i="1" s="1"/>
  <c r="AB652" i="1"/>
  <c r="AA652" i="1"/>
  <c r="AL652" i="1"/>
  <c r="AA549" i="1"/>
  <c r="AB549" i="1"/>
  <c r="AB567" i="1"/>
  <c r="AA567" i="1"/>
  <c r="AB558" i="1"/>
  <c r="AA558" i="1"/>
  <c r="W620" i="1"/>
  <c r="Y620" i="1" s="1"/>
  <c r="AC610" i="1"/>
  <c r="AE610" i="1" s="1"/>
  <c r="AB648" i="1"/>
  <c r="AA648" i="1"/>
  <c r="AC635" i="1"/>
  <c r="AE635" i="1" s="1"/>
  <c r="AA511" i="1"/>
  <c r="AB511" i="1"/>
  <c r="AC626" i="1"/>
  <c r="AE626" i="1" s="1"/>
  <c r="AB580" i="1"/>
  <c r="AA580" i="1"/>
  <c r="AB599" i="1"/>
  <c r="AA599" i="1"/>
  <c r="AC640" i="1"/>
  <c r="AE640" i="1" s="1"/>
  <c r="AC607" i="1"/>
  <c r="AE607" i="1" s="1"/>
  <c r="AB516" i="1"/>
  <c r="AA516" i="1"/>
  <c r="AC593" i="1"/>
  <c r="AE593" i="1" s="1"/>
  <c r="AB654" i="1"/>
  <c r="AA654" i="1"/>
  <c r="AL654" i="1"/>
  <c r="AB623" i="1"/>
  <c r="AA623" i="1"/>
  <c r="AB632" i="1"/>
  <c r="AA632" i="1"/>
  <c r="AC446" i="1"/>
  <c r="AE446" i="1" s="1"/>
  <c r="AB403" i="1"/>
  <c r="AA403" i="1"/>
  <c r="AB376" i="1"/>
  <c r="AA376" i="1"/>
  <c r="AB327" i="1"/>
  <c r="AA327" i="1"/>
  <c r="AC391" i="1"/>
  <c r="AE391" i="1" s="1"/>
  <c r="AA347" i="1"/>
  <c r="AB347" i="1"/>
  <c r="AB433" i="1"/>
  <c r="AA433" i="1"/>
  <c r="AA412" i="1"/>
  <c r="AB412" i="1"/>
  <c r="AA360" i="1"/>
  <c r="AB360" i="1"/>
  <c r="AC296" i="1"/>
  <c r="AE296" i="1" s="1"/>
  <c r="AC418" i="1"/>
  <c r="AE418" i="1" s="1"/>
  <c r="V285" i="1"/>
  <c r="X285" i="1" s="1"/>
  <c r="W285" i="1"/>
  <c r="Y285" i="1" s="1"/>
  <c r="AB487" i="1"/>
  <c r="AB474" i="1"/>
  <c r="AA474" i="1"/>
  <c r="AK474" i="1"/>
  <c r="AB468" i="1"/>
  <c r="AA468" i="1"/>
  <c r="AB451" i="1"/>
  <c r="AA451" i="1"/>
  <c r="AA380" i="1"/>
  <c r="AB380" i="1"/>
  <c r="AB363" i="1"/>
  <c r="AA363" i="1"/>
  <c r="AC314" i="1"/>
  <c r="AE314" i="1" s="1"/>
  <c r="AC489" i="1"/>
  <c r="AE489" i="1" s="1"/>
  <c r="AB291" i="1"/>
  <c r="AA291" i="1"/>
  <c r="AA402" i="1"/>
  <c r="AK402" i="1"/>
  <c r="AB402" i="1"/>
  <c r="AB271" i="1"/>
  <c r="AA271" i="1"/>
  <c r="AC432" i="1"/>
  <c r="AE432" i="1" s="1"/>
  <c r="AC484" i="1"/>
  <c r="AE484" i="1" s="1"/>
  <c r="AB392" i="1"/>
  <c r="AA392" i="1"/>
  <c r="AC473" i="1"/>
  <c r="AE473" i="1" s="1"/>
  <c r="AC463" i="1"/>
  <c r="AE463" i="1" s="1"/>
  <c r="AB325" i="1"/>
  <c r="AA325" i="1"/>
  <c r="AC513" i="1"/>
  <c r="AE513" i="1" s="1"/>
  <c r="AC465" i="1"/>
  <c r="AE465" i="1" s="1"/>
  <c r="W419" i="1"/>
  <c r="Y419" i="1" s="1"/>
  <c r="AB389" i="1"/>
  <c r="AA389" i="1"/>
  <c r="AA366" i="1"/>
  <c r="AB366" i="1"/>
  <c r="AB111" i="1"/>
  <c r="AA111" i="1"/>
  <c r="V101" i="1"/>
  <c r="X101" i="1" s="1"/>
  <c r="AC136" i="1"/>
  <c r="AE136" i="1" s="1"/>
  <c r="AC56" i="1"/>
  <c r="AE56" i="1" s="1"/>
  <c r="AA205" i="1"/>
  <c r="AB205" i="1"/>
  <c r="AC218" i="1"/>
  <c r="AE218" i="1" s="1"/>
  <c r="AB208" i="1"/>
  <c r="AA208" i="1"/>
  <c r="AC66" i="1"/>
  <c r="AE66" i="1" s="1"/>
  <c r="AB194" i="1"/>
  <c r="AA194" i="1"/>
  <c r="X163" i="1"/>
  <c r="AB63" i="1"/>
  <c r="AA63" i="1"/>
  <c r="AC128" i="1"/>
  <c r="AE128" i="1" s="1"/>
  <c r="AB92" i="1"/>
  <c r="AA92" i="1"/>
  <c r="AC22" i="1"/>
  <c r="AE22" i="1" s="1"/>
  <c r="V180" i="1"/>
  <c r="X180" i="1" s="1"/>
  <c r="AC23" i="1"/>
  <c r="AE23" i="1" s="1"/>
  <c r="AC139" i="1"/>
  <c r="AE139" i="1" s="1"/>
  <c r="AB191" i="1"/>
  <c r="AA191" i="1"/>
  <c r="AB105" i="1"/>
  <c r="AA105" i="1"/>
  <c r="AC54" i="1"/>
  <c r="AE54" i="1" s="1"/>
  <c r="AC129" i="1"/>
  <c r="AE129" i="1" s="1"/>
  <c r="AC41" i="1"/>
  <c r="AE41" i="1" s="1"/>
  <c r="Y158" i="2"/>
  <c r="X158" i="2"/>
  <c r="AI158" i="2"/>
  <c r="Y101" i="2"/>
  <c r="X101" i="2"/>
  <c r="AH101" i="2"/>
  <c r="Z77" i="2"/>
  <c r="AB77" i="2" s="1"/>
  <c r="AE77" i="2" s="1"/>
  <c r="AG77" i="2" s="1"/>
  <c r="Y115" i="2"/>
  <c r="X115" i="2"/>
  <c r="AH115" i="2"/>
  <c r="Z103" i="2"/>
  <c r="AB103" i="2" s="1"/>
  <c r="Z16" i="2"/>
  <c r="AB16" i="2" s="1"/>
  <c r="AH16" i="2"/>
  <c r="AB168" i="2"/>
  <c r="Z168" i="2"/>
  <c r="Z64" i="2"/>
  <c r="AB64" i="2" s="1"/>
  <c r="X27" i="2"/>
  <c r="Y27" i="2"/>
  <c r="AB10" i="2"/>
  <c r="Z10" i="2"/>
  <c r="W551" i="1"/>
  <c r="Y551" i="1" s="1"/>
  <c r="V551" i="1"/>
  <c r="X551" i="1" s="1"/>
  <c r="W576" i="1"/>
  <c r="Y576" i="1" s="1"/>
  <c r="AB610" i="1"/>
  <c r="AA610" i="1"/>
  <c r="AM610" i="1"/>
  <c r="AC594" i="1"/>
  <c r="AE594" i="1" s="1"/>
  <c r="AB637" i="1"/>
  <c r="AA637" i="1"/>
  <c r="AB508" i="1"/>
  <c r="AA508" i="1"/>
  <c r="AK508" i="1"/>
  <c r="AC609" i="1"/>
  <c r="AE609" i="1" s="1"/>
  <c r="AL543" i="1"/>
  <c r="AC527" i="1"/>
  <c r="AE527" i="1" s="1"/>
  <c r="Y510" i="1"/>
  <c r="V373" i="1"/>
  <c r="X373" i="1" s="1"/>
  <c r="V281" i="1"/>
  <c r="X281" i="1" s="1"/>
  <c r="W281" i="1"/>
  <c r="Y281" i="1" s="1"/>
  <c r="AC289" i="1"/>
  <c r="AE289" i="1" s="1"/>
  <c r="AB206" i="1"/>
  <c r="AA206" i="1"/>
  <c r="V307" i="1"/>
  <c r="X307" i="1" s="1"/>
  <c r="AB64" i="1"/>
  <c r="AA64" i="1"/>
  <c r="AB504" i="1"/>
  <c r="AA504" i="1"/>
  <c r="AC47" i="1"/>
  <c r="AE47" i="1" s="1"/>
  <c r="W101" i="1"/>
  <c r="Y101" i="1" s="1"/>
  <c r="AB32" i="1"/>
  <c r="AA32" i="1"/>
  <c r="AB275" i="1"/>
  <c r="AA275" i="1"/>
  <c r="W180" i="1"/>
  <c r="Y180" i="1" s="1"/>
  <c r="V253" i="1"/>
  <c r="X253" i="1" s="1"/>
  <c r="AC191" i="1"/>
  <c r="AE191" i="1" s="1"/>
  <c r="AB268" i="1"/>
  <c r="AA268" i="1"/>
  <c r="AB7" i="1"/>
  <c r="AA7" i="1"/>
  <c r="Z73" i="2"/>
  <c r="AB73" i="2" s="1"/>
  <c r="Z117" i="2"/>
  <c r="AB117" i="2" s="1"/>
  <c r="Y52" i="2"/>
  <c r="X52" i="2"/>
  <c r="Z22" i="2"/>
  <c r="AB22" i="2" s="1"/>
  <c r="Y128" i="2"/>
  <c r="X128" i="2"/>
  <c r="AA128" i="2" s="1"/>
  <c r="Z118" i="2"/>
  <c r="AB118" i="2" s="1"/>
  <c r="Z79" i="2"/>
  <c r="AB79" i="2" s="1"/>
  <c r="Z140" i="2"/>
  <c r="AB140" i="2" s="1"/>
  <c r="AB650" i="1"/>
  <c r="AA650" i="1"/>
  <c r="X576" i="1"/>
  <c r="V571" i="1"/>
  <c r="X571" i="1" s="1"/>
  <c r="AC541" i="1"/>
  <c r="AE541" i="1" s="1"/>
  <c r="AC608" i="1"/>
  <c r="AE608" i="1" s="1"/>
  <c r="AC508" i="1"/>
  <c r="AE508" i="1" s="1"/>
  <c r="AC597" i="1"/>
  <c r="AE597" i="1" s="1"/>
  <c r="AB490" i="1"/>
  <c r="AA490" i="1"/>
  <c r="W373" i="1"/>
  <c r="Y373" i="1" s="1"/>
  <c r="AB277" i="1"/>
  <c r="AA277" i="1"/>
  <c r="AB192" i="1"/>
  <c r="AA192" i="1"/>
  <c r="W307" i="1"/>
  <c r="Y307" i="1" s="1"/>
  <c r="Y224" i="1"/>
  <c r="W224" i="1"/>
  <c r="V224" i="1"/>
  <c r="AC529" i="1"/>
  <c r="AE529" i="1" s="1"/>
  <c r="AC471" i="1"/>
  <c r="AE471" i="1" s="1"/>
  <c r="W52" i="1"/>
  <c r="Y52" i="1" s="1"/>
  <c r="V52" i="1"/>
  <c r="X52" i="1" s="1"/>
  <c r="Y106" i="1"/>
  <c r="W106" i="1"/>
  <c r="V53" i="1"/>
  <c r="X53" i="1" s="1"/>
  <c r="AB31" i="1"/>
  <c r="AA31" i="1"/>
  <c r="AB22" i="1"/>
  <c r="AA22" i="1"/>
  <c r="W253" i="1"/>
  <c r="Y253" i="1" s="1"/>
  <c r="V116" i="1"/>
  <c r="X116" i="1" s="1"/>
  <c r="AB68" i="1"/>
  <c r="AA68" i="1"/>
  <c r="AK68" i="1"/>
  <c r="AC7" i="1"/>
  <c r="AE7" i="1" s="1"/>
  <c r="V49" i="1"/>
  <c r="X49" i="1" s="1"/>
  <c r="Y148" i="2"/>
  <c r="X148" i="2"/>
  <c r="AI148" i="2"/>
  <c r="Y87" i="2"/>
  <c r="X87" i="2"/>
  <c r="AA87" i="2" s="1"/>
  <c r="Y146" i="2"/>
  <c r="X146" i="2"/>
  <c r="AA146" i="2" s="1"/>
  <c r="AI146" i="2"/>
  <c r="Z59" i="2"/>
  <c r="AB59" i="2" s="1"/>
  <c r="Z29" i="2"/>
  <c r="AB29" i="2" s="1"/>
  <c r="Z115" i="2"/>
  <c r="AB115" i="2" s="1"/>
  <c r="Z67" i="2"/>
  <c r="AB67" i="2"/>
  <c r="Y120" i="2"/>
  <c r="X120" i="2"/>
  <c r="AH120" i="2"/>
  <c r="Z128" i="2"/>
  <c r="AB128" i="2" s="1"/>
  <c r="Z57" i="2"/>
  <c r="AB57" i="2" s="1"/>
  <c r="X72" i="2"/>
  <c r="AA72" i="2" s="1"/>
  <c r="AH72" i="2"/>
  <c r="Y72" i="2"/>
  <c r="Z26" i="2"/>
  <c r="AB26" i="2" s="1"/>
  <c r="Z6" i="2"/>
  <c r="AB6" i="2" s="1"/>
  <c r="Z34" i="2"/>
  <c r="AB34" i="2" s="1"/>
  <c r="Z19" i="2"/>
  <c r="AB19" i="2" s="1"/>
  <c r="Y140" i="2"/>
  <c r="X140" i="2"/>
  <c r="AA140" i="2" s="1"/>
  <c r="AI140" i="2"/>
  <c r="AJ140" i="2" s="1"/>
  <c r="AC625" i="1"/>
  <c r="AE625" i="1" s="1"/>
  <c r="AC627" i="1"/>
  <c r="AE627" i="1" s="1"/>
  <c r="AB547" i="1"/>
  <c r="AA547" i="1"/>
  <c r="W571" i="1"/>
  <c r="Y571" i="1" s="1"/>
  <c r="AB608" i="1"/>
  <c r="AA608" i="1"/>
  <c r="AB573" i="1"/>
  <c r="AA573" i="1"/>
  <c r="AC520" i="1"/>
  <c r="AE520" i="1" s="1"/>
  <c r="AC637" i="1"/>
  <c r="AE637" i="1" s="1"/>
  <c r="AC633" i="1"/>
  <c r="AE633" i="1" s="1"/>
  <c r="AC624" i="1"/>
  <c r="AE624" i="1" s="1"/>
  <c r="AB597" i="1"/>
  <c r="AA597" i="1"/>
  <c r="AC564" i="1"/>
  <c r="AE564" i="1" s="1"/>
  <c r="AC628" i="1"/>
  <c r="AE628" i="1" s="1"/>
  <c r="AC589" i="1"/>
  <c r="AE589" i="1" s="1"/>
  <c r="AC555" i="1"/>
  <c r="AE555" i="1" s="1"/>
  <c r="AB584" i="1"/>
  <c r="AA584" i="1"/>
  <c r="AK584" i="1"/>
  <c r="AC540" i="1"/>
  <c r="AE540" i="1" s="1"/>
  <c r="AB459" i="1"/>
  <c r="AA459" i="1"/>
  <c r="AC647" i="1"/>
  <c r="AE647" i="1" s="1"/>
  <c r="AA586" i="1"/>
  <c r="AB586" i="1"/>
  <c r="AC521" i="1"/>
  <c r="AE521" i="1" s="1"/>
  <c r="AC442" i="1"/>
  <c r="AE442" i="1" s="1"/>
  <c r="AC401" i="1"/>
  <c r="AE401" i="1" s="1"/>
  <c r="AC308" i="1"/>
  <c r="AE308" i="1" s="1"/>
  <c r="AB414" i="1"/>
  <c r="AA414" i="1"/>
  <c r="AC277" i="1"/>
  <c r="AE277" i="1" s="1"/>
  <c r="AB388" i="1"/>
  <c r="AA388" i="1"/>
  <c r="AC322" i="1"/>
  <c r="AE322" i="1" s="1"/>
  <c r="AC518" i="1"/>
  <c r="AE518" i="1" s="1"/>
  <c r="AC495" i="1"/>
  <c r="AE495" i="1" s="1"/>
  <c r="AB435" i="1"/>
  <c r="AA435" i="1"/>
  <c r="AC410" i="1"/>
  <c r="AE410" i="1" s="1"/>
  <c r="AC272" i="1"/>
  <c r="AE272" i="1" s="1"/>
  <c r="AB189" i="1"/>
  <c r="AA189" i="1"/>
  <c r="AC375" i="1"/>
  <c r="AE375" i="1" s="1"/>
  <c r="AB400" i="1"/>
  <c r="AA400" i="1"/>
  <c r="AK400" i="1"/>
  <c r="AC319" i="1"/>
  <c r="AE319" i="1" s="1"/>
  <c r="V514" i="1"/>
  <c r="X514" i="1" s="1"/>
  <c r="V494" i="1"/>
  <c r="X494" i="1" s="1"/>
  <c r="AB453" i="1"/>
  <c r="AA453" i="1"/>
  <c r="AK453" i="1"/>
  <c r="AL484" i="1"/>
  <c r="AB484" i="1"/>
  <c r="AA484" i="1"/>
  <c r="AC434" i="1"/>
  <c r="AE434" i="1" s="1"/>
  <c r="V377" i="1"/>
  <c r="X377" i="1" s="1"/>
  <c r="AC321" i="1"/>
  <c r="AE321" i="1" s="1"/>
  <c r="V362" i="1"/>
  <c r="X362" i="1" s="1"/>
  <c r="AB488" i="1"/>
  <c r="AA488" i="1"/>
  <c r="AK488" i="1"/>
  <c r="AB452" i="1"/>
  <c r="AA452" i="1"/>
  <c r="AC397" i="1"/>
  <c r="AE397" i="1" s="1"/>
  <c r="AC374" i="1"/>
  <c r="AE374" i="1" s="1"/>
  <c r="AA108" i="1"/>
  <c r="AB108" i="1"/>
  <c r="AC229" i="1"/>
  <c r="AE229" i="1" s="1"/>
  <c r="AB106" i="1"/>
  <c r="AA106" i="1"/>
  <c r="AC124" i="1"/>
  <c r="AE124" i="1" s="1"/>
  <c r="W53" i="1"/>
  <c r="Y53" i="1" s="1"/>
  <c r="AA15" i="1"/>
  <c r="AB15" i="1"/>
  <c r="V265" i="1"/>
  <c r="X265" i="1" s="1"/>
  <c r="X11" i="1"/>
  <c r="W11" i="1"/>
  <c r="Y11" i="1" s="1"/>
  <c r="AC279" i="1"/>
  <c r="AE279" i="1" s="1"/>
  <c r="AC209" i="1"/>
  <c r="AE209" i="1" s="1"/>
  <c r="W116" i="1"/>
  <c r="Y116" i="1" s="1"/>
  <c r="AC68" i="1"/>
  <c r="AE68" i="1" s="1"/>
  <c r="V242" i="1"/>
  <c r="X242" i="1" s="1"/>
  <c r="V9" i="1"/>
  <c r="X9" i="1" s="1"/>
  <c r="W49" i="1"/>
  <c r="Y49" i="1" s="1"/>
  <c r="Z65" i="2"/>
  <c r="AB65" i="2" s="1"/>
  <c r="Y136" i="2"/>
  <c r="X136" i="2"/>
  <c r="Z40" i="2"/>
  <c r="AB40" i="2" s="1"/>
  <c r="Z144" i="2"/>
  <c r="AB144" i="2" s="1"/>
  <c r="Z55" i="2"/>
  <c r="AB55" i="2" s="1"/>
  <c r="Y18" i="2"/>
  <c r="X18" i="2"/>
  <c r="AA18" i="2" s="1"/>
  <c r="Y176" i="2"/>
  <c r="AA176" i="2" s="1"/>
  <c r="X176" i="2"/>
  <c r="AI176" i="2"/>
  <c r="Z72" i="2"/>
  <c r="AB72" i="2" s="1"/>
  <c r="AC636" i="1"/>
  <c r="AE636" i="1" s="1"/>
  <c r="V561" i="1"/>
  <c r="X561" i="1" s="1"/>
  <c r="AC606" i="1"/>
  <c r="AE606" i="1" s="1"/>
  <c r="AB600" i="1"/>
  <c r="AA600" i="1"/>
  <c r="AB622" i="1"/>
  <c r="AA622" i="1"/>
  <c r="AA523" i="1"/>
  <c r="AK523" i="1"/>
  <c r="AB523" i="1"/>
  <c r="AK628" i="1"/>
  <c r="AB628" i="1"/>
  <c r="AA628" i="1"/>
  <c r="AC605" i="1"/>
  <c r="AE605" i="1" s="1"/>
  <c r="AC656" i="1"/>
  <c r="AE656" i="1" s="1"/>
  <c r="AC601" i="1"/>
  <c r="AE601" i="1" s="1"/>
  <c r="AC584" i="1"/>
  <c r="AE584" i="1" s="1"/>
  <c r="AC638" i="1"/>
  <c r="AE638" i="1" s="1"/>
  <c r="AC586" i="1"/>
  <c r="AE586" i="1" s="1"/>
  <c r="AC414" i="1"/>
  <c r="AE414" i="1" s="1"/>
  <c r="AB320" i="1"/>
  <c r="AA320" i="1"/>
  <c r="AB501" i="1"/>
  <c r="AA501" i="1"/>
  <c r="AB428" i="1"/>
  <c r="AA428" i="1"/>
  <c r="AK428" i="1"/>
  <c r="AC388" i="1"/>
  <c r="AE388" i="1" s="1"/>
  <c r="W276" i="1"/>
  <c r="Y276" i="1" s="1"/>
  <c r="V276" i="1"/>
  <c r="X276" i="1" s="1"/>
  <c r="AC271" i="1"/>
  <c r="AE271" i="1" s="1"/>
  <c r="AB186" i="1"/>
  <c r="AA186" i="1"/>
  <c r="W494" i="1"/>
  <c r="Y494" i="1" s="1"/>
  <c r="W377" i="1"/>
  <c r="Y377" i="1" s="1"/>
  <c r="V311" i="1"/>
  <c r="X311" i="1" s="1"/>
  <c r="W362" i="1"/>
  <c r="Y362" i="1" s="1"/>
  <c r="V202" i="1"/>
  <c r="X202" i="1" s="1"/>
  <c r="AB184" i="1"/>
  <c r="AA184" i="1"/>
  <c r="AC70" i="1"/>
  <c r="AE70" i="1" s="1"/>
  <c r="W265" i="1"/>
  <c r="Y265" i="1" s="1"/>
  <c r="V175" i="1"/>
  <c r="X175" i="1" s="1"/>
  <c r="AC57" i="1"/>
  <c r="AE57" i="1" s="1"/>
  <c r="W77" i="1"/>
  <c r="W242" i="1"/>
  <c r="Y242" i="1" s="1"/>
  <c r="W9" i="1"/>
  <c r="Y9" i="1" s="1"/>
  <c r="Z9" i="2"/>
  <c r="AB9" i="2" s="1"/>
  <c r="X76" i="2"/>
  <c r="AH76" i="2"/>
  <c r="Y76" i="2"/>
  <c r="W561" i="1"/>
  <c r="Y561" i="1" s="1"/>
  <c r="AC614" i="1"/>
  <c r="AE614" i="1" s="1"/>
  <c r="AC657" i="1"/>
  <c r="AE657" i="1" s="1"/>
  <c r="AB499" i="1"/>
  <c r="AA499" i="1"/>
  <c r="AB483" i="1"/>
  <c r="AA483" i="1"/>
  <c r="W273" i="1"/>
  <c r="Y273" i="1" s="1"/>
  <c r="V273" i="1"/>
  <c r="X273" i="1" s="1"/>
  <c r="AB267" i="1"/>
  <c r="AA267" i="1"/>
  <c r="AB158" i="1"/>
  <c r="AA158" i="1"/>
  <c r="Y514" i="1"/>
  <c r="W311" i="1"/>
  <c r="Y311" i="1" s="1"/>
  <c r="AC413" i="1"/>
  <c r="AE413" i="1" s="1"/>
  <c r="AC39" i="1"/>
  <c r="AE39" i="1" s="1"/>
  <c r="AB274" i="1"/>
  <c r="AA274" i="1"/>
  <c r="AC280" i="1"/>
  <c r="AE280" i="1" s="1"/>
  <c r="AC30" i="1"/>
  <c r="AE30" i="1" s="1"/>
  <c r="W175" i="1"/>
  <c r="Y175" i="1" s="1"/>
  <c r="W288" i="1"/>
  <c r="Y288" i="1" s="1"/>
  <c r="V260" i="1"/>
  <c r="X260" i="1" s="1"/>
  <c r="V65" i="1"/>
  <c r="X65" i="1" s="1"/>
  <c r="Y122" i="2"/>
  <c r="X122" i="2"/>
  <c r="AA122" i="2" s="1"/>
  <c r="AH122" i="2"/>
  <c r="Y59" i="2"/>
  <c r="X59" i="2"/>
  <c r="AH59" i="2"/>
  <c r="Z141" i="2"/>
  <c r="AB141" i="2" s="1"/>
  <c r="Z136" i="2"/>
  <c r="AB136" i="2" s="1"/>
  <c r="AI157" i="2"/>
  <c r="X157" i="2"/>
  <c r="Y157" i="2"/>
  <c r="Y109" i="2"/>
  <c r="X109" i="2"/>
  <c r="AH109" i="2"/>
  <c r="Y46" i="2"/>
  <c r="X46" i="2"/>
  <c r="Y131" i="2"/>
  <c r="X131" i="2"/>
  <c r="Z74" i="2"/>
  <c r="AB74" i="2" s="1"/>
  <c r="Y135" i="2"/>
  <c r="AA135" i="2" s="1"/>
  <c r="X135" i="2"/>
  <c r="X41" i="2"/>
  <c r="Y41" i="2"/>
  <c r="Z5" i="2"/>
  <c r="AB5" i="2" s="1"/>
  <c r="X177" i="2"/>
  <c r="AA177" i="2" s="1"/>
  <c r="AI177" i="2"/>
  <c r="Y177" i="2"/>
  <c r="Y114" i="2"/>
  <c r="AA114" i="2" s="1"/>
  <c r="X114" i="2"/>
  <c r="AH114" i="2"/>
  <c r="Y126" i="2"/>
  <c r="X126" i="2"/>
  <c r="AI126" i="2"/>
  <c r="AB84" i="2"/>
  <c r="Z84" i="2"/>
  <c r="X26" i="2"/>
  <c r="Y26" i="2"/>
  <c r="Z130" i="2"/>
  <c r="AB130" i="2" s="1"/>
  <c r="Z98" i="2"/>
  <c r="AB98" i="2" s="1"/>
  <c r="Y14" i="2"/>
  <c r="X14" i="2"/>
  <c r="AB174" i="2"/>
  <c r="Z174" i="2"/>
  <c r="Z76" i="2"/>
  <c r="AB76" i="2" s="1"/>
  <c r="Z11" i="2"/>
  <c r="AB11" i="2" s="1"/>
  <c r="X20" i="2"/>
  <c r="Y20" i="2"/>
  <c r="AB614" i="1"/>
  <c r="AA614" i="1"/>
  <c r="AK614" i="1"/>
  <c r="AC505" i="1"/>
  <c r="AE505" i="1" s="1"/>
  <c r="AC600" i="1"/>
  <c r="AE600" i="1" s="1"/>
  <c r="AB657" i="1"/>
  <c r="AA657" i="1"/>
  <c r="AL657" i="1"/>
  <c r="AC622" i="1"/>
  <c r="AE622" i="1" s="1"/>
  <c r="AC631" i="1"/>
  <c r="AE631" i="1" s="1"/>
  <c r="AB493" i="1"/>
  <c r="AA493" i="1"/>
  <c r="AK493" i="1"/>
  <c r="AC651" i="1"/>
  <c r="AE651" i="1" s="1"/>
  <c r="AC557" i="1"/>
  <c r="AE557" i="1" s="1"/>
  <c r="AB582" i="1"/>
  <c r="AA582" i="1"/>
  <c r="AB564" i="1"/>
  <c r="AA564" i="1"/>
  <c r="AK535" i="1"/>
  <c r="AB535" i="1"/>
  <c r="AA535" i="1"/>
  <c r="AC615" i="1"/>
  <c r="AE615" i="1" s="1"/>
  <c r="AC603" i="1"/>
  <c r="AE603" i="1" s="1"/>
  <c r="AB578" i="1"/>
  <c r="AA578" i="1"/>
  <c r="AB524" i="1"/>
  <c r="AA524" i="1"/>
  <c r="AC536" i="1"/>
  <c r="AE536" i="1" s="1"/>
  <c r="AA485" i="1"/>
  <c r="AB485" i="1"/>
  <c r="AB312" i="1"/>
  <c r="AA312" i="1"/>
  <c r="AA264" i="1"/>
  <c r="AB264" i="1"/>
  <c r="AB330" i="1"/>
  <c r="AA330" i="1"/>
  <c r="AA300" i="1"/>
  <c r="AB300" i="1"/>
  <c r="AC466" i="1"/>
  <c r="AE466" i="1" s="1"/>
  <c r="AC423" i="1"/>
  <c r="AE423" i="1" s="1"/>
  <c r="AB375" i="1"/>
  <c r="AA375" i="1"/>
  <c r="AC351" i="1"/>
  <c r="AE351" i="1" s="1"/>
  <c r="AC317" i="1"/>
  <c r="AE317" i="1" s="1"/>
  <c r="AB137" i="1"/>
  <c r="AA137" i="1"/>
  <c r="AC429" i="1"/>
  <c r="AE429" i="1" s="1"/>
  <c r="AC420" i="1"/>
  <c r="AE420" i="1" s="1"/>
  <c r="AC353" i="1"/>
  <c r="AE353" i="1" s="1"/>
  <c r="AB475" i="1"/>
  <c r="AA475" i="1"/>
  <c r="AC406" i="1"/>
  <c r="AE406" i="1" s="1"/>
  <c r="AC438" i="1"/>
  <c r="AE438" i="1" s="1"/>
  <c r="AB371" i="1"/>
  <c r="AA371" i="1"/>
  <c r="AC498" i="1"/>
  <c r="AE498" i="1" s="1"/>
  <c r="AC461" i="1"/>
  <c r="AE461" i="1" s="1"/>
  <c r="AC440" i="1"/>
  <c r="AE440" i="1" s="1"/>
  <c r="AB39" i="1"/>
  <c r="AA39" i="1"/>
  <c r="AC274" i="1"/>
  <c r="AE274" i="1" s="1"/>
  <c r="AC62" i="1"/>
  <c r="AE62" i="1" s="1"/>
  <c r="AB38" i="1"/>
  <c r="AA38" i="1"/>
  <c r="AB280" i="1"/>
  <c r="AA280" i="1"/>
  <c r="AC239" i="1"/>
  <c r="AE239" i="1" s="1"/>
  <c r="AC176" i="1"/>
  <c r="AE176" i="1" s="1"/>
  <c r="AC151" i="1"/>
  <c r="AE151" i="1" s="1"/>
  <c r="AC82" i="1"/>
  <c r="AE82" i="1" s="1"/>
  <c r="AB132" i="1"/>
  <c r="AA132" i="1"/>
  <c r="AC89" i="1"/>
  <c r="AE89" i="1" s="1"/>
  <c r="AC42" i="1"/>
  <c r="AE42" i="1" s="1"/>
  <c r="AC195" i="1"/>
  <c r="AE195" i="1" s="1"/>
  <c r="AC183" i="1"/>
  <c r="AE183" i="1" s="1"/>
  <c r="AB124" i="1"/>
  <c r="AA124" i="1"/>
  <c r="AB143" i="1"/>
  <c r="AA143" i="1"/>
  <c r="AC232" i="1"/>
  <c r="AE232" i="1" s="1"/>
  <c r="AB187" i="1"/>
  <c r="AA187" i="1"/>
  <c r="AB130" i="1"/>
  <c r="AA130" i="1"/>
  <c r="AC245" i="1"/>
  <c r="AE245" i="1" s="1"/>
  <c r="AB207" i="1"/>
  <c r="AA207" i="1"/>
  <c r="AC45" i="1"/>
  <c r="AE45" i="1" s="1"/>
  <c r="AB251" i="1"/>
  <c r="AA251" i="1"/>
  <c r="AB127" i="1"/>
  <c r="AA127" i="1"/>
  <c r="AC26" i="1"/>
  <c r="AE26" i="1" s="1"/>
  <c r="AB147" i="1" l="1"/>
  <c r="AD209" i="1"/>
  <c r="AA14" i="1"/>
  <c r="AB134" i="1"/>
  <c r="AD134" i="1" s="1"/>
  <c r="AF134" i="1" s="1"/>
  <c r="AG134" i="1" s="1"/>
  <c r="AI134" i="1" s="1"/>
  <c r="AA393" i="1"/>
  <c r="AD508" i="1"/>
  <c r="AA159" i="2"/>
  <c r="AA76" i="2"/>
  <c r="AA10" i="2"/>
  <c r="AC10" i="2" s="1"/>
  <c r="AA66" i="2"/>
  <c r="AA169" i="2"/>
  <c r="AA64" i="2"/>
  <c r="AC64" i="2" s="1"/>
  <c r="AD64" i="2" s="1"/>
  <c r="AF64" i="2" s="1"/>
  <c r="AA133" i="2"/>
  <c r="AA70" i="2"/>
  <c r="AA68" i="2"/>
  <c r="AJ149" i="2"/>
  <c r="AA152" i="2"/>
  <c r="AC152" i="2" s="1"/>
  <c r="AA165" i="2"/>
  <c r="AC165" i="2" s="1"/>
  <c r="AE165" i="2" s="1"/>
  <c r="AG165" i="2" s="1"/>
  <c r="AA91" i="2"/>
  <c r="AA110" i="2"/>
  <c r="AA43" i="2"/>
  <c r="AA20" i="2"/>
  <c r="AA115" i="2"/>
  <c r="AA149" i="2"/>
  <c r="AC149" i="2" s="1"/>
  <c r="AA124" i="2"/>
  <c r="AA19" i="2"/>
  <c r="AA26" i="2"/>
  <c r="AA109" i="2"/>
  <c r="AA27" i="2"/>
  <c r="AA118" i="2"/>
  <c r="AC118" i="2" s="1"/>
  <c r="AD118" i="2" s="1"/>
  <c r="AF118" i="2" s="1"/>
  <c r="AA173" i="2"/>
  <c r="AA13" i="2"/>
  <c r="AA7" i="2"/>
  <c r="AA71" i="2"/>
  <c r="AC71" i="2" s="1"/>
  <c r="AA136" i="2"/>
  <c r="AA157" i="2"/>
  <c r="AC157" i="2" s="1"/>
  <c r="AJ148" i="2"/>
  <c r="AA104" i="2"/>
  <c r="AA166" i="2"/>
  <c r="AA48" i="2"/>
  <c r="AA11" i="2"/>
  <c r="AA67" i="2"/>
  <c r="AC67" i="2" s="1"/>
  <c r="AD67" i="2" s="1"/>
  <c r="AF67" i="2" s="1"/>
  <c r="AA28" i="2"/>
  <c r="AE65" i="2"/>
  <c r="AG65" i="2" s="1"/>
  <c r="AA131" i="2"/>
  <c r="AC131" i="2" s="1"/>
  <c r="AA52" i="2"/>
  <c r="AA174" i="2"/>
  <c r="AA94" i="2"/>
  <c r="AC94" i="2" s="1"/>
  <c r="AA99" i="2"/>
  <c r="AA42" i="2"/>
  <c r="AC42" i="2" s="1"/>
  <c r="AA22" i="2"/>
  <c r="AA150" i="2"/>
  <c r="AA69" i="2"/>
  <c r="AC69" i="2" s="1"/>
  <c r="AA46" i="2"/>
  <c r="AC46" i="2" s="1"/>
  <c r="AE46" i="2" s="1"/>
  <c r="AG46" i="2" s="1"/>
  <c r="AA148" i="2"/>
  <c r="AC148" i="2" s="1"/>
  <c r="AA6" i="2"/>
  <c r="AC6" i="2" s="1"/>
  <c r="AA134" i="2"/>
  <c r="AA156" i="2"/>
  <c r="AA62" i="2"/>
  <c r="AA5" i="2"/>
  <c r="AD5" i="2" s="1"/>
  <c r="AF5" i="2" s="1"/>
  <c r="AA53" i="2"/>
  <c r="AA45" i="2"/>
  <c r="AA59" i="2"/>
  <c r="AA101" i="2"/>
  <c r="AA95" i="2"/>
  <c r="AC95" i="2" s="1"/>
  <c r="AD95" i="2" s="1"/>
  <c r="AF95" i="2" s="1"/>
  <c r="AA88" i="2"/>
  <c r="AC88" i="2" s="1"/>
  <c r="AE88" i="2" s="1"/>
  <c r="AG88" i="2" s="1"/>
  <c r="AA155" i="2"/>
  <c r="AC155" i="2" s="1"/>
  <c r="AA138" i="2"/>
  <c r="AC138" i="2" s="1"/>
  <c r="AE138" i="2" s="1"/>
  <c r="AG138" i="2" s="1"/>
  <c r="AA108" i="2"/>
  <c r="AC108" i="2" s="1"/>
  <c r="AE108" i="2" s="1"/>
  <c r="AG108" i="2" s="1"/>
  <c r="AA126" i="2"/>
  <c r="AC126" i="2" s="1"/>
  <c r="AA41" i="2"/>
  <c r="AJ158" i="2"/>
  <c r="AA168" i="2"/>
  <c r="AA160" i="2"/>
  <c r="AC160" i="2" s="1"/>
  <c r="AE160" i="2" s="1"/>
  <c r="AG160" i="2" s="1"/>
  <c r="AA60" i="2"/>
  <c r="AA147" i="2"/>
  <c r="AA31" i="2"/>
  <c r="AD31" i="2" s="1"/>
  <c r="AF31" i="2" s="1"/>
  <c r="AA32" i="2"/>
  <c r="AD32" i="2" s="1"/>
  <c r="AF32" i="2" s="1"/>
  <c r="AI78" i="2"/>
  <c r="AA63" i="2"/>
  <c r="AA113" i="2"/>
  <c r="AA14" i="2"/>
  <c r="AC14" i="2" s="1"/>
  <c r="AE14" i="2" s="1"/>
  <c r="AG14" i="2" s="1"/>
  <c r="AA158" i="2"/>
  <c r="AA175" i="2"/>
  <c r="AA82" i="2"/>
  <c r="AA73" i="2"/>
  <c r="AC73" i="2" s="1"/>
  <c r="AA86" i="2"/>
  <c r="AA97" i="2"/>
  <c r="AA74" i="2"/>
  <c r="AA103" i="2"/>
  <c r="AA107" i="2"/>
  <c r="AA164" i="2"/>
  <c r="AC164" i="2" s="1"/>
  <c r="AA139" i="2"/>
  <c r="AC139" i="2" s="1"/>
  <c r="AD139" i="2" s="1"/>
  <c r="AF139" i="2" s="1"/>
  <c r="AA132" i="2"/>
  <c r="AC132" i="2" s="1"/>
  <c r="AE132" i="2" s="1"/>
  <c r="AG132" i="2" s="1"/>
  <c r="AA47" i="2"/>
  <c r="AA25" i="2"/>
  <c r="AC25" i="2" s="1"/>
  <c r="AE25" i="2" s="1"/>
  <c r="AG25" i="2" s="1"/>
  <c r="AA123" i="2"/>
  <c r="AJ157" i="2"/>
  <c r="AA44" i="2"/>
  <c r="AA178" i="2"/>
  <c r="AA39" i="2"/>
  <c r="AC39" i="2" s="1"/>
  <c r="AE39" i="2" s="1"/>
  <c r="AG39" i="2" s="1"/>
  <c r="AA120" i="2"/>
  <c r="AA9" i="2"/>
  <c r="AA49" i="2"/>
  <c r="AA12" i="2"/>
  <c r="AC12" i="2" s="1"/>
  <c r="AA35" i="2"/>
  <c r="AA151" i="2"/>
  <c r="AA40" i="2"/>
  <c r="AC40" i="2" s="1"/>
  <c r="AA92" i="2"/>
  <c r="AA79" i="2"/>
  <c r="AC79" i="2" s="1"/>
  <c r="AA23" i="2"/>
  <c r="AA487" i="1"/>
  <c r="AD487" i="1" s="1"/>
  <c r="AF487" i="1" s="1"/>
  <c r="AH487" i="1" s="1"/>
  <c r="AJ487" i="1" s="1"/>
  <c r="AA75" i="1"/>
  <c r="AA420" i="1"/>
  <c r="AA263" i="1"/>
  <c r="AB560" i="1"/>
  <c r="AD560" i="1" s="1"/>
  <c r="AF560" i="1" s="1"/>
  <c r="AB639" i="1"/>
  <c r="AD639" i="1" s="1"/>
  <c r="AF639" i="1" s="1"/>
  <c r="AG639" i="1" s="1"/>
  <c r="AI639" i="1" s="1"/>
  <c r="AL639" i="1"/>
  <c r="AA118" i="1"/>
  <c r="AD118" i="1" s="1"/>
  <c r="AF118" i="1" s="1"/>
  <c r="AG118" i="1" s="1"/>
  <c r="AI118" i="1" s="1"/>
  <c r="AK487" i="1"/>
  <c r="AD531" i="1"/>
  <c r="AF531" i="1" s="1"/>
  <c r="AG531" i="1" s="1"/>
  <c r="AI531" i="1" s="1"/>
  <c r="AA422" i="1"/>
  <c r="AD422" i="1" s="1"/>
  <c r="AF422" i="1" s="1"/>
  <c r="AG543" i="1"/>
  <c r="AI543" i="1" s="1"/>
  <c r="AH543" i="1"/>
  <c r="AJ543" i="1" s="1"/>
  <c r="AA104" i="1"/>
  <c r="AB257" i="1"/>
  <c r="AD257" i="1" s="1"/>
  <c r="AF257" i="1" s="1"/>
  <c r="AH257" i="1" s="1"/>
  <c r="AJ257" i="1" s="1"/>
  <c r="AD384" i="1"/>
  <c r="AD554" i="1"/>
  <c r="AF554" i="1" s="1"/>
  <c r="AH554" i="1" s="1"/>
  <c r="AJ554" i="1" s="1"/>
  <c r="AA259" i="1"/>
  <c r="AD259" i="1" s="1"/>
  <c r="AF259" i="1" s="1"/>
  <c r="AG259" i="1" s="1"/>
  <c r="AI259" i="1" s="1"/>
  <c r="AA233" i="1"/>
  <c r="AD233" i="1" s="1"/>
  <c r="AF233" i="1" s="1"/>
  <c r="AG233" i="1" s="1"/>
  <c r="AI233" i="1" s="1"/>
  <c r="AA232" i="1"/>
  <c r="AD232" i="1" s="1"/>
  <c r="AF232" i="1" s="1"/>
  <c r="AH232" i="1" s="1"/>
  <c r="AJ232" i="1" s="1"/>
  <c r="AD433" i="1"/>
  <c r="AA19" i="1"/>
  <c r="AD19" i="1" s="1"/>
  <c r="AF19" i="1" s="1"/>
  <c r="AH19" i="1" s="1"/>
  <c r="AJ19" i="1" s="1"/>
  <c r="AA234" i="1"/>
  <c r="AD234" i="1" s="1"/>
  <c r="AF234" i="1" s="1"/>
  <c r="AG234" i="1" s="1"/>
  <c r="AI234" i="1" s="1"/>
  <c r="AD256" i="1"/>
  <c r="AF256" i="1" s="1"/>
  <c r="AH256" i="1" s="1"/>
  <c r="AJ256" i="1" s="1"/>
  <c r="AB520" i="1"/>
  <c r="AD520" i="1" s="1"/>
  <c r="AF520" i="1" s="1"/>
  <c r="AH520" i="1" s="1"/>
  <c r="AJ520" i="1" s="1"/>
  <c r="AA313" i="1"/>
  <c r="AD386" i="1"/>
  <c r="AD589" i="1"/>
  <c r="AF589" i="1" s="1"/>
  <c r="AH589" i="1" s="1"/>
  <c r="AJ589" i="1" s="1"/>
  <c r="AA559" i="1"/>
  <c r="AD559" i="1" s="1"/>
  <c r="AF559" i="1" s="1"/>
  <c r="AG559" i="1" s="1"/>
  <c r="AI559" i="1" s="1"/>
  <c r="AH164" i="1"/>
  <c r="AJ164" i="1" s="1"/>
  <c r="AD351" i="1"/>
  <c r="AF351" i="1" s="1"/>
  <c r="AG351" i="1" s="1"/>
  <c r="AI351" i="1" s="1"/>
  <c r="AD406" i="1"/>
  <c r="AF406" i="1" s="1"/>
  <c r="AH406" i="1" s="1"/>
  <c r="AJ406" i="1" s="1"/>
  <c r="AD135" i="1"/>
  <c r="AF135" i="1" s="1"/>
  <c r="AG135" i="1" s="1"/>
  <c r="AI135" i="1" s="1"/>
  <c r="AD562" i="1"/>
  <c r="AF562" i="1" s="1"/>
  <c r="AH562" i="1" s="1"/>
  <c r="AJ562" i="1" s="1"/>
  <c r="AD552" i="1"/>
  <c r="AF552" i="1" s="1"/>
  <c r="AG552" i="1" s="1"/>
  <c r="AI552" i="1" s="1"/>
  <c r="AA197" i="1"/>
  <c r="AD197" i="1" s="1"/>
  <c r="AF197" i="1" s="1"/>
  <c r="AG197" i="1" s="1"/>
  <c r="AI197" i="1" s="1"/>
  <c r="AD594" i="1"/>
  <c r="AA404" i="1"/>
  <c r="AK478" i="1"/>
  <c r="AA248" i="1"/>
  <c r="AD248" i="1" s="1"/>
  <c r="AF248" i="1" s="1"/>
  <c r="AG248" i="1" s="1"/>
  <c r="AI248" i="1" s="1"/>
  <c r="AB478" i="1"/>
  <c r="AD478" i="1" s="1"/>
  <c r="AF478" i="1" s="1"/>
  <c r="AG478" i="1" s="1"/>
  <c r="AI478" i="1" s="1"/>
  <c r="AD314" i="1"/>
  <c r="AF314" i="1" s="1"/>
  <c r="AG314" i="1" s="1"/>
  <c r="AI314" i="1" s="1"/>
  <c r="AB510" i="1"/>
  <c r="AD510" i="1" s="1"/>
  <c r="AF510" i="1" s="1"/>
  <c r="AG510" i="1" s="1"/>
  <c r="AI510" i="1" s="1"/>
  <c r="AD402" i="1"/>
  <c r="AF402" i="1" s="1"/>
  <c r="AG402" i="1" s="1"/>
  <c r="AI402" i="1" s="1"/>
  <c r="AA324" i="1"/>
  <c r="AD324" i="1" s="1"/>
  <c r="AF324" i="1" s="1"/>
  <c r="AG324" i="1" s="1"/>
  <c r="AI324" i="1" s="1"/>
  <c r="AD601" i="1"/>
  <c r="AB245" i="1"/>
  <c r="AD245" i="1" s="1"/>
  <c r="AF245" i="1" s="1"/>
  <c r="AG245" i="1" s="1"/>
  <c r="AI245" i="1" s="1"/>
  <c r="AD83" i="1"/>
  <c r="AF83" i="1" s="1"/>
  <c r="AG83" i="1" s="1"/>
  <c r="AI83" i="1" s="1"/>
  <c r="AA241" i="1"/>
  <c r="AB241" i="1"/>
  <c r="AA91" i="1"/>
  <c r="AB91" i="1"/>
  <c r="AD504" i="1"/>
  <c r="AF504" i="1" s="1"/>
  <c r="AH504" i="1" s="1"/>
  <c r="AJ504" i="1" s="1"/>
  <c r="AD359" i="1"/>
  <c r="AF359" i="1" s="1"/>
  <c r="AH359" i="1" s="1"/>
  <c r="AJ359" i="1" s="1"/>
  <c r="AD298" i="1"/>
  <c r="AD489" i="1"/>
  <c r="AF489" i="1" s="1"/>
  <c r="AG489" i="1" s="1"/>
  <c r="AI489" i="1" s="1"/>
  <c r="AD129" i="1"/>
  <c r="AF129" i="1" s="1"/>
  <c r="AG129" i="1" s="1"/>
  <c r="AI129" i="1" s="1"/>
  <c r="AD500" i="1"/>
  <c r="AF500" i="1" s="1"/>
  <c r="AG500" i="1" s="1"/>
  <c r="AI500" i="1" s="1"/>
  <c r="AA100" i="1"/>
  <c r="AD100" i="1" s="1"/>
  <c r="AF100" i="1" s="1"/>
  <c r="AD136" i="1"/>
  <c r="AA90" i="1"/>
  <c r="AD90" i="1" s="1"/>
  <c r="AA5" i="1"/>
  <c r="AD5" i="1" s="1"/>
  <c r="AF5" i="1" s="1"/>
  <c r="AH5" i="1" s="1"/>
  <c r="AJ5" i="1" s="1"/>
  <c r="AD415" i="1"/>
  <c r="AF415" i="1" s="1"/>
  <c r="AH415" i="1" s="1"/>
  <c r="AJ415" i="1" s="1"/>
  <c r="AA323" i="1"/>
  <c r="AD323" i="1" s="1"/>
  <c r="AF323" i="1" s="1"/>
  <c r="AH323" i="1" s="1"/>
  <c r="AJ323" i="1" s="1"/>
  <c r="AD461" i="1"/>
  <c r="AF461" i="1" s="1"/>
  <c r="AD304" i="1"/>
  <c r="AF304" i="1" s="1"/>
  <c r="AG304" i="1" s="1"/>
  <c r="AI304" i="1" s="1"/>
  <c r="AD21" i="1"/>
  <c r="AF21" i="1" s="1"/>
  <c r="AH21" i="1" s="1"/>
  <c r="AJ21" i="1" s="1"/>
  <c r="AA383" i="1"/>
  <c r="AD383" i="1" s="1"/>
  <c r="AF383" i="1" s="1"/>
  <c r="AG383" i="1" s="1"/>
  <c r="AI383" i="1" s="1"/>
  <c r="AD143" i="1"/>
  <c r="AF143" i="1" s="1"/>
  <c r="AD511" i="1"/>
  <c r="AF511" i="1" s="1"/>
  <c r="AG511" i="1" s="1"/>
  <c r="AI511" i="1" s="1"/>
  <c r="AD349" i="1"/>
  <c r="AD28" i="1"/>
  <c r="AF28" i="1" s="1"/>
  <c r="AG28" i="1" s="1"/>
  <c r="AI28" i="1" s="1"/>
  <c r="AD154" i="1"/>
  <c r="AD579" i="1"/>
  <c r="AF579" i="1" s="1"/>
  <c r="AG579" i="1" s="1"/>
  <c r="AI579" i="1" s="1"/>
  <c r="AD423" i="1"/>
  <c r="AF423" i="1" s="1"/>
  <c r="AG423" i="1" s="1"/>
  <c r="AI423" i="1" s="1"/>
  <c r="AD150" i="1"/>
  <c r="AF150" i="1" s="1"/>
  <c r="AG150" i="1" s="1"/>
  <c r="AI150" i="1" s="1"/>
  <c r="AD390" i="1"/>
  <c r="AF390" i="1" s="1"/>
  <c r="AH390" i="1" s="1"/>
  <c r="AJ390" i="1" s="1"/>
  <c r="AD96" i="1"/>
  <c r="AF96" i="1" s="1"/>
  <c r="AG96" i="1" s="1"/>
  <c r="AI96" i="1" s="1"/>
  <c r="AD580" i="1"/>
  <c r="AF580" i="1" s="1"/>
  <c r="AH580" i="1" s="1"/>
  <c r="AJ580" i="1" s="1"/>
  <c r="AD658" i="1"/>
  <c r="AF658" i="1" s="1"/>
  <c r="AG658" i="1" s="1"/>
  <c r="AI658" i="1" s="1"/>
  <c r="AD379" i="1"/>
  <c r="AF379" i="1" s="1"/>
  <c r="AH379" i="1" s="1"/>
  <c r="AJ379" i="1" s="1"/>
  <c r="AD486" i="1"/>
  <c r="AF486" i="1" s="1"/>
  <c r="AG486" i="1" s="1"/>
  <c r="AI486" i="1" s="1"/>
  <c r="AD633" i="1"/>
  <c r="AD262" i="1"/>
  <c r="AF262" i="1" s="1"/>
  <c r="AG262" i="1" s="1"/>
  <c r="AI262" i="1" s="1"/>
  <c r="AK520" i="1"/>
  <c r="AD231" i="1"/>
  <c r="AD605" i="1"/>
  <c r="AF605" i="1" s="1"/>
  <c r="AG605" i="1" s="1"/>
  <c r="AI605" i="1" s="1"/>
  <c r="AD137" i="1"/>
  <c r="AF137" i="1" s="1"/>
  <c r="AG137" i="1" s="1"/>
  <c r="AI137" i="1" s="1"/>
  <c r="AD586" i="1"/>
  <c r="AF586" i="1" s="1"/>
  <c r="AH586" i="1" s="1"/>
  <c r="AJ586" i="1" s="1"/>
  <c r="AD230" i="1"/>
  <c r="AF230" i="1" s="1"/>
  <c r="AD220" i="1"/>
  <c r="AF220" i="1" s="1"/>
  <c r="AH220" i="1" s="1"/>
  <c r="AJ220" i="1" s="1"/>
  <c r="AD237" i="1"/>
  <c r="AF237" i="1" s="1"/>
  <c r="AH237" i="1" s="1"/>
  <c r="AJ237" i="1" s="1"/>
  <c r="AD319" i="1"/>
  <c r="AF319" i="1" s="1"/>
  <c r="AH319" i="1" s="1"/>
  <c r="AJ319" i="1" s="1"/>
  <c r="AD46" i="1"/>
  <c r="AF46" i="1" s="1"/>
  <c r="AG46" i="1" s="1"/>
  <c r="AI46" i="1" s="1"/>
  <c r="AD495" i="1"/>
  <c r="AA212" i="1"/>
  <c r="AD212" i="1" s="1"/>
  <c r="AF212" i="1" s="1"/>
  <c r="AG212" i="1" s="1"/>
  <c r="AI212" i="1" s="1"/>
  <c r="AD568" i="1"/>
  <c r="AD365" i="1"/>
  <c r="AF365" i="1" s="1"/>
  <c r="AH365" i="1" s="1"/>
  <c r="AJ365" i="1" s="1"/>
  <c r="AD404" i="1"/>
  <c r="AF404" i="1" s="1"/>
  <c r="AG404" i="1" s="1"/>
  <c r="AI404" i="1" s="1"/>
  <c r="AD490" i="1"/>
  <c r="AF490" i="1" s="1"/>
  <c r="AG490" i="1" s="1"/>
  <c r="AI490" i="1" s="1"/>
  <c r="AD268" i="1"/>
  <c r="AF268" i="1" s="1"/>
  <c r="AH268" i="1" s="1"/>
  <c r="AJ268" i="1" s="1"/>
  <c r="AD525" i="1"/>
  <c r="AF525" i="1" s="1"/>
  <c r="AG525" i="1" s="1"/>
  <c r="AI525" i="1" s="1"/>
  <c r="AD548" i="1"/>
  <c r="AF548" i="1" s="1"/>
  <c r="AG548" i="1" s="1"/>
  <c r="AI548" i="1" s="1"/>
  <c r="AD418" i="1"/>
  <c r="AF418" i="1" s="1"/>
  <c r="AH418" i="1" s="1"/>
  <c r="AJ418" i="1" s="1"/>
  <c r="AD167" i="1"/>
  <c r="AF167" i="1" s="1"/>
  <c r="AD413" i="1"/>
  <c r="AF413" i="1" s="1"/>
  <c r="AH413" i="1" s="1"/>
  <c r="AJ413" i="1" s="1"/>
  <c r="AD45" i="1"/>
  <c r="AD644" i="1"/>
  <c r="AF644" i="1" s="1"/>
  <c r="AG644" i="1" s="1"/>
  <c r="AI644" i="1" s="1"/>
  <c r="AD572" i="1"/>
  <c r="AF572" i="1" s="1"/>
  <c r="AG572" i="1" s="1"/>
  <c r="AI572" i="1" s="1"/>
  <c r="AD439" i="1"/>
  <c r="AK627" i="1"/>
  <c r="AD54" i="1"/>
  <c r="AF54" i="1" s="1"/>
  <c r="AH54" i="1" s="1"/>
  <c r="AJ54" i="1" s="1"/>
  <c r="AA502" i="1"/>
  <c r="AD502" i="1" s="1"/>
  <c r="AF502" i="1" s="1"/>
  <c r="AA627" i="1"/>
  <c r="AD627" i="1" s="1"/>
  <c r="AF627" i="1" s="1"/>
  <c r="AG627" i="1" s="1"/>
  <c r="AI627" i="1" s="1"/>
  <c r="AD546" i="1"/>
  <c r="AF546" i="1" s="1"/>
  <c r="AH546" i="1" s="1"/>
  <c r="AJ546" i="1" s="1"/>
  <c r="AD447" i="1"/>
  <c r="AF447" i="1" s="1"/>
  <c r="AH447" i="1" s="1"/>
  <c r="AJ447" i="1" s="1"/>
  <c r="AD201" i="1"/>
  <c r="AF201" i="1" s="1"/>
  <c r="AG201" i="1" s="1"/>
  <c r="AI201" i="1" s="1"/>
  <c r="AD498" i="1"/>
  <c r="AB70" i="1"/>
  <c r="AD70" i="1" s="1"/>
  <c r="AF70" i="1" s="1"/>
  <c r="AG70" i="1" s="1"/>
  <c r="AI70" i="1" s="1"/>
  <c r="AD146" i="1"/>
  <c r="AF146" i="1" s="1"/>
  <c r="AH146" i="1" s="1"/>
  <c r="AJ146" i="1" s="1"/>
  <c r="AD321" i="1"/>
  <c r="AF321" i="1" s="1"/>
  <c r="AG321" i="1" s="1"/>
  <c r="AI321" i="1" s="1"/>
  <c r="AH537" i="1"/>
  <c r="AJ537" i="1" s="1"/>
  <c r="AD20" i="1"/>
  <c r="AF20" i="1" s="1"/>
  <c r="AH20" i="1" s="1"/>
  <c r="AJ20" i="1" s="1"/>
  <c r="AD225" i="1"/>
  <c r="AF225" i="1" s="1"/>
  <c r="AH225" i="1" s="1"/>
  <c r="AJ225" i="1" s="1"/>
  <c r="AD499" i="1"/>
  <c r="AF499" i="1" s="1"/>
  <c r="AG499" i="1" s="1"/>
  <c r="AI499" i="1" s="1"/>
  <c r="AD32" i="1"/>
  <c r="AF32" i="1" s="1"/>
  <c r="AG32" i="1" s="1"/>
  <c r="AI32" i="1" s="1"/>
  <c r="AD363" i="1"/>
  <c r="AF363" i="1" s="1"/>
  <c r="AG363" i="1" s="1"/>
  <c r="AI363" i="1" s="1"/>
  <c r="AD238" i="1"/>
  <c r="AF238" i="1" s="1"/>
  <c r="AH238" i="1" s="1"/>
  <c r="AJ238" i="1" s="1"/>
  <c r="AD641" i="1"/>
  <c r="AD193" i="1"/>
  <c r="AF193" i="1" s="1"/>
  <c r="AG193" i="1" s="1"/>
  <c r="AI193" i="1" s="1"/>
  <c r="AD289" i="1"/>
  <c r="AD301" i="1"/>
  <c r="AF301" i="1" s="1"/>
  <c r="AG301" i="1" s="1"/>
  <c r="AI301" i="1" s="1"/>
  <c r="AD526" i="1"/>
  <c r="AF526" i="1" s="1"/>
  <c r="AH526" i="1" s="1"/>
  <c r="AJ526" i="1" s="1"/>
  <c r="AH115" i="1"/>
  <c r="AJ115" i="1" s="1"/>
  <c r="AD31" i="1"/>
  <c r="AF31" i="1" s="1"/>
  <c r="AG31" i="1" s="1"/>
  <c r="AI31" i="1" s="1"/>
  <c r="AD275" i="1"/>
  <c r="AF275" i="1" s="1"/>
  <c r="AG275" i="1" s="1"/>
  <c r="AI275" i="1" s="1"/>
  <c r="AD29" i="1"/>
  <c r="AF29" i="1" s="1"/>
  <c r="AG29" i="1" s="1"/>
  <c r="AI29" i="1" s="1"/>
  <c r="AD14" i="1"/>
  <c r="AF14" i="1" s="1"/>
  <c r="AH14" i="1" s="1"/>
  <c r="AJ14" i="1" s="1"/>
  <c r="AD223" i="1"/>
  <c r="AF223" i="1" s="1"/>
  <c r="AH223" i="1" s="1"/>
  <c r="AJ223" i="1" s="1"/>
  <c r="AD603" i="1"/>
  <c r="AF603" i="1" s="1"/>
  <c r="AH603" i="1" s="1"/>
  <c r="AJ603" i="1" s="1"/>
  <c r="AD446" i="1"/>
  <c r="AD258" i="1"/>
  <c r="AF258" i="1" s="1"/>
  <c r="AG258" i="1" s="1"/>
  <c r="AI258" i="1" s="1"/>
  <c r="AD113" i="1"/>
  <c r="AD315" i="1"/>
  <c r="AF315" i="1" s="1"/>
  <c r="AG315" i="1" s="1"/>
  <c r="AI315" i="1" s="1"/>
  <c r="AD12" i="1"/>
  <c r="AF12" i="1" s="1"/>
  <c r="AG12" i="1" s="1"/>
  <c r="AI12" i="1" s="1"/>
  <c r="AA66" i="1"/>
  <c r="AD66" i="1" s="1"/>
  <c r="AF66" i="1" s="1"/>
  <c r="AH66" i="1" s="1"/>
  <c r="AJ66" i="1" s="1"/>
  <c r="AD645" i="1"/>
  <c r="AF645" i="1" s="1"/>
  <c r="AH645" i="1" s="1"/>
  <c r="AJ645" i="1" s="1"/>
  <c r="AD47" i="1"/>
  <c r="AF47" i="1" s="1"/>
  <c r="AG47" i="1" s="1"/>
  <c r="AI47" i="1" s="1"/>
  <c r="AD524" i="1"/>
  <c r="AF524" i="1" s="1"/>
  <c r="AG524" i="1" s="1"/>
  <c r="AI524" i="1" s="1"/>
  <c r="AD585" i="1"/>
  <c r="AF585" i="1" s="1"/>
  <c r="AG585" i="1" s="1"/>
  <c r="AI585" i="1" s="1"/>
  <c r="AD582" i="1"/>
  <c r="AF582" i="1" s="1"/>
  <c r="AG582" i="1" s="1"/>
  <c r="AI582" i="1" s="1"/>
  <c r="AD300" i="1"/>
  <c r="AF300" i="1" s="1"/>
  <c r="AG300" i="1" s="1"/>
  <c r="AI300" i="1" s="1"/>
  <c r="AD536" i="1"/>
  <c r="AF536" i="1" s="1"/>
  <c r="AG536" i="1" s="1"/>
  <c r="AI536" i="1" s="1"/>
  <c r="AD312" i="1"/>
  <c r="AF312" i="1" s="1"/>
  <c r="AG312" i="1" s="1"/>
  <c r="AI312" i="1" s="1"/>
  <c r="AD74" i="1"/>
  <c r="AF74" i="1" s="1"/>
  <c r="AG74" i="1" s="1"/>
  <c r="AI74" i="1" s="1"/>
  <c r="AD38" i="1"/>
  <c r="AF38" i="1" s="1"/>
  <c r="AH38" i="1" s="1"/>
  <c r="AJ38" i="1" s="1"/>
  <c r="AD22" i="1"/>
  <c r="AF22" i="1" s="1"/>
  <c r="AG22" i="1" s="1"/>
  <c r="AI22" i="1" s="1"/>
  <c r="AD147" i="1"/>
  <c r="AF147" i="1" s="1"/>
  <c r="AH147" i="1" s="1"/>
  <c r="AJ147" i="1" s="1"/>
  <c r="AD227" i="1"/>
  <c r="AF227" i="1" s="1"/>
  <c r="AG227" i="1" s="1"/>
  <c r="AI227" i="1" s="1"/>
  <c r="AD80" i="1"/>
  <c r="AF80" i="1" s="1"/>
  <c r="AH80" i="1" s="1"/>
  <c r="AJ80" i="1" s="1"/>
  <c r="AD353" i="1"/>
  <c r="AF353" i="1" s="1"/>
  <c r="AH353" i="1" s="1"/>
  <c r="AJ353" i="1" s="1"/>
  <c r="AD272" i="1"/>
  <c r="AF272" i="1" s="1"/>
  <c r="AG272" i="1" s="1"/>
  <c r="AI272" i="1" s="1"/>
  <c r="AD133" i="1"/>
  <c r="AF133" i="1" s="1"/>
  <c r="AG133" i="1" s="1"/>
  <c r="AI133" i="1" s="1"/>
  <c r="AD33" i="1"/>
  <c r="AF33" i="1" s="1"/>
  <c r="AG33" i="1" s="1"/>
  <c r="AI33" i="1" s="1"/>
  <c r="AD26" i="1"/>
  <c r="AD606" i="1"/>
  <c r="AF606" i="1" s="1"/>
  <c r="AH606" i="1" s="1"/>
  <c r="AJ606" i="1" s="1"/>
  <c r="AD236" i="1"/>
  <c r="AF236" i="1" s="1"/>
  <c r="AH236" i="1" s="1"/>
  <c r="AJ236" i="1" s="1"/>
  <c r="AD503" i="1"/>
  <c r="AF503" i="1" s="1"/>
  <c r="AG503" i="1" s="1"/>
  <c r="AI503" i="1" s="1"/>
  <c r="AA249" i="1"/>
  <c r="AD249" i="1" s="1"/>
  <c r="AF249" i="1" s="1"/>
  <c r="AH249" i="1" s="1"/>
  <c r="AJ249" i="1" s="1"/>
  <c r="AD544" i="1"/>
  <c r="AD194" i="1"/>
  <c r="AF194" i="1" s="1"/>
  <c r="AH194" i="1" s="1"/>
  <c r="AJ194" i="1" s="1"/>
  <c r="AD291" i="1"/>
  <c r="AF291" i="1" s="1"/>
  <c r="AH291" i="1" s="1"/>
  <c r="AJ291" i="1" s="1"/>
  <c r="AD648" i="1"/>
  <c r="AF648" i="1" s="1"/>
  <c r="AG648" i="1" s="1"/>
  <c r="AI648" i="1" s="1"/>
  <c r="AK248" i="1"/>
  <c r="AD445" i="1"/>
  <c r="AF445" i="1" s="1"/>
  <c r="AG445" i="1" s="1"/>
  <c r="AI445" i="1" s="1"/>
  <c r="AD437" i="1"/>
  <c r="AF437" i="1" s="1"/>
  <c r="AH437" i="1" s="1"/>
  <c r="AJ437" i="1" s="1"/>
  <c r="AD157" i="1"/>
  <c r="AF157" i="1" s="1"/>
  <c r="AH157" i="1" s="1"/>
  <c r="AJ157" i="1" s="1"/>
  <c r="AD607" i="1"/>
  <c r="AF607" i="1" s="1"/>
  <c r="AG607" i="1" s="1"/>
  <c r="AI607" i="1" s="1"/>
  <c r="AD252" i="1"/>
  <c r="AF252" i="1" s="1"/>
  <c r="AH252" i="1" s="1"/>
  <c r="AJ252" i="1" s="1"/>
  <c r="AD427" i="1"/>
  <c r="AF427" i="1" s="1"/>
  <c r="AH427" i="1" s="1"/>
  <c r="AJ427" i="1" s="1"/>
  <c r="AD565" i="1"/>
  <c r="AF565" i="1" s="1"/>
  <c r="AG565" i="1" s="1"/>
  <c r="AI565" i="1" s="1"/>
  <c r="AD630" i="1"/>
  <c r="AF630" i="1" s="1"/>
  <c r="AH630" i="1" s="1"/>
  <c r="AJ630" i="1" s="1"/>
  <c r="AD438" i="1"/>
  <c r="AF438" i="1" s="1"/>
  <c r="AG438" i="1" s="1"/>
  <c r="AI438" i="1" s="1"/>
  <c r="AD287" i="1"/>
  <c r="AF287" i="1" s="1"/>
  <c r="AG287" i="1" s="1"/>
  <c r="AI287" i="1" s="1"/>
  <c r="AD81" i="1"/>
  <c r="AF81" i="1" s="1"/>
  <c r="AH81" i="1" s="1"/>
  <c r="AJ81" i="1" s="1"/>
  <c r="AD523" i="1"/>
  <c r="AF523" i="1" s="1"/>
  <c r="AH523" i="1" s="1"/>
  <c r="AJ523" i="1" s="1"/>
  <c r="AD623" i="1"/>
  <c r="AF623" i="1" s="1"/>
  <c r="AH623" i="1" s="1"/>
  <c r="AJ623" i="1" s="1"/>
  <c r="AD515" i="1"/>
  <c r="AF515" i="1" s="1"/>
  <c r="AH515" i="1" s="1"/>
  <c r="AJ515" i="1" s="1"/>
  <c r="AA620" i="1"/>
  <c r="AD620" i="1" s="1"/>
  <c r="AF620" i="1" s="1"/>
  <c r="AG620" i="1" s="1"/>
  <c r="AI620" i="1" s="1"/>
  <c r="AA6" i="1"/>
  <c r="AD6" i="1" s="1"/>
  <c r="AF6" i="1" s="1"/>
  <c r="AD57" i="1"/>
  <c r="AF57" i="1" s="1"/>
  <c r="AH57" i="1" s="1"/>
  <c r="AJ57" i="1" s="1"/>
  <c r="AD528" i="1"/>
  <c r="AF528" i="1" s="1"/>
  <c r="AG528" i="1" s="1"/>
  <c r="AI528" i="1" s="1"/>
  <c r="AD274" i="1"/>
  <c r="AF274" i="1" s="1"/>
  <c r="AH274" i="1" s="1"/>
  <c r="AJ274" i="1" s="1"/>
  <c r="AD191" i="1"/>
  <c r="AF191" i="1" s="1"/>
  <c r="AH191" i="1" s="1"/>
  <c r="AJ191" i="1" s="1"/>
  <c r="AD111" i="1"/>
  <c r="AD652" i="1"/>
  <c r="AF652" i="1" s="1"/>
  <c r="AH652" i="1" s="1"/>
  <c r="AJ652" i="1" s="1"/>
  <c r="AD517" i="1"/>
  <c r="AD467" i="1"/>
  <c r="AF467" i="1" s="1"/>
  <c r="AG467" i="1" s="1"/>
  <c r="AI467" i="1" s="1"/>
  <c r="AD587" i="1"/>
  <c r="AF587" i="1" s="1"/>
  <c r="AG587" i="1" s="1"/>
  <c r="AI587" i="1" s="1"/>
  <c r="AD329" i="1"/>
  <c r="AF329" i="1" s="1"/>
  <c r="AH329" i="1" s="1"/>
  <c r="AJ329" i="1" s="1"/>
  <c r="AD421" i="1"/>
  <c r="AF421" i="1" s="1"/>
  <c r="AG421" i="1" s="1"/>
  <c r="AI421" i="1" s="1"/>
  <c r="AD411" i="1"/>
  <c r="AF411" i="1" s="1"/>
  <c r="AD455" i="1"/>
  <c r="AF455" i="1" s="1"/>
  <c r="AH455" i="1" s="1"/>
  <c r="AJ455" i="1" s="1"/>
  <c r="AD309" i="1"/>
  <c r="AF309" i="1" s="1"/>
  <c r="AG309" i="1" s="1"/>
  <c r="AI309" i="1" s="1"/>
  <c r="AA67" i="1"/>
  <c r="AD67" i="1" s="1"/>
  <c r="AF67" i="1" s="1"/>
  <c r="AG67" i="1" s="1"/>
  <c r="AI67" i="1" s="1"/>
  <c r="AD392" i="1"/>
  <c r="AF392" i="1" s="1"/>
  <c r="AH392" i="1" s="1"/>
  <c r="AJ392" i="1" s="1"/>
  <c r="AD69" i="1"/>
  <c r="AF69" i="1" s="1"/>
  <c r="AG69" i="1" s="1"/>
  <c r="AI69" i="1" s="1"/>
  <c r="AD385" i="1"/>
  <c r="AF385" i="1" s="1"/>
  <c r="AG385" i="1" s="1"/>
  <c r="AI385" i="1" s="1"/>
  <c r="AD612" i="1"/>
  <c r="AF612" i="1" s="1"/>
  <c r="AG612" i="1" s="1"/>
  <c r="AI612" i="1" s="1"/>
  <c r="AD75" i="1"/>
  <c r="AF75" i="1" s="1"/>
  <c r="AG75" i="1" s="1"/>
  <c r="AI75" i="1" s="1"/>
  <c r="AD131" i="1"/>
  <c r="AF131" i="1" s="1"/>
  <c r="AG131" i="1" s="1"/>
  <c r="AI131" i="1" s="1"/>
  <c r="AD488" i="1"/>
  <c r="AF488" i="1" s="1"/>
  <c r="AG488" i="1" s="1"/>
  <c r="AI488" i="1" s="1"/>
  <c r="AD328" i="1"/>
  <c r="AF328" i="1" s="1"/>
  <c r="AD261" i="1"/>
  <c r="AD538" i="1"/>
  <c r="AF538" i="1" s="1"/>
  <c r="AH538" i="1" s="1"/>
  <c r="AJ538" i="1" s="1"/>
  <c r="AD60" i="1"/>
  <c r="AF60" i="1" s="1"/>
  <c r="AH60" i="1" s="1"/>
  <c r="AJ60" i="1" s="1"/>
  <c r="AD464" i="1"/>
  <c r="AF464" i="1" s="1"/>
  <c r="AG464" i="1" s="1"/>
  <c r="AI464" i="1" s="1"/>
  <c r="AD294" i="1"/>
  <c r="AF294" i="1" s="1"/>
  <c r="AG294" i="1" s="1"/>
  <c r="AI294" i="1" s="1"/>
  <c r="AD563" i="1"/>
  <c r="AF563" i="1" s="1"/>
  <c r="AG563" i="1" s="1"/>
  <c r="AI563" i="1" s="1"/>
  <c r="AD367" i="1"/>
  <c r="AF367" i="1" s="1"/>
  <c r="AH367" i="1" s="1"/>
  <c r="AJ367" i="1" s="1"/>
  <c r="AD187" i="1"/>
  <c r="AF187" i="1" s="1"/>
  <c r="AH187" i="1" s="1"/>
  <c r="AJ187" i="1" s="1"/>
  <c r="AD501" i="1"/>
  <c r="AF501" i="1" s="1"/>
  <c r="AG501" i="1" s="1"/>
  <c r="AI501" i="1" s="1"/>
  <c r="AD558" i="1"/>
  <c r="AF558" i="1" s="1"/>
  <c r="AG558" i="1" s="1"/>
  <c r="AI558" i="1" s="1"/>
  <c r="AD374" i="1"/>
  <c r="AF374" i="1" s="1"/>
  <c r="AH374" i="1" s="1"/>
  <c r="AJ374" i="1" s="1"/>
  <c r="AD153" i="1"/>
  <c r="AF153" i="1" s="1"/>
  <c r="AG153" i="1" s="1"/>
  <c r="AI153" i="1" s="1"/>
  <c r="AD535" i="1"/>
  <c r="AF535" i="1" s="1"/>
  <c r="AH535" i="1" s="1"/>
  <c r="AJ535" i="1" s="1"/>
  <c r="AD628" i="1"/>
  <c r="AD608" i="1"/>
  <c r="AF608" i="1" s="1"/>
  <c r="AG608" i="1" s="1"/>
  <c r="AI608" i="1" s="1"/>
  <c r="AD271" i="1"/>
  <c r="AD8" i="1"/>
  <c r="AF8" i="1" s="1"/>
  <c r="AH8" i="1" s="1"/>
  <c r="AJ8" i="1" s="1"/>
  <c r="AD519" i="1"/>
  <c r="AF519" i="1" s="1"/>
  <c r="AG519" i="1" s="1"/>
  <c r="AI519" i="1" s="1"/>
  <c r="AD125" i="1"/>
  <c r="AF125" i="1" s="1"/>
  <c r="AH125" i="1" s="1"/>
  <c r="AJ125" i="1" s="1"/>
  <c r="AD631" i="1"/>
  <c r="AF631" i="1" s="1"/>
  <c r="AH631" i="1" s="1"/>
  <c r="AJ631" i="1" s="1"/>
  <c r="AD602" i="1"/>
  <c r="AF602" i="1" s="1"/>
  <c r="AH602" i="1" s="1"/>
  <c r="AJ602" i="1" s="1"/>
  <c r="AD364" i="1"/>
  <c r="AF364" i="1" s="1"/>
  <c r="AD282" i="1"/>
  <c r="AF282" i="1" s="1"/>
  <c r="AG282" i="1" s="1"/>
  <c r="AI282" i="1" s="1"/>
  <c r="AD509" i="1"/>
  <c r="AF509" i="1" s="1"/>
  <c r="AH509" i="1" s="1"/>
  <c r="AJ509" i="1" s="1"/>
  <c r="AG570" i="1"/>
  <c r="AI570" i="1" s="1"/>
  <c r="AH570" i="1"/>
  <c r="AJ570" i="1" s="1"/>
  <c r="AB288" i="1"/>
  <c r="AA288" i="1"/>
  <c r="AB160" i="1"/>
  <c r="AA160" i="1"/>
  <c r="AF290" i="1"/>
  <c r="AG290" i="1" s="1"/>
  <c r="AI290" i="1" s="1"/>
  <c r="AD186" i="1"/>
  <c r="AF186" i="1" s="1"/>
  <c r="AH186" i="1" s="1"/>
  <c r="AJ186" i="1" s="1"/>
  <c r="AD435" i="1"/>
  <c r="AF435" i="1" s="1"/>
  <c r="AH435" i="1" s="1"/>
  <c r="AJ435" i="1" s="1"/>
  <c r="AD206" i="1"/>
  <c r="AF206" i="1" s="1"/>
  <c r="AD205" i="1"/>
  <c r="AF205" i="1" s="1"/>
  <c r="AH205" i="1" s="1"/>
  <c r="AJ205" i="1" s="1"/>
  <c r="AD412" i="1"/>
  <c r="AF412" i="1" s="1"/>
  <c r="AH412" i="1" s="1"/>
  <c r="AJ412" i="1" s="1"/>
  <c r="AD480" i="1"/>
  <c r="AF480" i="1" s="1"/>
  <c r="AH480" i="1" s="1"/>
  <c r="AJ480" i="1" s="1"/>
  <c r="AD326" i="1"/>
  <c r="AF326" i="1" s="1"/>
  <c r="AG326" i="1" s="1"/>
  <c r="AI326" i="1" s="1"/>
  <c r="AD482" i="1"/>
  <c r="AF482" i="1" s="1"/>
  <c r="AG482" i="1" s="1"/>
  <c r="AI482" i="1" s="1"/>
  <c r="AD169" i="1"/>
  <c r="AF169" i="1" s="1"/>
  <c r="AH169" i="1" s="1"/>
  <c r="AJ169" i="1" s="1"/>
  <c r="AD381" i="1"/>
  <c r="AF381" i="1" s="1"/>
  <c r="AG381" i="1" s="1"/>
  <c r="AI381" i="1" s="1"/>
  <c r="AD226" i="1"/>
  <c r="AF226" i="1" s="1"/>
  <c r="AD466" i="1"/>
  <c r="AF466" i="1" s="1"/>
  <c r="AH466" i="1" s="1"/>
  <c r="AJ466" i="1" s="1"/>
  <c r="AD429" i="1"/>
  <c r="AF429" i="1" s="1"/>
  <c r="AH429" i="1" s="1"/>
  <c r="AJ429" i="1" s="1"/>
  <c r="AD659" i="1"/>
  <c r="AF659" i="1" s="1"/>
  <c r="AH659" i="1" s="1"/>
  <c r="AJ659" i="1" s="1"/>
  <c r="AD98" i="1"/>
  <c r="AF98" i="1" s="1"/>
  <c r="AH98" i="1" s="1"/>
  <c r="AJ98" i="1" s="1"/>
  <c r="AD395" i="1"/>
  <c r="AF395" i="1" s="1"/>
  <c r="AH395" i="1" s="1"/>
  <c r="AJ395" i="1" s="1"/>
  <c r="AD621" i="1"/>
  <c r="AF621" i="1" s="1"/>
  <c r="AG621" i="1" s="1"/>
  <c r="AI621" i="1" s="1"/>
  <c r="AD306" i="1"/>
  <c r="AF306" i="1" s="1"/>
  <c r="AD181" i="1"/>
  <c r="AD629" i="1"/>
  <c r="AF629" i="1" s="1"/>
  <c r="AG629" i="1" s="1"/>
  <c r="AI629" i="1" s="1"/>
  <c r="AD350" i="1"/>
  <c r="AF350" i="1" s="1"/>
  <c r="AH350" i="1" s="1"/>
  <c r="AJ350" i="1" s="1"/>
  <c r="AH457" i="1"/>
  <c r="AJ457" i="1" s="1"/>
  <c r="AD617" i="1"/>
  <c r="AF617" i="1" s="1"/>
  <c r="AH617" i="1" s="1"/>
  <c r="AJ617" i="1" s="1"/>
  <c r="AD120" i="1"/>
  <c r="AF120" i="1" s="1"/>
  <c r="AH120" i="1" s="1"/>
  <c r="AJ120" i="1" s="1"/>
  <c r="AD127" i="1"/>
  <c r="AF127" i="1" s="1"/>
  <c r="AG127" i="1" s="1"/>
  <c r="AI127" i="1" s="1"/>
  <c r="AD400" i="1"/>
  <c r="AD650" i="1"/>
  <c r="AF650" i="1" s="1"/>
  <c r="AH650" i="1" s="1"/>
  <c r="AJ650" i="1" s="1"/>
  <c r="AD325" i="1"/>
  <c r="AF325" i="1" s="1"/>
  <c r="AH325" i="1" s="1"/>
  <c r="AJ325" i="1" s="1"/>
  <c r="AD393" i="1"/>
  <c r="AF393" i="1" s="1"/>
  <c r="AG393" i="1" s="1"/>
  <c r="AI393" i="1" s="1"/>
  <c r="AD567" i="1"/>
  <c r="AD139" i="1"/>
  <c r="AF139" i="1" s="1"/>
  <c r="AG139" i="1" s="1"/>
  <c r="AI139" i="1" s="1"/>
  <c r="AD27" i="1"/>
  <c r="AF27" i="1" s="1"/>
  <c r="AG27" i="1" s="1"/>
  <c r="AI27" i="1" s="1"/>
  <c r="AD44" i="1"/>
  <c r="AF44" i="1" s="1"/>
  <c r="AD119" i="1"/>
  <c r="AF119" i="1" s="1"/>
  <c r="AD651" i="1"/>
  <c r="AF651" i="1" s="1"/>
  <c r="AG651" i="1" s="1"/>
  <c r="AI651" i="1" s="1"/>
  <c r="AG556" i="1"/>
  <c r="AI556" i="1" s="1"/>
  <c r="AH613" i="1"/>
  <c r="AJ613" i="1" s="1"/>
  <c r="AD185" i="1"/>
  <c r="AF185" i="1" s="1"/>
  <c r="AH185" i="1" s="1"/>
  <c r="AJ185" i="1" s="1"/>
  <c r="AD283" i="1"/>
  <c r="AF283" i="1" s="1"/>
  <c r="AD611" i="1"/>
  <c r="AF611" i="1" s="1"/>
  <c r="AH611" i="1" s="1"/>
  <c r="AJ611" i="1" s="1"/>
  <c r="AD635" i="1"/>
  <c r="AF635" i="1" s="1"/>
  <c r="AH635" i="1" s="1"/>
  <c r="AJ635" i="1" s="1"/>
  <c r="AD462" i="1"/>
  <c r="AF462" i="1" s="1"/>
  <c r="AG462" i="1" s="1"/>
  <c r="AI462" i="1" s="1"/>
  <c r="AD646" i="1"/>
  <c r="AF646" i="1" s="1"/>
  <c r="AG646" i="1" s="1"/>
  <c r="AI646" i="1" s="1"/>
  <c r="AD141" i="1"/>
  <c r="AF141" i="1" s="1"/>
  <c r="AH141" i="1" s="1"/>
  <c r="AJ141" i="1" s="1"/>
  <c r="AD370" i="1"/>
  <c r="AF370" i="1" s="1"/>
  <c r="AG370" i="1" s="1"/>
  <c r="AI370" i="1" s="1"/>
  <c r="AD387" i="1"/>
  <c r="AF387" i="1" s="1"/>
  <c r="AG387" i="1" s="1"/>
  <c r="AI387" i="1" s="1"/>
  <c r="AD156" i="1"/>
  <c r="AF156" i="1" s="1"/>
  <c r="AG156" i="1" s="1"/>
  <c r="AI156" i="1" s="1"/>
  <c r="AD313" i="1"/>
  <c r="AF313" i="1" s="1"/>
  <c r="AG313" i="1" s="1"/>
  <c r="AI313" i="1" s="1"/>
  <c r="AD30" i="1"/>
  <c r="AF30" i="1" s="1"/>
  <c r="AH30" i="1" s="1"/>
  <c r="AJ30" i="1" s="1"/>
  <c r="AD239" i="1"/>
  <c r="AF239" i="1" s="1"/>
  <c r="AD479" i="1"/>
  <c r="AF479" i="1" s="1"/>
  <c r="AD512" i="1"/>
  <c r="AF512" i="1" s="1"/>
  <c r="AG512" i="1" s="1"/>
  <c r="AI512" i="1" s="1"/>
  <c r="AD216" i="1"/>
  <c r="AF216" i="1" s="1"/>
  <c r="AH216" i="1" s="1"/>
  <c r="AJ216" i="1" s="1"/>
  <c r="AD425" i="1"/>
  <c r="AF425" i="1" s="1"/>
  <c r="AG425" i="1" s="1"/>
  <c r="AI425" i="1" s="1"/>
  <c r="AD401" i="1"/>
  <c r="AF401" i="1" s="1"/>
  <c r="AG401" i="1" s="1"/>
  <c r="AI401" i="1" s="1"/>
  <c r="AD521" i="1"/>
  <c r="AF521" i="1" s="1"/>
  <c r="AG521" i="1" s="1"/>
  <c r="AI521" i="1" s="1"/>
  <c r="AD251" i="1"/>
  <c r="AF251" i="1" s="1"/>
  <c r="AG251" i="1" s="1"/>
  <c r="AI251" i="1" s="1"/>
  <c r="AD371" i="1"/>
  <c r="AF371" i="1" s="1"/>
  <c r="AG371" i="1" s="1"/>
  <c r="AI371" i="1" s="1"/>
  <c r="AD108" i="1"/>
  <c r="AF108" i="1" s="1"/>
  <c r="AD484" i="1"/>
  <c r="AF484" i="1" s="1"/>
  <c r="AH484" i="1" s="1"/>
  <c r="AJ484" i="1" s="1"/>
  <c r="AD573" i="1"/>
  <c r="AF573" i="1" s="1"/>
  <c r="AG573" i="1" s="1"/>
  <c r="AI573" i="1" s="1"/>
  <c r="AD7" i="1"/>
  <c r="AF7" i="1" s="1"/>
  <c r="AH7" i="1" s="1"/>
  <c r="AJ7" i="1" s="1"/>
  <c r="AD549" i="1"/>
  <c r="AF549" i="1" s="1"/>
  <c r="AH549" i="1" s="1"/>
  <c r="AJ549" i="1" s="1"/>
  <c r="AD409" i="1"/>
  <c r="AF409" i="1" s="1"/>
  <c r="AH409" i="1" s="1"/>
  <c r="AJ409" i="1" s="1"/>
  <c r="AD179" i="1"/>
  <c r="AF179" i="1" s="1"/>
  <c r="AH179" i="1" s="1"/>
  <c r="AJ179" i="1" s="1"/>
  <c r="AD102" i="1"/>
  <c r="AF102" i="1" s="1"/>
  <c r="AH102" i="1" s="1"/>
  <c r="AJ102" i="1" s="1"/>
  <c r="AD518" i="1"/>
  <c r="AF518" i="1" s="1"/>
  <c r="AH518" i="1" s="1"/>
  <c r="AJ518" i="1" s="1"/>
  <c r="AD616" i="1"/>
  <c r="AF616" i="1" s="1"/>
  <c r="AH616" i="1" s="1"/>
  <c r="AJ616" i="1" s="1"/>
  <c r="AD168" i="1"/>
  <c r="AF168" i="1" s="1"/>
  <c r="AH168" i="1" s="1"/>
  <c r="AJ168" i="1" s="1"/>
  <c r="AD542" i="1"/>
  <c r="AF542" i="1" s="1"/>
  <c r="AD200" i="1"/>
  <c r="AF200" i="1" s="1"/>
  <c r="AH200" i="1" s="1"/>
  <c r="AJ200" i="1" s="1"/>
  <c r="AD472" i="1"/>
  <c r="AF472" i="1" s="1"/>
  <c r="AG472" i="1" s="1"/>
  <c r="AI472" i="1" s="1"/>
  <c r="AD48" i="1"/>
  <c r="AF48" i="1" s="1"/>
  <c r="AG48" i="1" s="1"/>
  <c r="AI48" i="1" s="1"/>
  <c r="AD529" i="1"/>
  <c r="AF529" i="1" s="1"/>
  <c r="AG529" i="1" s="1"/>
  <c r="AI529" i="1" s="1"/>
  <c r="AD317" i="1"/>
  <c r="AF317" i="1" s="1"/>
  <c r="AG317" i="1" s="1"/>
  <c r="AI317" i="1" s="1"/>
  <c r="AD555" i="1"/>
  <c r="AF555" i="1" s="1"/>
  <c r="AH555" i="1" s="1"/>
  <c r="AJ555" i="1" s="1"/>
  <c r="AD211" i="1"/>
  <c r="AF211" i="1" s="1"/>
  <c r="AH211" i="1" s="1"/>
  <c r="AJ211" i="1" s="1"/>
  <c r="AD394" i="1"/>
  <c r="AF394" i="1" s="1"/>
  <c r="AH394" i="1" s="1"/>
  <c r="AJ394" i="1" s="1"/>
  <c r="AB550" i="1"/>
  <c r="AA550" i="1"/>
  <c r="AA51" i="1"/>
  <c r="AD51" i="1" s="1"/>
  <c r="AD15" i="1"/>
  <c r="AD597" i="1"/>
  <c r="AF597" i="1" s="1"/>
  <c r="AH597" i="1" s="1"/>
  <c r="AJ597" i="1" s="1"/>
  <c r="AD451" i="1"/>
  <c r="AF451" i="1" s="1"/>
  <c r="AG451" i="1" s="1"/>
  <c r="AI451" i="1" s="1"/>
  <c r="AD327" i="1"/>
  <c r="AD255" i="1"/>
  <c r="AF255" i="1" s="1"/>
  <c r="AG255" i="1" s="1"/>
  <c r="AI255" i="1" s="1"/>
  <c r="AD372" i="1"/>
  <c r="AF372" i="1" s="1"/>
  <c r="AD591" i="1"/>
  <c r="AF591" i="1" s="1"/>
  <c r="AG591" i="1" s="1"/>
  <c r="AI591" i="1" s="1"/>
  <c r="AG618" i="1"/>
  <c r="AI618" i="1" s="1"/>
  <c r="AD397" i="1"/>
  <c r="AF397" i="1" s="1"/>
  <c r="AD506" i="1"/>
  <c r="AF506" i="1" s="1"/>
  <c r="AH506" i="1" s="1"/>
  <c r="AJ506" i="1" s="1"/>
  <c r="AD614" i="1"/>
  <c r="AF614" i="1" s="1"/>
  <c r="AH614" i="1" s="1"/>
  <c r="AJ614" i="1" s="1"/>
  <c r="AD483" i="1"/>
  <c r="AF483" i="1" s="1"/>
  <c r="AG483" i="1" s="1"/>
  <c r="AI483" i="1" s="1"/>
  <c r="AD622" i="1"/>
  <c r="AF622" i="1" s="1"/>
  <c r="AG622" i="1" s="1"/>
  <c r="AI622" i="1" s="1"/>
  <c r="AD452" i="1"/>
  <c r="AF452" i="1" s="1"/>
  <c r="AG452" i="1" s="1"/>
  <c r="AI452" i="1" s="1"/>
  <c r="AD468" i="1"/>
  <c r="AF468" i="1" s="1"/>
  <c r="AH468" i="1" s="1"/>
  <c r="AJ468" i="1" s="1"/>
  <c r="AM654" i="1"/>
  <c r="AD599" i="1"/>
  <c r="AF599" i="1" s="1"/>
  <c r="AH599" i="1" s="1"/>
  <c r="AJ599" i="1" s="1"/>
  <c r="AD41" i="1"/>
  <c r="AF41" i="1" s="1"/>
  <c r="AH41" i="1" s="1"/>
  <c r="AJ41" i="1" s="1"/>
  <c r="AD296" i="1"/>
  <c r="AF296" i="1" s="1"/>
  <c r="AG296" i="1" s="1"/>
  <c r="AI296" i="1" s="1"/>
  <c r="AD270" i="1"/>
  <c r="AD431" i="1"/>
  <c r="AF431" i="1" s="1"/>
  <c r="AG431" i="1" s="1"/>
  <c r="AI431" i="1" s="1"/>
  <c r="AD407" i="1"/>
  <c r="AF407" i="1" s="1"/>
  <c r="AH407" i="1" s="1"/>
  <c r="AJ407" i="1" s="1"/>
  <c r="AD85" i="1"/>
  <c r="AF85" i="1" s="1"/>
  <c r="AH85" i="1" s="1"/>
  <c r="AJ85" i="1" s="1"/>
  <c r="AD36" i="1"/>
  <c r="AF36" i="1" s="1"/>
  <c r="AG36" i="1" s="1"/>
  <c r="AI36" i="1" s="1"/>
  <c r="AD42" i="1"/>
  <c r="AF42" i="1" s="1"/>
  <c r="AH42" i="1" s="1"/>
  <c r="AJ42" i="1" s="1"/>
  <c r="AD398" i="1"/>
  <c r="AF398" i="1" s="1"/>
  <c r="AG398" i="1" s="1"/>
  <c r="AI398" i="1" s="1"/>
  <c r="AD475" i="1"/>
  <c r="AF475" i="1" s="1"/>
  <c r="AD453" i="1"/>
  <c r="AF453" i="1" s="1"/>
  <c r="AH453" i="1" s="1"/>
  <c r="AJ453" i="1" s="1"/>
  <c r="AD459" i="1"/>
  <c r="AF459" i="1" s="1"/>
  <c r="AH459" i="1" s="1"/>
  <c r="AJ459" i="1" s="1"/>
  <c r="AD64" i="1"/>
  <c r="AF64" i="1" s="1"/>
  <c r="AH64" i="1" s="1"/>
  <c r="AJ64" i="1" s="1"/>
  <c r="AD208" i="1"/>
  <c r="AF208" i="1" s="1"/>
  <c r="AD376" i="1"/>
  <c r="AF376" i="1" s="1"/>
  <c r="AH376" i="1" s="1"/>
  <c r="AJ376" i="1" s="1"/>
  <c r="AD654" i="1"/>
  <c r="AF654" i="1" s="1"/>
  <c r="AH654" i="1" s="1"/>
  <c r="AJ654" i="1" s="1"/>
  <c r="AD103" i="1"/>
  <c r="AF103" i="1" s="1"/>
  <c r="AH103" i="1" s="1"/>
  <c r="AJ103" i="1" s="1"/>
  <c r="AD278" i="1"/>
  <c r="AF278" i="1" s="1"/>
  <c r="AG278" i="1" s="1"/>
  <c r="AI278" i="1" s="1"/>
  <c r="AD62" i="1"/>
  <c r="AF62" i="1" s="1"/>
  <c r="AH62" i="1" s="1"/>
  <c r="AJ62" i="1" s="1"/>
  <c r="AD299" i="1"/>
  <c r="AF299" i="1" s="1"/>
  <c r="AH299" i="1" s="1"/>
  <c r="AJ299" i="1" s="1"/>
  <c r="AD269" i="1"/>
  <c r="AF269" i="1" s="1"/>
  <c r="AG269" i="1" s="1"/>
  <c r="AI269" i="1" s="1"/>
  <c r="AD58" i="1"/>
  <c r="AF58" i="1" s="1"/>
  <c r="AH58" i="1" s="1"/>
  <c r="AJ58" i="1" s="1"/>
  <c r="AD332" i="1"/>
  <c r="AF332" i="1" s="1"/>
  <c r="AG332" i="1" s="1"/>
  <c r="AI332" i="1" s="1"/>
  <c r="AD55" i="1"/>
  <c r="AF55" i="1" s="1"/>
  <c r="AG55" i="1" s="1"/>
  <c r="AI55" i="1" s="1"/>
  <c r="AD292" i="1"/>
  <c r="AF292" i="1" s="1"/>
  <c r="AH292" i="1" s="1"/>
  <c r="AJ292" i="1" s="1"/>
  <c r="AD198" i="1"/>
  <c r="AF198" i="1" s="1"/>
  <c r="AD196" i="1"/>
  <c r="AF196" i="1" s="1"/>
  <c r="AH196" i="1" s="1"/>
  <c r="AJ196" i="1" s="1"/>
  <c r="AD297" i="1"/>
  <c r="AF297" i="1" s="1"/>
  <c r="AD441" i="1"/>
  <c r="AF441" i="1" s="1"/>
  <c r="AH441" i="1" s="1"/>
  <c r="AJ441" i="1" s="1"/>
  <c r="AD152" i="1"/>
  <c r="AD235" i="1"/>
  <c r="AD410" i="1"/>
  <c r="AF410" i="1" s="1"/>
  <c r="AG410" i="1" s="1"/>
  <c r="AI410" i="1" s="1"/>
  <c r="AD39" i="1"/>
  <c r="AF39" i="1" s="1"/>
  <c r="AG39" i="1" s="1"/>
  <c r="AI39" i="1" s="1"/>
  <c r="AD414" i="1"/>
  <c r="AF414" i="1" s="1"/>
  <c r="AH414" i="1" s="1"/>
  <c r="AJ414" i="1" s="1"/>
  <c r="AD474" i="1"/>
  <c r="AF474" i="1" s="1"/>
  <c r="AG474" i="1" s="1"/>
  <c r="AI474" i="1" s="1"/>
  <c r="AD72" i="1"/>
  <c r="AF72" i="1" s="1"/>
  <c r="AH72" i="1" s="1"/>
  <c r="AJ72" i="1" s="1"/>
  <c r="AD24" i="1"/>
  <c r="AF24" i="1" s="1"/>
  <c r="AD456" i="1"/>
  <c r="AF456" i="1" s="1"/>
  <c r="AG456" i="1" s="1"/>
  <c r="AI456" i="1" s="1"/>
  <c r="AG109" i="1"/>
  <c r="AI109" i="1" s="1"/>
  <c r="AD470" i="1"/>
  <c r="AF470" i="1" s="1"/>
  <c r="AD107" i="1"/>
  <c r="AF107" i="1" s="1"/>
  <c r="AD50" i="1"/>
  <c r="AF50" i="1" s="1"/>
  <c r="AH50" i="1" s="1"/>
  <c r="AJ50" i="1" s="1"/>
  <c r="AD210" i="1"/>
  <c r="AF210" i="1" s="1"/>
  <c r="AD213" i="1"/>
  <c r="AF213" i="1" s="1"/>
  <c r="AG213" i="1" s="1"/>
  <c r="AI213" i="1" s="1"/>
  <c r="AD308" i="1"/>
  <c r="AF308" i="1" s="1"/>
  <c r="AG308" i="1" s="1"/>
  <c r="AI308" i="1" s="1"/>
  <c r="AD219" i="1"/>
  <c r="AF219" i="1" s="1"/>
  <c r="AG219" i="1" s="1"/>
  <c r="AI219" i="1" s="1"/>
  <c r="AD477" i="1"/>
  <c r="AF477" i="1" s="1"/>
  <c r="AH477" i="1" s="1"/>
  <c r="AJ477" i="1" s="1"/>
  <c r="AD310" i="1"/>
  <c r="AF310" i="1" s="1"/>
  <c r="AD335" i="1"/>
  <c r="AF335" i="1" s="1"/>
  <c r="AH335" i="1" s="1"/>
  <c r="AJ335" i="1" s="1"/>
  <c r="AD84" i="1"/>
  <c r="AF84" i="1" s="1"/>
  <c r="AH84" i="1" s="1"/>
  <c r="AJ84" i="1" s="1"/>
  <c r="AD199" i="1"/>
  <c r="AF199" i="1" s="1"/>
  <c r="AD391" i="1"/>
  <c r="AF391" i="1" s="1"/>
  <c r="AH391" i="1" s="1"/>
  <c r="AJ391" i="1" s="1"/>
  <c r="AD318" i="1"/>
  <c r="AF318" i="1" s="1"/>
  <c r="AG318" i="1" s="1"/>
  <c r="AI318" i="1" s="1"/>
  <c r="AD316" i="1"/>
  <c r="AF316" i="1" s="1"/>
  <c r="AG316" i="1" s="1"/>
  <c r="AI316" i="1" s="1"/>
  <c r="AD600" i="1"/>
  <c r="AF600" i="1" s="1"/>
  <c r="AG600" i="1" s="1"/>
  <c r="AI600" i="1" s="1"/>
  <c r="AD360" i="1"/>
  <c r="AF360" i="1" s="1"/>
  <c r="AG360" i="1" s="1"/>
  <c r="AI360" i="1" s="1"/>
  <c r="AD142" i="1"/>
  <c r="AF142" i="1" s="1"/>
  <c r="AG142" i="1" s="1"/>
  <c r="AI142" i="1" s="1"/>
  <c r="AD280" i="1"/>
  <c r="AF280" i="1" s="1"/>
  <c r="AG280" i="1" s="1"/>
  <c r="AI280" i="1" s="1"/>
  <c r="AD320" i="1"/>
  <c r="AF320" i="1" s="1"/>
  <c r="AH320" i="1" s="1"/>
  <c r="AJ320" i="1" s="1"/>
  <c r="AH596" i="1"/>
  <c r="AJ596" i="1" s="1"/>
  <c r="AG596" i="1"/>
  <c r="AI596" i="1" s="1"/>
  <c r="AD491" i="1"/>
  <c r="AF491" i="1" s="1"/>
  <c r="AG491" i="1" s="1"/>
  <c r="AI491" i="1" s="1"/>
  <c r="AD132" i="1"/>
  <c r="AF132" i="1" s="1"/>
  <c r="AG132" i="1" s="1"/>
  <c r="AI132" i="1" s="1"/>
  <c r="AD267" i="1"/>
  <c r="AF267" i="1" s="1"/>
  <c r="AH267" i="1" s="1"/>
  <c r="AJ267" i="1" s="1"/>
  <c r="AD184" i="1"/>
  <c r="AF184" i="1" s="1"/>
  <c r="AG184" i="1" s="1"/>
  <c r="AI184" i="1" s="1"/>
  <c r="AD123" i="1"/>
  <c r="AF123" i="1" s="1"/>
  <c r="AH123" i="1" s="1"/>
  <c r="AJ123" i="1" s="1"/>
  <c r="AG577" i="1"/>
  <c r="AI577" i="1" s="1"/>
  <c r="AH577" i="1"/>
  <c r="AJ577" i="1" s="1"/>
  <c r="AD584" i="1"/>
  <c r="AF584" i="1" s="1"/>
  <c r="AH584" i="1" s="1"/>
  <c r="AJ584" i="1" s="1"/>
  <c r="AD380" i="1"/>
  <c r="AF380" i="1" s="1"/>
  <c r="AH380" i="1" s="1"/>
  <c r="AJ380" i="1" s="1"/>
  <c r="AD655" i="1"/>
  <c r="AF655" i="1" s="1"/>
  <c r="AD443" i="1"/>
  <c r="AF443" i="1" s="1"/>
  <c r="AH443" i="1" s="1"/>
  <c r="AJ443" i="1" s="1"/>
  <c r="AB545" i="1"/>
  <c r="AD545" i="1" s="1"/>
  <c r="AF545" i="1" s="1"/>
  <c r="AH545" i="1" s="1"/>
  <c r="AJ545" i="1" s="1"/>
  <c r="AD375" i="1"/>
  <c r="AF375" i="1" s="1"/>
  <c r="AG375" i="1" s="1"/>
  <c r="AI375" i="1" s="1"/>
  <c r="AD493" i="1"/>
  <c r="AF493" i="1" s="1"/>
  <c r="AG493" i="1" s="1"/>
  <c r="AI493" i="1" s="1"/>
  <c r="AD513" i="1"/>
  <c r="AF513" i="1" s="1"/>
  <c r="AH513" i="1" s="1"/>
  <c r="AJ513" i="1" s="1"/>
  <c r="AB138" i="1"/>
  <c r="AA138" i="1"/>
  <c r="AL649" i="1"/>
  <c r="AB649" i="1"/>
  <c r="AD649" i="1" s="1"/>
  <c r="AF649" i="1" s="1"/>
  <c r="AH649" i="1" s="1"/>
  <c r="AJ649" i="1" s="1"/>
  <c r="AB17" i="1"/>
  <c r="AD17" i="1" s="1"/>
  <c r="AF17" i="1" s="1"/>
  <c r="AH17" i="1" s="1"/>
  <c r="AJ17" i="1" s="1"/>
  <c r="AD485" i="1"/>
  <c r="AF485" i="1" s="1"/>
  <c r="AH485" i="1" s="1"/>
  <c r="AJ485" i="1" s="1"/>
  <c r="AD634" i="1"/>
  <c r="AF634" i="1" s="1"/>
  <c r="AG634" i="1" s="1"/>
  <c r="AI634" i="1" s="1"/>
  <c r="AD124" i="1"/>
  <c r="AF124" i="1" s="1"/>
  <c r="AH124" i="1" s="1"/>
  <c r="AJ124" i="1" s="1"/>
  <c r="AD330" i="1"/>
  <c r="AF330" i="1" s="1"/>
  <c r="AH330" i="1" s="1"/>
  <c r="AJ330" i="1" s="1"/>
  <c r="AD657" i="1"/>
  <c r="AF657" i="1" s="1"/>
  <c r="AH657" i="1" s="1"/>
  <c r="AJ657" i="1" s="1"/>
  <c r="AD68" i="1"/>
  <c r="AF68" i="1" s="1"/>
  <c r="AH68" i="1" s="1"/>
  <c r="AJ68" i="1" s="1"/>
  <c r="AD637" i="1"/>
  <c r="AD92" i="1"/>
  <c r="AF92" i="1" s="1"/>
  <c r="AH92" i="1" s="1"/>
  <c r="AJ92" i="1" s="1"/>
  <c r="AD182" i="1"/>
  <c r="AF182" i="1" s="1"/>
  <c r="AH182" i="1" s="1"/>
  <c r="AJ182" i="1" s="1"/>
  <c r="AD122" i="1"/>
  <c r="AF122" i="1" s="1"/>
  <c r="AD416" i="1"/>
  <c r="AF416" i="1" s="1"/>
  <c r="AH416" i="1" s="1"/>
  <c r="AJ416" i="1" s="1"/>
  <c r="AD598" i="1"/>
  <c r="AF598" i="1" s="1"/>
  <c r="AG598" i="1" s="1"/>
  <c r="AI598" i="1" s="1"/>
  <c r="AD203" i="1"/>
  <c r="AF203" i="1" s="1"/>
  <c r="AH203" i="1" s="1"/>
  <c r="AJ203" i="1" s="1"/>
  <c r="AD224" i="1"/>
  <c r="AF224" i="1" s="1"/>
  <c r="AG224" i="1" s="1"/>
  <c r="AI224" i="1" s="1"/>
  <c r="AD566" i="1"/>
  <c r="AF566" i="1" s="1"/>
  <c r="AG566" i="1" s="1"/>
  <c r="AI566" i="1" s="1"/>
  <c r="AD155" i="1"/>
  <c r="AF155" i="1" s="1"/>
  <c r="AH155" i="1" s="1"/>
  <c r="AJ155" i="1" s="1"/>
  <c r="AD426" i="1"/>
  <c r="AF426" i="1" s="1"/>
  <c r="AH426" i="1" s="1"/>
  <c r="AJ426" i="1" s="1"/>
  <c r="AD35" i="1"/>
  <c r="AF35" i="1" s="1"/>
  <c r="AH35" i="1" s="1"/>
  <c r="AJ35" i="1" s="1"/>
  <c r="AD215" i="1"/>
  <c r="AD247" i="1"/>
  <c r="AF247" i="1" s="1"/>
  <c r="AG247" i="1" s="1"/>
  <c r="AI247" i="1" s="1"/>
  <c r="AD369" i="1"/>
  <c r="AF369" i="1" s="1"/>
  <c r="AH369" i="1" s="1"/>
  <c r="AJ369" i="1" s="1"/>
  <c r="AD145" i="1"/>
  <c r="AF145" i="1" s="1"/>
  <c r="AH145" i="1" s="1"/>
  <c r="AJ145" i="1" s="1"/>
  <c r="AD286" i="1"/>
  <c r="AF286" i="1" s="1"/>
  <c r="AH286" i="1" s="1"/>
  <c r="AJ286" i="1" s="1"/>
  <c r="AD615" i="1"/>
  <c r="AF615" i="1" s="1"/>
  <c r="AD140" i="1"/>
  <c r="AF140" i="1" s="1"/>
  <c r="AH140" i="1" s="1"/>
  <c r="AJ140" i="1" s="1"/>
  <c r="AD396" i="1"/>
  <c r="AF396" i="1" s="1"/>
  <c r="AD420" i="1"/>
  <c r="AF420" i="1" s="1"/>
  <c r="AH420" i="1" s="1"/>
  <c r="AJ420" i="1" s="1"/>
  <c r="AD534" i="1"/>
  <c r="AF534" i="1" s="1"/>
  <c r="AD593" i="1"/>
  <c r="AF593" i="1" s="1"/>
  <c r="AG593" i="1" s="1"/>
  <c r="AI593" i="1" s="1"/>
  <c r="AH450" i="1"/>
  <c r="AJ450" i="1" s="1"/>
  <c r="AD130" i="1"/>
  <c r="AD264" i="1"/>
  <c r="AD578" i="1"/>
  <c r="AF578" i="1" s="1"/>
  <c r="AH578" i="1" s="1"/>
  <c r="AJ578" i="1" s="1"/>
  <c r="AD428" i="1"/>
  <c r="AF428" i="1" s="1"/>
  <c r="AG428" i="1" s="1"/>
  <c r="AI428" i="1" s="1"/>
  <c r="AD192" i="1"/>
  <c r="AF192" i="1" s="1"/>
  <c r="AH192" i="1" s="1"/>
  <c r="AJ192" i="1" s="1"/>
  <c r="AD63" i="1"/>
  <c r="AF63" i="1" s="1"/>
  <c r="AH63" i="1" s="1"/>
  <c r="AJ63" i="1" s="1"/>
  <c r="AD632" i="1"/>
  <c r="AF632" i="1" s="1"/>
  <c r="AG632" i="1" s="1"/>
  <c r="AI632" i="1" s="1"/>
  <c r="AD516" i="1"/>
  <c r="AF516" i="1" s="1"/>
  <c r="AH516" i="1" s="1"/>
  <c r="AJ516" i="1" s="1"/>
  <c r="AD218" i="1"/>
  <c r="AF218" i="1" s="1"/>
  <c r="AG218" i="1" s="1"/>
  <c r="AI218" i="1" s="1"/>
  <c r="AD173" i="1"/>
  <c r="AF173" i="1" s="1"/>
  <c r="AD458" i="1"/>
  <c r="AF458" i="1" s="1"/>
  <c r="AD574" i="1"/>
  <c r="AF574" i="1" s="1"/>
  <c r="AD473" i="1"/>
  <c r="AD204" i="1"/>
  <c r="AF204" i="1" s="1"/>
  <c r="AG204" i="1" s="1"/>
  <c r="AI204" i="1" s="1"/>
  <c r="AD170" i="1"/>
  <c r="AF170" i="1" s="1"/>
  <c r="AH170" i="1" s="1"/>
  <c r="AJ170" i="1" s="1"/>
  <c r="AD171" i="1"/>
  <c r="AF171" i="1" s="1"/>
  <c r="AG171" i="1" s="1"/>
  <c r="AI171" i="1" s="1"/>
  <c r="AD222" i="1"/>
  <c r="AF222" i="1" s="1"/>
  <c r="AG222" i="1" s="1"/>
  <c r="AI222" i="1" s="1"/>
  <c r="AD408" i="1"/>
  <c r="AF408" i="1" s="1"/>
  <c r="AG408" i="1" s="1"/>
  <c r="AI408" i="1" s="1"/>
  <c r="AD183" i="1"/>
  <c r="AF183" i="1" s="1"/>
  <c r="AH183" i="1" s="1"/>
  <c r="AJ183" i="1" s="1"/>
  <c r="AD642" i="1"/>
  <c r="AF642" i="1" s="1"/>
  <c r="AG642" i="1" s="1"/>
  <c r="AI642" i="1" s="1"/>
  <c r="AD507" i="1"/>
  <c r="AF507" i="1" s="1"/>
  <c r="AD144" i="1"/>
  <c r="AF144" i="1" s="1"/>
  <c r="AG144" i="1" s="1"/>
  <c r="AI144" i="1" s="1"/>
  <c r="AD250" i="1"/>
  <c r="AF250" i="1" s="1"/>
  <c r="AH250" i="1" s="1"/>
  <c r="AJ250" i="1" s="1"/>
  <c r="AD331" i="1"/>
  <c r="AF331" i="1" s="1"/>
  <c r="AH331" i="1" s="1"/>
  <c r="AJ331" i="1" s="1"/>
  <c r="AD643" i="1"/>
  <c r="AF643" i="1" s="1"/>
  <c r="AG643" i="1" s="1"/>
  <c r="AI643" i="1" s="1"/>
  <c r="AD352" i="1"/>
  <c r="AF352" i="1" s="1"/>
  <c r="AC131" i="1"/>
  <c r="AE131" i="1" s="1"/>
  <c r="AD158" i="1"/>
  <c r="AF158" i="1" s="1"/>
  <c r="AH158" i="1" s="1"/>
  <c r="AJ158" i="1" s="1"/>
  <c r="AD547" i="1"/>
  <c r="AF547" i="1" s="1"/>
  <c r="AD277" i="1"/>
  <c r="AF277" i="1" s="1"/>
  <c r="AG277" i="1" s="1"/>
  <c r="AI277" i="1" s="1"/>
  <c r="AD610" i="1"/>
  <c r="AF610" i="1" s="1"/>
  <c r="AG610" i="1" s="1"/>
  <c r="AI610" i="1" s="1"/>
  <c r="AD347" i="1"/>
  <c r="AD465" i="1"/>
  <c r="AF465" i="1" s="1"/>
  <c r="AD93" i="1"/>
  <c r="AF93" i="1" s="1"/>
  <c r="AD469" i="1"/>
  <c r="AF469" i="1" s="1"/>
  <c r="AD590" i="1"/>
  <c r="AF590" i="1" s="1"/>
  <c r="AH590" i="1" s="1"/>
  <c r="AJ590" i="1" s="1"/>
  <c r="AD539" i="1"/>
  <c r="AF539" i="1" s="1"/>
  <c r="AD476" i="1"/>
  <c r="AF476" i="1" s="1"/>
  <c r="AD112" i="1"/>
  <c r="AF112" i="1" s="1"/>
  <c r="AD368" i="1"/>
  <c r="AF368" i="1" s="1"/>
  <c r="AG368" i="1" s="1"/>
  <c r="AI368" i="1" s="1"/>
  <c r="AD624" i="1"/>
  <c r="AF624" i="1" s="1"/>
  <c r="AH624" i="1" s="1"/>
  <c r="AJ624" i="1" s="1"/>
  <c r="AD97" i="1"/>
  <c r="AF97" i="1" s="1"/>
  <c r="AG97" i="1" s="1"/>
  <c r="AI97" i="1" s="1"/>
  <c r="AD505" i="1"/>
  <c r="AF505" i="1" s="1"/>
  <c r="AH505" i="1" s="1"/>
  <c r="AJ505" i="1" s="1"/>
  <c r="AD13" i="1"/>
  <c r="AF13" i="1" s="1"/>
  <c r="AD174" i="1"/>
  <c r="AF174" i="1" s="1"/>
  <c r="AH174" i="1" s="1"/>
  <c r="AJ174" i="1" s="1"/>
  <c r="AD460" i="1"/>
  <c r="AD279" i="1"/>
  <c r="AD463" i="1"/>
  <c r="AF463" i="1" s="1"/>
  <c r="AH463" i="1" s="1"/>
  <c r="AJ463" i="1" s="1"/>
  <c r="AD449" i="1"/>
  <c r="AF449" i="1" s="1"/>
  <c r="AG449" i="1" s="1"/>
  <c r="AI449" i="1" s="1"/>
  <c r="AD497" i="1"/>
  <c r="AF497" i="1" s="1"/>
  <c r="AD23" i="1"/>
  <c r="AF23" i="1" s="1"/>
  <c r="AH23" i="1" s="1"/>
  <c r="AJ23" i="1" s="1"/>
  <c r="AD266" i="1"/>
  <c r="AF266" i="1" s="1"/>
  <c r="AH266" i="1" s="1"/>
  <c r="AJ266" i="1" s="1"/>
  <c r="AD56" i="1"/>
  <c r="AF56" i="1" s="1"/>
  <c r="AG56" i="1" s="1"/>
  <c r="AI56" i="1" s="1"/>
  <c r="AD640" i="1"/>
  <c r="AF640" i="1" s="1"/>
  <c r="AG640" i="1" s="1"/>
  <c r="AI640" i="1" s="1"/>
  <c r="AD188" i="1"/>
  <c r="AF188" i="1" s="1"/>
  <c r="AD471" i="1"/>
  <c r="AF471" i="1" s="1"/>
  <c r="AD656" i="1"/>
  <c r="AF656" i="1" s="1"/>
  <c r="AH656" i="1" s="1"/>
  <c r="AJ656" i="1" s="1"/>
  <c r="AD530" i="1"/>
  <c r="AD228" i="1"/>
  <c r="AD595" i="1"/>
  <c r="AD34" i="1"/>
  <c r="AF34" i="1" s="1"/>
  <c r="AD37" i="1"/>
  <c r="AF37" i="1" s="1"/>
  <c r="AH37" i="1" s="1"/>
  <c r="AJ37" i="1" s="1"/>
  <c r="AD284" i="1"/>
  <c r="AF284" i="1" s="1"/>
  <c r="AG284" i="1" s="1"/>
  <c r="AI284" i="1" s="1"/>
  <c r="AD436" i="1"/>
  <c r="AF436" i="1" s="1"/>
  <c r="AG436" i="1" s="1"/>
  <c r="AI436" i="1" s="1"/>
  <c r="AD575" i="1"/>
  <c r="AF575" i="1" s="1"/>
  <c r="AG575" i="1" s="1"/>
  <c r="AI575" i="1" s="1"/>
  <c r="AD625" i="1"/>
  <c r="AF625" i="1" s="1"/>
  <c r="AG625" i="1" s="1"/>
  <c r="AI625" i="1" s="1"/>
  <c r="AD653" i="1"/>
  <c r="AF653" i="1" s="1"/>
  <c r="AH653" i="1" s="1"/>
  <c r="AJ653" i="1" s="1"/>
  <c r="AD117" i="1"/>
  <c r="AD18" i="1"/>
  <c r="AF18" i="1" s="1"/>
  <c r="AD626" i="1"/>
  <c r="AD148" i="1"/>
  <c r="AF148" i="1" s="1"/>
  <c r="AG148" i="1" s="1"/>
  <c r="AI148" i="1" s="1"/>
  <c r="AD557" i="1"/>
  <c r="AF557" i="1" s="1"/>
  <c r="AD553" i="1"/>
  <c r="AF553" i="1" s="1"/>
  <c r="AG553" i="1" s="1"/>
  <c r="AI553" i="1" s="1"/>
  <c r="AD244" i="1"/>
  <c r="AF244" i="1" s="1"/>
  <c r="AD82" i="1"/>
  <c r="AF82" i="1" s="1"/>
  <c r="AG82" i="1" s="1"/>
  <c r="AI82" i="1" s="1"/>
  <c r="AD541" i="1"/>
  <c r="AF541" i="1" s="1"/>
  <c r="AG541" i="1" s="1"/>
  <c r="AI541" i="1" s="1"/>
  <c r="AD240" i="1"/>
  <c r="AF240" i="1" s="1"/>
  <c r="AH240" i="1" s="1"/>
  <c r="AJ240" i="1" s="1"/>
  <c r="AD165" i="1"/>
  <c r="AF165" i="1" s="1"/>
  <c r="AG165" i="1" s="1"/>
  <c r="AI165" i="1" s="1"/>
  <c r="AD442" i="1"/>
  <c r="AF442" i="1" s="1"/>
  <c r="AG442" i="1" s="1"/>
  <c r="AI442" i="1" s="1"/>
  <c r="AD295" i="1"/>
  <c r="AF295" i="1" s="1"/>
  <c r="AH295" i="1" s="1"/>
  <c r="AJ295" i="1" s="1"/>
  <c r="AD149" i="1"/>
  <c r="AD190" i="1"/>
  <c r="AD166" i="1"/>
  <c r="AF166" i="1" s="1"/>
  <c r="AD334" i="1"/>
  <c r="AF334" i="1" s="1"/>
  <c r="AD195" i="1"/>
  <c r="AF195" i="1" s="1"/>
  <c r="AG195" i="1" s="1"/>
  <c r="AI195" i="1" s="1"/>
  <c r="AD178" i="1"/>
  <c r="AF178" i="1" s="1"/>
  <c r="AD378" i="1"/>
  <c r="AF378" i="1" s="1"/>
  <c r="AG378" i="1" s="1"/>
  <c r="AI378" i="1" s="1"/>
  <c r="AC206" i="1"/>
  <c r="AE206" i="1" s="1"/>
  <c r="AD440" i="1"/>
  <c r="AF440" i="1" s="1"/>
  <c r="AH440" i="1" s="1"/>
  <c r="AJ440" i="1" s="1"/>
  <c r="AD434" i="1"/>
  <c r="AF434" i="1" s="1"/>
  <c r="AG434" i="1" s="1"/>
  <c r="AI434" i="1" s="1"/>
  <c r="AD342" i="1"/>
  <c r="AF342" i="1" s="1"/>
  <c r="AD609" i="1"/>
  <c r="AF609" i="1" s="1"/>
  <c r="AG609" i="1" s="1"/>
  <c r="AI609" i="1" s="1"/>
  <c r="AD172" i="1"/>
  <c r="AF172" i="1" s="1"/>
  <c r="AD399" i="1"/>
  <c r="AF399" i="1" s="1"/>
  <c r="AD540" i="1"/>
  <c r="AF540" i="1" s="1"/>
  <c r="AH540" i="1" s="1"/>
  <c r="AJ540" i="1" s="1"/>
  <c r="AG16" i="1"/>
  <c r="AI16" i="1" s="1"/>
  <c r="AD161" i="1"/>
  <c r="AF161" i="1" s="1"/>
  <c r="AH161" i="1" s="1"/>
  <c r="AJ161" i="1" s="1"/>
  <c r="AD177" i="1"/>
  <c r="AF177" i="1" s="1"/>
  <c r="AG177" i="1" s="1"/>
  <c r="AI177" i="1" s="1"/>
  <c r="AD527" i="1"/>
  <c r="AF527" i="1" s="1"/>
  <c r="AG527" i="1" s="1"/>
  <c r="AI527" i="1" s="1"/>
  <c r="AD583" i="1"/>
  <c r="AF583" i="1" s="1"/>
  <c r="AD87" i="1"/>
  <c r="AF87" i="1" s="1"/>
  <c r="AD221" i="1"/>
  <c r="AF221" i="1" s="1"/>
  <c r="AH221" i="1" s="1"/>
  <c r="AJ221" i="1" s="1"/>
  <c r="AD322" i="1"/>
  <c r="AF322" i="1" s="1"/>
  <c r="AG322" i="1" s="1"/>
  <c r="AI322" i="1" s="1"/>
  <c r="AD581" i="1"/>
  <c r="AF581" i="1" s="1"/>
  <c r="AD361" i="1"/>
  <c r="AD569" i="1"/>
  <c r="AF569" i="1" s="1"/>
  <c r="AG569" i="1" s="1"/>
  <c r="AI569" i="1" s="1"/>
  <c r="Y73" i="1"/>
  <c r="AC73" i="1" s="1"/>
  <c r="AE73" i="1" s="1"/>
  <c r="AD366" i="1"/>
  <c r="AF366" i="1" s="1"/>
  <c r="AG366" i="1" s="1"/>
  <c r="AI366" i="1" s="1"/>
  <c r="AD243" i="1"/>
  <c r="AF243" i="1" s="1"/>
  <c r="AG243" i="1" s="1"/>
  <c r="AI243" i="1" s="1"/>
  <c r="AD99" i="1"/>
  <c r="AD533" i="1"/>
  <c r="AF533" i="1" s="1"/>
  <c r="AH533" i="1" s="1"/>
  <c r="AJ533" i="1" s="1"/>
  <c r="AD89" i="1"/>
  <c r="AF89" i="1" s="1"/>
  <c r="AD496" i="1"/>
  <c r="AD71" i="1"/>
  <c r="AF71" i="1" s="1"/>
  <c r="AD305" i="1"/>
  <c r="AF305" i="1" s="1"/>
  <c r="AG305" i="1" s="1"/>
  <c r="AI305" i="1" s="1"/>
  <c r="AD94" i="1"/>
  <c r="AF94" i="1" s="1"/>
  <c r="AH94" i="1" s="1"/>
  <c r="AJ94" i="1" s="1"/>
  <c r="AD207" i="1"/>
  <c r="AD263" i="1"/>
  <c r="AF263" i="1" s="1"/>
  <c r="AH263" i="1" s="1"/>
  <c r="AJ263" i="1" s="1"/>
  <c r="AD564" i="1"/>
  <c r="AF564" i="1" s="1"/>
  <c r="AH564" i="1" s="1"/>
  <c r="AJ564" i="1" s="1"/>
  <c r="AD106" i="1"/>
  <c r="AF106" i="1" s="1"/>
  <c r="AG106" i="1" s="1"/>
  <c r="AI106" i="1" s="1"/>
  <c r="AD189" i="1"/>
  <c r="AF189" i="1" s="1"/>
  <c r="AD388" i="1"/>
  <c r="AF388" i="1" s="1"/>
  <c r="AG388" i="1" s="1"/>
  <c r="AI388" i="1" s="1"/>
  <c r="AD105" i="1"/>
  <c r="AF105" i="1" s="1"/>
  <c r="AH105" i="1" s="1"/>
  <c r="AJ105" i="1" s="1"/>
  <c r="AD389" i="1"/>
  <c r="AF389" i="1" s="1"/>
  <c r="AG389" i="1" s="1"/>
  <c r="AI389" i="1" s="1"/>
  <c r="AD403" i="1"/>
  <c r="AF403" i="1" s="1"/>
  <c r="AG403" i="1" s="1"/>
  <c r="AI403" i="1" s="1"/>
  <c r="AD128" i="1"/>
  <c r="AF128" i="1" s="1"/>
  <c r="AH128" i="1" s="1"/>
  <c r="AJ128" i="1" s="1"/>
  <c r="AD432" i="1"/>
  <c r="AF432" i="1" s="1"/>
  <c r="AH432" i="1" s="1"/>
  <c r="AJ432" i="1" s="1"/>
  <c r="AD61" i="1"/>
  <c r="AF61" i="1" s="1"/>
  <c r="AH61" i="1" s="1"/>
  <c r="AJ61" i="1" s="1"/>
  <c r="AD104" i="1"/>
  <c r="AD619" i="1"/>
  <c r="AF619" i="1" s="1"/>
  <c r="AG619" i="1" s="1"/>
  <c r="AI619" i="1" s="1"/>
  <c r="AD592" i="1"/>
  <c r="AF592" i="1" s="1"/>
  <c r="AH592" i="1" s="1"/>
  <c r="AJ592" i="1" s="1"/>
  <c r="AD604" i="1"/>
  <c r="AF604" i="1" s="1"/>
  <c r="AH604" i="1" s="1"/>
  <c r="AJ604" i="1" s="1"/>
  <c r="AD25" i="1"/>
  <c r="AF25" i="1" s="1"/>
  <c r="AD293" i="1"/>
  <c r="AD246" i="1"/>
  <c r="AF246" i="1" s="1"/>
  <c r="AH246" i="1" s="1"/>
  <c r="AJ246" i="1" s="1"/>
  <c r="AD481" i="1"/>
  <c r="AF481" i="1" s="1"/>
  <c r="AH481" i="1" s="1"/>
  <c r="AJ481" i="1" s="1"/>
  <c r="AD638" i="1"/>
  <c r="AF638" i="1" s="1"/>
  <c r="AG638" i="1" s="1"/>
  <c r="AI638" i="1" s="1"/>
  <c r="AD95" i="1"/>
  <c r="AF95" i="1" s="1"/>
  <c r="AG95" i="1" s="1"/>
  <c r="AI95" i="1" s="1"/>
  <c r="AD229" i="1"/>
  <c r="AF229" i="1" s="1"/>
  <c r="AG229" i="1" s="1"/>
  <c r="AI229" i="1" s="1"/>
  <c r="AD114" i="1"/>
  <c r="AF114" i="1" s="1"/>
  <c r="AH114" i="1" s="1"/>
  <c r="AJ114" i="1" s="1"/>
  <c r="AD647" i="1"/>
  <c r="AF647" i="1" s="1"/>
  <c r="AD492" i="1"/>
  <c r="AF492" i="1" s="1"/>
  <c r="AD214" i="1"/>
  <c r="AD254" i="1"/>
  <c r="AF254" i="1" s="1"/>
  <c r="AH254" i="1" s="1"/>
  <c r="AJ254" i="1" s="1"/>
  <c r="AD176" i="1"/>
  <c r="AF176" i="1" s="1"/>
  <c r="AH176" i="1" s="1"/>
  <c r="AJ176" i="1" s="1"/>
  <c r="AD444" i="1"/>
  <c r="AD417" i="1"/>
  <c r="AF417" i="1" s="1"/>
  <c r="AG417" i="1" s="1"/>
  <c r="AI417" i="1" s="1"/>
  <c r="AD40" i="1"/>
  <c r="AD636" i="1"/>
  <c r="AF636" i="1" s="1"/>
  <c r="AG636" i="1" s="1"/>
  <c r="AI636" i="1" s="1"/>
  <c r="AD217" i="1"/>
  <c r="AF217" i="1" s="1"/>
  <c r="AG217" i="1" s="1"/>
  <c r="AI217" i="1" s="1"/>
  <c r="AD88" i="1"/>
  <c r="AF88" i="1" s="1"/>
  <c r="AG88" i="1" s="1"/>
  <c r="AI88" i="1" s="1"/>
  <c r="AD151" i="1"/>
  <c r="AF151" i="1" s="1"/>
  <c r="AH151" i="1" s="1"/>
  <c r="AJ151" i="1" s="1"/>
  <c r="AD448" i="1"/>
  <c r="AF448" i="1" s="1"/>
  <c r="AD121" i="1"/>
  <c r="AF121" i="1" s="1"/>
  <c r="AG121" i="1" s="1"/>
  <c r="AI121" i="1" s="1"/>
  <c r="AD454" i="1"/>
  <c r="AF454" i="1" s="1"/>
  <c r="AG454" i="1" s="1"/>
  <c r="AI454" i="1" s="1"/>
  <c r="AC120" i="2"/>
  <c r="AD120" i="2" s="1"/>
  <c r="AF120" i="2" s="1"/>
  <c r="AC311" i="1"/>
  <c r="AE311" i="1" s="1"/>
  <c r="AC175" i="1"/>
  <c r="AE175" i="1" s="1"/>
  <c r="AC377" i="1"/>
  <c r="AE377" i="1" s="1"/>
  <c r="AB116" i="1"/>
  <c r="AA116" i="1"/>
  <c r="AC494" i="1"/>
  <c r="AE494" i="1" s="1"/>
  <c r="AC49" i="1"/>
  <c r="AE49" i="1" s="1"/>
  <c r="AC140" i="2"/>
  <c r="AD140" i="2" s="1"/>
  <c r="AF140" i="2" s="1"/>
  <c r="AC128" i="2"/>
  <c r="AD128" i="2" s="1"/>
  <c r="AF128" i="2" s="1"/>
  <c r="AC285" i="1"/>
  <c r="AE285" i="1" s="1"/>
  <c r="AC382" i="1"/>
  <c r="AE382" i="1" s="1"/>
  <c r="AC248" i="1"/>
  <c r="AE248" i="1" s="1"/>
  <c r="AC15" i="2"/>
  <c r="AD15" i="2" s="1"/>
  <c r="AF15" i="2" s="1"/>
  <c r="AD25" i="3"/>
  <c r="AE25" i="3"/>
  <c r="AG25" i="3" s="1"/>
  <c r="AC92" i="2"/>
  <c r="AD92" i="2" s="1"/>
  <c r="AF92" i="2" s="1"/>
  <c r="AC23" i="2"/>
  <c r="AD23" i="2" s="1"/>
  <c r="AF23" i="2" s="1"/>
  <c r="AF6" i="3"/>
  <c r="AH6" i="3" s="1"/>
  <c r="AC172" i="2"/>
  <c r="AE172" i="2" s="1"/>
  <c r="AG172" i="2" s="1"/>
  <c r="AC166" i="2"/>
  <c r="AD166" i="2" s="1"/>
  <c r="AF166" i="2" s="1"/>
  <c r="AC175" i="2"/>
  <c r="AD175" i="2" s="1"/>
  <c r="AF175" i="2" s="1"/>
  <c r="AC163" i="2"/>
  <c r="AD163" i="2" s="1"/>
  <c r="AF163" i="2" s="1"/>
  <c r="AC47" i="2"/>
  <c r="AD47" i="2" s="1"/>
  <c r="AF47" i="2" s="1"/>
  <c r="AC117" i="2"/>
  <c r="AE117" i="2" s="1"/>
  <c r="AG117" i="2" s="1"/>
  <c r="AD9" i="3"/>
  <c r="AF9" i="3" s="1"/>
  <c r="AH9" i="3" s="1"/>
  <c r="AC50" i="2"/>
  <c r="AD50" i="2" s="1"/>
  <c r="AF50" i="2" s="1"/>
  <c r="AC85" i="2"/>
  <c r="AD85" i="2" s="1"/>
  <c r="AF85" i="2" s="1"/>
  <c r="AC100" i="2"/>
  <c r="AD100" i="2" s="1"/>
  <c r="AF100" i="2" s="1"/>
  <c r="AD158" i="2"/>
  <c r="AF158" i="2" s="1"/>
  <c r="AC158" i="2"/>
  <c r="AE158" i="2" s="1"/>
  <c r="AG158" i="2" s="1"/>
  <c r="AC302" i="1"/>
  <c r="AE302" i="1" s="1"/>
  <c r="AB588" i="1"/>
  <c r="AA588" i="1"/>
  <c r="AC18" i="2"/>
  <c r="AE18" i="2" s="1"/>
  <c r="AG18" i="2" s="1"/>
  <c r="AB242" i="1"/>
  <c r="AA242" i="1"/>
  <c r="AC59" i="2"/>
  <c r="AE59" i="2" s="1"/>
  <c r="AG59" i="2" s="1"/>
  <c r="AC52" i="2"/>
  <c r="AD52" i="2" s="1"/>
  <c r="AF52" i="2" s="1"/>
  <c r="AC90" i="2"/>
  <c r="AD90" i="2" s="1"/>
  <c r="AF90" i="2" s="1"/>
  <c r="AC36" i="2"/>
  <c r="AD36" i="2" s="1"/>
  <c r="AF36" i="2" s="1"/>
  <c r="AC80" i="2"/>
  <c r="AE80" i="2" s="1"/>
  <c r="AG80" i="2" s="1"/>
  <c r="AC32" i="2"/>
  <c r="AE32" i="2" s="1"/>
  <c r="AG32" i="2" s="1"/>
  <c r="AC63" i="2"/>
  <c r="AD63" i="2" s="1"/>
  <c r="AF63" i="2" s="1"/>
  <c r="AF25" i="3"/>
  <c r="AH25" i="3" s="1"/>
  <c r="AF13" i="3"/>
  <c r="AH13" i="3" s="1"/>
  <c r="AC28" i="2"/>
  <c r="AE28" i="2" s="1"/>
  <c r="AG28" i="2" s="1"/>
  <c r="AC571" i="1"/>
  <c r="AE571" i="1" s="1"/>
  <c r="AB419" i="1"/>
  <c r="AA419" i="1"/>
  <c r="AK420" i="1"/>
  <c r="AC110" i="2"/>
  <c r="AE110" i="2" s="1"/>
  <c r="AG110" i="2" s="1"/>
  <c r="AC89" i="2"/>
  <c r="AD89" i="2" s="1"/>
  <c r="AF89" i="2" s="1"/>
  <c r="AC174" i="2"/>
  <c r="AD174" i="2" s="1"/>
  <c r="AF174" i="2" s="1"/>
  <c r="AC31" i="2"/>
  <c r="AD23" i="3"/>
  <c r="AE23" i="3" s="1"/>
  <c r="AG23" i="3" s="1"/>
  <c r="AF298" i="1"/>
  <c r="AH298" i="1" s="1"/>
  <c r="AJ298" i="1" s="1"/>
  <c r="AF289" i="1"/>
  <c r="AG289" i="1" s="1"/>
  <c r="AI289" i="1" s="1"/>
  <c r="AC16" i="2"/>
  <c r="AE16" i="2" s="1"/>
  <c r="AG16" i="2" s="1"/>
  <c r="AC24" i="2"/>
  <c r="AD24" i="2"/>
  <c r="AF24" i="2" s="1"/>
  <c r="AC113" i="2"/>
  <c r="AE113" i="2" s="1"/>
  <c r="AG113" i="2" s="1"/>
  <c r="AC19" i="2"/>
  <c r="AE19" i="2" s="1"/>
  <c r="AG19" i="2" s="1"/>
  <c r="AB159" i="1"/>
  <c r="AA159" i="1"/>
  <c r="AB571" i="1"/>
  <c r="AA571" i="1"/>
  <c r="AK572" i="1"/>
  <c r="AD171" i="2"/>
  <c r="AF171" i="2" s="1"/>
  <c r="AC171" i="2"/>
  <c r="AC144" i="2"/>
  <c r="AE144" i="2" s="1"/>
  <c r="AG144" i="2" s="1"/>
  <c r="AF495" i="1"/>
  <c r="AH495" i="1" s="1"/>
  <c r="AJ495" i="1" s="1"/>
  <c r="AC81" i="2"/>
  <c r="AD81" i="2" s="1"/>
  <c r="AF81" i="2" s="1"/>
  <c r="AC41" i="2"/>
  <c r="AD41" i="2" s="1"/>
  <c r="AF41" i="2" s="1"/>
  <c r="AC116" i="1"/>
  <c r="AE116" i="1" s="1"/>
  <c r="AC373" i="1"/>
  <c r="AE373" i="1" s="1"/>
  <c r="AC66" i="2"/>
  <c r="AD66" i="2" s="1"/>
  <c r="AF66" i="2" s="1"/>
  <c r="AB49" i="1"/>
  <c r="AA49" i="1"/>
  <c r="AC27" i="2"/>
  <c r="AD27" i="2" s="1"/>
  <c r="AF27" i="2" s="1"/>
  <c r="AC168" i="2"/>
  <c r="AD168" i="2" s="1"/>
  <c r="AF168" i="2" s="1"/>
  <c r="AC59" i="1"/>
  <c r="AE59" i="1" s="1"/>
  <c r="AC57" i="2"/>
  <c r="AD57" i="2" s="1"/>
  <c r="AF57" i="2" s="1"/>
  <c r="AE18" i="3"/>
  <c r="AG18" i="3" s="1"/>
  <c r="AD18" i="3"/>
  <c r="AE133" i="2"/>
  <c r="AG133" i="2" s="1"/>
  <c r="AD82" i="2"/>
  <c r="AF82" i="2" s="1"/>
  <c r="AC82" i="2"/>
  <c r="AE82" i="2" s="1"/>
  <c r="AG82" i="2" s="1"/>
  <c r="AC21" i="2"/>
  <c r="AD21" i="2" s="1"/>
  <c r="AF21" i="2" s="1"/>
  <c r="AC159" i="1"/>
  <c r="AE159" i="1" s="1"/>
  <c r="AB265" i="1"/>
  <c r="AA265" i="1"/>
  <c r="AK265" i="1"/>
  <c r="AD11" i="3"/>
  <c r="AF11" i="3" s="1"/>
  <c r="AH11" i="3" s="1"/>
  <c r="AC124" i="2"/>
  <c r="AD124" i="2" s="1"/>
  <c r="AF124" i="2" s="1"/>
  <c r="AF384" i="1"/>
  <c r="AH384" i="1" s="1"/>
  <c r="AJ384" i="1" s="1"/>
  <c r="AC112" i="2"/>
  <c r="AD112" i="2" s="1"/>
  <c r="AF112" i="2" s="1"/>
  <c r="AC53" i="2"/>
  <c r="AD53" i="2" s="1"/>
  <c r="AF53" i="2" s="1"/>
  <c r="AC561" i="1"/>
  <c r="AE561" i="1" s="1"/>
  <c r="AC91" i="1"/>
  <c r="AE91" i="1" s="1"/>
  <c r="AF628" i="1"/>
  <c r="AH628" i="1" s="1"/>
  <c r="AJ628" i="1" s="1"/>
  <c r="AB561" i="1"/>
  <c r="AA561" i="1"/>
  <c r="AC53" i="1"/>
  <c r="AE53" i="1" s="1"/>
  <c r="AC169" i="2"/>
  <c r="AD169" i="2" s="1"/>
  <c r="AF169" i="2" s="1"/>
  <c r="AC49" i="2"/>
  <c r="AE49" i="2" s="1"/>
  <c r="AG49" i="2" s="1"/>
  <c r="AF386" i="1"/>
  <c r="AG386" i="1" s="1"/>
  <c r="AI386" i="1" s="1"/>
  <c r="AC153" i="2"/>
  <c r="AE153" i="2" s="1"/>
  <c r="AG153" i="2" s="1"/>
  <c r="AC48" i="2"/>
  <c r="AD48" i="2" s="1"/>
  <c r="AF48" i="2" s="1"/>
  <c r="AC22" i="2"/>
  <c r="AE22" i="2" s="1"/>
  <c r="AG22" i="2" s="1"/>
  <c r="AC150" i="2"/>
  <c r="AE150" i="2" s="1"/>
  <c r="AG150" i="2" s="1"/>
  <c r="AC86" i="2"/>
  <c r="AE86" i="2" s="1"/>
  <c r="AG86" i="2" s="1"/>
  <c r="AF231" i="1"/>
  <c r="AH231" i="1" s="1"/>
  <c r="AJ231" i="1" s="1"/>
  <c r="AK522" i="1"/>
  <c r="AB522" i="1"/>
  <c r="AA522" i="1"/>
  <c r="AC74" i="2"/>
  <c r="AD74" i="2" s="1"/>
  <c r="AF74" i="2" s="1"/>
  <c r="AC76" i="2"/>
  <c r="AE76" i="2" s="1"/>
  <c r="AG76" i="2" s="1"/>
  <c r="AE140" i="2"/>
  <c r="AG140" i="2" s="1"/>
  <c r="AF99" i="1"/>
  <c r="AG99" i="1" s="1"/>
  <c r="AI99" i="1" s="1"/>
  <c r="AC33" i="2"/>
  <c r="AD33" i="2" s="1"/>
  <c r="AF33" i="2" s="1"/>
  <c r="AC60" i="2"/>
  <c r="AD60" i="2" s="1"/>
  <c r="AF60" i="2" s="1"/>
  <c r="AC99" i="2"/>
  <c r="AD99" i="2" s="1"/>
  <c r="AF99" i="2" s="1"/>
  <c r="AC11" i="2"/>
  <c r="AD11" i="2" s="1"/>
  <c r="AF11" i="2" s="1"/>
  <c r="AD162" i="2"/>
  <c r="AF162" i="2" s="1"/>
  <c r="AC162" i="2"/>
  <c r="AE162" i="2" s="1"/>
  <c r="AG162" i="2" s="1"/>
  <c r="AC105" i="2"/>
  <c r="AD105" i="2" s="1"/>
  <c r="AF105" i="2" s="1"/>
  <c r="AC102" i="2"/>
  <c r="AE102" i="2" s="1"/>
  <c r="AG102" i="2" s="1"/>
  <c r="AC93" i="2"/>
  <c r="AD93" i="2" s="1"/>
  <c r="AF93" i="2" s="1"/>
  <c r="AC522" i="1"/>
  <c r="AE522" i="1" s="1"/>
  <c r="AC61" i="2"/>
  <c r="AE61" i="2" s="1"/>
  <c r="AG61" i="2" s="1"/>
  <c r="AC38" i="2"/>
  <c r="AD38" i="2" s="1"/>
  <c r="AF38" i="2" s="1"/>
  <c r="AC45" i="2"/>
  <c r="AE45" i="2" s="1"/>
  <c r="AG45" i="2" s="1"/>
  <c r="AC273" i="1"/>
  <c r="AE273" i="1" s="1"/>
  <c r="AB65" i="1"/>
  <c r="AA65" i="1"/>
  <c r="AC72" i="2"/>
  <c r="AD72" i="2" s="1"/>
  <c r="AF72" i="2" s="1"/>
  <c r="AC101" i="1"/>
  <c r="AE101" i="1" s="1"/>
  <c r="AC576" i="1"/>
  <c r="AE576" i="1" s="1"/>
  <c r="AB302" i="1"/>
  <c r="AA302" i="1"/>
  <c r="AC13" i="2"/>
  <c r="AE13" i="2" s="1"/>
  <c r="AG13" i="2" s="1"/>
  <c r="AC75" i="2"/>
  <c r="AE75" i="2" s="1"/>
  <c r="AG75" i="2" s="1"/>
  <c r="AF293" i="1"/>
  <c r="AG293" i="1" s="1"/>
  <c r="AI293" i="1" s="1"/>
  <c r="AC147" i="2"/>
  <c r="AD147" i="2" s="1"/>
  <c r="AF147" i="2" s="1"/>
  <c r="AC86" i="1"/>
  <c r="AE86" i="1" s="1"/>
  <c r="AF444" i="1"/>
  <c r="AG444" i="1" s="1"/>
  <c r="AI444" i="1" s="1"/>
  <c r="AC62" i="2"/>
  <c r="AD62" i="2" s="1"/>
  <c r="AF62" i="2" s="1"/>
  <c r="AC5" i="2"/>
  <c r="AE5" i="2" s="1"/>
  <c r="AG5" i="2" s="1"/>
  <c r="AD97" i="2"/>
  <c r="AF97" i="2" s="1"/>
  <c r="AC97" i="2"/>
  <c r="AE97" i="2" s="1"/>
  <c r="AG97" i="2" s="1"/>
  <c r="AC167" i="2"/>
  <c r="AD167" i="2" s="1"/>
  <c r="AF167" i="2" s="1"/>
  <c r="AD129" i="2"/>
  <c r="AF129" i="2" s="1"/>
  <c r="AC129" i="2"/>
  <c r="AE129" i="2" s="1"/>
  <c r="AG129" i="2" s="1"/>
  <c r="AE19" i="3"/>
  <c r="AG19" i="3" s="1"/>
  <c r="AD19" i="3"/>
  <c r="AC197" i="1"/>
  <c r="AE197" i="1" s="1"/>
  <c r="AC134" i="2"/>
  <c r="AE134" i="2" s="1"/>
  <c r="AG134" i="2" s="1"/>
  <c r="AF641" i="1"/>
  <c r="AH641" i="1" s="1"/>
  <c r="AJ641" i="1" s="1"/>
  <c r="AC44" i="2"/>
  <c r="AE44" i="2" s="1"/>
  <c r="AG44" i="2" s="1"/>
  <c r="AC111" i="2"/>
  <c r="AE111" i="2" s="1"/>
  <c r="AG111" i="2" s="1"/>
  <c r="AE50" i="2"/>
  <c r="AG50" i="2" s="1"/>
  <c r="AC17" i="2"/>
  <c r="AE17" i="2" s="1"/>
  <c r="AG17" i="2" s="1"/>
  <c r="AC178" i="2"/>
  <c r="AE178" i="2" s="1"/>
  <c r="AG178" i="2" s="1"/>
  <c r="AF113" i="1"/>
  <c r="AG113" i="1" s="1"/>
  <c r="AI113" i="1" s="1"/>
  <c r="AB9" i="1"/>
  <c r="AA9" i="1"/>
  <c r="AC362" i="1"/>
  <c r="AE362" i="1" s="1"/>
  <c r="AC136" i="2"/>
  <c r="AE136" i="2" s="1"/>
  <c r="AG136" i="2" s="1"/>
  <c r="AC146" i="2"/>
  <c r="AE146" i="2" s="1"/>
  <c r="AG146" i="2" s="1"/>
  <c r="AC288" i="1"/>
  <c r="AE288" i="1" s="1"/>
  <c r="AC242" i="1"/>
  <c r="AE242" i="1" s="1"/>
  <c r="AA53" i="1"/>
  <c r="AB53" i="1"/>
  <c r="AC281" i="1"/>
  <c r="AE281" i="1" s="1"/>
  <c r="AD101" i="2"/>
  <c r="AF101" i="2" s="1"/>
  <c r="AC101" i="2"/>
  <c r="AE101" i="2" s="1"/>
  <c r="AG101" i="2" s="1"/>
  <c r="AC419" i="1"/>
  <c r="AE419" i="1" s="1"/>
  <c r="AC58" i="2"/>
  <c r="AE58" i="2" s="1"/>
  <c r="AG58" i="2" s="1"/>
  <c r="AE92" i="2"/>
  <c r="AG92" i="2" s="1"/>
  <c r="AC7" i="2"/>
  <c r="AE7" i="2" s="1"/>
  <c r="AG7" i="2" s="1"/>
  <c r="AC70" i="2"/>
  <c r="AE70" i="2" s="1"/>
  <c r="AG70" i="2" s="1"/>
  <c r="AC159" i="2"/>
  <c r="AD159" i="2" s="1"/>
  <c r="AF159" i="2" s="1"/>
  <c r="AE147" i="2"/>
  <c r="AG147" i="2" s="1"/>
  <c r="AC35" i="2"/>
  <c r="AE35" i="2" s="1"/>
  <c r="AG35" i="2" s="1"/>
  <c r="AC151" i="2"/>
  <c r="AD151" i="2" s="1"/>
  <c r="AF151" i="2" s="1"/>
  <c r="AD143" i="2"/>
  <c r="AF143" i="2" s="1"/>
  <c r="AC143" i="2"/>
  <c r="AE143" i="2" s="1"/>
  <c r="AG143" i="2" s="1"/>
  <c r="AC123" i="2"/>
  <c r="AD123" i="2" s="1"/>
  <c r="AF123" i="2" s="1"/>
  <c r="AC176" i="2"/>
  <c r="AE176" i="2" s="1"/>
  <c r="AG176" i="2" s="1"/>
  <c r="AB362" i="1"/>
  <c r="AA362" i="1"/>
  <c r="AC307" i="1"/>
  <c r="AE307" i="1" s="1"/>
  <c r="AC145" i="2"/>
  <c r="AD145" i="2" s="1"/>
  <c r="AF145" i="2" s="1"/>
  <c r="AC227" i="1"/>
  <c r="AE227" i="1" s="1"/>
  <c r="AC110" i="1"/>
  <c r="AE110" i="1" s="1"/>
  <c r="AC121" i="2"/>
  <c r="AE121" i="2" s="1"/>
  <c r="AG121" i="2" s="1"/>
  <c r="AC141" i="2"/>
  <c r="AE141" i="2" s="1"/>
  <c r="AG141" i="2" s="1"/>
  <c r="AC179" i="2"/>
  <c r="AE179" i="2" s="1"/>
  <c r="AG179" i="2" s="1"/>
  <c r="AE166" i="2"/>
  <c r="AG166" i="2" s="1"/>
  <c r="AF26" i="1"/>
  <c r="AH26" i="1" s="1"/>
  <c r="AJ26" i="1" s="1"/>
  <c r="AE23" i="2"/>
  <c r="AG23" i="2" s="1"/>
  <c r="AD24" i="3"/>
  <c r="AF24" i="3" s="1"/>
  <c r="AH24" i="3" s="1"/>
  <c r="AE26" i="3"/>
  <c r="AG26" i="3" s="1"/>
  <c r="AD26" i="3"/>
  <c r="AF568" i="1"/>
  <c r="AG568" i="1" s="1"/>
  <c r="AI568" i="1" s="1"/>
  <c r="AF45" i="1"/>
  <c r="AG45" i="1" s="1"/>
  <c r="AI45" i="1" s="1"/>
  <c r="AD6" i="3"/>
  <c r="AE6" i="3" s="1"/>
  <c r="AG6" i="3" s="1"/>
  <c r="AF439" i="1"/>
  <c r="AG439" i="1" s="1"/>
  <c r="AI439" i="1" s="1"/>
  <c r="AB377" i="1"/>
  <c r="AA377" i="1"/>
  <c r="AC87" i="2"/>
  <c r="AE87" i="2" s="1"/>
  <c r="AG87" i="2" s="1"/>
  <c r="AC104" i="2"/>
  <c r="AE104" i="2" s="1"/>
  <c r="AG104" i="2" s="1"/>
  <c r="AF18" i="3"/>
  <c r="AH18" i="3" s="1"/>
  <c r="AF181" i="1"/>
  <c r="AG181" i="1" s="1"/>
  <c r="AI181" i="1" s="1"/>
  <c r="AF498" i="1"/>
  <c r="AG498" i="1" s="1"/>
  <c r="AI498" i="1" s="1"/>
  <c r="AF26" i="3"/>
  <c r="AH26" i="3" s="1"/>
  <c r="AC253" i="1"/>
  <c r="AE253" i="1" s="1"/>
  <c r="AC142" i="2"/>
  <c r="AE142" i="2" s="1"/>
  <c r="AG142" i="2" s="1"/>
  <c r="AC122" i="2"/>
  <c r="AE122" i="2" s="1"/>
  <c r="AG122" i="2" s="1"/>
  <c r="AB494" i="1"/>
  <c r="AA494" i="1"/>
  <c r="AA273" i="1"/>
  <c r="AB273" i="1"/>
  <c r="AC276" i="1"/>
  <c r="AE276" i="1" s="1"/>
  <c r="AB576" i="1"/>
  <c r="AA576" i="1"/>
  <c r="AC75" i="1"/>
  <c r="AE75" i="1" s="1"/>
  <c r="AA110" i="1"/>
  <c r="AB110" i="1"/>
  <c r="AJ144" i="2"/>
  <c r="AA303" i="1"/>
  <c r="AB303" i="1"/>
  <c r="AJ142" i="2"/>
  <c r="AC180" i="1"/>
  <c r="AE180" i="1" s="1"/>
  <c r="AC30" i="2"/>
  <c r="AD30" i="2" s="1"/>
  <c r="AF30" i="2" s="1"/>
  <c r="AD133" i="2"/>
  <c r="AF133" i="2" s="1"/>
  <c r="AC133" i="2"/>
  <c r="AE171" i="2"/>
  <c r="AG171" i="2" s="1"/>
  <c r="AD43" i="2"/>
  <c r="AF43" i="2" s="1"/>
  <c r="AC43" i="2"/>
  <c r="AE43" i="2" s="1"/>
  <c r="AG43" i="2" s="1"/>
  <c r="AC116" i="2"/>
  <c r="AE116" i="2" s="1"/>
  <c r="AG116" i="2" s="1"/>
  <c r="AD22" i="3"/>
  <c r="AE22" i="3" s="1"/>
  <c r="AG22" i="3" s="1"/>
  <c r="AC551" i="1"/>
  <c r="AE551" i="1" s="1"/>
  <c r="AC51" i="2"/>
  <c r="AE51" i="2" s="1"/>
  <c r="AG51" i="2" s="1"/>
  <c r="AD177" i="2"/>
  <c r="AF177" i="2" s="1"/>
  <c r="AC177" i="2"/>
  <c r="AE177" i="2" s="1"/>
  <c r="AG177" i="2" s="1"/>
  <c r="AB281" i="1"/>
  <c r="AA281" i="1"/>
  <c r="AB382" i="1"/>
  <c r="AA382" i="1"/>
  <c r="AC106" i="1"/>
  <c r="AE106" i="1" s="1"/>
  <c r="AC224" i="1"/>
  <c r="AE224" i="1" s="1"/>
  <c r="AB285" i="1"/>
  <c r="AA285" i="1"/>
  <c r="AC149" i="1"/>
  <c r="AE149" i="1" s="1"/>
  <c r="AB405" i="1"/>
  <c r="AA405" i="1"/>
  <c r="AB202" i="1"/>
  <c r="AA202" i="1"/>
  <c r="AF271" i="1"/>
  <c r="AH271" i="1" s="1"/>
  <c r="AJ271" i="1" s="1"/>
  <c r="AA59" i="1"/>
  <c r="AB59" i="1"/>
  <c r="AB260" i="1"/>
  <c r="AA260" i="1"/>
  <c r="AC106" i="2"/>
  <c r="AD106" i="2" s="1"/>
  <c r="AF106" i="2" s="1"/>
  <c r="AE74" i="2"/>
  <c r="AG74" i="2" s="1"/>
  <c r="AE174" i="2"/>
  <c r="AG174" i="2" s="1"/>
  <c r="AB551" i="1"/>
  <c r="AA551" i="1"/>
  <c r="AB52" i="1"/>
  <c r="AA52" i="1"/>
  <c r="AE31" i="2"/>
  <c r="AG31" i="2" s="1"/>
  <c r="AK532" i="1"/>
  <c r="AB532" i="1"/>
  <c r="AA532" i="1"/>
  <c r="AC121" i="1"/>
  <c r="AE121" i="1" s="1"/>
  <c r="AC316" i="1"/>
  <c r="AE316" i="1" s="1"/>
  <c r="AB424" i="1"/>
  <c r="AA424" i="1"/>
  <c r="AK424" i="1"/>
  <c r="AE109" i="2"/>
  <c r="AG109" i="2" s="1"/>
  <c r="AD14" i="3"/>
  <c r="AE14" i="3" s="1"/>
  <c r="AG14" i="3" s="1"/>
  <c r="AC55" i="2"/>
  <c r="AD55" i="2" s="1"/>
  <c r="AF55" i="2" s="1"/>
  <c r="AF22" i="3"/>
  <c r="AH22" i="3" s="1"/>
  <c r="AC109" i="2"/>
  <c r="AD109" i="2" s="1"/>
  <c r="AF109" i="2" s="1"/>
  <c r="AE53" i="2"/>
  <c r="AG53" i="2" s="1"/>
  <c r="AC514" i="1"/>
  <c r="AE514" i="1" s="1"/>
  <c r="AF508" i="1"/>
  <c r="AG508" i="1" s="1"/>
  <c r="AI508" i="1" s="1"/>
  <c r="AC265" i="1"/>
  <c r="AE265" i="1" s="1"/>
  <c r="AC4" i="1"/>
  <c r="AE4" i="1" s="1"/>
  <c r="AB4" i="1"/>
  <c r="AA4" i="1"/>
  <c r="AB73" i="1"/>
  <c r="AA73" i="1"/>
  <c r="AJ143" i="2"/>
  <c r="AC8" i="2"/>
  <c r="AE8" i="2" s="1"/>
  <c r="AG8" i="2" s="1"/>
  <c r="AA514" i="1"/>
  <c r="AB514" i="1"/>
  <c r="AC115" i="2"/>
  <c r="AE115" i="2" s="1"/>
  <c r="AG115" i="2" s="1"/>
  <c r="AF433" i="1"/>
  <c r="AH433" i="1" s="1"/>
  <c r="AJ433" i="1" s="1"/>
  <c r="AC56" i="2"/>
  <c r="AD56" i="2" s="1"/>
  <c r="AF56" i="2" s="1"/>
  <c r="AF517" i="1"/>
  <c r="AH517" i="1" s="1"/>
  <c r="AJ517" i="1" s="1"/>
  <c r="AB162" i="1"/>
  <c r="AA162" i="1"/>
  <c r="AF349" i="1"/>
  <c r="AH349" i="1" s="1"/>
  <c r="AJ349" i="1" s="1"/>
  <c r="AJ166" i="2"/>
  <c r="AF209" i="1"/>
  <c r="AG209" i="1" s="1"/>
  <c r="AI209" i="1" s="1"/>
  <c r="AE48" i="2"/>
  <c r="AG48" i="2" s="1"/>
  <c r="AC114" i="2"/>
  <c r="AE114" i="2" s="1"/>
  <c r="AG114" i="2" s="1"/>
  <c r="AB175" i="1"/>
  <c r="AA175" i="1"/>
  <c r="AB180" i="1"/>
  <c r="AA180" i="1"/>
  <c r="AC510" i="1"/>
  <c r="AE510" i="1" s="1"/>
  <c r="AF111" i="1"/>
  <c r="AH111" i="1" s="1"/>
  <c r="AJ111" i="1" s="1"/>
  <c r="AC34" i="2"/>
  <c r="AE34" i="2" s="1"/>
  <c r="AG34" i="2" s="1"/>
  <c r="AC161" i="2"/>
  <c r="AE161" i="2" s="1"/>
  <c r="AG161" i="2" s="1"/>
  <c r="AC127" i="2"/>
  <c r="AD127" i="2" s="1"/>
  <c r="AF127" i="2" s="1"/>
  <c r="AC125" i="2"/>
  <c r="AE125" i="2" s="1"/>
  <c r="AG125" i="2" s="1"/>
  <c r="AF19" i="3"/>
  <c r="AH19" i="3" s="1"/>
  <c r="AD37" i="2"/>
  <c r="AF37" i="2" s="1"/>
  <c r="AC37" i="2"/>
  <c r="AE37" i="2" s="1"/>
  <c r="AG37" i="2" s="1"/>
  <c r="AE99" i="2"/>
  <c r="AG99" i="2" s="1"/>
  <c r="AC91" i="2"/>
  <c r="AE91" i="2" s="1"/>
  <c r="AG91" i="2" s="1"/>
  <c r="AD17" i="3"/>
  <c r="AF17" i="3" s="1"/>
  <c r="AH17" i="3" s="1"/>
  <c r="AC78" i="2"/>
  <c r="AD78" i="2" s="1"/>
  <c r="AF78" i="2" s="1"/>
  <c r="AE24" i="2"/>
  <c r="AG24" i="2" s="1"/>
  <c r="AD10" i="3"/>
  <c r="AE10" i="3" s="1"/>
  <c r="AG10" i="3" s="1"/>
  <c r="AC84" i="2"/>
  <c r="AE84" i="2" s="1"/>
  <c r="AG84" i="2" s="1"/>
  <c r="AC119" i="2"/>
  <c r="AE119" i="2" s="1"/>
  <c r="AG119" i="2" s="1"/>
  <c r="AD16" i="3"/>
  <c r="AF16" i="3" s="1"/>
  <c r="AH16" i="3" s="1"/>
  <c r="AF594" i="1"/>
  <c r="AH594" i="1" s="1"/>
  <c r="AJ594" i="1" s="1"/>
  <c r="AC29" i="2"/>
  <c r="AE29" i="2" s="1"/>
  <c r="AG29" i="2" s="1"/>
  <c r="AC26" i="2"/>
  <c r="AE26" i="2" s="1"/>
  <c r="AG26" i="2" s="1"/>
  <c r="AC212" i="1"/>
  <c r="AE212" i="1" s="1"/>
  <c r="AB311" i="1"/>
  <c r="AA311" i="1"/>
  <c r="AD15" i="3"/>
  <c r="AF15" i="3" s="1"/>
  <c r="AH15" i="3" s="1"/>
  <c r="AE128" i="2"/>
  <c r="AG128" i="2" s="1"/>
  <c r="AC52" i="1"/>
  <c r="AE52" i="1" s="1"/>
  <c r="AF136" i="1"/>
  <c r="AG136" i="1" s="1"/>
  <c r="AI136" i="1" s="1"/>
  <c r="AB373" i="1"/>
  <c r="AA373" i="1"/>
  <c r="AB101" i="1"/>
  <c r="AA101" i="1"/>
  <c r="AG43" i="1"/>
  <c r="AI43" i="1" s="1"/>
  <c r="AD173" i="2"/>
  <c r="AF173" i="2" s="1"/>
  <c r="AC173" i="2"/>
  <c r="AE173" i="2" s="1"/>
  <c r="AG173" i="2" s="1"/>
  <c r="AK575" i="1"/>
  <c r="AC83" i="2"/>
  <c r="AE83" i="2" s="1"/>
  <c r="AG83" i="2" s="1"/>
  <c r="AC11" i="1"/>
  <c r="AE11" i="1" s="1"/>
  <c r="AF154" i="1"/>
  <c r="AG154" i="1" s="1"/>
  <c r="AI154" i="1" s="1"/>
  <c r="AF601" i="1"/>
  <c r="AG601" i="1" s="1"/>
  <c r="AI601" i="1" s="1"/>
  <c r="AC20" i="2"/>
  <c r="AD20" i="2" s="1"/>
  <c r="AF20" i="2" s="1"/>
  <c r="AE168" i="2"/>
  <c r="AG168" i="2" s="1"/>
  <c r="AE21" i="2"/>
  <c r="AG21" i="2" s="1"/>
  <c r="AF90" i="1"/>
  <c r="AG90" i="1" s="1"/>
  <c r="AI90" i="1" s="1"/>
  <c r="AC68" i="2"/>
  <c r="AD68" i="2" s="1"/>
  <c r="AF68" i="2" s="1"/>
  <c r="AC202" i="1"/>
  <c r="AE202" i="1" s="1"/>
  <c r="AC98" i="2"/>
  <c r="AE98" i="2" s="1"/>
  <c r="AG98" i="2" s="1"/>
  <c r="AC154" i="2"/>
  <c r="AD154" i="2" s="1"/>
  <c r="AF154" i="2" s="1"/>
  <c r="AE159" i="2"/>
  <c r="AG159" i="2" s="1"/>
  <c r="AF23" i="3"/>
  <c r="AH23" i="3" s="1"/>
  <c r="AD130" i="2"/>
  <c r="AF130" i="2" s="1"/>
  <c r="AC130" i="2"/>
  <c r="AE13" i="3"/>
  <c r="AG13" i="3" s="1"/>
  <c r="AD13" i="3"/>
  <c r="AF20" i="3"/>
  <c r="AH20" i="3" s="1"/>
  <c r="AC137" i="2"/>
  <c r="AE137" i="2" s="1"/>
  <c r="AG137" i="2" s="1"/>
  <c r="AB276" i="1"/>
  <c r="AA276" i="1"/>
  <c r="AA163" i="1"/>
  <c r="AB163" i="1"/>
  <c r="AC54" i="2"/>
  <c r="AE54" i="2" s="1"/>
  <c r="AG54" i="2" s="1"/>
  <c r="AF633" i="1"/>
  <c r="AH633" i="1" s="1"/>
  <c r="AJ633" i="1" s="1"/>
  <c r="AE20" i="2"/>
  <c r="AG20" i="2" s="1"/>
  <c r="AC9" i="1"/>
  <c r="AE9" i="1" s="1"/>
  <c r="AB307" i="1"/>
  <c r="AA307" i="1"/>
  <c r="AC620" i="1"/>
  <c r="AE620" i="1" s="1"/>
  <c r="AB430" i="1"/>
  <c r="AA430" i="1"/>
  <c r="AA86" i="1"/>
  <c r="AB86" i="1"/>
  <c r="AC135" i="2"/>
  <c r="AD135" i="2" s="1"/>
  <c r="AF135" i="2" s="1"/>
  <c r="AE85" i="2"/>
  <c r="AG85" i="2" s="1"/>
  <c r="AC170" i="2"/>
  <c r="AE170" i="2" s="1"/>
  <c r="AG170" i="2" s="1"/>
  <c r="AB253" i="1"/>
  <c r="AA253" i="1"/>
  <c r="AF446" i="1"/>
  <c r="AG446" i="1" s="1"/>
  <c r="AI446" i="1" s="1"/>
  <c r="AE130" i="2"/>
  <c r="AG130" i="2" s="1"/>
  <c r="AB11" i="1"/>
  <c r="AA11" i="1"/>
  <c r="AH531" i="1" l="1"/>
  <c r="AJ531" i="1" s="1"/>
  <c r="AD152" i="2"/>
  <c r="AF152" i="2" s="1"/>
  <c r="AE152" i="2"/>
  <c r="AG152" i="2" s="1"/>
  <c r="AE69" i="2"/>
  <c r="AG69" i="2" s="1"/>
  <c r="AD69" i="2"/>
  <c r="AF69" i="2" s="1"/>
  <c r="AD103" i="2"/>
  <c r="AF103" i="2" s="1"/>
  <c r="AD40" i="2"/>
  <c r="AF40" i="2" s="1"/>
  <c r="AE40" i="2"/>
  <c r="AG40" i="2" s="1"/>
  <c r="AE94" i="2"/>
  <c r="AG94" i="2" s="1"/>
  <c r="AD94" i="2"/>
  <c r="AF94" i="2" s="1"/>
  <c r="AD157" i="2"/>
  <c r="AF157" i="2" s="1"/>
  <c r="AE157" i="2"/>
  <c r="AG157" i="2" s="1"/>
  <c r="AD149" i="2"/>
  <c r="AF149" i="2" s="1"/>
  <c r="AE149" i="2"/>
  <c r="AG149" i="2" s="1"/>
  <c r="AD71" i="2"/>
  <c r="AF71" i="2" s="1"/>
  <c r="AE71" i="2"/>
  <c r="AG71" i="2" s="1"/>
  <c r="AD12" i="2"/>
  <c r="AF12" i="2" s="1"/>
  <c r="AE12" i="2"/>
  <c r="AG12" i="2" s="1"/>
  <c r="AD131" i="2"/>
  <c r="AF131" i="2" s="1"/>
  <c r="AE131" i="2"/>
  <c r="AG131" i="2" s="1"/>
  <c r="AE10" i="2"/>
  <c r="AG10" i="2" s="1"/>
  <c r="AD10" i="2"/>
  <c r="AF10" i="2" s="1"/>
  <c r="AD91" i="2"/>
  <c r="AF91" i="2" s="1"/>
  <c r="AD86" i="2"/>
  <c r="AF86" i="2" s="1"/>
  <c r="AE56" i="2"/>
  <c r="AG56" i="2" s="1"/>
  <c r="AE151" i="2"/>
  <c r="AG151" i="2" s="1"/>
  <c r="AE15" i="2"/>
  <c r="AG15" i="2" s="1"/>
  <c r="AD179" i="2"/>
  <c r="AF179" i="2" s="1"/>
  <c r="AD46" i="2"/>
  <c r="AF46" i="2" s="1"/>
  <c r="AD80" i="2"/>
  <c r="AF80" i="2" s="1"/>
  <c r="AE81" i="2"/>
  <c r="AG81" i="2" s="1"/>
  <c r="AE47" i="2"/>
  <c r="AG47" i="2" s="1"/>
  <c r="AE11" i="2"/>
  <c r="AG11" i="2" s="1"/>
  <c r="AD141" i="2"/>
  <c r="AF141" i="2" s="1"/>
  <c r="AD17" i="2"/>
  <c r="AF17" i="2" s="1"/>
  <c r="AE60" i="2"/>
  <c r="AG60" i="2" s="1"/>
  <c r="AE90" i="2"/>
  <c r="AG90" i="2" s="1"/>
  <c r="AD161" i="2"/>
  <c r="AF161" i="2" s="1"/>
  <c r="AD170" i="2"/>
  <c r="AF170" i="2" s="1"/>
  <c r="AE27" i="2"/>
  <c r="AG27" i="2" s="1"/>
  <c r="AE30" i="2"/>
  <c r="AG30" i="2" s="1"/>
  <c r="AE36" i="2"/>
  <c r="AG36" i="2" s="1"/>
  <c r="AD146" i="2"/>
  <c r="AF146" i="2" s="1"/>
  <c r="AE120" i="2"/>
  <c r="AG120" i="2" s="1"/>
  <c r="AE41" i="2"/>
  <c r="AG41" i="2" s="1"/>
  <c r="AD35" i="2"/>
  <c r="AF35" i="2" s="1"/>
  <c r="AD132" i="2"/>
  <c r="AF132" i="2" s="1"/>
  <c r="AE78" i="2"/>
  <c r="AG78" i="2" s="1"/>
  <c r="AE105" i="2"/>
  <c r="AG105" i="2" s="1"/>
  <c r="AD88" i="2"/>
  <c r="AF88" i="2" s="1"/>
  <c r="AD44" i="2"/>
  <c r="AF44" i="2" s="1"/>
  <c r="AC103" i="2"/>
  <c r="AE103" i="2" s="1"/>
  <c r="AG103" i="2" s="1"/>
  <c r="AE100" i="2"/>
  <c r="AG100" i="2" s="1"/>
  <c r="AD107" i="2"/>
  <c r="AF107" i="2" s="1"/>
  <c r="AD155" i="2"/>
  <c r="AF155" i="2" s="1"/>
  <c r="AE155" i="2"/>
  <c r="AG155" i="2" s="1"/>
  <c r="AE148" i="2"/>
  <c r="AG148" i="2" s="1"/>
  <c r="AD148" i="2"/>
  <c r="AF148" i="2" s="1"/>
  <c r="AD79" i="2"/>
  <c r="AF79" i="2" s="1"/>
  <c r="AE79" i="2"/>
  <c r="AG79" i="2" s="1"/>
  <c r="AD73" i="2"/>
  <c r="AF73" i="2" s="1"/>
  <c r="AE73" i="2"/>
  <c r="AG73" i="2" s="1"/>
  <c r="AD42" i="2"/>
  <c r="AF42" i="2" s="1"/>
  <c r="AE42" i="2"/>
  <c r="AG42" i="2" s="1"/>
  <c r="AD126" i="2"/>
  <c r="AF126" i="2" s="1"/>
  <c r="AE126" i="2"/>
  <c r="AG126" i="2" s="1"/>
  <c r="AD156" i="2"/>
  <c r="AF156" i="2" s="1"/>
  <c r="AD164" i="2"/>
  <c r="AF164" i="2" s="1"/>
  <c r="AE164" i="2"/>
  <c r="AG164" i="2" s="1"/>
  <c r="AD6" i="2"/>
  <c r="AF6" i="2" s="1"/>
  <c r="AE6" i="2"/>
  <c r="AG6" i="2" s="1"/>
  <c r="AD8" i="2"/>
  <c r="AF8" i="2" s="1"/>
  <c r="AE66" i="2"/>
  <c r="AG66" i="2" s="1"/>
  <c r="AE118" i="2"/>
  <c r="AG118" i="2" s="1"/>
  <c r="AE175" i="2"/>
  <c r="AG175" i="2" s="1"/>
  <c r="AD102" i="2"/>
  <c r="AF102" i="2" s="1"/>
  <c r="AC9" i="2"/>
  <c r="AE9" i="2" s="1"/>
  <c r="AG9" i="2" s="1"/>
  <c r="AD108" i="2"/>
  <c r="AF108" i="2" s="1"/>
  <c r="AE67" i="2"/>
  <c r="AG67" i="2" s="1"/>
  <c r="AE72" i="2"/>
  <c r="AG72" i="2" s="1"/>
  <c r="AC156" i="2"/>
  <c r="AE156" i="2" s="1"/>
  <c r="AG156" i="2" s="1"/>
  <c r="AD19" i="2"/>
  <c r="AF19" i="2" s="1"/>
  <c r="AE135" i="2"/>
  <c r="AG135" i="2" s="1"/>
  <c r="AE123" i="2"/>
  <c r="AG123" i="2" s="1"/>
  <c r="AE33" i="2"/>
  <c r="AG33" i="2" s="1"/>
  <c r="AE52" i="2"/>
  <c r="AG52" i="2" s="1"/>
  <c r="AE55" i="2"/>
  <c r="AG55" i="2" s="1"/>
  <c r="AE127" i="2"/>
  <c r="AG127" i="2" s="1"/>
  <c r="AE124" i="2"/>
  <c r="AG124" i="2" s="1"/>
  <c r="AD150" i="2"/>
  <c r="AF150" i="2" s="1"/>
  <c r="AD18" i="2"/>
  <c r="AF18" i="2" s="1"/>
  <c r="AD117" i="2"/>
  <c r="AF117" i="2" s="1"/>
  <c r="AC107" i="2"/>
  <c r="AE107" i="2" s="1"/>
  <c r="AG107" i="2" s="1"/>
  <c r="AD98" i="2"/>
  <c r="AF98" i="2" s="1"/>
  <c r="AD84" i="2"/>
  <c r="AF84" i="2" s="1"/>
  <c r="AD87" i="2"/>
  <c r="AF87" i="2" s="1"/>
  <c r="AD7" i="2"/>
  <c r="AF7" i="2" s="1"/>
  <c r="AD134" i="2"/>
  <c r="AF134" i="2" s="1"/>
  <c r="AE62" i="2"/>
  <c r="AG62" i="2" s="1"/>
  <c r="AE64" i="2"/>
  <c r="AG64" i="2" s="1"/>
  <c r="AE112" i="2"/>
  <c r="AG112" i="2" s="1"/>
  <c r="AD51" i="2"/>
  <c r="AF51" i="2" s="1"/>
  <c r="AE169" i="2"/>
  <c r="AG169" i="2" s="1"/>
  <c r="AD121" i="2"/>
  <c r="AF121" i="2" s="1"/>
  <c r="AD165" i="2"/>
  <c r="AF165" i="2" s="1"/>
  <c r="AD153" i="2"/>
  <c r="AF153" i="2" s="1"/>
  <c r="AD241" i="1"/>
  <c r="AF241" i="1" s="1"/>
  <c r="AG241" i="1" s="1"/>
  <c r="AI241" i="1" s="1"/>
  <c r="AH568" i="1"/>
  <c r="AJ568" i="1" s="1"/>
  <c r="AH312" i="1"/>
  <c r="AJ312" i="1" s="1"/>
  <c r="AH289" i="1"/>
  <c r="AJ289" i="1" s="1"/>
  <c r="AD110" i="1"/>
  <c r="AH368" i="1"/>
  <c r="AJ368" i="1" s="1"/>
  <c r="AH585" i="1"/>
  <c r="AJ585" i="1" s="1"/>
  <c r="AH113" i="1"/>
  <c r="AJ113" i="1" s="1"/>
  <c r="AH527" i="1"/>
  <c r="AJ527" i="1" s="1"/>
  <c r="AH619" i="1"/>
  <c r="AJ619" i="1" s="1"/>
  <c r="AD91" i="1"/>
  <c r="AF91" i="1" s="1"/>
  <c r="AG91" i="1" s="1"/>
  <c r="AI91" i="1" s="1"/>
  <c r="AH622" i="1"/>
  <c r="AJ622" i="1" s="1"/>
  <c r="AG526" i="1"/>
  <c r="AI526" i="1" s="1"/>
  <c r="AH82" i="1"/>
  <c r="AJ82" i="1" s="1"/>
  <c r="AD138" i="1"/>
  <c r="AF138" i="1" s="1"/>
  <c r="AH138" i="1" s="1"/>
  <c r="AJ138" i="1" s="1"/>
  <c r="AG475" i="1"/>
  <c r="AI475" i="1" s="1"/>
  <c r="AH475" i="1"/>
  <c r="AJ475" i="1" s="1"/>
  <c r="AG167" i="1"/>
  <c r="AI167" i="1" s="1"/>
  <c r="AH167" i="1"/>
  <c r="AJ167" i="1" s="1"/>
  <c r="AG143" i="1"/>
  <c r="AI143" i="1" s="1"/>
  <c r="AH143" i="1"/>
  <c r="AJ143" i="1" s="1"/>
  <c r="AG107" i="1"/>
  <c r="AI107" i="1" s="1"/>
  <c r="AH107" i="1"/>
  <c r="AJ107" i="1" s="1"/>
  <c r="AG461" i="1"/>
  <c r="AI461" i="1" s="1"/>
  <c r="AH461" i="1"/>
  <c r="AJ461" i="1" s="1"/>
  <c r="AG583" i="1"/>
  <c r="AI583" i="1" s="1"/>
  <c r="AH583" i="1"/>
  <c r="AJ583" i="1" s="1"/>
  <c r="AG547" i="1"/>
  <c r="AI547" i="1" s="1"/>
  <c r="AH547" i="1"/>
  <c r="AJ547" i="1" s="1"/>
  <c r="AG44" i="1"/>
  <c r="AI44" i="1" s="1"/>
  <c r="AH44" i="1"/>
  <c r="AJ44" i="1" s="1"/>
  <c r="AD253" i="1"/>
  <c r="AF253" i="1" s="1"/>
  <c r="AH253" i="1" s="1"/>
  <c r="AJ253" i="1" s="1"/>
  <c r="AD101" i="1"/>
  <c r="AF101" i="1" s="1"/>
  <c r="AG101" i="1" s="1"/>
  <c r="AI101" i="1" s="1"/>
  <c r="AD285" i="1"/>
  <c r="AF285" i="1" s="1"/>
  <c r="AG285" i="1" s="1"/>
  <c r="AI285" i="1" s="1"/>
  <c r="AH529" i="1"/>
  <c r="AJ529" i="1" s="1"/>
  <c r="AH486" i="1"/>
  <c r="AJ486" i="1" s="1"/>
  <c r="AH451" i="1"/>
  <c r="AJ451" i="1" s="1"/>
  <c r="AH536" i="1"/>
  <c r="AJ536" i="1" s="1"/>
  <c r="AF235" i="1"/>
  <c r="AH235" i="1" s="1"/>
  <c r="AJ235" i="1" s="1"/>
  <c r="AD160" i="1"/>
  <c r="AF160" i="1" s="1"/>
  <c r="AH160" i="1" s="1"/>
  <c r="AJ160" i="1" s="1"/>
  <c r="AD9" i="1"/>
  <c r="AG140" i="1"/>
  <c r="AI140" i="1" s="1"/>
  <c r="AG230" i="1"/>
  <c r="AI230" i="1" s="1"/>
  <c r="AH230" i="1"/>
  <c r="AJ230" i="1" s="1"/>
  <c r="AG226" i="1"/>
  <c r="AI226" i="1" s="1"/>
  <c r="AH226" i="1"/>
  <c r="AJ226" i="1" s="1"/>
  <c r="AG310" i="1"/>
  <c r="AI310" i="1" s="1"/>
  <c r="AH310" i="1"/>
  <c r="AJ310" i="1" s="1"/>
  <c r="AG122" i="1"/>
  <c r="AI122" i="1" s="1"/>
  <c r="AH122" i="1"/>
  <c r="AJ122" i="1" s="1"/>
  <c r="AH119" i="1"/>
  <c r="AJ119" i="1" s="1"/>
  <c r="AG119" i="1"/>
  <c r="AI119" i="1" s="1"/>
  <c r="AG448" i="1"/>
  <c r="AI448" i="1" s="1"/>
  <c r="AH448" i="1"/>
  <c r="AJ448" i="1" s="1"/>
  <c r="AH534" i="1"/>
  <c r="AJ534" i="1" s="1"/>
  <c r="AG534" i="1"/>
  <c r="AI534" i="1" s="1"/>
  <c r="AH467" i="1"/>
  <c r="AJ467" i="1" s="1"/>
  <c r="AH490" i="1"/>
  <c r="AJ490" i="1" s="1"/>
  <c r="AH222" i="1"/>
  <c r="AJ222" i="1" s="1"/>
  <c r="AH290" i="1"/>
  <c r="AJ290" i="1" s="1"/>
  <c r="AH483" i="1"/>
  <c r="AJ483" i="1" s="1"/>
  <c r="AH375" i="1"/>
  <c r="AJ375" i="1" s="1"/>
  <c r="AH436" i="1"/>
  <c r="AJ436" i="1" s="1"/>
  <c r="AH489" i="1"/>
  <c r="AJ489" i="1" s="1"/>
  <c r="AH620" i="1"/>
  <c r="AJ620" i="1" s="1"/>
  <c r="AH625" i="1"/>
  <c r="AJ625" i="1" s="1"/>
  <c r="AG80" i="1"/>
  <c r="AI80" i="1" s="1"/>
  <c r="AH401" i="1"/>
  <c r="AJ401" i="1" s="1"/>
  <c r="AD419" i="1"/>
  <c r="AF419" i="1" s="1"/>
  <c r="AH419" i="1" s="1"/>
  <c r="AJ419" i="1" s="1"/>
  <c r="AG520" i="1"/>
  <c r="AI520" i="1" s="1"/>
  <c r="AH503" i="1"/>
  <c r="AJ503" i="1" s="1"/>
  <c r="AH83" i="1"/>
  <c r="AJ83" i="1" s="1"/>
  <c r="AH218" i="1"/>
  <c r="AJ218" i="1" s="1"/>
  <c r="AG237" i="1"/>
  <c r="AI237" i="1" s="1"/>
  <c r="AH605" i="1"/>
  <c r="AJ605" i="1" s="1"/>
  <c r="AH193" i="1"/>
  <c r="AJ193" i="1" s="1"/>
  <c r="AH96" i="1"/>
  <c r="AJ96" i="1" s="1"/>
  <c r="AH388" i="1"/>
  <c r="AJ388" i="1" s="1"/>
  <c r="AH421" i="1"/>
  <c r="AJ421" i="1" s="1"/>
  <c r="AG453" i="1"/>
  <c r="AI453" i="1" s="1"/>
  <c r="AG372" i="1"/>
  <c r="AI372" i="1" s="1"/>
  <c r="AH372" i="1"/>
  <c r="AJ372" i="1" s="1"/>
  <c r="AG306" i="1"/>
  <c r="AI306" i="1" s="1"/>
  <c r="AH306" i="1"/>
  <c r="AJ306" i="1" s="1"/>
  <c r="AG89" i="1"/>
  <c r="AI89" i="1" s="1"/>
  <c r="AH89" i="1"/>
  <c r="AJ89" i="1" s="1"/>
  <c r="AG87" i="1"/>
  <c r="AI87" i="1" s="1"/>
  <c r="AH87" i="1"/>
  <c r="AJ87" i="1" s="1"/>
  <c r="AG396" i="1"/>
  <c r="AI396" i="1" s="1"/>
  <c r="AH396" i="1"/>
  <c r="AJ396" i="1" s="1"/>
  <c r="AG210" i="1"/>
  <c r="AI210" i="1" s="1"/>
  <c r="AH210" i="1"/>
  <c r="AJ210" i="1" s="1"/>
  <c r="AG492" i="1"/>
  <c r="AI492" i="1" s="1"/>
  <c r="AH492" i="1"/>
  <c r="AJ492" i="1" s="1"/>
  <c r="AG166" i="1"/>
  <c r="AI166" i="1" s="1"/>
  <c r="AH166" i="1"/>
  <c r="AJ166" i="1" s="1"/>
  <c r="AG198" i="1"/>
  <c r="AI198" i="1" s="1"/>
  <c r="AH198" i="1"/>
  <c r="AJ198" i="1" s="1"/>
  <c r="AG208" i="1"/>
  <c r="AI208" i="1" s="1"/>
  <c r="AH208" i="1"/>
  <c r="AJ208" i="1" s="1"/>
  <c r="AG62" i="1"/>
  <c r="AI62" i="1" s="1"/>
  <c r="AD86" i="1"/>
  <c r="AF86" i="1" s="1"/>
  <c r="AG86" i="1" s="1"/>
  <c r="AI86" i="1" s="1"/>
  <c r="AH280" i="1"/>
  <c r="AJ280" i="1" s="1"/>
  <c r="AH438" i="1"/>
  <c r="AJ438" i="1" s="1"/>
  <c r="AH316" i="1"/>
  <c r="AJ316" i="1" s="1"/>
  <c r="AD288" i="1"/>
  <c r="AF288" i="1" s="1"/>
  <c r="AG288" i="1" s="1"/>
  <c r="AI288" i="1" s="1"/>
  <c r="AH317" i="1"/>
  <c r="AJ317" i="1" s="1"/>
  <c r="AH305" i="1"/>
  <c r="AJ305" i="1" s="1"/>
  <c r="AD532" i="1"/>
  <c r="AF532" i="1" s="1"/>
  <c r="AH532" i="1" s="1"/>
  <c r="AJ532" i="1" s="1"/>
  <c r="AH197" i="1"/>
  <c r="AJ197" i="1" s="1"/>
  <c r="AH610" i="1"/>
  <c r="AJ610" i="1" s="1"/>
  <c r="AG463" i="1"/>
  <c r="AI463" i="1" s="1"/>
  <c r="AF567" i="1"/>
  <c r="AH567" i="1" s="1"/>
  <c r="AJ567" i="1" s="1"/>
  <c r="AG628" i="1"/>
  <c r="AI628" i="1" s="1"/>
  <c r="AH524" i="1"/>
  <c r="AJ524" i="1" s="1"/>
  <c r="AG57" i="1"/>
  <c r="AI57" i="1" s="1"/>
  <c r="AH275" i="1"/>
  <c r="AJ275" i="1" s="1"/>
  <c r="AD377" i="1"/>
  <c r="AF377" i="1" s="1"/>
  <c r="AH377" i="1" s="1"/>
  <c r="AJ377" i="1" s="1"/>
  <c r="AH315" i="1"/>
  <c r="AJ315" i="1" s="1"/>
  <c r="AF327" i="1"/>
  <c r="AH327" i="1" s="1"/>
  <c r="AJ327" i="1" s="1"/>
  <c r="AG554" i="1"/>
  <c r="AI554" i="1" s="1"/>
  <c r="AG597" i="1"/>
  <c r="AI597" i="1" s="1"/>
  <c r="AG66" i="1"/>
  <c r="AI66" i="1" s="1"/>
  <c r="AD242" i="1"/>
  <c r="AF242" i="1" s="1"/>
  <c r="AG242" i="1" s="1"/>
  <c r="AI242" i="1" s="1"/>
  <c r="AF544" i="1"/>
  <c r="AH544" i="1" s="1"/>
  <c r="AJ544" i="1" s="1"/>
  <c r="AD4" i="1"/>
  <c r="AF4" i="1" s="1"/>
  <c r="AG4" i="1" s="1"/>
  <c r="AI4" i="1" s="1"/>
  <c r="AG231" i="1"/>
  <c r="AI231" i="1" s="1"/>
  <c r="AG178" i="1"/>
  <c r="AI178" i="1" s="1"/>
  <c r="AH178" i="1"/>
  <c r="AJ178" i="1" s="1"/>
  <c r="AG479" i="1"/>
  <c r="AI479" i="1" s="1"/>
  <c r="AH479" i="1"/>
  <c r="AJ479" i="1" s="1"/>
  <c r="AG6" i="1"/>
  <c r="AI6" i="1" s="1"/>
  <c r="AH6" i="1"/>
  <c r="AJ6" i="1" s="1"/>
  <c r="AG34" i="1"/>
  <c r="AI34" i="1" s="1"/>
  <c r="AH34" i="1"/>
  <c r="AJ34" i="1" s="1"/>
  <c r="AG199" i="1"/>
  <c r="AI199" i="1" s="1"/>
  <c r="AH199" i="1"/>
  <c r="AJ199" i="1" s="1"/>
  <c r="AG239" i="1"/>
  <c r="AI239" i="1" s="1"/>
  <c r="AH239" i="1"/>
  <c r="AJ239" i="1" s="1"/>
  <c r="AG411" i="1"/>
  <c r="AI411" i="1" s="1"/>
  <c r="AH411" i="1"/>
  <c r="AJ411" i="1" s="1"/>
  <c r="AG297" i="1"/>
  <c r="AI297" i="1" s="1"/>
  <c r="AH297" i="1"/>
  <c r="AJ297" i="1" s="1"/>
  <c r="AH364" i="1"/>
  <c r="AJ364" i="1" s="1"/>
  <c r="AG364" i="1"/>
  <c r="AI364" i="1" s="1"/>
  <c r="AG328" i="1"/>
  <c r="AI328" i="1" s="1"/>
  <c r="AH328" i="1"/>
  <c r="AJ328" i="1" s="1"/>
  <c r="AG283" i="1"/>
  <c r="AI283" i="1" s="1"/>
  <c r="AH283" i="1"/>
  <c r="AJ283" i="1" s="1"/>
  <c r="AG244" i="1"/>
  <c r="AI244" i="1" s="1"/>
  <c r="AH244" i="1"/>
  <c r="AJ244" i="1" s="1"/>
  <c r="AG25" i="1"/>
  <c r="AI25" i="1" s="1"/>
  <c r="AH25" i="1"/>
  <c r="AJ25" i="1" s="1"/>
  <c r="AG112" i="1"/>
  <c r="AI112" i="1" s="1"/>
  <c r="AH112" i="1"/>
  <c r="AJ112" i="1" s="1"/>
  <c r="AG615" i="1"/>
  <c r="AI615" i="1" s="1"/>
  <c r="AH615" i="1"/>
  <c r="AJ615" i="1" s="1"/>
  <c r="AG470" i="1"/>
  <c r="AI470" i="1" s="1"/>
  <c r="AH470" i="1"/>
  <c r="AJ470" i="1" s="1"/>
  <c r="AG542" i="1"/>
  <c r="AI542" i="1" s="1"/>
  <c r="AH542" i="1"/>
  <c r="AJ542" i="1" s="1"/>
  <c r="AH189" i="1"/>
  <c r="AJ189" i="1" s="1"/>
  <c r="AG189" i="1"/>
  <c r="AI189" i="1" s="1"/>
  <c r="AH29" i="1"/>
  <c r="AJ29" i="1" s="1"/>
  <c r="AG432" i="1"/>
  <c r="AI432" i="1" s="1"/>
  <c r="AH121" i="1"/>
  <c r="AJ121" i="1" s="1"/>
  <c r="AF152" i="1"/>
  <c r="AH152" i="1" s="1"/>
  <c r="AJ152" i="1" s="1"/>
  <c r="AH387" i="1"/>
  <c r="AJ387" i="1" s="1"/>
  <c r="AD514" i="1"/>
  <c r="AF514" i="1" s="1"/>
  <c r="AH514" i="1" s="1"/>
  <c r="AJ514" i="1" s="1"/>
  <c r="AG211" i="1"/>
  <c r="AI211" i="1" s="1"/>
  <c r="AH262" i="1"/>
  <c r="AJ262" i="1" s="1"/>
  <c r="AD303" i="1"/>
  <c r="AF303" i="1" s="1"/>
  <c r="AH303" i="1" s="1"/>
  <c r="AJ303" i="1" s="1"/>
  <c r="AD53" i="1"/>
  <c r="AF53" i="1" s="1"/>
  <c r="AG53" i="1" s="1"/>
  <c r="AI53" i="1" s="1"/>
  <c r="AG495" i="1"/>
  <c r="AI495" i="1" s="1"/>
  <c r="AF15" i="1"/>
  <c r="AH15" i="1" s="1"/>
  <c r="AJ15" i="1" s="1"/>
  <c r="AG590" i="1"/>
  <c r="AI590" i="1" s="1"/>
  <c r="AG523" i="1"/>
  <c r="AI523" i="1" s="1"/>
  <c r="AG169" i="1"/>
  <c r="AI169" i="1" s="1"/>
  <c r="AG623" i="1"/>
  <c r="AI623" i="1" s="1"/>
  <c r="AH425" i="1"/>
  <c r="AJ425" i="1" s="1"/>
  <c r="AG182" i="1"/>
  <c r="AI182" i="1" s="1"/>
  <c r="AG589" i="1"/>
  <c r="AI589" i="1" s="1"/>
  <c r="AH309" i="1"/>
  <c r="AJ309" i="1" s="1"/>
  <c r="AG515" i="1"/>
  <c r="AI515" i="1" s="1"/>
  <c r="AH456" i="1"/>
  <c r="AJ456" i="1" s="1"/>
  <c r="AG68" i="1"/>
  <c r="AI68" i="1" s="1"/>
  <c r="AG379" i="1"/>
  <c r="AI379" i="1" s="1"/>
  <c r="AF400" i="1"/>
  <c r="AH400" i="1" s="1"/>
  <c r="AJ400" i="1" s="1"/>
  <c r="AG61" i="1"/>
  <c r="AI61" i="1" s="1"/>
  <c r="AH575" i="1"/>
  <c r="AJ575" i="1" s="1"/>
  <c r="AG186" i="1"/>
  <c r="AI186" i="1" s="1"/>
  <c r="AH363" i="1"/>
  <c r="AJ363" i="1" s="1"/>
  <c r="AD307" i="1"/>
  <c r="AH156" i="1"/>
  <c r="AJ156" i="1" s="1"/>
  <c r="AH118" i="1"/>
  <c r="AJ118" i="1" s="1"/>
  <c r="AG225" i="1"/>
  <c r="AI225" i="1" s="1"/>
  <c r="AG141" i="1"/>
  <c r="AI141" i="1" s="1"/>
  <c r="AH449" i="1"/>
  <c r="AJ449" i="1" s="1"/>
  <c r="AH46" i="1"/>
  <c r="AJ46" i="1" s="1"/>
  <c r="AG367" i="1"/>
  <c r="AI367" i="1" s="1"/>
  <c r="AD162" i="1"/>
  <c r="AF162" i="1" s="1"/>
  <c r="AH162" i="1" s="1"/>
  <c r="AJ162" i="1" s="1"/>
  <c r="AH351" i="1"/>
  <c r="AJ351" i="1" s="1"/>
  <c r="AH444" i="1"/>
  <c r="AJ444" i="1" s="1"/>
  <c r="AD382" i="1"/>
  <c r="AF382" i="1" s="1"/>
  <c r="AH382" i="1" s="1"/>
  <c r="AJ382" i="1" s="1"/>
  <c r="AH569" i="1"/>
  <c r="AJ569" i="1" s="1"/>
  <c r="AH404" i="1"/>
  <c r="AJ404" i="1" s="1"/>
  <c r="AF214" i="1"/>
  <c r="AH214" i="1" s="1"/>
  <c r="AJ214" i="1" s="1"/>
  <c r="AG418" i="1"/>
  <c r="AI418" i="1" s="1"/>
  <c r="AH55" i="1"/>
  <c r="AJ55" i="1" s="1"/>
  <c r="AH132" i="1"/>
  <c r="AJ132" i="1" s="1"/>
  <c r="AF261" i="1"/>
  <c r="AH261" i="1" s="1"/>
  <c r="AJ261" i="1" s="1"/>
  <c r="AF595" i="1"/>
  <c r="AH595" i="1" s="1"/>
  <c r="AJ595" i="1" s="1"/>
  <c r="AG23" i="1"/>
  <c r="AI23" i="1" s="1"/>
  <c r="AH70" i="1"/>
  <c r="AJ70" i="1" s="1"/>
  <c r="AH648" i="1"/>
  <c r="AJ648" i="1" s="1"/>
  <c r="AH142" i="1"/>
  <c r="AJ142" i="1" s="1"/>
  <c r="AG240" i="1"/>
  <c r="AI240" i="1" s="1"/>
  <c r="AG168" i="1"/>
  <c r="AI168" i="1" s="1"/>
  <c r="AH282" i="1"/>
  <c r="AJ282" i="1" s="1"/>
  <c r="AG349" i="1"/>
  <c r="AI349" i="1" s="1"/>
  <c r="AG546" i="1"/>
  <c r="AI546" i="1" s="1"/>
  <c r="AH640" i="1"/>
  <c r="AJ640" i="1" s="1"/>
  <c r="AH278" i="1"/>
  <c r="AJ278" i="1" s="1"/>
  <c r="AH67" i="1"/>
  <c r="AJ67" i="1" s="1"/>
  <c r="AH582" i="1"/>
  <c r="AJ582" i="1" s="1"/>
  <c r="AH229" i="1"/>
  <c r="AJ229" i="1" s="1"/>
  <c r="AD281" i="1"/>
  <c r="AF281" i="1" s="1"/>
  <c r="AG281" i="1" s="1"/>
  <c r="AI281" i="1" s="1"/>
  <c r="AD576" i="1"/>
  <c r="AF576" i="1" s="1"/>
  <c r="AH576" i="1" s="1"/>
  <c r="AJ576" i="1" s="1"/>
  <c r="AH204" i="1"/>
  <c r="AJ204" i="1" s="1"/>
  <c r="AH213" i="1"/>
  <c r="AJ213" i="1" s="1"/>
  <c r="AF228" i="1"/>
  <c r="AH228" i="1" s="1"/>
  <c r="AJ228" i="1" s="1"/>
  <c r="AG592" i="1"/>
  <c r="AI592" i="1" s="1"/>
  <c r="AH423" i="1"/>
  <c r="AJ423" i="1" s="1"/>
  <c r="AH165" i="1"/>
  <c r="AJ165" i="1" s="1"/>
  <c r="AD276" i="1"/>
  <c r="AF276" i="1" s="1"/>
  <c r="AD405" i="1"/>
  <c r="AF405" i="1" s="1"/>
  <c r="AH405" i="1" s="1"/>
  <c r="AJ405" i="1" s="1"/>
  <c r="AH408" i="1"/>
  <c r="AJ408" i="1" s="1"/>
  <c r="AD588" i="1"/>
  <c r="AF588" i="1" s="1"/>
  <c r="AH588" i="1" s="1"/>
  <c r="AJ588" i="1" s="1"/>
  <c r="AG352" i="1"/>
  <c r="AI352" i="1" s="1"/>
  <c r="AH352" i="1"/>
  <c r="AJ352" i="1" s="1"/>
  <c r="AG334" i="1"/>
  <c r="AI334" i="1" s="1"/>
  <c r="AH334" i="1"/>
  <c r="AJ334" i="1" s="1"/>
  <c r="AG539" i="1"/>
  <c r="AI539" i="1" s="1"/>
  <c r="AH539" i="1"/>
  <c r="AJ539" i="1" s="1"/>
  <c r="AG24" i="1"/>
  <c r="AI24" i="1" s="1"/>
  <c r="AH24" i="1"/>
  <c r="AJ24" i="1" s="1"/>
  <c r="AG397" i="1"/>
  <c r="AI397" i="1" s="1"/>
  <c r="AH397" i="1"/>
  <c r="AJ397" i="1" s="1"/>
  <c r="AH476" i="1"/>
  <c r="AJ476" i="1" s="1"/>
  <c r="AG476" i="1"/>
  <c r="AI476" i="1" s="1"/>
  <c r="AH557" i="1"/>
  <c r="AJ557" i="1" s="1"/>
  <c r="AG557" i="1"/>
  <c r="AI557" i="1" s="1"/>
  <c r="AG647" i="1"/>
  <c r="AI647" i="1" s="1"/>
  <c r="AH647" i="1"/>
  <c r="AJ647" i="1" s="1"/>
  <c r="AG399" i="1"/>
  <c r="AI399" i="1" s="1"/>
  <c r="AH399" i="1"/>
  <c r="AJ399" i="1" s="1"/>
  <c r="AG574" i="1"/>
  <c r="AI574" i="1" s="1"/>
  <c r="AH574" i="1"/>
  <c r="AJ574" i="1" s="1"/>
  <c r="AG502" i="1"/>
  <c r="AI502" i="1" s="1"/>
  <c r="AH502" i="1"/>
  <c r="AJ502" i="1" s="1"/>
  <c r="AG108" i="1"/>
  <c r="AI108" i="1" s="1"/>
  <c r="AH108" i="1"/>
  <c r="AJ108" i="1" s="1"/>
  <c r="AH497" i="1"/>
  <c r="AJ497" i="1" s="1"/>
  <c r="AG497" i="1"/>
  <c r="AI497" i="1" s="1"/>
  <c r="AG172" i="1"/>
  <c r="AI172" i="1" s="1"/>
  <c r="AH172" i="1"/>
  <c r="AJ172" i="1" s="1"/>
  <c r="AG18" i="1"/>
  <c r="AI18" i="1" s="1"/>
  <c r="AH18" i="1"/>
  <c r="AJ18" i="1" s="1"/>
  <c r="AG93" i="1"/>
  <c r="AI93" i="1" s="1"/>
  <c r="AH93" i="1"/>
  <c r="AJ93" i="1" s="1"/>
  <c r="AF51" i="1"/>
  <c r="AH51" i="1" s="1"/>
  <c r="AJ51" i="1" s="1"/>
  <c r="AG173" i="1"/>
  <c r="AI173" i="1" s="1"/>
  <c r="AH173" i="1"/>
  <c r="AJ173" i="1" s="1"/>
  <c r="AG422" i="1"/>
  <c r="AI422" i="1" s="1"/>
  <c r="AH422" i="1"/>
  <c r="AJ422" i="1" s="1"/>
  <c r="AH129" i="1"/>
  <c r="AJ129" i="1" s="1"/>
  <c r="AG84" i="1"/>
  <c r="AI84" i="1" s="1"/>
  <c r="AH32" i="1"/>
  <c r="AJ32" i="1" s="1"/>
  <c r="AD163" i="1"/>
  <c r="AF163" i="1" s="1"/>
  <c r="AH163" i="1" s="1"/>
  <c r="AJ163" i="1" s="1"/>
  <c r="AD180" i="1"/>
  <c r="AF180" i="1" s="1"/>
  <c r="AH135" i="1"/>
  <c r="AJ135" i="1" s="1"/>
  <c r="AH366" i="1"/>
  <c r="AJ366" i="1" s="1"/>
  <c r="AG443" i="1"/>
  <c r="AI443" i="1" s="1"/>
  <c r="AG26" i="1"/>
  <c r="AI26" i="1" s="1"/>
  <c r="AG286" i="1"/>
  <c r="AI286" i="1" s="1"/>
  <c r="AG292" i="1"/>
  <c r="AI292" i="1" s="1"/>
  <c r="AG151" i="1"/>
  <c r="AI151" i="1" s="1"/>
  <c r="AH634" i="1"/>
  <c r="AJ634" i="1" s="1"/>
  <c r="AG196" i="1"/>
  <c r="AI196" i="1" s="1"/>
  <c r="AG331" i="1"/>
  <c r="AI331" i="1" s="1"/>
  <c r="AD550" i="1"/>
  <c r="AF550" i="1" s="1"/>
  <c r="AH74" i="1"/>
  <c r="AJ74" i="1" s="1"/>
  <c r="AF104" i="1"/>
  <c r="AH104" i="1" s="1"/>
  <c r="AJ104" i="1" s="1"/>
  <c r="AG350" i="1"/>
  <c r="AI350" i="1" s="1"/>
  <c r="AG413" i="1"/>
  <c r="AI413" i="1" s="1"/>
  <c r="AG485" i="1"/>
  <c r="AI485" i="1" s="1"/>
  <c r="AG200" i="1"/>
  <c r="AI200" i="1" s="1"/>
  <c r="AD11" i="1"/>
  <c r="AF11" i="1" s="1"/>
  <c r="AH11" i="1" s="1"/>
  <c r="AJ11" i="1" s="1"/>
  <c r="AD373" i="1"/>
  <c r="AF373" i="1" s="1"/>
  <c r="AH373" i="1" s="1"/>
  <c r="AJ373" i="1" s="1"/>
  <c r="AG220" i="1"/>
  <c r="AI220" i="1" s="1"/>
  <c r="AD494" i="1"/>
  <c r="AF494" i="1" s="1"/>
  <c r="AG494" i="1" s="1"/>
  <c r="AI494" i="1" s="1"/>
  <c r="AH227" i="1"/>
  <c r="AJ227" i="1" s="1"/>
  <c r="AG17" i="1"/>
  <c r="AI17" i="1" s="1"/>
  <c r="AG617" i="1"/>
  <c r="AI617" i="1" s="1"/>
  <c r="AD265" i="1"/>
  <c r="AF265" i="1" s="1"/>
  <c r="AD49" i="1"/>
  <c r="AF49" i="1" s="1"/>
  <c r="AH462" i="1"/>
  <c r="AJ462" i="1" s="1"/>
  <c r="AH371" i="1"/>
  <c r="AJ371" i="1" s="1"/>
  <c r="AF130" i="1"/>
  <c r="AH130" i="1" s="1"/>
  <c r="AJ130" i="1" s="1"/>
  <c r="AD311" i="1"/>
  <c r="AF311" i="1" s="1"/>
  <c r="AG633" i="1"/>
  <c r="AI633" i="1" s="1"/>
  <c r="AD424" i="1"/>
  <c r="AF424" i="1" s="1"/>
  <c r="AH424" i="1" s="1"/>
  <c r="AJ424" i="1" s="1"/>
  <c r="AH474" i="1"/>
  <c r="AJ474" i="1" s="1"/>
  <c r="AH446" i="1"/>
  <c r="AJ446" i="1" s="1"/>
  <c r="AG533" i="1"/>
  <c r="AI533" i="1" s="1"/>
  <c r="AG223" i="1"/>
  <c r="AI223" i="1" s="1"/>
  <c r="AG513" i="1"/>
  <c r="AI513" i="1" s="1"/>
  <c r="AH521" i="1"/>
  <c r="AJ521" i="1" s="1"/>
  <c r="AH234" i="1"/>
  <c r="AJ234" i="1" s="1"/>
  <c r="AF149" i="1"/>
  <c r="AG149" i="1" s="1"/>
  <c r="AI149" i="1" s="1"/>
  <c r="AH428" i="1"/>
  <c r="AJ428" i="1" s="1"/>
  <c r="AH508" i="1"/>
  <c r="AJ508" i="1" s="1"/>
  <c r="AG268" i="1"/>
  <c r="AI268" i="1" s="1"/>
  <c r="AG38" i="1"/>
  <c r="AI38" i="1" s="1"/>
  <c r="AG125" i="1"/>
  <c r="AI125" i="1" s="1"/>
  <c r="AD302" i="1"/>
  <c r="AF302" i="1" s="1"/>
  <c r="AG302" i="1" s="1"/>
  <c r="AI302" i="1" s="1"/>
  <c r="AF270" i="1"/>
  <c r="AH270" i="1" s="1"/>
  <c r="AJ270" i="1" s="1"/>
  <c r="AD561" i="1"/>
  <c r="AF561" i="1" s="1"/>
  <c r="AG123" i="1"/>
  <c r="AI123" i="1" s="1"/>
  <c r="AF530" i="1"/>
  <c r="AH530" i="1" s="1"/>
  <c r="AJ530" i="1" s="1"/>
  <c r="AH499" i="1"/>
  <c r="AJ499" i="1" s="1"/>
  <c r="AG72" i="1"/>
  <c r="AI72" i="1" s="1"/>
  <c r="AH45" i="1"/>
  <c r="AJ45" i="1" s="1"/>
  <c r="AH88" i="1"/>
  <c r="AJ88" i="1" s="1"/>
  <c r="AH224" i="1"/>
  <c r="AJ224" i="1" s="1"/>
  <c r="AH566" i="1"/>
  <c r="AJ566" i="1" s="1"/>
  <c r="AF460" i="1"/>
  <c r="AH460" i="1" s="1"/>
  <c r="AJ460" i="1" s="1"/>
  <c r="AH106" i="1"/>
  <c r="AJ106" i="1" s="1"/>
  <c r="AH217" i="1"/>
  <c r="AJ217" i="1" s="1"/>
  <c r="AH608" i="1"/>
  <c r="AJ608" i="1" s="1"/>
  <c r="AG319" i="1"/>
  <c r="AI319" i="1" s="1"/>
  <c r="AH154" i="1"/>
  <c r="AJ154" i="1" s="1"/>
  <c r="AH277" i="1"/>
  <c r="AJ277" i="1" s="1"/>
  <c r="AD73" i="1"/>
  <c r="AF73" i="1" s="1"/>
  <c r="AH73" i="1" s="1"/>
  <c r="AJ73" i="1" s="1"/>
  <c r="AH548" i="1"/>
  <c r="AJ548" i="1" s="1"/>
  <c r="AF207" i="1"/>
  <c r="AH207" i="1" s="1"/>
  <c r="AJ207" i="1" s="1"/>
  <c r="AG391" i="1"/>
  <c r="AI391" i="1" s="1"/>
  <c r="AD116" i="1"/>
  <c r="AF116" i="1" s="1"/>
  <c r="AH116" i="1" s="1"/>
  <c r="AJ116" i="1" s="1"/>
  <c r="AH510" i="1"/>
  <c r="AJ510" i="1" s="1"/>
  <c r="AG21" i="1"/>
  <c r="AI21" i="1" s="1"/>
  <c r="AH552" i="1"/>
  <c r="AJ552" i="1" s="1"/>
  <c r="AG655" i="1"/>
  <c r="AI655" i="1" s="1"/>
  <c r="AH655" i="1"/>
  <c r="AJ655" i="1" s="1"/>
  <c r="AG100" i="1"/>
  <c r="AI100" i="1" s="1"/>
  <c r="AH100" i="1"/>
  <c r="AJ100" i="1" s="1"/>
  <c r="AG469" i="1"/>
  <c r="AI469" i="1" s="1"/>
  <c r="AH469" i="1"/>
  <c r="AJ469" i="1" s="1"/>
  <c r="AG581" i="1"/>
  <c r="AI581" i="1" s="1"/>
  <c r="AH581" i="1"/>
  <c r="AJ581" i="1" s="1"/>
  <c r="AG560" i="1"/>
  <c r="AI560" i="1" s="1"/>
  <c r="AH560" i="1"/>
  <c r="AJ560" i="1" s="1"/>
  <c r="AG471" i="1"/>
  <c r="AI471" i="1" s="1"/>
  <c r="AH471" i="1"/>
  <c r="AJ471" i="1" s="1"/>
  <c r="AG465" i="1"/>
  <c r="AI465" i="1" s="1"/>
  <c r="AH465" i="1"/>
  <c r="AJ465" i="1" s="1"/>
  <c r="AG507" i="1"/>
  <c r="AI507" i="1" s="1"/>
  <c r="AH507" i="1"/>
  <c r="AJ507" i="1" s="1"/>
  <c r="AG458" i="1"/>
  <c r="AI458" i="1" s="1"/>
  <c r="AH458" i="1"/>
  <c r="AJ458" i="1" s="1"/>
  <c r="AG71" i="1"/>
  <c r="AI71" i="1" s="1"/>
  <c r="AH71" i="1"/>
  <c r="AJ71" i="1" s="1"/>
  <c r="AG342" i="1"/>
  <c r="AI342" i="1" s="1"/>
  <c r="AH342" i="1"/>
  <c r="AJ342" i="1" s="1"/>
  <c r="AG188" i="1"/>
  <c r="AI188" i="1" s="1"/>
  <c r="AH188" i="1"/>
  <c r="AJ188" i="1" s="1"/>
  <c r="AG13" i="1"/>
  <c r="AI13" i="1" s="1"/>
  <c r="AH13" i="1"/>
  <c r="AJ13" i="1" s="1"/>
  <c r="AG518" i="1"/>
  <c r="AI518" i="1" s="1"/>
  <c r="AG7" i="1"/>
  <c r="AI7" i="1" s="1"/>
  <c r="AH519" i="1"/>
  <c r="AJ519" i="1" s="1"/>
  <c r="AH153" i="1"/>
  <c r="AJ153" i="1" s="1"/>
  <c r="AH332" i="1"/>
  <c r="AJ332" i="1" s="1"/>
  <c r="AD52" i="1"/>
  <c r="AF52" i="1" s="1"/>
  <c r="AG52" i="1" s="1"/>
  <c r="AI52" i="1" s="1"/>
  <c r="AG41" i="1"/>
  <c r="AI41" i="1" s="1"/>
  <c r="AG35" i="1"/>
  <c r="AI35" i="1" s="1"/>
  <c r="AH639" i="1"/>
  <c r="AJ639" i="1" s="1"/>
  <c r="AH511" i="1"/>
  <c r="AJ511" i="1" s="1"/>
  <c r="AF40" i="1"/>
  <c r="AH40" i="1" s="1"/>
  <c r="AJ40" i="1" s="1"/>
  <c r="AG128" i="1"/>
  <c r="AI128" i="1" s="1"/>
  <c r="AF496" i="1"/>
  <c r="AH496" i="1" s="1"/>
  <c r="AJ496" i="1" s="1"/>
  <c r="AH398" i="1"/>
  <c r="AJ398" i="1" s="1"/>
  <c r="AF190" i="1"/>
  <c r="AH190" i="1" s="1"/>
  <c r="AJ190" i="1" s="1"/>
  <c r="AF117" i="1"/>
  <c r="AH117" i="1" s="1"/>
  <c r="AJ117" i="1" s="1"/>
  <c r="AH131" i="1"/>
  <c r="AJ131" i="1" s="1"/>
  <c r="AF347" i="1"/>
  <c r="AH347" i="1" s="1"/>
  <c r="AJ347" i="1" s="1"/>
  <c r="AF361" i="1"/>
  <c r="AH361" i="1" s="1"/>
  <c r="AJ361" i="1" s="1"/>
  <c r="AH393" i="1"/>
  <c r="AJ393" i="1" s="1"/>
  <c r="AH272" i="1"/>
  <c r="AJ272" i="1" s="1"/>
  <c r="AH127" i="1"/>
  <c r="AJ127" i="1" s="1"/>
  <c r="AH287" i="1"/>
  <c r="AJ287" i="1" s="1"/>
  <c r="AH259" i="1"/>
  <c r="AJ259" i="1" s="1"/>
  <c r="AH212" i="1"/>
  <c r="AJ212" i="1" s="1"/>
  <c r="AG380" i="1"/>
  <c r="AI380" i="1" s="1"/>
  <c r="AH97" i="1"/>
  <c r="AJ97" i="1" s="1"/>
  <c r="AG179" i="1"/>
  <c r="AI179" i="1" s="1"/>
  <c r="AG506" i="1"/>
  <c r="AI506" i="1" s="1"/>
  <c r="AH491" i="1"/>
  <c r="AJ491" i="1" s="1"/>
  <c r="AG549" i="1"/>
  <c r="AI549" i="1" s="1"/>
  <c r="AG205" i="1"/>
  <c r="AI205" i="1" s="1"/>
  <c r="AG407" i="1"/>
  <c r="AI407" i="1" s="1"/>
  <c r="AG60" i="1"/>
  <c r="AI60" i="1" s="1"/>
  <c r="AH627" i="1"/>
  <c r="AJ627" i="1" s="1"/>
  <c r="AH464" i="1"/>
  <c r="AJ464" i="1" s="1"/>
  <c r="AD362" i="1"/>
  <c r="AF362" i="1" s="1"/>
  <c r="AG362" i="1" s="1"/>
  <c r="AI362" i="1" s="1"/>
  <c r="AG414" i="1"/>
  <c r="AI414" i="1" s="1"/>
  <c r="AH326" i="1"/>
  <c r="AJ326" i="1" s="1"/>
  <c r="AD522" i="1"/>
  <c r="AF522" i="1" s="1"/>
  <c r="AH522" i="1" s="1"/>
  <c r="AJ522" i="1" s="1"/>
  <c r="AH137" i="1"/>
  <c r="AJ137" i="1" s="1"/>
  <c r="AH148" i="1"/>
  <c r="AJ148" i="1" s="1"/>
  <c r="AH601" i="1"/>
  <c r="AJ601" i="1" s="1"/>
  <c r="AH243" i="1"/>
  <c r="AJ243" i="1" s="1"/>
  <c r="AH434" i="1"/>
  <c r="AJ434" i="1" s="1"/>
  <c r="AG516" i="1"/>
  <c r="AI516" i="1" s="1"/>
  <c r="AH321" i="1"/>
  <c r="AJ321" i="1" s="1"/>
  <c r="AG390" i="1"/>
  <c r="AI390" i="1" s="1"/>
  <c r="AG335" i="1"/>
  <c r="AI335" i="1" s="1"/>
  <c r="AG654" i="1"/>
  <c r="AI654" i="1" s="1"/>
  <c r="AH607" i="1"/>
  <c r="AJ607" i="1" s="1"/>
  <c r="AH255" i="1"/>
  <c r="AJ255" i="1" s="1"/>
  <c r="AG433" i="1"/>
  <c r="AI433" i="1" s="1"/>
  <c r="AH209" i="1"/>
  <c r="AJ209" i="1" s="1"/>
  <c r="AH245" i="1"/>
  <c r="AJ245" i="1" s="1"/>
  <c r="AH431" i="1"/>
  <c r="AJ431" i="1" s="1"/>
  <c r="AD551" i="1"/>
  <c r="AF551" i="1" s="1"/>
  <c r="AG551" i="1" s="1"/>
  <c r="AI551" i="1" s="1"/>
  <c r="AD260" i="1"/>
  <c r="AF260" i="1" s="1"/>
  <c r="AH260" i="1" s="1"/>
  <c r="AJ260" i="1" s="1"/>
  <c r="AD202" i="1"/>
  <c r="AF202" i="1" s="1"/>
  <c r="AG202" i="1" s="1"/>
  <c r="AI202" i="1" s="1"/>
  <c r="AH482" i="1"/>
  <c r="AJ482" i="1" s="1"/>
  <c r="AG426" i="1"/>
  <c r="AI426" i="1" s="1"/>
  <c r="AG85" i="1"/>
  <c r="AI85" i="1" s="1"/>
  <c r="AG481" i="1"/>
  <c r="AI481" i="1" s="1"/>
  <c r="AG105" i="1"/>
  <c r="AI105" i="1" s="1"/>
  <c r="AG161" i="1"/>
  <c r="AI161" i="1" s="1"/>
  <c r="AG440" i="1"/>
  <c r="AI440" i="1" s="1"/>
  <c r="AG427" i="1"/>
  <c r="AI427" i="1" s="1"/>
  <c r="AG459" i="1"/>
  <c r="AI459" i="1" s="1"/>
  <c r="AG266" i="1"/>
  <c r="AI266" i="1" s="1"/>
  <c r="AH439" i="1"/>
  <c r="AJ439" i="1" s="1"/>
  <c r="AH591" i="1"/>
  <c r="AJ591" i="1" s="1"/>
  <c r="AF215" i="1"/>
  <c r="AH215" i="1" s="1"/>
  <c r="AJ215" i="1" s="1"/>
  <c r="AH488" i="1"/>
  <c r="AJ488" i="1" s="1"/>
  <c r="AH36" i="1"/>
  <c r="AJ36" i="1" s="1"/>
  <c r="AF626" i="1"/>
  <c r="AH626" i="1" s="1"/>
  <c r="AJ626" i="1" s="1"/>
  <c r="AH493" i="1"/>
  <c r="AJ493" i="1" s="1"/>
  <c r="AH206" i="1"/>
  <c r="AJ206" i="1" s="1"/>
  <c r="AG656" i="1"/>
  <c r="AI656" i="1" s="1"/>
  <c r="AH31" i="1"/>
  <c r="AJ31" i="1" s="1"/>
  <c r="AG586" i="1"/>
  <c r="AI586" i="1" s="1"/>
  <c r="AH69" i="1"/>
  <c r="AJ69" i="1" s="1"/>
  <c r="AG249" i="1"/>
  <c r="AI249" i="1" s="1"/>
  <c r="AD175" i="1"/>
  <c r="AF175" i="1" s="1"/>
  <c r="AH175" i="1" s="1"/>
  <c r="AJ175" i="1" s="1"/>
  <c r="AH525" i="1"/>
  <c r="AJ525" i="1" s="1"/>
  <c r="AG392" i="1"/>
  <c r="AI392" i="1" s="1"/>
  <c r="AH251" i="1"/>
  <c r="AJ251" i="1" s="1"/>
  <c r="AD273" i="1"/>
  <c r="AF273" i="1" s="1"/>
  <c r="AG273" i="1" s="1"/>
  <c r="AI273" i="1" s="1"/>
  <c r="AG466" i="1"/>
  <c r="AI466" i="1" s="1"/>
  <c r="AG30" i="1"/>
  <c r="AI30" i="1" s="1"/>
  <c r="AG246" i="1"/>
  <c r="AI246" i="1" s="1"/>
  <c r="AD65" i="1"/>
  <c r="AF65" i="1" s="1"/>
  <c r="AH65" i="1" s="1"/>
  <c r="AJ65" i="1" s="1"/>
  <c r="AG191" i="1"/>
  <c r="AI191" i="1" s="1"/>
  <c r="AF279" i="1"/>
  <c r="AH279" i="1" s="1"/>
  <c r="AJ279" i="1" s="1"/>
  <c r="AF473" i="1"/>
  <c r="AH473" i="1" s="1"/>
  <c r="AJ473" i="1" s="1"/>
  <c r="AF264" i="1"/>
  <c r="AH264" i="1" s="1"/>
  <c r="AJ264" i="1" s="1"/>
  <c r="AG604" i="1"/>
  <c r="AI604" i="1" s="1"/>
  <c r="AH629" i="1"/>
  <c r="AJ629" i="1" s="1"/>
  <c r="AH658" i="1"/>
  <c r="AJ658" i="1" s="1"/>
  <c r="AF637" i="1"/>
  <c r="AH637" i="1" s="1"/>
  <c r="AJ637" i="1" s="1"/>
  <c r="AH284" i="1"/>
  <c r="AJ284" i="1" s="1"/>
  <c r="AH99" i="1"/>
  <c r="AJ99" i="1" s="1"/>
  <c r="AH646" i="1"/>
  <c r="AJ646" i="1" s="1"/>
  <c r="AH195" i="1"/>
  <c r="AJ195" i="1" s="1"/>
  <c r="AG509" i="1"/>
  <c r="AI509" i="1" s="1"/>
  <c r="AG14" i="1"/>
  <c r="AI14" i="1" s="1"/>
  <c r="AG120" i="1"/>
  <c r="AI120" i="1" s="1"/>
  <c r="AG42" i="1"/>
  <c r="AI42" i="1" s="1"/>
  <c r="AH512" i="1"/>
  <c r="AJ512" i="1" s="1"/>
  <c r="AD430" i="1"/>
  <c r="AF430" i="1" s="1"/>
  <c r="AH430" i="1" s="1"/>
  <c r="AJ430" i="1" s="1"/>
  <c r="AH612" i="1"/>
  <c r="AJ612" i="1" s="1"/>
  <c r="AG111" i="1"/>
  <c r="AI111" i="1" s="1"/>
  <c r="AH300" i="1"/>
  <c r="AJ300" i="1" s="1"/>
  <c r="AG394" i="1"/>
  <c r="AI394" i="1" s="1"/>
  <c r="AH528" i="1"/>
  <c r="AJ528" i="1" s="1"/>
  <c r="AH136" i="1"/>
  <c r="AJ136" i="1" s="1"/>
  <c r="AD159" i="1"/>
  <c r="AF159" i="1" s="1"/>
  <c r="AG159" i="1" s="1"/>
  <c r="AI159" i="1" s="1"/>
  <c r="AH541" i="1"/>
  <c r="AJ541" i="1" s="1"/>
  <c r="AH139" i="1"/>
  <c r="AJ139" i="1" s="1"/>
  <c r="AH454" i="1"/>
  <c r="AJ454" i="1" s="1"/>
  <c r="AH572" i="1"/>
  <c r="AJ572" i="1" s="1"/>
  <c r="AG291" i="1"/>
  <c r="AI291" i="1" s="1"/>
  <c r="AG267" i="1"/>
  <c r="AI267" i="1" s="1"/>
  <c r="AH171" i="1"/>
  <c r="AJ171" i="1" s="1"/>
  <c r="AG325" i="1"/>
  <c r="AI325" i="1" s="1"/>
  <c r="AG594" i="1"/>
  <c r="AI594" i="1" s="1"/>
  <c r="AG257" i="1"/>
  <c r="AI257" i="1" s="1"/>
  <c r="AD59" i="1"/>
  <c r="AF59" i="1" s="1"/>
  <c r="AH59" i="1" s="1"/>
  <c r="AJ59" i="1" s="1"/>
  <c r="AH304" i="1"/>
  <c r="AJ304" i="1" s="1"/>
  <c r="AH48" i="1"/>
  <c r="AJ48" i="1" s="1"/>
  <c r="AG232" i="1"/>
  <c r="AI232" i="1" s="1"/>
  <c r="AH472" i="1"/>
  <c r="AJ472" i="1" s="1"/>
  <c r="AG415" i="1"/>
  <c r="AI415" i="1" s="1"/>
  <c r="AD571" i="1"/>
  <c r="AF571" i="1" s="1"/>
  <c r="AH571" i="1" s="1"/>
  <c r="AJ571" i="1" s="1"/>
  <c r="AG192" i="1"/>
  <c r="AI192" i="1" s="1"/>
  <c r="AF110" i="1"/>
  <c r="AG110" i="1" s="1"/>
  <c r="AI110" i="1" s="1"/>
  <c r="AH638" i="1"/>
  <c r="AJ638" i="1" s="1"/>
  <c r="AH478" i="1"/>
  <c r="AJ478" i="1" s="1"/>
  <c r="AH565" i="1"/>
  <c r="AJ565" i="1" s="1"/>
  <c r="AH134" i="1"/>
  <c r="AJ134" i="1" s="1"/>
  <c r="AE145" i="2"/>
  <c r="AG145" i="2" s="1"/>
  <c r="AE167" i="2"/>
  <c r="AG167" i="2" s="1"/>
  <c r="AG206" i="1"/>
  <c r="AI206" i="1" s="1"/>
  <c r="AH559" i="1"/>
  <c r="AJ559" i="1" s="1"/>
  <c r="AH383" i="1"/>
  <c r="AJ383" i="1" s="1"/>
  <c r="AD26" i="2"/>
  <c r="AF26" i="2" s="1"/>
  <c r="AD119" i="2"/>
  <c r="AF119" i="2" s="1"/>
  <c r="AG256" i="1"/>
  <c r="AI256" i="1" s="1"/>
  <c r="AG353" i="1"/>
  <c r="AI353" i="1" s="1"/>
  <c r="AH498" i="1"/>
  <c r="AJ498" i="1" s="1"/>
  <c r="AG187" i="1"/>
  <c r="AI187" i="1" s="1"/>
  <c r="AH144" i="1"/>
  <c r="AJ144" i="1" s="1"/>
  <c r="AG517" i="1"/>
  <c r="AI517" i="1" s="1"/>
  <c r="AE68" i="2"/>
  <c r="AG68" i="2" s="1"/>
  <c r="AH177" i="1"/>
  <c r="AJ177" i="1" s="1"/>
  <c r="AH314" i="1"/>
  <c r="AJ314" i="1" s="1"/>
  <c r="AH593" i="1"/>
  <c r="AJ593" i="1" s="1"/>
  <c r="AH636" i="1"/>
  <c r="AJ636" i="1" s="1"/>
  <c r="AH370" i="1"/>
  <c r="AJ370" i="1" s="1"/>
  <c r="AD122" i="2"/>
  <c r="AF122" i="2" s="1"/>
  <c r="AH385" i="1"/>
  <c r="AJ385" i="1" s="1"/>
  <c r="AH600" i="1"/>
  <c r="AJ600" i="1" s="1"/>
  <c r="AD39" i="2"/>
  <c r="AF39" i="2" s="1"/>
  <c r="AG409" i="1"/>
  <c r="AI409" i="1" s="1"/>
  <c r="AG54" i="1"/>
  <c r="AI54" i="1" s="1"/>
  <c r="AG369" i="1"/>
  <c r="AI369" i="1" s="1"/>
  <c r="AD58" i="2"/>
  <c r="AF58" i="2" s="1"/>
  <c r="AG657" i="1"/>
  <c r="AI657" i="1" s="1"/>
  <c r="AD136" i="2"/>
  <c r="AF136" i="2" s="1"/>
  <c r="AG441" i="1"/>
  <c r="AI441" i="1" s="1"/>
  <c r="AH553" i="1"/>
  <c r="AJ553" i="1" s="1"/>
  <c r="AE95" i="2"/>
  <c r="AG95" i="2" s="1"/>
  <c r="AG176" i="1"/>
  <c r="AI176" i="1" s="1"/>
  <c r="AG564" i="1"/>
  <c r="AI564" i="1" s="1"/>
  <c r="AD61" i="2"/>
  <c r="AF61" i="2" s="1"/>
  <c r="AH500" i="1"/>
  <c r="AJ500" i="1" s="1"/>
  <c r="AH452" i="1"/>
  <c r="AJ452" i="1" s="1"/>
  <c r="AH643" i="1"/>
  <c r="AJ643" i="1" s="1"/>
  <c r="AD76" i="2"/>
  <c r="AF76" i="2" s="1"/>
  <c r="AG98" i="1"/>
  <c r="AI98" i="1" s="1"/>
  <c r="AG659" i="1"/>
  <c r="AI659" i="1" s="1"/>
  <c r="AG236" i="1"/>
  <c r="AI236" i="1" s="1"/>
  <c r="AG157" i="1"/>
  <c r="AI157" i="1" s="1"/>
  <c r="AG221" i="1"/>
  <c r="AI221" i="1" s="1"/>
  <c r="AG635" i="1"/>
  <c r="AI635" i="1" s="1"/>
  <c r="AG562" i="1"/>
  <c r="AI562" i="1" s="1"/>
  <c r="AG535" i="1"/>
  <c r="AI535" i="1" s="1"/>
  <c r="AF10" i="3"/>
  <c r="AH10" i="3" s="1"/>
  <c r="AG435" i="1"/>
  <c r="AI435" i="1" s="1"/>
  <c r="AD16" i="2"/>
  <c r="AF16" i="2" s="1"/>
  <c r="AH403" i="1"/>
  <c r="AJ403" i="1" s="1"/>
  <c r="AH324" i="1"/>
  <c r="AJ324" i="1" s="1"/>
  <c r="AH644" i="1"/>
  <c r="AJ644" i="1" s="1"/>
  <c r="AH219" i="1"/>
  <c r="AJ219" i="1" s="1"/>
  <c r="AH28" i="1"/>
  <c r="AJ28" i="1" s="1"/>
  <c r="AG653" i="1"/>
  <c r="AI653" i="1" s="1"/>
  <c r="AH269" i="1"/>
  <c r="AJ269" i="1" s="1"/>
  <c r="AG194" i="1"/>
  <c r="AI194" i="1" s="1"/>
  <c r="AG484" i="1"/>
  <c r="AI484" i="1" s="1"/>
  <c r="AG103" i="1"/>
  <c r="AI103" i="1" s="1"/>
  <c r="AG250" i="1"/>
  <c r="AI250" i="1" s="1"/>
  <c r="AG183" i="1"/>
  <c r="AI183" i="1" s="1"/>
  <c r="AH247" i="1"/>
  <c r="AJ247" i="1" s="1"/>
  <c r="AD160" i="2"/>
  <c r="AF160" i="2" s="1"/>
  <c r="AH56" i="1"/>
  <c r="AJ56" i="1" s="1"/>
  <c r="AH410" i="1"/>
  <c r="AJ410" i="1" s="1"/>
  <c r="AG652" i="1"/>
  <c r="AI652" i="1" s="1"/>
  <c r="AD137" i="2"/>
  <c r="AF137" i="2" s="1"/>
  <c r="AH587" i="1"/>
  <c r="AJ587" i="1" s="1"/>
  <c r="AG323" i="1"/>
  <c r="AI323" i="1" s="1"/>
  <c r="AG412" i="1"/>
  <c r="AI412" i="1" s="1"/>
  <c r="AG8" i="1"/>
  <c r="AI8" i="1" s="1"/>
  <c r="AG602" i="1"/>
  <c r="AI602" i="1" s="1"/>
  <c r="AH378" i="1"/>
  <c r="AJ378" i="1" s="1"/>
  <c r="AG216" i="1"/>
  <c r="AI216" i="1" s="1"/>
  <c r="AG603" i="1"/>
  <c r="AI603" i="1" s="1"/>
  <c r="AG238" i="1"/>
  <c r="AI238" i="1" s="1"/>
  <c r="AE24" i="3"/>
  <c r="AG24" i="3" s="1"/>
  <c r="AG19" i="1"/>
  <c r="AI19" i="1" s="1"/>
  <c r="AG487" i="1"/>
  <c r="AI487" i="1" s="1"/>
  <c r="AG649" i="1"/>
  <c r="AI649" i="1" s="1"/>
  <c r="AD176" i="2"/>
  <c r="AF176" i="2" s="1"/>
  <c r="AG538" i="1"/>
  <c r="AI538" i="1" s="1"/>
  <c r="AG416" i="1"/>
  <c r="AI416" i="1" s="1"/>
  <c r="AG330" i="1"/>
  <c r="AI330" i="1" s="1"/>
  <c r="AG455" i="1"/>
  <c r="AI455" i="1" s="1"/>
  <c r="AG641" i="1"/>
  <c r="AI641" i="1" s="1"/>
  <c r="AG580" i="1"/>
  <c r="AI580" i="1" s="1"/>
  <c r="AG254" i="1"/>
  <c r="AI254" i="1" s="1"/>
  <c r="AD75" i="2"/>
  <c r="AF75" i="2" s="1"/>
  <c r="AH233" i="1"/>
  <c r="AJ233" i="1" s="1"/>
  <c r="AG263" i="1"/>
  <c r="AI263" i="1" s="1"/>
  <c r="AD45" i="2"/>
  <c r="AF45" i="2" s="1"/>
  <c r="AG94" i="1"/>
  <c r="AI94" i="1" s="1"/>
  <c r="AG359" i="1"/>
  <c r="AI359" i="1" s="1"/>
  <c r="AG50" i="1"/>
  <c r="AI50" i="1" s="1"/>
  <c r="AD49" i="2"/>
  <c r="AF49" i="2" s="1"/>
  <c r="AG480" i="1"/>
  <c r="AI480" i="1" s="1"/>
  <c r="AG146" i="1"/>
  <c r="AI146" i="1" s="1"/>
  <c r="AG384" i="1"/>
  <c r="AI384" i="1" s="1"/>
  <c r="AE139" i="2"/>
  <c r="AG139" i="2" s="1"/>
  <c r="AG611" i="1"/>
  <c r="AI611" i="1" s="1"/>
  <c r="AH632" i="1"/>
  <c r="AJ632" i="1" s="1"/>
  <c r="AG584" i="1"/>
  <c r="AI584" i="1" s="1"/>
  <c r="AG20" i="1"/>
  <c r="AI20" i="1" s="1"/>
  <c r="AG298" i="1"/>
  <c r="AI298" i="1" s="1"/>
  <c r="AG630" i="1"/>
  <c r="AI630" i="1" s="1"/>
  <c r="AG447" i="1"/>
  <c r="AI447" i="1" s="1"/>
  <c r="AH294" i="1"/>
  <c r="AJ294" i="1" s="1"/>
  <c r="AG37" i="1"/>
  <c r="AI37" i="1" s="1"/>
  <c r="AG624" i="1"/>
  <c r="AI624" i="1" s="1"/>
  <c r="AG170" i="1"/>
  <c r="AI170" i="1" s="1"/>
  <c r="AE89" i="2"/>
  <c r="AG89" i="2" s="1"/>
  <c r="AG63" i="1"/>
  <c r="AI63" i="1" s="1"/>
  <c r="AG578" i="1"/>
  <c r="AI578" i="1" s="1"/>
  <c r="AH90" i="1"/>
  <c r="AJ90" i="1" s="1"/>
  <c r="AG58" i="1"/>
  <c r="AI58" i="1" s="1"/>
  <c r="AG406" i="1"/>
  <c r="AI406" i="1" s="1"/>
  <c r="AG252" i="1"/>
  <c r="AI252" i="1" s="1"/>
  <c r="AD34" i="2"/>
  <c r="AF34" i="2" s="1"/>
  <c r="AD115" i="2"/>
  <c r="AF115" i="2" s="1"/>
  <c r="AG147" i="1"/>
  <c r="AI147" i="1" s="1"/>
  <c r="AG599" i="1"/>
  <c r="AI599" i="1" s="1"/>
  <c r="AG274" i="1"/>
  <c r="AI274" i="1" s="1"/>
  <c r="AH95" i="1"/>
  <c r="AJ95" i="1" s="1"/>
  <c r="AG329" i="1"/>
  <c r="AI329" i="1" s="1"/>
  <c r="AD54" i="2"/>
  <c r="AF54" i="2" s="1"/>
  <c r="AG645" i="1"/>
  <c r="AI645" i="1" s="1"/>
  <c r="AH301" i="1"/>
  <c r="AJ301" i="1" s="1"/>
  <c r="AH47" i="1"/>
  <c r="AJ47" i="1" s="1"/>
  <c r="AD29" i="2"/>
  <c r="AF29" i="2" s="1"/>
  <c r="AH598" i="1"/>
  <c r="AJ598" i="1" s="1"/>
  <c r="AE17" i="3"/>
  <c r="AG17" i="3" s="1"/>
  <c r="AH445" i="1"/>
  <c r="AJ445" i="1" s="1"/>
  <c r="AH313" i="1"/>
  <c r="AJ313" i="1" s="1"/>
  <c r="AG437" i="1"/>
  <c r="AI437" i="1" s="1"/>
  <c r="AG555" i="1"/>
  <c r="AI555" i="1" s="1"/>
  <c r="AG468" i="1"/>
  <c r="AI468" i="1" s="1"/>
  <c r="AG271" i="1"/>
  <c r="AI271" i="1" s="1"/>
  <c r="AH417" i="1"/>
  <c r="AJ417" i="1" s="1"/>
  <c r="AD142" i="2"/>
  <c r="AF142" i="2" s="1"/>
  <c r="AG477" i="1"/>
  <c r="AI477" i="1" s="1"/>
  <c r="AH651" i="1"/>
  <c r="AJ651" i="1" s="1"/>
  <c r="AG203" i="1"/>
  <c r="AI203" i="1" s="1"/>
  <c r="AG365" i="1"/>
  <c r="AI365" i="1" s="1"/>
  <c r="AD178" i="2"/>
  <c r="AF178" i="2" s="1"/>
  <c r="AD111" i="2"/>
  <c r="AF111" i="2" s="1"/>
  <c r="AE57" i="2"/>
  <c r="AG57" i="2" s="1"/>
  <c r="AH621" i="1"/>
  <c r="AJ621" i="1" s="1"/>
  <c r="AG395" i="1"/>
  <c r="AI395" i="1" s="1"/>
  <c r="AD14" i="2"/>
  <c r="AF14" i="2" s="1"/>
  <c r="AG64" i="1"/>
  <c r="AI64" i="1" s="1"/>
  <c r="AG540" i="1"/>
  <c r="AI540" i="1" s="1"/>
  <c r="AH442" i="1"/>
  <c r="AJ442" i="1" s="1"/>
  <c r="AD144" i="2"/>
  <c r="AF144" i="2" s="1"/>
  <c r="AD113" i="2"/>
  <c r="AF113" i="2" s="1"/>
  <c r="AH558" i="1"/>
  <c r="AJ558" i="1" s="1"/>
  <c r="AG158" i="1"/>
  <c r="AI158" i="1" s="1"/>
  <c r="AG174" i="1"/>
  <c r="AI174" i="1" s="1"/>
  <c r="AE163" i="2"/>
  <c r="AG163" i="2" s="1"/>
  <c r="AH386" i="1"/>
  <c r="AJ386" i="1" s="1"/>
  <c r="AE38" i="2"/>
  <c r="AG38" i="2" s="1"/>
  <c r="AH381" i="1"/>
  <c r="AJ381" i="1" s="1"/>
  <c r="AE106" i="2"/>
  <c r="AG106" i="2" s="1"/>
  <c r="AH609" i="1"/>
  <c r="AJ609" i="1" s="1"/>
  <c r="AE154" i="2"/>
  <c r="AG154" i="2" s="1"/>
  <c r="AH258" i="1"/>
  <c r="AJ258" i="1" s="1"/>
  <c r="AH33" i="1"/>
  <c r="AJ33" i="1" s="1"/>
  <c r="AH402" i="1"/>
  <c r="AJ402" i="1" s="1"/>
  <c r="AH12" i="1"/>
  <c r="AJ12" i="1" s="1"/>
  <c r="AG185" i="1"/>
  <c r="AI185" i="1" s="1"/>
  <c r="AG81" i="1"/>
  <c r="AI81" i="1" s="1"/>
  <c r="AH39" i="1"/>
  <c r="AJ39" i="1" s="1"/>
  <c r="AH322" i="1"/>
  <c r="AJ322" i="1" s="1"/>
  <c r="AE93" i="2"/>
  <c r="AG93" i="2" s="1"/>
  <c r="AD116" i="2"/>
  <c r="AF116" i="2" s="1"/>
  <c r="AH133" i="1"/>
  <c r="AJ133" i="1" s="1"/>
  <c r="AD104" i="2"/>
  <c r="AF104" i="2" s="1"/>
  <c r="AH27" i="1"/>
  <c r="AJ27" i="1" s="1"/>
  <c r="AG429" i="1"/>
  <c r="AI429" i="1" s="1"/>
  <c r="AG420" i="1"/>
  <c r="AI420" i="1" s="1"/>
  <c r="AG92" i="1"/>
  <c r="AI92" i="1" s="1"/>
  <c r="AG124" i="1"/>
  <c r="AI124" i="1" s="1"/>
  <c r="AG299" i="1"/>
  <c r="AI299" i="1" s="1"/>
  <c r="AG114" i="1"/>
  <c r="AI114" i="1" s="1"/>
  <c r="AD13" i="2"/>
  <c r="AF13" i="2" s="1"/>
  <c r="AG616" i="1"/>
  <c r="AI616" i="1" s="1"/>
  <c r="AH579" i="1"/>
  <c r="AJ579" i="1" s="1"/>
  <c r="AG606" i="1"/>
  <c r="AI606" i="1" s="1"/>
  <c r="AD22" i="2"/>
  <c r="AF22" i="2" s="1"/>
  <c r="AH296" i="1"/>
  <c r="AJ296" i="1" s="1"/>
  <c r="AD28" i="2"/>
  <c r="AF28" i="2" s="1"/>
  <c r="AD59" i="2"/>
  <c r="AF59" i="2" s="1"/>
  <c r="AD172" i="2"/>
  <c r="AF172" i="2" s="1"/>
  <c r="AG504" i="1"/>
  <c r="AI504" i="1" s="1"/>
  <c r="AH642" i="1"/>
  <c r="AJ642" i="1" s="1"/>
  <c r="AH573" i="1"/>
  <c r="AJ573" i="1" s="1"/>
  <c r="AH181" i="1"/>
  <c r="AJ181" i="1" s="1"/>
  <c r="AH389" i="1"/>
  <c r="AJ389" i="1" s="1"/>
  <c r="AG631" i="1"/>
  <c r="AI631" i="1" s="1"/>
  <c r="AH22" i="1"/>
  <c r="AJ22" i="1" s="1"/>
  <c r="AD25" i="2"/>
  <c r="AF25" i="2" s="1"/>
  <c r="AG155" i="1"/>
  <c r="AI155" i="1" s="1"/>
  <c r="AH360" i="1"/>
  <c r="AJ360" i="1" s="1"/>
  <c r="AG376" i="1"/>
  <c r="AI376" i="1" s="1"/>
  <c r="AE11" i="3"/>
  <c r="AG11" i="3" s="1"/>
  <c r="AH150" i="1"/>
  <c r="AJ150" i="1" s="1"/>
  <c r="AF9" i="1"/>
  <c r="AH9" i="1" s="1"/>
  <c r="AJ9" i="1" s="1"/>
  <c r="AH201" i="1"/>
  <c r="AJ201" i="1" s="1"/>
  <c r="AH248" i="1"/>
  <c r="AJ248" i="1" s="1"/>
  <c r="AF307" i="1"/>
  <c r="AG307" i="1" s="1"/>
  <c r="AI307" i="1" s="1"/>
  <c r="AD83" i="2"/>
  <c r="AF83" i="2" s="1"/>
  <c r="AE15" i="3"/>
  <c r="AG15" i="3" s="1"/>
  <c r="AD125" i="2"/>
  <c r="AF125" i="2" s="1"/>
  <c r="AH293" i="1"/>
  <c r="AJ293" i="1" s="1"/>
  <c r="AH501" i="1"/>
  <c r="AJ501" i="1" s="1"/>
  <c r="AH563" i="1"/>
  <c r="AJ563" i="1" s="1"/>
  <c r="AG650" i="1"/>
  <c r="AI650" i="1" s="1"/>
  <c r="AG614" i="1"/>
  <c r="AI614" i="1" s="1"/>
  <c r="AH318" i="1"/>
  <c r="AJ318" i="1" s="1"/>
  <c r="AG145" i="1"/>
  <c r="AI145" i="1" s="1"/>
  <c r="AD70" i="2"/>
  <c r="AF70" i="2" s="1"/>
  <c r="AG5" i="1"/>
  <c r="AI5" i="1" s="1"/>
  <c r="AG320" i="1"/>
  <c r="AI320" i="1" s="1"/>
  <c r="AG374" i="1"/>
  <c r="AI374" i="1" s="1"/>
  <c r="AD110" i="2"/>
  <c r="AF110" i="2" s="1"/>
  <c r="AE9" i="3"/>
  <c r="AG9" i="3" s="1"/>
  <c r="AF14" i="3"/>
  <c r="AH14" i="3" s="1"/>
  <c r="AG505" i="1"/>
  <c r="AI505" i="1" s="1"/>
  <c r="AE63" i="2"/>
  <c r="AG63" i="2" s="1"/>
  <c r="AH308" i="1"/>
  <c r="AJ308" i="1" s="1"/>
  <c r="AE16" i="3"/>
  <c r="AG16" i="3" s="1"/>
  <c r="AG545" i="1"/>
  <c r="AI545" i="1" s="1"/>
  <c r="AD114" i="2"/>
  <c r="AF114" i="2" s="1"/>
  <c r="AH184" i="1"/>
  <c r="AJ184" i="1" s="1"/>
  <c r="AG102" i="1"/>
  <c r="AI102" i="1" s="1"/>
  <c r="AG295" i="1"/>
  <c r="AI295" i="1" s="1"/>
  <c r="AD138" i="2"/>
  <c r="AF138" i="2" s="1"/>
  <c r="AH75" i="1"/>
  <c r="AJ75" i="1" s="1"/>
  <c r="AH241" i="1" l="1"/>
  <c r="AJ241" i="1" s="1"/>
  <c r="AD9" i="2"/>
  <c r="AF9" i="2" s="1"/>
  <c r="AH288" i="1"/>
  <c r="AJ288" i="1" s="1"/>
  <c r="AG138" i="1"/>
  <c r="AI138" i="1" s="1"/>
  <c r="AG160" i="1"/>
  <c r="AI160" i="1" s="1"/>
  <c r="AG235" i="1"/>
  <c r="AI235" i="1" s="1"/>
  <c r="AH91" i="1"/>
  <c r="AJ91" i="1" s="1"/>
  <c r="AG327" i="1"/>
  <c r="AI327" i="1" s="1"/>
  <c r="AG276" i="1"/>
  <c r="AI276" i="1" s="1"/>
  <c r="AH276" i="1"/>
  <c r="AJ276" i="1" s="1"/>
  <c r="AH110" i="1"/>
  <c r="AJ110" i="1" s="1"/>
  <c r="AH86" i="1"/>
  <c r="AJ86" i="1" s="1"/>
  <c r="AG544" i="1"/>
  <c r="AI544" i="1" s="1"/>
  <c r="AG514" i="1"/>
  <c r="AI514" i="1" s="1"/>
  <c r="AG530" i="1"/>
  <c r="AI530" i="1" s="1"/>
  <c r="AG567" i="1"/>
  <c r="AI567" i="1" s="1"/>
  <c r="AG228" i="1"/>
  <c r="AI228" i="1" s="1"/>
  <c r="AG49" i="1"/>
  <c r="AI49" i="1" s="1"/>
  <c r="AH49" i="1"/>
  <c r="AJ49" i="1" s="1"/>
  <c r="AG311" i="1"/>
  <c r="AI311" i="1" s="1"/>
  <c r="AH311" i="1"/>
  <c r="AJ311" i="1" s="1"/>
  <c r="AG265" i="1"/>
  <c r="AI265" i="1" s="1"/>
  <c r="AH265" i="1"/>
  <c r="AJ265" i="1" s="1"/>
  <c r="AG51" i="1"/>
  <c r="AI51" i="1" s="1"/>
  <c r="AG576" i="1"/>
  <c r="AI576" i="1" s="1"/>
  <c r="AG460" i="1"/>
  <c r="AI460" i="1" s="1"/>
  <c r="AG130" i="1"/>
  <c r="AI130" i="1" s="1"/>
  <c r="AH149" i="1"/>
  <c r="AJ149" i="1" s="1"/>
  <c r="AG270" i="1"/>
  <c r="AI270" i="1" s="1"/>
  <c r="AG595" i="1"/>
  <c r="AI595" i="1" s="1"/>
  <c r="AG214" i="1"/>
  <c r="AI214" i="1" s="1"/>
  <c r="AG15" i="1"/>
  <c r="AI15" i="1" s="1"/>
  <c r="AG261" i="1"/>
  <c r="AI261" i="1" s="1"/>
  <c r="AG152" i="1"/>
  <c r="AI152" i="1" s="1"/>
  <c r="AG400" i="1"/>
  <c r="AI400" i="1" s="1"/>
  <c r="AH159" i="1"/>
  <c r="AJ159" i="1" s="1"/>
  <c r="AG180" i="1"/>
  <c r="AI180" i="1" s="1"/>
  <c r="AH180" i="1"/>
  <c r="AJ180" i="1" s="1"/>
  <c r="AG561" i="1"/>
  <c r="AI561" i="1" s="1"/>
  <c r="AH561" i="1"/>
  <c r="AJ561" i="1" s="1"/>
  <c r="AG116" i="1"/>
  <c r="AI116" i="1" s="1"/>
  <c r="AH202" i="1"/>
  <c r="AJ202" i="1" s="1"/>
  <c r="AH551" i="1"/>
  <c r="AJ551" i="1" s="1"/>
  <c r="AH4" i="1"/>
  <c r="AJ4" i="1" s="1"/>
  <c r="AG207" i="1"/>
  <c r="AI207" i="1" s="1"/>
  <c r="AG419" i="1"/>
  <c r="AI419" i="1" s="1"/>
  <c r="AH53" i="1"/>
  <c r="AJ53" i="1" s="1"/>
  <c r="AG104" i="1"/>
  <c r="AI104" i="1" s="1"/>
  <c r="AG65" i="1"/>
  <c r="AI65" i="1" s="1"/>
  <c r="AH242" i="1"/>
  <c r="AJ242" i="1" s="1"/>
  <c r="AG361" i="1"/>
  <c r="AI361" i="1" s="1"/>
  <c r="AG550" i="1"/>
  <c r="AI550" i="1" s="1"/>
  <c r="AH550" i="1"/>
  <c r="AJ550" i="1" s="1"/>
  <c r="AH494" i="1"/>
  <c r="AJ494" i="1" s="1"/>
  <c r="AG347" i="1"/>
  <c r="AI347" i="1" s="1"/>
  <c r="AG373" i="1"/>
  <c r="AI373" i="1" s="1"/>
  <c r="AG260" i="1"/>
  <c r="AI260" i="1" s="1"/>
  <c r="AH362" i="1"/>
  <c r="AJ362" i="1" s="1"/>
  <c r="AG571" i="1"/>
  <c r="AI571" i="1" s="1"/>
  <c r="AG279" i="1"/>
  <c r="AI279" i="1" s="1"/>
  <c r="AH302" i="1"/>
  <c r="AJ302" i="1" s="1"/>
  <c r="AG430" i="1"/>
  <c r="AI430" i="1" s="1"/>
  <c r="AG522" i="1"/>
  <c r="AI522" i="1" s="1"/>
  <c r="AG163" i="1"/>
  <c r="AI163" i="1" s="1"/>
  <c r="AG117" i="1"/>
  <c r="AI117" i="1" s="1"/>
  <c r="AG162" i="1"/>
  <c r="AI162" i="1" s="1"/>
  <c r="AG59" i="1"/>
  <c r="AI59" i="1" s="1"/>
  <c r="AG264" i="1"/>
  <c r="AI264" i="1" s="1"/>
  <c r="AG377" i="1"/>
  <c r="AI377" i="1" s="1"/>
  <c r="AG496" i="1"/>
  <c r="AI496" i="1" s="1"/>
  <c r="AG626" i="1"/>
  <c r="AI626" i="1" s="1"/>
  <c r="AG473" i="1"/>
  <c r="AI473" i="1" s="1"/>
  <c r="AG40" i="1"/>
  <c r="AI40" i="1" s="1"/>
  <c r="AG637" i="1"/>
  <c r="AI637" i="1" s="1"/>
  <c r="AG215" i="1"/>
  <c r="AI215" i="1" s="1"/>
  <c r="AG190" i="1"/>
  <c r="AI190" i="1" s="1"/>
  <c r="AH307" i="1"/>
  <c r="AJ307" i="1" s="1"/>
  <c r="AG73" i="1"/>
  <c r="AI73" i="1" s="1"/>
  <c r="AG9" i="1"/>
  <c r="AI9" i="1" s="1"/>
  <c r="AG588" i="1"/>
  <c r="AI588" i="1" s="1"/>
  <c r="AG175" i="1"/>
  <c r="AI175" i="1" s="1"/>
  <c r="AG253" i="1"/>
  <c r="AI253" i="1" s="1"/>
  <c r="AG532" i="1"/>
  <c r="AI532" i="1" s="1"/>
  <c r="AG11" i="1"/>
  <c r="AI11" i="1" s="1"/>
  <c r="AG405" i="1"/>
  <c r="AI405" i="1" s="1"/>
  <c r="AH285" i="1"/>
  <c r="AJ285" i="1" s="1"/>
  <c r="AH52" i="1"/>
  <c r="AJ52" i="1" s="1"/>
  <c r="AH101" i="1"/>
  <c r="AJ101" i="1" s="1"/>
  <c r="AH273" i="1"/>
  <c r="AJ273" i="1" s="1"/>
  <c r="AG382" i="1"/>
  <c r="AI382" i="1" s="1"/>
  <c r="AG303" i="1"/>
  <c r="AI303" i="1" s="1"/>
  <c r="AH281" i="1"/>
  <c r="AJ281" i="1" s="1"/>
  <c r="AG424" i="1"/>
  <c r="AI424" i="1" s="1"/>
  <c r="Z611" i="3" l="1"/>
  <c r="Y611" i="3"/>
  <c r="Y218" i="3"/>
  <c r="Z218" i="3"/>
  <c r="T856" i="2"/>
  <c r="S856" i="2"/>
  <c r="W824" i="1"/>
  <c r="V824" i="1"/>
  <c r="Y426" i="3"/>
  <c r="Z426" i="3"/>
  <c r="Z400" i="3"/>
  <c r="Y400" i="3"/>
  <c r="U476" i="3"/>
  <c r="T476" i="3"/>
  <c r="Y278" i="2"/>
  <c r="X278" i="2"/>
  <c r="U547" i="3"/>
  <c r="T547" i="3"/>
  <c r="U405" i="3"/>
  <c r="T405" i="3"/>
  <c r="Z97" i="3"/>
  <c r="Y97" i="3"/>
  <c r="T537" i="2"/>
  <c r="S537" i="2"/>
  <c r="X916" i="2"/>
  <c r="Y916" i="2"/>
  <c r="W973" i="1"/>
  <c r="V973" i="1"/>
  <c r="Y427" i="2"/>
  <c r="X427" i="2"/>
  <c r="Y813" i="3"/>
  <c r="Z813" i="3"/>
  <c r="T39" i="3"/>
  <c r="U39" i="3"/>
  <c r="Z872" i="3"/>
  <c r="Y872" i="3"/>
  <c r="U432" i="3"/>
  <c r="T432" i="3"/>
  <c r="AB867" i="1"/>
  <c r="AA867" i="1"/>
  <c r="V872" i="1"/>
  <c r="W872" i="1"/>
  <c r="AB843" i="1"/>
  <c r="AA843" i="1"/>
  <c r="T291" i="3"/>
  <c r="U291" i="3"/>
  <c r="S850" i="2"/>
  <c r="T850" i="2"/>
  <c r="V676" i="1"/>
  <c r="W676" i="1"/>
  <c r="S373" i="2"/>
  <c r="T373" i="2"/>
  <c r="T781" i="2"/>
  <c r="S781" i="2"/>
  <c r="T675" i="3"/>
  <c r="U675" i="3"/>
  <c r="X980" i="2"/>
  <c r="Y980" i="2"/>
  <c r="Z951" i="3"/>
  <c r="Y951" i="3"/>
  <c r="Y290" i="3"/>
  <c r="Z290" i="3"/>
  <c r="V961" i="1"/>
  <c r="W961" i="1"/>
  <c r="T273" i="2"/>
  <c r="S273" i="2"/>
  <c r="T144" i="3"/>
  <c r="U144" i="3"/>
  <c r="Z631" i="3"/>
  <c r="Y631" i="3"/>
  <c r="T234" i="3"/>
  <c r="U234" i="3"/>
  <c r="U154" i="3"/>
  <c r="T154" i="3"/>
  <c r="T38" i="3"/>
  <c r="U38" i="3"/>
  <c r="Y193" i="3"/>
  <c r="Z193" i="3"/>
  <c r="X1003" i="2"/>
  <c r="Y1003" i="2"/>
  <c r="X209" i="2"/>
  <c r="Y209" i="2"/>
  <c r="U292" i="3"/>
  <c r="T292" i="3"/>
  <c r="AB771" i="1"/>
  <c r="AA771" i="1"/>
  <c r="Y203" i="2"/>
  <c r="X203" i="2"/>
  <c r="U680" i="3"/>
  <c r="T680" i="3"/>
  <c r="U775" i="3"/>
  <c r="T775" i="3"/>
  <c r="Y523" i="3"/>
  <c r="Z523" i="3"/>
  <c r="S334" i="2"/>
  <c r="T334" i="2"/>
  <c r="T567" i="2"/>
  <c r="S567" i="2"/>
  <c r="Y282" i="3"/>
  <c r="Z282" i="3"/>
  <c r="W777" i="1"/>
  <c r="V777" i="1"/>
  <c r="W974" i="1"/>
  <c r="V974" i="1"/>
  <c r="AB960" i="1"/>
  <c r="AA960" i="1"/>
  <c r="Y255" i="2"/>
  <c r="X255" i="2"/>
  <c r="AB713" i="1"/>
  <c r="AA713" i="1"/>
  <c r="AB827" i="1"/>
  <c r="AA827" i="1"/>
  <c r="T605" i="3"/>
  <c r="U605" i="3"/>
  <c r="Z203" i="3"/>
  <c r="Y203" i="3"/>
  <c r="T96" i="3"/>
  <c r="U96" i="3"/>
  <c r="W927" i="1"/>
  <c r="V927" i="1"/>
  <c r="Y244" i="3"/>
  <c r="Z244" i="3"/>
  <c r="AB667" i="1"/>
  <c r="AA667" i="1"/>
  <c r="X937" i="2"/>
  <c r="Y937" i="2"/>
  <c r="Z624" i="3"/>
  <c r="Y624" i="3"/>
  <c r="S888" i="2"/>
  <c r="T888" i="2"/>
  <c r="S705" i="2"/>
  <c r="T705" i="2"/>
  <c r="W1003" i="1"/>
  <c r="V1003" i="1"/>
  <c r="W915" i="1"/>
  <c r="V915" i="1"/>
  <c r="S607" i="2"/>
  <c r="T607" i="2"/>
  <c r="Y274" i="2"/>
  <c r="X274" i="2"/>
  <c r="Z198" i="3"/>
  <c r="Y198" i="3"/>
  <c r="W801" i="1"/>
  <c r="V801" i="1"/>
  <c r="T980" i="2"/>
  <c r="S980" i="2"/>
  <c r="T767" i="2"/>
  <c r="S767" i="2"/>
  <c r="Y689" i="2"/>
  <c r="X689" i="2"/>
  <c r="Y984" i="3"/>
  <c r="Z984" i="3"/>
  <c r="T935" i="2"/>
  <c r="S935" i="2"/>
  <c r="X471" i="2"/>
  <c r="Y471" i="2"/>
  <c r="W884" i="1"/>
  <c r="V884" i="1"/>
  <c r="Z394" i="3"/>
  <c r="Y394" i="3"/>
  <c r="T52" i="3"/>
  <c r="U52" i="3"/>
  <c r="Y919" i="3"/>
  <c r="Z919" i="3"/>
  <c r="Y153" i="3"/>
  <c r="Z153" i="3"/>
  <c r="X561" i="2"/>
  <c r="Y561" i="2"/>
  <c r="AB994" i="1"/>
  <c r="AA994" i="1"/>
  <c r="T543" i="3"/>
  <c r="U543" i="3"/>
  <c r="S711" i="2"/>
  <c r="T711" i="2"/>
  <c r="Z619" i="3"/>
  <c r="Y619" i="3"/>
  <c r="AB913" i="1"/>
  <c r="AA913" i="1"/>
  <c r="T337" i="3"/>
  <c r="U337" i="3"/>
  <c r="X267" i="2"/>
  <c r="Y267" i="2"/>
  <c r="T234" i="2"/>
  <c r="S234" i="2"/>
  <c r="Y461" i="3"/>
  <c r="Z461" i="3"/>
  <c r="Y996" i="2"/>
  <c r="X996" i="2"/>
  <c r="Z552" i="3"/>
  <c r="Y552" i="3"/>
  <c r="Y845" i="3"/>
  <c r="Z845" i="3"/>
  <c r="X243" i="2"/>
  <c r="Y243" i="2"/>
  <c r="T605" i="2"/>
  <c r="S605" i="2"/>
  <c r="T475" i="2"/>
  <c r="S475" i="2"/>
  <c r="AA749" i="1"/>
  <c r="AB749" i="1"/>
  <c r="Z956" i="3"/>
  <c r="Y956" i="3"/>
  <c r="T461" i="2"/>
  <c r="S461" i="2"/>
  <c r="Y467" i="2"/>
  <c r="X467" i="2"/>
  <c r="AB955" i="1"/>
  <c r="AA955" i="1"/>
  <c r="Z465" i="3"/>
  <c r="Y465" i="3"/>
  <c r="Y934" i="3"/>
  <c r="Z934" i="3"/>
  <c r="Y275" i="3"/>
  <c r="Z275" i="3"/>
  <c r="T354" i="3"/>
  <c r="U354" i="3"/>
  <c r="T511" i="3"/>
  <c r="U511" i="3"/>
  <c r="Y156" i="3"/>
  <c r="Z156" i="3"/>
  <c r="Y916" i="3"/>
  <c r="Z916" i="3"/>
  <c r="AA679" i="1"/>
  <c r="AB679" i="1"/>
  <c r="Z163" i="3"/>
  <c r="Y163" i="3"/>
  <c r="Y639" i="2"/>
  <c r="X639" i="2"/>
  <c r="T356" i="3"/>
  <c r="U356" i="3"/>
  <c r="T740" i="3"/>
  <c r="U740" i="3"/>
  <c r="T305" i="2"/>
  <c r="S305" i="2"/>
  <c r="Z162" i="3"/>
  <c r="Y162" i="3"/>
  <c r="T328" i="2"/>
  <c r="S328" i="2"/>
  <c r="AA997" i="1"/>
  <c r="AB997" i="1"/>
  <c r="Z966" i="3"/>
  <c r="Y966" i="3"/>
  <c r="Y549" i="2"/>
  <c r="X549" i="2"/>
  <c r="Y998" i="2"/>
  <c r="X998" i="2"/>
  <c r="V781" i="1"/>
  <c r="W781" i="1"/>
  <c r="X760" i="2"/>
  <c r="Y760" i="2"/>
  <c r="AB718" i="1"/>
  <c r="AA718" i="1"/>
  <c r="T531" i="2"/>
  <c r="S531" i="2"/>
  <c r="V691" i="1"/>
  <c r="W691" i="1"/>
  <c r="W965" i="1"/>
  <c r="V965" i="1"/>
  <c r="X193" i="2"/>
  <c r="Y193" i="2"/>
  <c r="T250" i="2"/>
  <c r="S250" i="2"/>
  <c r="X977" i="2"/>
  <c r="Y977" i="2"/>
  <c r="T834" i="2"/>
  <c r="S834" i="2"/>
  <c r="X813" i="2"/>
  <c r="Y813" i="2"/>
  <c r="T399" i="3"/>
  <c r="U399" i="3"/>
  <c r="X230" i="2"/>
  <c r="Y230" i="2"/>
  <c r="Z724" i="3"/>
  <c r="Y724" i="3"/>
  <c r="Z585" i="3"/>
  <c r="Y585" i="3"/>
  <c r="U368" i="3"/>
  <c r="T368" i="3"/>
  <c r="W666" i="1"/>
  <c r="V666" i="1"/>
  <c r="T660" i="2"/>
  <c r="S660" i="2"/>
  <c r="Z841" i="3"/>
  <c r="Y841" i="3"/>
  <c r="T470" i="3"/>
  <c r="U470" i="3"/>
  <c r="Y926" i="2"/>
  <c r="X926" i="2"/>
  <c r="U779" i="3"/>
  <c r="T779" i="3"/>
  <c r="W910" i="1"/>
  <c r="V910" i="1"/>
  <c r="U474" i="3"/>
  <c r="T474" i="3"/>
  <c r="Z554" i="3"/>
  <c r="Y554" i="3"/>
  <c r="X858" i="2"/>
  <c r="Y858" i="2"/>
  <c r="W878" i="1"/>
  <c r="V878" i="1"/>
  <c r="X798" i="2"/>
  <c r="Y798" i="2"/>
  <c r="T283" i="3"/>
  <c r="U283" i="3"/>
  <c r="Z978" i="3"/>
  <c r="Y978" i="3"/>
  <c r="T498" i="2"/>
  <c r="S498" i="2"/>
  <c r="AB857" i="1"/>
  <c r="AA857" i="1"/>
  <c r="Y244" i="2"/>
  <c r="X244" i="2"/>
  <c r="T841" i="3"/>
  <c r="U841" i="3"/>
  <c r="AA700" i="1"/>
  <c r="AB700" i="1"/>
  <c r="Y440" i="2"/>
  <c r="X440" i="2"/>
  <c r="W847" i="1"/>
  <c r="V847" i="1"/>
  <c r="Y987" i="2"/>
  <c r="X987" i="2"/>
  <c r="T913" i="2"/>
  <c r="S913" i="2"/>
  <c r="Z903" i="3"/>
  <c r="Y903" i="3"/>
  <c r="Y747" i="2"/>
  <c r="X747" i="2"/>
  <c r="U647" i="3"/>
  <c r="T647" i="3"/>
  <c r="AB947" i="1"/>
  <c r="AA947" i="1"/>
  <c r="Y190" i="2"/>
  <c r="X190" i="2"/>
  <c r="AA677" i="1"/>
  <c r="AB677" i="1"/>
  <c r="Y108" i="3"/>
  <c r="Z108" i="3"/>
  <c r="X842" i="2"/>
  <c r="Y842" i="2"/>
  <c r="T716" i="3"/>
  <c r="U716" i="3"/>
  <c r="U265" i="3"/>
  <c r="T265" i="3"/>
  <c r="T122" i="3"/>
  <c r="U122" i="3"/>
  <c r="T768" i="3"/>
  <c r="U768" i="3"/>
  <c r="Z731" i="3"/>
  <c r="Y731" i="3"/>
  <c r="V748" i="1"/>
  <c r="W748" i="1"/>
  <c r="Z782" i="3"/>
  <c r="Y782" i="3"/>
  <c r="AA950" i="1"/>
  <c r="AB950" i="1"/>
  <c r="AB793" i="1"/>
  <c r="AA793" i="1"/>
  <c r="U829" i="3"/>
  <c r="T829" i="3"/>
  <c r="U686" i="3"/>
  <c r="T686" i="3"/>
  <c r="Z278" i="3"/>
  <c r="Y278" i="3"/>
  <c r="T270" i="3"/>
  <c r="U270" i="3"/>
  <c r="Y214" i="2"/>
  <c r="X214" i="2"/>
  <c r="Y985" i="3"/>
  <c r="Z985" i="3"/>
  <c r="V804" i="1"/>
  <c r="W804" i="1"/>
  <c r="U825" i="3"/>
  <c r="T825" i="3"/>
  <c r="X232" i="2"/>
  <c r="Y232" i="2"/>
  <c r="Y301" i="2"/>
  <c r="X301" i="2"/>
  <c r="T986" i="2"/>
  <c r="S986" i="2"/>
  <c r="Y839" i="2"/>
  <c r="X839" i="2"/>
  <c r="X545" i="2"/>
  <c r="Y545" i="2"/>
  <c r="W688" i="1"/>
  <c r="V688" i="1"/>
  <c r="S694" i="2"/>
  <c r="T694" i="2"/>
  <c r="Y781" i="2"/>
  <c r="X781" i="2"/>
  <c r="T546" i="3"/>
  <c r="U546" i="3"/>
  <c r="AB1013" i="1"/>
  <c r="AA1013" i="1"/>
  <c r="S744" i="2"/>
  <c r="T744" i="2"/>
  <c r="V962" i="1"/>
  <c r="W962" i="1"/>
  <c r="T743" i="3"/>
  <c r="U743" i="3"/>
  <c r="Y920" i="2"/>
  <c r="X920" i="2"/>
  <c r="T809" i="2"/>
  <c r="S809" i="2"/>
  <c r="U733" i="3"/>
  <c r="T733" i="3"/>
  <c r="U129" i="3"/>
  <c r="T129" i="3"/>
  <c r="Z602" i="3"/>
  <c r="Y602" i="3"/>
  <c r="S330" i="2"/>
  <c r="T330" i="2"/>
  <c r="T70" i="3"/>
  <c r="U70" i="3"/>
  <c r="Y507" i="3"/>
  <c r="Z507" i="3"/>
  <c r="T473" i="2"/>
  <c r="S473" i="2"/>
  <c r="T579" i="3"/>
  <c r="U579" i="3"/>
  <c r="T441" i="3"/>
  <c r="U441" i="3"/>
  <c r="V953" i="1"/>
  <c r="W953" i="1"/>
  <c r="Y790" i="3"/>
  <c r="Z790" i="3"/>
  <c r="AA851" i="1"/>
  <c r="AB851" i="1"/>
  <c r="Z307" i="3"/>
  <c r="Y307" i="3"/>
  <c r="Y523" i="2"/>
  <c r="X523" i="2"/>
  <c r="U473" i="3"/>
  <c r="T473" i="3"/>
  <c r="S728" i="2"/>
  <c r="T728" i="2"/>
  <c r="Z786" i="3"/>
  <c r="Y786" i="3"/>
  <c r="Z876" i="3"/>
  <c r="Y876" i="3"/>
  <c r="T187" i="2"/>
  <c r="S187" i="2"/>
  <c r="Z791" i="3"/>
  <c r="Y791" i="3"/>
  <c r="U888" i="3"/>
  <c r="T888" i="3"/>
  <c r="W726" i="1"/>
  <c r="V726" i="1"/>
  <c r="S855" i="2"/>
  <c r="T855" i="2"/>
  <c r="S243" i="2"/>
  <c r="T243" i="2"/>
  <c r="S391" i="2"/>
  <c r="T391" i="2"/>
  <c r="AB698" i="1"/>
  <c r="AA698" i="1"/>
  <c r="V770" i="1"/>
  <c r="W770" i="1"/>
  <c r="Z532" i="3"/>
  <c r="Y532" i="3"/>
  <c r="T464" i="2"/>
  <c r="S464" i="2"/>
  <c r="T226" i="3"/>
  <c r="U226" i="3"/>
  <c r="U49" i="3"/>
  <c r="T49" i="3"/>
  <c r="T963" i="2"/>
  <c r="S963" i="2"/>
  <c r="Y257" i="2"/>
  <c r="X257" i="2"/>
  <c r="X456" i="2"/>
  <c r="Y456" i="2"/>
  <c r="Y570" i="2"/>
  <c r="X570" i="2"/>
  <c r="S201" i="2"/>
  <c r="T201" i="2"/>
  <c r="Y216" i="2"/>
  <c r="X216" i="2"/>
  <c r="U904" i="3"/>
  <c r="T904" i="3"/>
  <c r="U215" i="3"/>
  <c r="T215" i="3"/>
  <c r="AB760" i="1"/>
  <c r="AA760" i="1"/>
  <c r="X724" i="2"/>
  <c r="Y724" i="2"/>
  <c r="Y297" i="2"/>
  <c r="X297" i="2"/>
  <c r="X233" i="2"/>
  <c r="Y233" i="2"/>
  <c r="Z303" i="3"/>
  <c r="Y303" i="3"/>
  <c r="Y651" i="3"/>
  <c r="Z651" i="3"/>
  <c r="T28" i="3"/>
  <c r="U28" i="3"/>
  <c r="Y230" i="3"/>
  <c r="Z230" i="3"/>
  <c r="Y113" i="3"/>
  <c r="Z113" i="3"/>
  <c r="S368" i="2"/>
  <c r="T368" i="2"/>
  <c r="U627" i="3"/>
  <c r="T627" i="3"/>
  <c r="U645" i="3"/>
  <c r="T645" i="3"/>
  <c r="Z964" i="3"/>
  <c r="Y964" i="3"/>
  <c r="S661" i="2"/>
  <c r="T661" i="2"/>
  <c r="Y976" i="3"/>
  <c r="Z976" i="3"/>
  <c r="S746" i="2"/>
  <c r="T746" i="2"/>
  <c r="X441" i="2"/>
  <c r="Y441" i="2"/>
  <c r="U847" i="3"/>
  <c r="T847" i="3"/>
  <c r="Y89" i="3"/>
  <c r="Z89" i="3"/>
  <c r="Y300" i="3"/>
  <c r="Z300" i="3"/>
  <c r="X260" i="2"/>
  <c r="Y260" i="2"/>
  <c r="U229" i="3"/>
  <c r="T229" i="3"/>
  <c r="AA983" i="1"/>
  <c r="AB983" i="1"/>
  <c r="X314" i="2"/>
  <c r="Y314" i="2"/>
  <c r="S220" i="2"/>
  <c r="T220" i="2"/>
  <c r="X869" i="2"/>
  <c r="Y869" i="2"/>
  <c r="T821" i="2"/>
  <c r="S821" i="2"/>
  <c r="Z875" i="3"/>
  <c r="Y875" i="3"/>
  <c r="T965" i="3"/>
  <c r="U965" i="3"/>
  <c r="V1004" i="1"/>
  <c r="W1004" i="1"/>
  <c r="U264" i="3"/>
  <c r="T264" i="3"/>
  <c r="U739" i="3"/>
  <c r="T739" i="3"/>
  <c r="T547" i="2"/>
  <c r="S547" i="2"/>
  <c r="U824" i="3"/>
  <c r="T824" i="3"/>
  <c r="W850" i="1"/>
  <c r="V850" i="1"/>
  <c r="Y553" i="3"/>
  <c r="Z553" i="3"/>
  <c r="Z147" i="3"/>
  <c r="Y147" i="3"/>
  <c r="S634" i="2"/>
  <c r="T634" i="2"/>
  <c r="T182" i="3"/>
  <c r="U182" i="3"/>
  <c r="U56" i="3"/>
  <c r="T56" i="3"/>
  <c r="T829" i="2"/>
  <c r="S829" i="2"/>
  <c r="S704" i="2"/>
  <c r="T704" i="2"/>
  <c r="Z960" i="3"/>
  <c r="Y960" i="3"/>
  <c r="AB823" i="1"/>
  <c r="AA823" i="1"/>
  <c r="Y198" i="2"/>
  <c r="X198" i="2"/>
  <c r="AB897" i="1"/>
  <c r="AA897" i="1"/>
  <c r="Z291" i="3"/>
  <c r="Y291" i="3"/>
  <c r="U414" i="3"/>
  <c r="T414" i="3"/>
  <c r="Y231" i="2"/>
  <c r="X231" i="2"/>
  <c r="X777" i="2"/>
  <c r="Y777" i="2"/>
  <c r="T37" i="3"/>
  <c r="U37" i="3"/>
  <c r="U261" i="3"/>
  <c r="T261" i="3"/>
  <c r="Y641" i="3"/>
  <c r="Z641" i="3"/>
  <c r="S548" i="2"/>
  <c r="T548" i="2"/>
  <c r="Z867" i="3"/>
  <c r="Y867" i="3"/>
  <c r="T206" i="3"/>
  <c r="U206" i="3"/>
  <c r="T961" i="2"/>
  <c r="S961" i="2"/>
  <c r="Z908" i="3"/>
  <c r="Y908" i="3"/>
  <c r="T391" i="3"/>
  <c r="U391" i="3"/>
  <c r="S938" i="2"/>
  <c r="T938" i="2"/>
  <c r="Y441" i="3"/>
  <c r="Z441" i="3"/>
  <c r="T994" i="3"/>
  <c r="U994" i="3"/>
  <c r="AB830" i="1"/>
  <c r="AA830" i="1"/>
  <c r="Y845" i="2"/>
  <c r="X845" i="2"/>
  <c r="Y849" i="3"/>
  <c r="Z849" i="3"/>
  <c r="T957" i="2"/>
  <c r="S957" i="2"/>
  <c r="Y529" i="2"/>
  <c r="X529" i="2"/>
  <c r="AB849" i="1"/>
  <c r="AA849" i="1"/>
  <c r="X375" i="2"/>
  <c r="Y375" i="2"/>
  <c r="S224" i="2"/>
  <c r="T224" i="2"/>
  <c r="Z822" i="3"/>
  <c r="Y822" i="3"/>
  <c r="T351" i="2"/>
  <c r="S351" i="2"/>
  <c r="Z665" i="3"/>
  <c r="Y665" i="3"/>
  <c r="Y713" i="3"/>
  <c r="Z713" i="3"/>
  <c r="U103" i="3"/>
  <c r="T103" i="3"/>
  <c r="Y841" i="2"/>
  <c r="X841" i="2"/>
  <c r="S652" i="2"/>
  <c r="T652" i="2"/>
  <c r="AA1010" i="1"/>
  <c r="AB1010" i="1"/>
  <c r="W751" i="1"/>
  <c r="V751" i="1"/>
  <c r="AA869" i="1"/>
  <c r="AB869" i="1"/>
  <c r="Y386" i="2"/>
  <c r="X386" i="2"/>
  <c r="U921" i="3"/>
  <c r="T921" i="3"/>
  <c r="T459" i="3"/>
  <c r="U459" i="3"/>
  <c r="S872" i="2"/>
  <c r="T872" i="2"/>
  <c r="T773" i="3"/>
  <c r="U773" i="3"/>
  <c r="V975" i="1"/>
  <c r="W975" i="1"/>
  <c r="X993" i="2"/>
  <c r="Y993" i="2"/>
  <c r="Y775" i="2"/>
  <c r="X775" i="2"/>
  <c r="T696" i="3"/>
  <c r="U696" i="3"/>
  <c r="U333" i="3"/>
  <c r="T333" i="3"/>
  <c r="Y784" i="2"/>
  <c r="X784" i="2"/>
  <c r="V816" i="1"/>
  <c r="W816" i="1"/>
  <c r="U718" i="3"/>
  <c r="T718" i="3"/>
  <c r="U50" i="3"/>
  <c r="T50" i="3"/>
  <c r="U558" i="3"/>
  <c r="T558" i="3"/>
  <c r="Z489" i="3"/>
  <c r="Y489" i="3"/>
  <c r="T698" i="3"/>
  <c r="U698" i="3"/>
  <c r="AA674" i="1"/>
  <c r="AB674" i="1"/>
  <c r="X348" i="2"/>
  <c r="Y348" i="2"/>
  <c r="Y272" i="3"/>
  <c r="Z272" i="3"/>
  <c r="T684" i="2"/>
  <c r="S684" i="2"/>
  <c r="V911" i="1"/>
  <c r="W911" i="1"/>
  <c r="S761" i="2"/>
  <c r="T761" i="2"/>
  <c r="S773" i="2"/>
  <c r="T773" i="2"/>
  <c r="Y763" i="2"/>
  <c r="X763" i="2"/>
  <c r="Y589" i="2"/>
  <c r="X589" i="2"/>
  <c r="W908" i="1"/>
  <c r="V908" i="1"/>
  <c r="T692" i="2"/>
  <c r="S692" i="2"/>
  <c r="S770" i="2"/>
  <c r="T770" i="2"/>
  <c r="S893" i="2"/>
  <c r="T893" i="2"/>
  <c r="S862" i="2"/>
  <c r="T862" i="2"/>
  <c r="Y315" i="3"/>
  <c r="Z315" i="3"/>
  <c r="W901" i="1"/>
  <c r="V901" i="1"/>
  <c r="W683" i="1"/>
  <c r="V683" i="1"/>
  <c r="W864" i="1"/>
  <c r="V864" i="1"/>
  <c r="X492" i="2"/>
  <c r="Y492" i="2"/>
  <c r="Y887" i="2"/>
  <c r="X887" i="2"/>
  <c r="Y266" i="3"/>
  <c r="Z266" i="3"/>
  <c r="Y276" i="3"/>
  <c r="Z276" i="3"/>
  <c r="T937" i="2"/>
  <c r="S937" i="2"/>
  <c r="Y519" i="2"/>
  <c r="X519" i="2"/>
  <c r="U494" i="3"/>
  <c r="T494" i="3"/>
  <c r="W1001" i="1"/>
  <c r="V1001" i="1"/>
  <c r="T589" i="3"/>
  <c r="U589" i="3"/>
  <c r="Z251" i="3"/>
  <c r="Y251" i="3"/>
  <c r="Z466" i="3"/>
  <c r="Y466" i="3"/>
  <c r="X828" i="2"/>
  <c r="Y828" i="2"/>
  <c r="Y107" i="3"/>
  <c r="Z107" i="3"/>
  <c r="Y61" i="3"/>
  <c r="Z61" i="3"/>
  <c r="Z243" i="3"/>
  <c r="Y243" i="3"/>
  <c r="T378" i="2"/>
  <c r="S378" i="2"/>
  <c r="T88" i="3"/>
  <c r="U88" i="3"/>
  <c r="T366" i="3"/>
  <c r="U366" i="3"/>
  <c r="Y766" i="3"/>
  <c r="Z766" i="3"/>
  <c r="Y682" i="3"/>
  <c r="Z682" i="3"/>
  <c r="T839" i="3"/>
  <c r="U839" i="3"/>
  <c r="T690" i="3"/>
  <c r="U690" i="3"/>
  <c r="V869" i="1"/>
  <c r="W869" i="1"/>
  <c r="T498" i="3"/>
  <c r="U498" i="3"/>
  <c r="X345" i="2"/>
  <c r="Y345" i="2"/>
  <c r="Y286" i="3"/>
  <c r="Z286" i="3"/>
  <c r="Y695" i="3"/>
  <c r="Z695" i="3"/>
  <c r="T902" i="3"/>
  <c r="U902" i="3"/>
  <c r="S732" i="2"/>
  <c r="T732" i="2"/>
  <c r="Y35" i="3"/>
  <c r="Z35" i="3"/>
  <c r="V802" i="1"/>
  <c r="W802" i="1"/>
  <c r="T612" i="2"/>
  <c r="S612" i="2"/>
  <c r="X628" i="2"/>
  <c r="Y628" i="2"/>
  <c r="Y641" i="2"/>
  <c r="X641" i="2"/>
  <c r="Z258" i="3"/>
  <c r="Y258" i="3"/>
  <c r="Y181" i="2"/>
  <c r="X181" i="2"/>
  <c r="AA693" i="1"/>
  <c r="AB693" i="1"/>
  <c r="U732" i="3"/>
  <c r="T732" i="3"/>
  <c r="Y833" i="3"/>
  <c r="Z833" i="3"/>
  <c r="V966" i="1"/>
  <c r="W966" i="1"/>
  <c r="S453" i="2"/>
  <c r="T453" i="2"/>
  <c r="U610" i="3"/>
  <c r="T610" i="3"/>
  <c r="AB805" i="1"/>
  <c r="AA805" i="1"/>
  <c r="T914" i="3"/>
  <c r="U914" i="3"/>
  <c r="T816" i="3"/>
  <c r="U816" i="3"/>
  <c r="AB738" i="1"/>
  <c r="AA738" i="1"/>
  <c r="Y851" i="3"/>
  <c r="Z851" i="3"/>
  <c r="X184" i="2"/>
  <c r="Y184" i="2"/>
  <c r="T763" i="2"/>
  <c r="S763" i="2"/>
  <c r="Y639" i="3"/>
  <c r="Z639" i="3"/>
  <c r="T673" i="2"/>
  <c r="S673" i="2"/>
  <c r="X648" i="2"/>
  <c r="Y648" i="2"/>
  <c r="T999" i="2"/>
  <c r="S999" i="2"/>
  <c r="U128" i="3"/>
  <c r="T128" i="3"/>
  <c r="U633" i="3"/>
  <c r="T633" i="3"/>
  <c r="Z361" i="3"/>
  <c r="Y361" i="3"/>
  <c r="T852" i="3"/>
  <c r="U852" i="3"/>
  <c r="S750" i="2"/>
  <c r="T750" i="2"/>
  <c r="S927" i="2"/>
  <c r="T927" i="2"/>
  <c r="T588" i="3"/>
  <c r="U588" i="3"/>
  <c r="T427" i="3"/>
  <c r="U427" i="3"/>
  <c r="T148" i="3"/>
  <c r="U148" i="3"/>
  <c r="S270" i="2"/>
  <c r="T270" i="2"/>
  <c r="X580" i="2"/>
  <c r="Y580" i="2"/>
  <c r="Y270" i="2"/>
  <c r="X270" i="2"/>
  <c r="Z216" i="3"/>
  <c r="Y216" i="3"/>
  <c r="Y663" i="2"/>
  <c r="X663" i="2"/>
  <c r="AA877" i="1"/>
  <c r="AB877" i="1"/>
  <c r="X662" i="2"/>
  <c r="Y662" i="2"/>
  <c r="AB699" i="1"/>
  <c r="AA699" i="1"/>
  <c r="Y832" i="2"/>
  <c r="X832" i="2"/>
  <c r="Y384" i="3"/>
  <c r="Z384" i="3"/>
  <c r="S849" i="2"/>
  <c r="T849" i="2"/>
  <c r="Y868" i="2"/>
  <c r="X868" i="2"/>
  <c r="Z938" i="3"/>
  <c r="Y938" i="3"/>
  <c r="V896" i="1"/>
  <c r="W896" i="1"/>
  <c r="Y684" i="2"/>
  <c r="X684" i="2"/>
  <c r="U899" i="3"/>
  <c r="T899" i="3"/>
  <c r="S527" i="2"/>
  <c r="T527" i="2"/>
  <c r="T385" i="2"/>
  <c r="S385" i="2"/>
  <c r="Y819" i="3"/>
  <c r="Z819" i="3"/>
  <c r="S665" i="2"/>
  <c r="T665" i="2"/>
  <c r="AB1017" i="1"/>
  <c r="AA1017" i="1"/>
  <c r="Z309" i="3"/>
  <c r="Y309" i="3"/>
  <c r="U573" i="3"/>
  <c r="T573" i="3"/>
  <c r="Y723" i="2"/>
  <c r="X723" i="2"/>
  <c r="Y349" i="2"/>
  <c r="X349" i="2"/>
  <c r="X606" i="2"/>
  <c r="Y606" i="2"/>
  <c r="AA835" i="1"/>
  <c r="AB835" i="1"/>
  <c r="V930" i="1"/>
  <c r="W930" i="1"/>
  <c r="Y817" i="3"/>
  <c r="Z817" i="3"/>
  <c r="U200" i="3"/>
  <c r="T200" i="3"/>
  <c r="Y570" i="3"/>
  <c r="Z570" i="3"/>
  <c r="T825" i="2"/>
  <c r="S825" i="2"/>
  <c r="X212" i="2"/>
  <c r="Y212" i="2"/>
  <c r="AB880" i="1"/>
  <c r="AA880" i="1"/>
  <c r="Z832" i="3"/>
  <c r="Y832" i="3"/>
  <c r="S948" i="2"/>
  <c r="T948" i="2"/>
  <c r="Y783" i="2"/>
  <c r="X783" i="2"/>
  <c r="V817" i="1"/>
  <c r="W817" i="1"/>
  <c r="W764" i="1"/>
  <c r="V764" i="1"/>
  <c r="T68" i="3"/>
  <c r="U68" i="3"/>
  <c r="Y938" i="2"/>
  <c r="X938" i="2"/>
  <c r="Z350" i="3"/>
  <c r="Y350" i="3"/>
  <c r="Y779" i="3"/>
  <c r="Z779" i="3"/>
  <c r="T788" i="2"/>
  <c r="S788" i="2"/>
  <c r="W740" i="1"/>
  <c r="V740" i="1"/>
  <c r="T651" i="2"/>
  <c r="S651" i="2"/>
  <c r="V693" i="1"/>
  <c r="W693" i="1"/>
  <c r="Y561" i="3"/>
  <c r="Z561" i="3"/>
  <c r="Y734" i="3"/>
  <c r="Z734" i="3"/>
  <c r="Y405" i="3"/>
  <c r="Z405" i="3"/>
  <c r="AB735" i="1"/>
  <c r="AA735" i="1"/>
  <c r="W757" i="1"/>
  <c r="V757" i="1"/>
  <c r="T166" i="3"/>
  <c r="U166" i="3"/>
  <c r="Y720" i="2"/>
  <c r="X720" i="2"/>
  <c r="U277" i="3"/>
  <c r="T277" i="3"/>
  <c r="U403" i="3"/>
  <c r="T403" i="3"/>
  <c r="Z31" i="3"/>
  <c r="Y31" i="3"/>
  <c r="S601" i="2"/>
  <c r="T601" i="2"/>
  <c r="T1002" i="2"/>
  <c r="S1002" i="2"/>
  <c r="Z933" i="3"/>
  <c r="Y933" i="3"/>
  <c r="T499" i="2"/>
  <c r="S499" i="2"/>
  <c r="W862" i="1"/>
  <c r="V862" i="1"/>
  <c r="T557" i="2"/>
  <c r="S557" i="2"/>
  <c r="Y972" i="2"/>
  <c r="X972" i="2"/>
  <c r="T752" i="3"/>
  <c r="U752" i="3"/>
  <c r="T466" i="3"/>
  <c r="U466" i="3"/>
  <c r="S517" i="2"/>
  <c r="T517" i="2"/>
  <c r="T544" i="2"/>
  <c r="S544" i="2"/>
  <c r="V692" i="1"/>
  <c r="W692" i="1"/>
  <c r="T555" i="3"/>
  <c r="U555" i="3"/>
  <c r="Y479" i="3"/>
  <c r="Z479" i="3"/>
  <c r="Z396" i="3"/>
  <c r="Y396" i="3"/>
  <c r="AB1002" i="1"/>
  <c r="AA1002" i="1"/>
  <c r="X397" i="2"/>
  <c r="Y397" i="2"/>
  <c r="Y623" i="3"/>
  <c r="Z623" i="3"/>
  <c r="Z37" i="3"/>
  <c r="Y37" i="3"/>
  <c r="U534" i="3"/>
  <c r="T534" i="3"/>
  <c r="T876" i="3"/>
  <c r="U876" i="3"/>
  <c r="X227" i="2"/>
  <c r="Y227" i="2"/>
  <c r="T201" i="3"/>
  <c r="U201" i="3"/>
  <c r="U140" i="3"/>
  <c r="T140" i="3"/>
  <c r="AB706" i="1"/>
  <c r="AA706" i="1"/>
  <c r="T69" i="3"/>
  <c r="U69" i="3"/>
  <c r="Z481" i="3"/>
  <c r="Y481" i="3"/>
  <c r="S955" i="2"/>
  <c r="T955" i="2"/>
  <c r="X604" i="2"/>
  <c r="Y604" i="2"/>
  <c r="AA885" i="1"/>
  <c r="AB885" i="1"/>
  <c r="V875" i="1"/>
  <c r="W875" i="1"/>
  <c r="W906" i="1"/>
  <c r="V906" i="1"/>
  <c r="T792" i="2"/>
  <c r="S792" i="2"/>
  <c r="S256" i="2"/>
  <c r="T256" i="2"/>
  <c r="X863" i="2"/>
  <c r="Y863" i="2"/>
  <c r="Y530" i="2"/>
  <c r="X530" i="2"/>
  <c r="Y878" i="3"/>
  <c r="Z878" i="3"/>
  <c r="Y221" i="2"/>
  <c r="X221" i="2"/>
  <c r="Z705" i="3"/>
  <c r="Y705" i="3"/>
  <c r="S446" i="2"/>
  <c r="T446" i="2"/>
  <c r="S734" i="2"/>
  <c r="T734" i="2"/>
  <c r="T919" i="3"/>
  <c r="U919" i="3"/>
  <c r="S340" i="2"/>
  <c r="T340" i="2"/>
  <c r="Z430" i="3"/>
  <c r="Y430" i="3"/>
  <c r="S690" i="2"/>
  <c r="T690" i="2"/>
  <c r="U861" i="3"/>
  <c r="T861" i="3"/>
  <c r="W838" i="1"/>
  <c r="V838" i="1"/>
  <c r="S863" i="2"/>
  <c r="T863" i="2"/>
  <c r="S583" i="2"/>
  <c r="T583" i="2"/>
  <c r="X644" i="2"/>
  <c r="Y644" i="2"/>
  <c r="Z679" i="3"/>
  <c r="Y679" i="3"/>
  <c r="W809" i="1"/>
  <c r="V809" i="1"/>
  <c r="T295" i="2"/>
  <c r="S295" i="2"/>
  <c r="T203" i="2"/>
  <c r="S203" i="2"/>
  <c r="T119" i="3"/>
  <c r="U119" i="3"/>
  <c r="V832" i="1"/>
  <c r="W832" i="1"/>
  <c r="Y86" i="3"/>
  <c r="Z86" i="3"/>
  <c r="Y869" i="3"/>
  <c r="Z869" i="3"/>
  <c r="U729" i="3"/>
  <c r="T729" i="3"/>
  <c r="W967" i="1"/>
  <c r="V967" i="1"/>
  <c r="T379" i="2"/>
  <c r="S379" i="2"/>
  <c r="AA663" i="1"/>
  <c r="AB663" i="1"/>
  <c r="AB666" i="1"/>
  <c r="AA666" i="1"/>
  <c r="U749" i="3"/>
  <c r="T749" i="3"/>
  <c r="U447" i="3"/>
  <c r="T447" i="3"/>
  <c r="T36" i="3"/>
  <c r="U36" i="3"/>
  <c r="U477" i="3"/>
  <c r="T477" i="3"/>
  <c r="U702" i="3"/>
  <c r="T702" i="3"/>
  <c r="U252" i="3"/>
  <c r="T252" i="3"/>
  <c r="T589" i="2"/>
  <c r="S589" i="2"/>
  <c r="X825" i="2"/>
  <c r="Y825" i="2"/>
  <c r="T34" i="3"/>
  <c r="U34" i="3"/>
  <c r="T754" i="3"/>
  <c r="U754" i="3"/>
  <c r="Y285" i="2"/>
  <c r="X285" i="2"/>
  <c r="T798" i="3"/>
  <c r="U798" i="3"/>
  <c r="X821" i="2"/>
  <c r="Y821" i="2"/>
  <c r="AB1005" i="1"/>
  <c r="AA1005" i="1"/>
  <c r="Y283" i="3"/>
  <c r="Z283" i="3"/>
  <c r="T160" i="3"/>
  <c r="U160" i="3"/>
  <c r="W759" i="1"/>
  <c r="V759" i="1"/>
  <c r="X308" i="2"/>
  <c r="Y308" i="2"/>
  <c r="X364" i="2"/>
  <c r="Y364" i="2"/>
  <c r="S819" i="2"/>
  <c r="T819" i="2"/>
  <c r="AA989" i="1"/>
  <c r="AB989" i="1"/>
  <c r="Y500" i="3"/>
  <c r="Z500" i="3"/>
  <c r="Z785" i="3"/>
  <c r="Y785" i="3"/>
  <c r="T980" i="3"/>
  <c r="U980" i="3"/>
  <c r="Y765" i="2"/>
  <c r="X765" i="2"/>
  <c r="Z796" i="3"/>
  <c r="Y796" i="3"/>
  <c r="Y875" i="2"/>
  <c r="X875" i="2"/>
  <c r="S879" i="2"/>
  <c r="T879" i="2"/>
  <c r="Z547" i="3"/>
  <c r="Y547" i="3"/>
  <c r="Y287" i="2"/>
  <c r="X287" i="2"/>
  <c r="U611" i="3"/>
  <c r="T611" i="3"/>
  <c r="S480" i="2"/>
  <c r="T480" i="2"/>
  <c r="Z527" i="3"/>
  <c r="Y527" i="3"/>
  <c r="T742" i="3"/>
  <c r="U742" i="3"/>
  <c r="T951" i="3"/>
  <c r="U951" i="3"/>
  <c r="S584" i="2"/>
  <c r="T584" i="2"/>
  <c r="T852" i="2"/>
  <c r="S852" i="2"/>
  <c r="X199" i="2"/>
  <c r="Y199" i="2"/>
  <c r="Y138" i="3"/>
  <c r="Z138" i="3"/>
  <c r="T795" i="2"/>
  <c r="S795" i="2"/>
  <c r="V753" i="1"/>
  <c r="W753" i="1"/>
  <c r="X617" i="2"/>
  <c r="Y617" i="2"/>
  <c r="AB968" i="1"/>
  <c r="AA968" i="1"/>
  <c r="U930" i="3"/>
  <c r="T930" i="3"/>
  <c r="Y271" i="3"/>
  <c r="Z271" i="3"/>
  <c r="U988" i="3"/>
  <c r="T988" i="3"/>
  <c r="W891" i="1"/>
  <c r="V891" i="1"/>
  <c r="T431" i="3"/>
  <c r="U431" i="3"/>
  <c r="Y557" i="3"/>
  <c r="Z557" i="3"/>
  <c r="Z348" i="3"/>
  <c r="Y348" i="3"/>
  <c r="X757" i="2"/>
  <c r="Y757" i="2"/>
  <c r="V734" i="1"/>
  <c r="W734" i="1"/>
  <c r="Y337" i="2"/>
  <c r="X337" i="2"/>
  <c r="Y605" i="3"/>
  <c r="Z605" i="3"/>
  <c r="Y457" i="3"/>
  <c r="Z457" i="3"/>
  <c r="T670" i="3"/>
  <c r="U670" i="3"/>
  <c r="S563" i="2"/>
  <c r="T563" i="2"/>
  <c r="V993" i="1"/>
  <c r="W993" i="1"/>
  <c r="Z49" i="3"/>
  <c r="Y49" i="3"/>
  <c r="W846" i="1"/>
  <c r="V846" i="1"/>
  <c r="X568" i="2"/>
  <c r="Y568" i="2"/>
  <c r="T435" i="3"/>
  <c r="U435" i="3"/>
  <c r="T947" i="2"/>
  <c r="S947" i="2"/>
  <c r="Y728" i="2"/>
  <c r="X728" i="2"/>
  <c r="U347" i="3"/>
  <c r="T347" i="3"/>
  <c r="Y840" i="2"/>
  <c r="X840" i="2"/>
  <c r="AA825" i="1"/>
  <c r="AB825" i="1"/>
  <c r="X289" i="2"/>
  <c r="Y289" i="2"/>
  <c r="S620" i="2"/>
  <c r="T620" i="2"/>
  <c r="T603" i="3"/>
  <c r="U603" i="3"/>
  <c r="X682" i="2"/>
  <c r="Y682" i="2"/>
  <c r="X461" i="2"/>
  <c r="Y461" i="2"/>
  <c r="T778" i="2"/>
  <c r="S778" i="2"/>
  <c r="T341" i="3"/>
  <c r="U341" i="3"/>
  <c r="W887" i="1"/>
  <c r="V887" i="1"/>
  <c r="Z40" i="3"/>
  <c r="Y40" i="3"/>
  <c r="Y964" i="2"/>
  <c r="X964" i="2"/>
  <c r="Z194" i="3"/>
  <c r="Y194" i="3"/>
  <c r="W1012" i="1"/>
  <c r="V1012" i="1"/>
  <c r="Y251" i="2"/>
  <c r="X251" i="2"/>
  <c r="Y450" i="2"/>
  <c r="X450" i="2"/>
  <c r="S914" i="2"/>
  <c r="T914" i="2"/>
  <c r="U286" i="3"/>
  <c r="T286" i="3"/>
  <c r="T216" i="2"/>
  <c r="S216" i="2"/>
  <c r="Y603" i="3"/>
  <c r="Z603" i="3"/>
  <c r="Z118" i="3"/>
  <c r="Y118" i="3"/>
  <c r="T239" i="2"/>
  <c r="S239" i="2"/>
  <c r="Y787" i="3"/>
  <c r="Z787" i="3"/>
  <c r="S758" i="2"/>
  <c r="T758" i="2"/>
  <c r="S928" i="2"/>
  <c r="T928" i="2"/>
  <c r="S571" i="2"/>
  <c r="T571" i="2"/>
  <c r="Y281" i="2"/>
  <c r="X281" i="2"/>
  <c r="U153" i="3"/>
  <c r="T153" i="3"/>
  <c r="T404" i="3"/>
  <c r="U404" i="3"/>
  <c r="Y401" i="2"/>
  <c r="X401" i="2"/>
  <c r="T535" i="3"/>
  <c r="U535" i="3"/>
  <c r="Y218" i="2"/>
  <c r="X218" i="2"/>
  <c r="S970" i="2"/>
  <c r="T970" i="2"/>
  <c r="AB834" i="1"/>
  <c r="AA834" i="1"/>
  <c r="Y853" i="3"/>
  <c r="Z853" i="3"/>
  <c r="S370" i="2"/>
  <c r="T370" i="2"/>
  <c r="Z242" i="3"/>
  <c r="Y242" i="3"/>
  <c r="T280" i="3"/>
  <c r="U280" i="3"/>
  <c r="Y95" i="3"/>
  <c r="Z95" i="3"/>
  <c r="W711" i="1"/>
  <c r="V711" i="1"/>
  <c r="X904" i="2"/>
  <c r="Y904" i="2"/>
  <c r="X743" i="2"/>
  <c r="Y743" i="2"/>
  <c r="Z701" i="3"/>
  <c r="Y701" i="3"/>
  <c r="W822" i="1"/>
  <c r="V822" i="1"/>
  <c r="T213" i="3"/>
  <c r="U213" i="3"/>
  <c r="T660" i="3"/>
  <c r="U660" i="3"/>
  <c r="V681" i="1"/>
  <c r="W681" i="1"/>
  <c r="AA871" i="1"/>
  <c r="AB871" i="1"/>
  <c r="T1000" i="2"/>
  <c r="S1000" i="2"/>
  <c r="U282" i="3"/>
  <c r="T282" i="3"/>
  <c r="Z689" i="3"/>
  <c r="Y689" i="3"/>
  <c r="X207" i="2"/>
  <c r="Y207" i="2"/>
  <c r="Z696" i="3"/>
  <c r="Y696" i="3"/>
  <c r="U336" i="3"/>
  <c r="T336" i="3"/>
  <c r="Y981" i="3"/>
  <c r="Z981" i="3"/>
  <c r="Y460" i="3"/>
  <c r="Z460" i="3"/>
  <c r="T281" i="2"/>
  <c r="S281" i="2"/>
  <c r="V793" i="1"/>
  <c r="W793" i="1"/>
  <c r="Y861" i="2"/>
  <c r="X861" i="2"/>
  <c r="V851" i="1"/>
  <c r="W851" i="1"/>
  <c r="T521" i="3"/>
  <c r="U521" i="3"/>
  <c r="Y807" i="2"/>
  <c r="X807" i="2"/>
  <c r="U102" i="3"/>
  <c r="T102" i="3"/>
  <c r="AA717" i="1"/>
  <c r="AB717" i="1"/>
  <c r="Y781" i="3"/>
  <c r="Z781" i="3"/>
  <c r="T599" i="2"/>
  <c r="S599" i="2"/>
  <c r="X623" i="2"/>
  <c r="Y623" i="2"/>
  <c r="Y393" i="3"/>
  <c r="Z393" i="3"/>
  <c r="S780" i="2"/>
  <c r="T780" i="2"/>
  <c r="W999" i="1"/>
  <c r="V999" i="1"/>
  <c r="Y904" i="3"/>
  <c r="Z904" i="3"/>
  <c r="Y150" i="3"/>
  <c r="Z150" i="3"/>
  <c r="Y732" i="3"/>
  <c r="Z732" i="3"/>
  <c r="V715" i="1"/>
  <c r="W715" i="1"/>
  <c r="T830" i="2"/>
  <c r="S830" i="2"/>
  <c r="X837" i="2"/>
  <c r="Y837" i="2"/>
  <c r="X247" i="2"/>
  <c r="Y247" i="2"/>
  <c r="T114" i="3"/>
  <c r="U114" i="3"/>
  <c r="Y702" i="2"/>
  <c r="X702" i="2"/>
  <c r="Y900" i="2"/>
  <c r="X900" i="2"/>
  <c r="T542" i="3"/>
  <c r="U542" i="3"/>
  <c r="Y50" i="3"/>
  <c r="Z50" i="3"/>
  <c r="AB746" i="1"/>
  <c r="AA746" i="1"/>
  <c r="X409" i="2"/>
  <c r="Y409" i="2"/>
  <c r="Z215" i="3"/>
  <c r="Y215" i="3"/>
  <c r="T602" i="3"/>
  <c r="U602" i="3"/>
  <c r="Z748" i="3"/>
  <c r="Y748" i="3"/>
  <c r="T963" i="3"/>
  <c r="U963" i="3"/>
  <c r="T356" i="2"/>
  <c r="S356" i="2"/>
  <c r="Z412" i="3"/>
  <c r="Y412" i="3"/>
  <c r="W763" i="1"/>
  <c r="V763" i="1"/>
  <c r="Y191" i="2"/>
  <c r="X191" i="2"/>
  <c r="Z326" i="3"/>
  <c r="Y326" i="3"/>
  <c r="U271" i="3"/>
  <c r="T271" i="3"/>
  <c r="T457" i="2"/>
  <c r="S457" i="2"/>
  <c r="Z719" i="3"/>
  <c r="Y719" i="3"/>
  <c r="U460" i="3"/>
  <c r="T460" i="3"/>
  <c r="T971" i="2"/>
  <c r="S971" i="2"/>
  <c r="Y778" i="3"/>
  <c r="Z778" i="3"/>
  <c r="Y310" i="2"/>
  <c r="X310" i="2"/>
  <c r="X180" i="2"/>
  <c r="Y180" i="2"/>
  <c r="S415" i="2"/>
  <c r="T415" i="2"/>
  <c r="X967" i="2"/>
  <c r="Y967" i="2"/>
  <c r="Z90" i="3"/>
  <c r="Y90" i="3"/>
  <c r="Z663" i="3"/>
  <c r="Y663" i="3"/>
  <c r="T904" i="2"/>
  <c r="S904" i="2"/>
  <c r="AB775" i="1"/>
  <c r="AA775" i="1"/>
  <c r="Y321" i="3"/>
  <c r="Z321" i="3"/>
  <c r="T504" i="3"/>
  <c r="U504" i="3"/>
  <c r="X429" i="2"/>
  <c r="Y429" i="2"/>
  <c r="Y738" i="3"/>
  <c r="Z738" i="3"/>
  <c r="Z694" i="3"/>
  <c r="Y694" i="3"/>
  <c r="X448" i="2"/>
  <c r="Y448" i="2"/>
  <c r="U157" i="3"/>
  <c r="T157" i="3"/>
  <c r="Y305" i="3"/>
  <c r="Z305" i="3"/>
  <c r="AB777" i="1"/>
  <c r="AA777" i="1"/>
  <c r="X522" i="2"/>
  <c r="Y522" i="2"/>
  <c r="Y311" i="2"/>
  <c r="X311" i="2"/>
  <c r="Z915" i="3"/>
  <c r="Y915" i="3"/>
  <c r="Y815" i="3"/>
  <c r="Z815" i="3"/>
  <c r="AB1011" i="1"/>
  <c r="AA1011" i="1"/>
  <c r="Z521" i="3"/>
  <c r="Y521" i="3"/>
  <c r="T984" i="3"/>
  <c r="U984" i="3"/>
  <c r="U678" i="3"/>
  <c r="T678" i="3"/>
  <c r="W714" i="1"/>
  <c r="V714" i="1"/>
  <c r="AB948" i="1"/>
  <c r="AA948" i="1"/>
  <c r="X902" i="2"/>
  <c r="Y902" i="2"/>
  <c r="V660" i="1"/>
  <c r="W660" i="1"/>
  <c r="S413" i="2"/>
  <c r="T413" i="2"/>
  <c r="AA1004" i="1"/>
  <c r="AB1004" i="1"/>
  <c r="S860" i="2"/>
  <c r="T860" i="2"/>
  <c r="AA792" i="1"/>
  <c r="AB792" i="1"/>
  <c r="S455" i="2"/>
  <c r="T455" i="2"/>
  <c r="Y929" i="2"/>
  <c r="X929" i="2"/>
  <c r="V992" i="1"/>
  <c r="W992" i="1"/>
  <c r="U64" i="3"/>
  <c r="T64" i="3"/>
  <c r="Z340" i="3"/>
  <c r="Y340" i="3"/>
  <c r="X280" i="2"/>
  <c r="Y280" i="2"/>
  <c r="Y304" i="3"/>
  <c r="Z304" i="3"/>
  <c r="X472" i="2"/>
  <c r="Y472" i="2"/>
  <c r="S641" i="2"/>
  <c r="T641" i="2"/>
  <c r="T439" i="3"/>
  <c r="U439" i="3"/>
  <c r="Y937" i="3"/>
  <c r="Z937" i="3"/>
  <c r="Z549" i="3"/>
  <c r="Y549" i="3"/>
  <c r="V791" i="1"/>
  <c r="W791" i="1"/>
  <c r="Z533" i="3"/>
  <c r="Y533" i="3"/>
  <c r="V904" i="1"/>
  <c r="W904" i="1"/>
  <c r="T189" i="2"/>
  <c r="S189" i="2"/>
  <c r="U790" i="3"/>
  <c r="T790" i="3"/>
  <c r="X400" i="2"/>
  <c r="Y400" i="2"/>
  <c r="S869" i="2"/>
  <c r="T869" i="2"/>
  <c r="AB688" i="1"/>
  <c r="AA688" i="1"/>
  <c r="Y878" i="2"/>
  <c r="X878" i="2"/>
  <c r="Z64" i="3"/>
  <c r="Y64" i="3"/>
  <c r="X772" i="2"/>
  <c r="Y772" i="2"/>
  <c r="S931" i="2"/>
  <c r="T931" i="2"/>
  <c r="S919" i="2"/>
  <c r="T919" i="2"/>
  <c r="T198" i="2"/>
  <c r="S198" i="2"/>
  <c r="Z610" i="3"/>
  <c r="Y610" i="3"/>
  <c r="Y955" i="2"/>
  <c r="X955" i="2"/>
  <c r="Y478" i="3"/>
  <c r="Z478" i="3"/>
  <c r="T639" i="2"/>
  <c r="S639" i="2"/>
  <c r="Y862" i="3"/>
  <c r="Z862" i="3"/>
  <c r="AB665" i="1"/>
  <c r="AA665" i="1"/>
  <c r="S805" i="2"/>
  <c r="T805" i="2"/>
  <c r="Y467" i="3"/>
  <c r="Z467" i="3"/>
  <c r="V934" i="1"/>
  <c r="W934" i="1"/>
  <c r="Y340" i="2"/>
  <c r="X340" i="2"/>
  <c r="Z175" i="3"/>
  <c r="Y175" i="3"/>
  <c r="Y712" i="2"/>
  <c r="X712" i="2"/>
  <c r="U320" i="3"/>
  <c r="T320" i="3"/>
  <c r="T753" i="2"/>
  <c r="S753" i="2"/>
  <c r="T725" i="2"/>
  <c r="S725" i="2"/>
  <c r="T494" i="2"/>
  <c r="S494" i="2"/>
  <c r="AA977" i="1"/>
  <c r="AB977" i="1"/>
  <c r="X936" i="2"/>
  <c r="Y936" i="2"/>
  <c r="T182" i="2"/>
  <c r="S182" i="2"/>
  <c r="AA874" i="1"/>
  <c r="AB874" i="1"/>
  <c r="Y825" i="3"/>
  <c r="Z825" i="3"/>
  <c r="X614" i="2"/>
  <c r="Y614" i="2"/>
  <c r="Z647" i="3"/>
  <c r="Y647" i="3"/>
  <c r="T843" i="3"/>
  <c r="U843" i="3"/>
  <c r="S962" i="2"/>
  <c r="T962" i="2"/>
  <c r="Z720" i="3"/>
  <c r="Y720" i="3"/>
  <c r="U830" i="3"/>
  <c r="T830" i="3"/>
  <c r="Y256" i="2"/>
  <c r="X256" i="2"/>
  <c r="Y75" i="3"/>
  <c r="Z75" i="3"/>
  <c r="S505" i="2"/>
  <c r="T505" i="2"/>
  <c r="U499" i="3"/>
  <c r="T499" i="3"/>
  <c r="AB684" i="1"/>
  <c r="AA684" i="1"/>
  <c r="AB970" i="1"/>
  <c r="AA970" i="1"/>
  <c r="Y259" i="3"/>
  <c r="Z259" i="3"/>
  <c r="X901" i="2"/>
  <c r="Y901" i="2"/>
  <c r="Y613" i="2"/>
  <c r="X613" i="2"/>
  <c r="U880" i="3"/>
  <c r="T880" i="3"/>
  <c r="AB1016" i="1"/>
  <c r="AA1016" i="1"/>
  <c r="Y912" i="2"/>
  <c r="X912" i="2"/>
  <c r="Z152" i="3"/>
  <c r="Y152" i="3"/>
  <c r="AA863" i="1"/>
  <c r="AB863" i="1"/>
  <c r="AB802" i="1"/>
  <c r="AA802" i="1"/>
  <c r="S292" i="2"/>
  <c r="T292" i="2"/>
  <c r="Y256" i="3"/>
  <c r="Z256" i="3"/>
  <c r="Y771" i="3"/>
  <c r="Z771" i="3"/>
  <c r="V721" i="1"/>
  <c r="W721" i="1"/>
  <c r="W662" i="1"/>
  <c r="V662" i="1"/>
  <c r="Y914" i="3"/>
  <c r="Z914" i="3"/>
  <c r="T598" i="2"/>
  <c r="S598" i="2"/>
  <c r="T907" i="3"/>
  <c r="U907" i="3"/>
  <c r="S618" i="2"/>
  <c r="T618" i="2"/>
  <c r="Y955" i="3"/>
  <c r="Z955" i="3"/>
  <c r="T625" i="3"/>
  <c r="U625" i="3"/>
  <c r="Z522" i="3"/>
  <c r="Y522" i="3"/>
  <c r="X430" i="2"/>
  <c r="Y430" i="2"/>
  <c r="W750" i="1"/>
  <c r="V750" i="1"/>
  <c r="X513" i="2"/>
  <c r="Y513" i="2"/>
  <c r="Y313" i="3"/>
  <c r="Z313" i="3"/>
  <c r="X894" i="2"/>
  <c r="Y894" i="2"/>
  <c r="T257" i="2"/>
  <c r="S257" i="2"/>
  <c r="AA689" i="1"/>
  <c r="AB689" i="1"/>
  <c r="V835" i="1"/>
  <c r="W835" i="1"/>
  <c r="X516" i="2"/>
  <c r="Y516" i="2"/>
  <c r="AA995" i="1"/>
  <c r="AB995" i="1"/>
  <c r="AA926" i="1"/>
  <c r="AB926" i="1"/>
  <c r="S903" i="2"/>
  <c r="T903" i="2"/>
  <c r="U463" i="3"/>
  <c r="T463" i="3"/>
  <c r="U609" i="3"/>
  <c r="T609" i="3"/>
  <c r="T454" i="3"/>
  <c r="U454" i="3"/>
  <c r="V1002" i="1"/>
  <c r="W1002" i="1"/>
  <c r="V823" i="1"/>
  <c r="W823" i="1"/>
  <c r="W895" i="1"/>
  <c r="V895" i="1"/>
  <c r="Z59" i="3"/>
  <c r="Y59" i="3"/>
  <c r="U735" i="3"/>
  <c r="T735" i="3"/>
  <c r="Y744" i="2"/>
  <c r="X744" i="2"/>
  <c r="Z142" i="3"/>
  <c r="Y142" i="3"/>
  <c r="T48" i="3"/>
  <c r="U48" i="3"/>
  <c r="S832" i="2"/>
  <c r="T832" i="2"/>
  <c r="Y365" i="3"/>
  <c r="Z365" i="3"/>
  <c r="W675" i="1"/>
  <c r="V675" i="1"/>
  <c r="U801" i="3"/>
  <c r="T801" i="3"/>
  <c r="Z190" i="3"/>
  <c r="Y190" i="3"/>
  <c r="T619" i="3"/>
  <c r="U619" i="3"/>
  <c r="Y409" i="3"/>
  <c r="Z409" i="3"/>
  <c r="X715" i="2"/>
  <c r="Y715" i="2"/>
  <c r="T225" i="3"/>
  <c r="U225" i="3"/>
  <c r="T746" i="3"/>
  <c r="U746" i="3"/>
  <c r="S284" i="2"/>
  <c r="T284" i="2"/>
  <c r="T342" i="2"/>
  <c r="S342" i="2"/>
  <c r="V982" i="1"/>
  <c r="W982" i="1"/>
  <c r="S613" i="2"/>
  <c r="T613" i="2"/>
  <c r="Y482" i="3"/>
  <c r="Z482" i="3"/>
  <c r="W713" i="1"/>
  <c r="V713" i="1"/>
  <c r="U483" i="3"/>
  <c r="T483" i="3"/>
  <c r="X520" i="2"/>
  <c r="Y520" i="2"/>
  <c r="T358" i="2"/>
  <c r="S358" i="2"/>
  <c r="Y499" i="2"/>
  <c r="X499" i="2"/>
  <c r="U358" i="3"/>
  <c r="T358" i="3"/>
  <c r="Z591" i="3"/>
  <c r="Y591" i="3"/>
  <c r="T951" i="2"/>
  <c r="S951" i="2"/>
  <c r="V985" i="1"/>
  <c r="W985" i="1"/>
  <c r="U177" i="3"/>
  <c r="T177" i="3"/>
  <c r="X279" i="2"/>
  <c r="Y279" i="2"/>
  <c r="X802" i="2"/>
  <c r="Y802" i="2"/>
  <c r="X286" i="2"/>
  <c r="Y286" i="2"/>
  <c r="T688" i="3"/>
  <c r="U688" i="3"/>
  <c r="T513" i="2"/>
  <c r="S513" i="2"/>
  <c r="Z171" i="3"/>
  <c r="Y171" i="3"/>
  <c r="S573" i="2"/>
  <c r="T573" i="2"/>
  <c r="Y649" i="3"/>
  <c r="Z649" i="3"/>
  <c r="U614" i="3"/>
  <c r="T614" i="3"/>
  <c r="Y1000" i="2"/>
  <c r="X1000" i="2"/>
  <c r="Z375" i="3"/>
  <c r="Y375" i="3"/>
  <c r="V858" i="1"/>
  <c r="W858" i="1"/>
  <c r="S917" i="2"/>
  <c r="T917" i="2"/>
  <c r="U319" i="3"/>
  <c r="T319" i="3"/>
  <c r="Y246" i="2"/>
  <c r="X246" i="2"/>
  <c r="Y399" i="3"/>
  <c r="Z399" i="3"/>
  <c r="X222" i="2"/>
  <c r="Y222" i="2"/>
  <c r="Y670" i="3"/>
  <c r="Z670" i="3"/>
  <c r="V941" i="1"/>
  <c r="W941" i="1"/>
  <c r="T832" i="3"/>
  <c r="U832" i="3"/>
  <c r="T240" i="3"/>
  <c r="U240" i="3"/>
  <c r="T594" i="3"/>
  <c r="U594" i="3"/>
  <c r="U167" i="3"/>
  <c r="T167" i="3"/>
  <c r="Z486" i="3"/>
  <c r="Y486" i="3"/>
  <c r="U725" i="3"/>
  <c r="T725" i="3"/>
  <c r="S943" i="2"/>
  <c r="T943" i="2"/>
  <c r="Z459" i="3"/>
  <c r="Y459" i="3"/>
  <c r="X562" i="2"/>
  <c r="Y562" i="2"/>
  <c r="AB1009" i="1"/>
  <c r="AA1009" i="1"/>
  <c r="X187" i="2"/>
  <c r="Y187" i="2"/>
  <c r="X324" i="2"/>
  <c r="Y324" i="2"/>
  <c r="S987" i="2"/>
  <c r="T987" i="2"/>
  <c r="T510" i="3"/>
  <c r="U510" i="3"/>
  <c r="Y773" i="3"/>
  <c r="Z773" i="3"/>
  <c r="AA862" i="1"/>
  <c r="AB862" i="1"/>
  <c r="T378" i="3"/>
  <c r="U378" i="3"/>
  <c r="Y630" i="2"/>
  <c r="X630" i="2"/>
  <c r="Y250" i="2"/>
  <c r="X250" i="2"/>
  <c r="Y422" i="2"/>
  <c r="X422" i="2"/>
  <c r="Z451" i="3"/>
  <c r="Y451" i="3"/>
  <c r="S880" i="2"/>
  <c r="T880" i="2"/>
  <c r="T639" i="3"/>
  <c r="U639" i="3"/>
  <c r="Y475" i="3"/>
  <c r="Z475" i="3"/>
  <c r="X696" i="2"/>
  <c r="Y696" i="2"/>
  <c r="T196" i="2"/>
  <c r="S196" i="2"/>
  <c r="Z844" i="3"/>
  <c r="Y844" i="3"/>
  <c r="U86" i="3"/>
  <c r="T86" i="3"/>
  <c r="S922" i="2"/>
  <c r="T922" i="2"/>
  <c r="Z630" i="3"/>
  <c r="Y630" i="3"/>
  <c r="Y202" i="2"/>
  <c r="X202" i="2"/>
  <c r="Z403" i="3"/>
  <c r="Y403" i="3"/>
  <c r="T815" i="3"/>
  <c r="U815" i="3"/>
  <c r="Z873" i="3"/>
  <c r="Y873" i="3"/>
  <c r="T450" i="2"/>
  <c r="S450" i="2"/>
  <c r="T244" i="3"/>
  <c r="U244" i="3"/>
  <c r="X635" i="2"/>
  <c r="Y635" i="2"/>
  <c r="Y526" i="3"/>
  <c r="Z526" i="3"/>
  <c r="Z370" i="3"/>
  <c r="Y370" i="3"/>
  <c r="Y943" i="3"/>
  <c r="Z943" i="3"/>
  <c r="Z204" i="3"/>
  <c r="Y204" i="3"/>
  <c r="W762" i="1"/>
  <c r="V762" i="1"/>
  <c r="X741" i="2"/>
  <c r="Y741" i="2"/>
  <c r="Y295" i="2"/>
  <c r="X295" i="2"/>
  <c r="Y448" i="3"/>
  <c r="Z448" i="3"/>
  <c r="U295" i="3"/>
  <c r="T295" i="3"/>
  <c r="Y504" i="3"/>
  <c r="Z504" i="3"/>
  <c r="X787" i="2"/>
  <c r="Y787" i="2"/>
  <c r="X797" i="2"/>
  <c r="Y797" i="2"/>
  <c r="W959" i="1"/>
  <c r="V959" i="1"/>
  <c r="X395" i="2"/>
  <c r="Y395" i="2"/>
  <c r="T740" i="2"/>
  <c r="S740" i="2"/>
  <c r="X261" i="2"/>
  <c r="Y261" i="2"/>
  <c r="X451" i="2"/>
  <c r="Y451" i="2"/>
  <c r="T701" i="2"/>
  <c r="S701" i="2"/>
  <c r="T354" i="2"/>
  <c r="S354" i="2"/>
  <c r="Y188" i="2"/>
  <c r="X188" i="2"/>
  <c r="X627" i="2"/>
  <c r="Y627" i="2"/>
  <c r="Z636" i="3"/>
  <c r="Y636" i="3"/>
  <c r="AB780" i="1"/>
  <c r="AA780" i="1"/>
  <c r="T808" i="3"/>
  <c r="U808" i="3"/>
  <c r="Z776" i="3"/>
  <c r="Y776" i="3"/>
  <c r="T871" i="3"/>
  <c r="U871" i="3"/>
  <c r="T895" i="3"/>
  <c r="U895" i="3"/>
  <c r="S1008" i="2"/>
  <c r="T1008" i="2"/>
  <c r="X357" i="2"/>
  <c r="Y357" i="2"/>
  <c r="Z708" i="3"/>
  <c r="Y708" i="3"/>
  <c r="T677" i="3"/>
  <c r="U677" i="3"/>
  <c r="Z425" i="3"/>
  <c r="Y425" i="3"/>
  <c r="T689" i="2"/>
  <c r="S689" i="2"/>
  <c r="AA967" i="1"/>
  <c r="AB967" i="1"/>
  <c r="T279" i="2"/>
  <c r="S279" i="2"/>
  <c r="T239" i="3"/>
  <c r="U239" i="3"/>
  <c r="AB923" i="1"/>
  <c r="AA923" i="1"/>
  <c r="Y452" i="2"/>
  <c r="X452" i="2"/>
  <c r="U745" i="3"/>
  <c r="T745" i="3"/>
  <c r="U763" i="3"/>
  <c r="T763" i="3"/>
  <c r="Y864" i="3"/>
  <c r="Z864" i="3"/>
  <c r="Y268" i="2"/>
  <c r="X268" i="2"/>
  <c r="T913" i="3"/>
  <c r="U913" i="3"/>
  <c r="Z311" i="3"/>
  <c r="Y311" i="3"/>
  <c r="U933" i="3"/>
  <c r="T933" i="3"/>
  <c r="X976" i="2"/>
  <c r="Y976" i="2"/>
  <c r="T582" i="3"/>
  <c r="U582" i="3"/>
  <c r="Z629" i="3"/>
  <c r="Y629" i="3"/>
  <c r="T942" i="2"/>
  <c r="S942" i="2"/>
  <c r="Y96" i="3"/>
  <c r="Z96" i="3"/>
  <c r="AB952" i="1"/>
  <c r="AA952" i="1"/>
  <c r="T891" i="2"/>
  <c r="S891" i="2"/>
  <c r="AB865" i="1"/>
  <c r="AA865" i="1"/>
  <c r="T731" i="3"/>
  <c r="U731" i="3"/>
  <c r="Y196" i="2"/>
  <c r="X196" i="2"/>
  <c r="S199" i="2"/>
  <c r="T199" i="2"/>
  <c r="X694" i="2"/>
  <c r="Y694" i="2"/>
  <c r="Z838" i="3"/>
  <c r="Y838" i="3"/>
  <c r="Z60" i="3"/>
  <c r="Y60" i="3"/>
  <c r="T164" i="3"/>
  <c r="U164" i="3"/>
  <c r="X426" i="2"/>
  <c r="Y426" i="2"/>
  <c r="Y581" i="2"/>
  <c r="X581" i="2"/>
  <c r="AB909" i="1"/>
  <c r="AA909" i="1"/>
  <c r="W774" i="1"/>
  <c r="V774" i="1"/>
  <c r="T353" i="2"/>
  <c r="S353" i="2"/>
  <c r="U276" i="3"/>
  <c r="T276" i="3"/>
  <c r="T846" i="2"/>
  <c r="S846" i="2"/>
  <c r="U622" i="3"/>
  <c r="T622" i="3"/>
  <c r="Y922" i="2"/>
  <c r="X922" i="2"/>
  <c r="AA779" i="1"/>
  <c r="AB779" i="1"/>
  <c r="Y432" i="2"/>
  <c r="X432" i="2"/>
  <c r="X322" i="2"/>
  <c r="Y322" i="2"/>
  <c r="U780" i="3"/>
  <c r="T780" i="3"/>
  <c r="Y651" i="2"/>
  <c r="X651" i="2"/>
  <c r="T985" i="2"/>
  <c r="S985" i="2"/>
  <c r="Y656" i="3"/>
  <c r="Z656" i="3"/>
  <c r="Y302" i="3"/>
  <c r="Z302" i="3"/>
  <c r="Y265" i="2"/>
  <c r="X265" i="2"/>
  <c r="X551" i="2"/>
  <c r="Y551" i="2"/>
  <c r="AA883" i="1"/>
  <c r="AB883" i="1"/>
  <c r="X526" i="2"/>
  <c r="Y526" i="2"/>
  <c r="T806" i="2"/>
  <c r="S806" i="2"/>
  <c r="X396" i="2"/>
  <c r="Y396" i="2"/>
  <c r="V754" i="1"/>
  <c r="W754" i="1"/>
  <c r="T581" i="2"/>
  <c r="S581" i="2"/>
  <c r="U889" i="3"/>
  <c r="T889" i="3"/>
  <c r="Z137" i="3"/>
  <c r="Y137" i="3"/>
  <c r="T764" i="2"/>
  <c r="S764" i="2"/>
  <c r="S500" i="2"/>
  <c r="T500" i="2"/>
  <c r="T263" i="3"/>
  <c r="U263" i="3"/>
  <c r="Z201" i="3"/>
  <c r="Y201" i="3"/>
  <c r="X859" i="2"/>
  <c r="Y859" i="2"/>
  <c r="T910" i="2"/>
  <c r="S910" i="2"/>
  <c r="S465" i="2"/>
  <c r="T465" i="2"/>
  <c r="AB748" i="1"/>
  <c r="AA748" i="1"/>
  <c r="U663" i="3"/>
  <c r="T663" i="3"/>
  <c r="U266" i="3"/>
  <c r="T266" i="3"/>
  <c r="V877" i="1"/>
  <c r="W877" i="1"/>
  <c r="V1013" i="1"/>
  <c r="W1013" i="1"/>
  <c r="U909" i="3"/>
  <c r="T909" i="3"/>
  <c r="T269" i="2"/>
  <c r="S269" i="2"/>
  <c r="T632" i="2"/>
  <c r="S632" i="2"/>
  <c r="Z917" i="3"/>
  <c r="Y917" i="3"/>
  <c r="W905" i="1"/>
  <c r="V905" i="1"/>
  <c r="Z857" i="3"/>
  <c r="Y857" i="3"/>
  <c r="S339" i="2"/>
  <c r="T339" i="2"/>
  <c r="Y774" i="3"/>
  <c r="Z774" i="3"/>
  <c r="T294" i="2"/>
  <c r="S294" i="2"/>
  <c r="S585" i="2"/>
  <c r="T585" i="2"/>
  <c r="Z882" i="3"/>
  <c r="Y882" i="3"/>
  <c r="X563" i="2"/>
  <c r="Y563" i="2"/>
  <c r="T155" i="3"/>
  <c r="U155" i="3"/>
  <c r="Z359" i="3"/>
  <c r="Y359" i="3"/>
  <c r="Z615" i="3"/>
  <c r="Y615" i="3"/>
  <c r="Y711" i="2"/>
  <c r="X711" i="2"/>
  <c r="Z449" i="3"/>
  <c r="Y449" i="3"/>
  <c r="V813" i="1"/>
  <c r="W813" i="1"/>
  <c r="Y851" i="2"/>
  <c r="X851" i="2"/>
  <c r="Z711" i="3"/>
  <c r="Y711" i="3"/>
  <c r="V997" i="1"/>
  <c r="W997" i="1"/>
  <c r="AB933" i="1"/>
  <c r="AA933" i="1"/>
  <c r="X809" i="2"/>
  <c r="Y809" i="2"/>
  <c r="U314" i="3"/>
  <c r="T314" i="3"/>
  <c r="Y909" i="3"/>
  <c r="Z909" i="3"/>
  <c r="U537" i="3"/>
  <c r="T537" i="3"/>
  <c r="U35" i="3"/>
  <c r="T35" i="3"/>
  <c r="X321" i="2"/>
  <c r="Y321" i="2"/>
  <c r="T848" i="3"/>
  <c r="U848" i="3"/>
  <c r="T89" i="3"/>
  <c r="U89" i="3"/>
  <c r="AB873" i="1"/>
  <c r="AA873" i="1"/>
  <c r="S933" i="2"/>
  <c r="T933" i="2"/>
  <c r="S982" i="2"/>
  <c r="T982" i="2"/>
  <c r="W856" i="1"/>
  <c r="V856" i="1"/>
  <c r="T254" i="2"/>
  <c r="S254" i="2"/>
  <c r="Z612" i="3"/>
  <c r="Y612" i="3"/>
  <c r="Y576" i="3"/>
  <c r="Z576" i="3"/>
  <c r="AA991" i="1"/>
  <c r="AB991" i="1"/>
  <c r="T477" i="2"/>
  <c r="S477" i="2"/>
  <c r="U692" i="3"/>
  <c r="T692" i="3"/>
  <c r="T738" i="2"/>
  <c r="S738" i="2"/>
  <c r="X795" i="2"/>
  <c r="Y795" i="2"/>
  <c r="Y487" i="3"/>
  <c r="Z487" i="3"/>
  <c r="Y818" i="3"/>
  <c r="Z818" i="3"/>
  <c r="T251" i="2"/>
  <c r="S251" i="2"/>
  <c r="T826" i="3"/>
  <c r="U826" i="3"/>
  <c r="T425" i="2"/>
  <c r="S425" i="2"/>
  <c r="Y146" i="3"/>
  <c r="Z146" i="3"/>
  <c r="T401" i="3"/>
  <c r="U401" i="3"/>
  <c r="Z678" i="3"/>
  <c r="Y678" i="3"/>
  <c r="AA808" i="1"/>
  <c r="AB808" i="1"/>
  <c r="Y101" i="3"/>
  <c r="Z101" i="3"/>
  <c r="T374" i="3"/>
  <c r="U374" i="3"/>
  <c r="T960" i="2"/>
  <c r="S960" i="2"/>
  <c r="U976" i="3"/>
  <c r="T976" i="3"/>
  <c r="T959" i="2"/>
  <c r="S959" i="2"/>
  <c r="T897" i="2"/>
  <c r="S897" i="2"/>
  <c r="T777" i="2"/>
  <c r="S777" i="2"/>
  <c r="Y399" i="2"/>
  <c r="X399" i="2"/>
  <c r="U299" i="3"/>
  <c r="T299" i="3"/>
  <c r="T815" i="2"/>
  <c r="S815" i="2"/>
  <c r="T487" i="2"/>
  <c r="S487" i="2"/>
  <c r="T307" i="2"/>
  <c r="S307" i="2"/>
  <c r="T665" i="3"/>
  <c r="U665" i="3"/>
  <c r="T390" i="3"/>
  <c r="U390" i="3"/>
  <c r="Y560" i="3"/>
  <c r="Z560" i="3"/>
  <c r="T655" i="3"/>
  <c r="U655" i="3"/>
  <c r="V680" i="1"/>
  <c r="W680" i="1"/>
  <c r="T635" i="2"/>
  <c r="S635" i="2"/>
  <c r="Z572" i="3"/>
  <c r="Y572" i="3"/>
  <c r="Z856" i="3"/>
  <c r="Y856" i="3"/>
  <c r="Y771" i="2"/>
  <c r="X771" i="2"/>
  <c r="V812" i="1"/>
  <c r="W812" i="1"/>
  <c r="S361" i="2"/>
  <c r="T361" i="2"/>
  <c r="T891" i="3"/>
  <c r="U891" i="3"/>
  <c r="S347" i="2"/>
  <c r="T347" i="2"/>
  <c r="S516" i="2"/>
  <c r="T516" i="2"/>
  <c r="T580" i="2"/>
  <c r="S580" i="2"/>
  <c r="W885" i="1"/>
  <c r="V885" i="1"/>
  <c r="T637" i="3"/>
  <c r="U637" i="3"/>
  <c r="Z929" i="3"/>
  <c r="Y929" i="3"/>
  <c r="AB784" i="1"/>
  <c r="AA784" i="1"/>
  <c r="Y978" i="2"/>
  <c r="X978" i="2"/>
  <c r="T671" i="2"/>
  <c r="S671" i="2"/>
  <c r="Y135" i="3"/>
  <c r="Z135" i="3"/>
  <c r="Z715" i="3"/>
  <c r="Y715" i="3"/>
  <c r="T687" i="2"/>
  <c r="S687" i="2"/>
  <c r="V796" i="1"/>
  <c r="W796" i="1"/>
  <c r="X249" i="2"/>
  <c r="Y249" i="2"/>
  <c r="Z220" i="3"/>
  <c r="Y220" i="3"/>
  <c r="S604" i="2"/>
  <c r="T604" i="2"/>
  <c r="T760" i="2"/>
  <c r="S760" i="2"/>
  <c r="Z718" i="3"/>
  <c r="Y718" i="3"/>
  <c r="AA852" i="1"/>
  <c r="AB852" i="1"/>
  <c r="Y576" i="2"/>
  <c r="X576" i="2"/>
  <c r="X770" i="2"/>
  <c r="Y770" i="2"/>
  <c r="Y657" i="2"/>
  <c r="X657" i="2"/>
  <c r="X553" i="2"/>
  <c r="Y553" i="2"/>
  <c r="Y810" i="2"/>
  <c r="X810" i="2"/>
  <c r="Y509" i="2"/>
  <c r="X509" i="2"/>
  <c r="T638" i="3"/>
  <c r="U638" i="3"/>
  <c r="Y600" i="3"/>
  <c r="Z600" i="3"/>
  <c r="Y415" i="3"/>
  <c r="Z415" i="3"/>
  <c r="Y452" i="3"/>
  <c r="Z452" i="3"/>
  <c r="S967" i="2"/>
  <c r="T967" i="2"/>
  <c r="T316" i="3"/>
  <c r="U316" i="3"/>
  <c r="Y800" i="2"/>
  <c r="X800" i="2"/>
  <c r="AA1003" i="1"/>
  <c r="AB1003" i="1"/>
  <c r="T927" i="3"/>
  <c r="U927" i="3"/>
  <c r="X995" i="2"/>
  <c r="Y995" i="2"/>
  <c r="Y897" i="2"/>
  <c r="X897" i="2"/>
  <c r="T828" i="3"/>
  <c r="U828" i="3"/>
  <c r="Y290" i="2"/>
  <c r="X290" i="2"/>
  <c r="S614" i="2"/>
  <c r="T614" i="2"/>
  <c r="Y338" i="2"/>
  <c r="X338" i="2"/>
  <c r="Y240" i="2"/>
  <c r="X240" i="2"/>
  <c r="T79" i="3"/>
  <c r="U79" i="3"/>
  <c r="T868" i="3"/>
  <c r="U868" i="3"/>
  <c r="U116" i="3"/>
  <c r="T116" i="3"/>
  <c r="U990" i="3"/>
  <c r="T990" i="3"/>
  <c r="X794" i="2"/>
  <c r="Y794" i="2"/>
  <c r="T238" i="3"/>
  <c r="U238" i="3"/>
  <c r="S204" i="2"/>
  <c r="T204" i="2"/>
  <c r="X1004" i="2"/>
  <c r="Y1004" i="2"/>
  <c r="Y809" i="3"/>
  <c r="Z809" i="3"/>
  <c r="Y762" i="2"/>
  <c r="X762" i="2"/>
  <c r="Y842" i="3"/>
  <c r="Z842" i="3"/>
  <c r="Z821" i="3"/>
  <c r="Y821" i="3"/>
  <c r="AA847" i="1"/>
  <c r="AB847" i="1"/>
  <c r="T540" i="3"/>
  <c r="U540" i="3"/>
  <c r="T940" i="3"/>
  <c r="U940" i="3"/>
  <c r="AA818" i="1"/>
  <c r="AB818" i="1"/>
  <c r="T189" i="3"/>
  <c r="U189" i="3"/>
  <c r="Y778" i="2"/>
  <c r="X778" i="2"/>
  <c r="T165" i="3"/>
  <c r="U165" i="3"/>
  <c r="Z837" i="3"/>
  <c r="Y837" i="3"/>
  <c r="S456" i="2"/>
  <c r="T456" i="2"/>
  <c r="AB962" i="1"/>
  <c r="AA962" i="1"/>
  <c r="Y565" i="2"/>
  <c r="X565" i="2"/>
  <c r="X459" i="2"/>
  <c r="Y459" i="2"/>
  <c r="V830" i="1"/>
  <c r="W830" i="1"/>
  <c r="S797" i="2"/>
  <c r="T797" i="2"/>
  <c r="Y364" i="3"/>
  <c r="Z364" i="3"/>
  <c r="T924" i="3"/>
  <c r="U924" i="3"/>
  <c r="Y538" i="2"/>
  <c r="X538" i="2"/>
  <c r="Y217" i="3"/>
  <c r="Z217" i="3"/>
  <c r="S424" i="2"/>
  <c r="T424" i="2"/>
  <c r="Z913" i="3"/>
  <c r="Y913" i="3"/>
  <c r="AB809" i="1"/>
  <c r="AA809" i="1"/>
  <c r="T233" i="3"/>
  <c r="U233" i="3"/>
  <c r="V1005" i="1"/>
  <c r="W1005" i="1"/>
  <c r="T319" i="2"/>
  <c r="S319" i="2"/>
  <c r="Z664" i="3"/>
  <c r="Y664" i="3"/>
  <c r="Y930" i="3"/>
  <c r="Z930" i="3"/>
  <c r="Y404" i="2"/>
  <c r="X404" i="2"/>
  <c r="X699" i="2"/>
  <c r="Y699" i="2"/>
  <c r="S949" i="2"/>
  <c r="T949" i="2"/>
  <c r="AB963" i="1"/>
  <c r="AA963" i="1"/>
  <c r="V732" i="1"/>
  <c r="W732" i="1"/>
  <c r="Y599" i="2"/>
  <c r="X599" i="2"/>
  <c r="T566" i="3"/>
  <c r="U566" i="3"/>
  <c r="AB879" i="1"/>
  <c r="AA879" i="1"/>
  <c r="T205" i="2"/>
  <c r="S205" i="2"/>
  <c r="T504" i="2"/>
  <c r="S504" i="2"/>
  <c r="T304" i="3"/>
  <c r="U304" i="3"/>
  <c r="X382" i="2"/>
  <c r="Y382" i="2"/>
  <c r="V1016" i="1"/>
  <c r="W1016" i="1"/>
  <c r="X667" i="2"/>
  <c r="Y667" i="2"/>
  <c r="Z223" i="3"/>
  <c r="Y223" i="3"/>
  <c r="AB1000" i="1"/>
  <c r="AA1000" i="1"/>
  <c r="T381" i="2"/>
  <c r="S381" i="2"/>
  <c r="U734" i="3"/>
  <c r="T734" i="3"/>
  <c r="T856" i="3"/>
  <c r="U856" i="3"/>
  <c r="T404" i="2"/>
  <c r="S404" i="2"/>
  <c r="U987" i="3"/>
  <c r="T987" i="3"/>
  <c r="Z381" i="3"/>
  <c r="Y381" i="3"/>
  <c r="Y604" i="3"/>
  <c r="Z604" i="3"/>
  <c r="Z356" i="3"/>
  <c r="Y356" i="3"/>
  <c r="T616" i="2"/>
  <c r="S616" i="2"/>
  <c r="AB958" i="1"/>
  <c r="AA958" i="1"/>
  <c r="T216" i="3"/>
  <c r="U216" i="3"/>
  <c r="AB753" i="1"/>
  <c r="AA753" i="1"/>
  <c r="X985" i="2"/>
  <c r="Y985" i="2"/>
  <c r="Y799" i="2"/>
  <c r="X799" i="2"/>
  <c r="T191" i="2"/>
  <c r="S191" i="2"/>
  <c r="T840" i="2"/>
  <c r="S840" i="2"/>
  <c r="S868" i="2"/>
  <c r="T868" i="2"/>
  <c r="S964" i="2"/>
  <c r="T964" i="2"/>
  <c r="X556" i="2"/>
  <c r="Y556" i="2"/>
  <c r="U989" i="3"/>
  <c r="T989" i="3"/>
  <c r="U536" i="3"/>
  <c r="T536" i="3"/>
  <c r="T543" i="2"/>
  <c r="S543" i="2"/>
  <c r="AB850" i="1"/>
  <c r="AA850" i="1"/>
  <c r="T873" i="2"/>
  <c r="S873" i="2"/>
  <c r="Y888" i="3"/>
  <c r="Z888" i="3"/>
  <c r="V938" i="1"/>
  <c r="W938" i="1"/>
  <c r="Z185" i="3"/>
  <c r="Y185" i="3"/>
  <c r="X943" i="2"/>
  <c r="Y943" i="2"/>
  <c r="U838" i="3"/>
  <c r="T838" i="3"/>
  <c r="Y784" i="3"/>
  <c r="Z784" i="3"/>
  <c r="X194" i="2"/>
  <c r="Y194" i="2"/>
  <c r="V785" i="1"/>
  <c r="W785" i="1"/>
  <c r="T403" i="2"/>
  <c r="S403" i="2"/>
  <c r="T303" i="2"/>
  <c r="S303" i="2"/>
  <c r="T883" i="3"/>
  <c r="U883" i="3"/>
  <c r="S594" i="2"/>
  <c r="T594" i="2"/>
  <c r="U551" i="3"/>
  <c r="T551" i="3"/>
  <c r="Z366" i="3"/>
  <c r="Y366" i="3"/>
  <c r="S280" i="2"/>
  <c r="T280" i="2"/>
  <c r="W955" i="1"/>
  <c r="V955" i="1"/>
  <c r="T775" i="2"/>
  <c r="S775" i="2"/>
  <c r="T881" i="2"/>
  <c r="S881" i="2"/>
  <c r="Y983" i="3"/>
  <c r="Z983" i="3"/>
  <c r="Y264" i="2"/>
  <c r="X264" i="2"/>
  <c r="T548" i="3"/>
  <c r="U548" i="3"/>
  <c r="X911" i="2"/>
  <c r="Y911" i="2"/>
  <c r="T237" i="3"/>
  <c r="U237" i="3"/>
  <c r="X713" i="2"/>
  <c r="Y713" i="2"/>
  <c r="Y979" i="2"/>
  <c r="X979" i="2"/>
  <c r="X717" i="2"/>
  <c r="Y717" i="2"/>
  <c r="Z559" i="3"/>
  <c r="Y559" i="3"/>
  <c r="Z232" i="3"/>
  <c r="Y232" i="3"/>
  <c r="Z768" i="3"/>
  <c r="Y768" i="3"/>
  <c r="AA974" i="1"/>
  <c r="AB974" i="1"/>
  <c r="S898" i="2"/>
  <c r="T898" i="2"/>
  <c r="T360" i="2"/>
  <c r="S360" i="2"/>
  <c r="V994" i="1"/>
  <c r="W994" i="1"/>
  <c r="X414" i="2"/>
  <c r="Y414" i="2"/>
  <c r="T619" i="2"/>
  <c r="S619" i="2"/>
  <c r="U429" i="3"/>
  <c r="T429" i="3"/>
  <c r="U939" i="3"/>
  <c r="T939" i="3"/>
  <c r="Z626" i="3"/>
  <c r="Y626" i="3"/>
  <c r="X677" i="2"/>
  <c r="Y677" i="2"/>
  <c r="S976" i="2"/>
  <c r="T976" i="2"/>
  <c r="U532" i="3"/>
  <c r="T532" i="3"/>
  <c r="W852" i="1"/>
  <c r="V852" i="1"/>
  <c r="T879" i="3"/>
  <c r="U879" i="3"/>
  <c r="S600" i="2"/>
  <c r="T600" i="2"/>
  <c r="T765" i="3"/>
  <c r="U765" i="3"/>
  <c r="Y823" i="3"/>
  <c r="Z823" i="3"/>
  <c r="Y299" i="2"/>
  <c r="X299" i="2"/>
  <c r="T481" i="3"/>
  <c r="U481" i="3"/>
  <c r="Y568" i="3"/>
  <c r="Z568" i="3"/>
  <c r="T962" i="3"/>
  <c r="U962" i="3"/>
  <c r="Y700" i="2"/>
  <c r="X700" i="2"/>
  <c r="T809" i="3"/>
  <c r="U809" i="3"/>
  <c r="W844" i="1"/>
  <c r="V844" i="1"/>
  <c r="Y903" i="2"/>
  <c r="X903" i="2"/>
  <c r="X618" i="2"/>
  <c r="Y618" i="2"/>
  <c r="AB711" i="1"/>
  <c r="AA711" i="1"/>
  <c r="Y189" i="2"/>
  <c r="X189" i="2"/>
  <c r="AB900" i="1"/>
  <c r="AA900" i="1"/>
  <c r="X718" i="2"/>
  <c r="Y718" i="2"/>
  <c r="T217" i="2"/>
  <c r="S217" i="2"/>
  <c r="Y325" i="3"/>
  <c r="Z325" i="3"/>
  <c r="Y279" i="3"/>
  <c r="Z279" i="3"/>
  <c r="T853" i="2"/>
  <c r="S853" i="2"/>
  <c r="Y613" i="3"/>
  <c r="Z613" i="3"/>
  <c r="X374" i="2"/>
  <c r="Y374" i="2"/>
  <c r="Z55" i="3"/>
  <c r="Y55" i="3"/>
  <c r="U243" i="3"/>
  <c r="T243" i="3"/>
  <c r="V837" i="1"/>
  <c r="W837" i="1"/>
  <c r="Z693" i="3"/>
  <c r="Y693" i="3"/>
  <c r="V695" i="1"/>
  <c r="W695" i="1"/>
  <c r="Y731" i="2"/>
  <c r="X731" i="2"/>
  <c r="Y607" i="2"/>
  <c r="X607" i="2"/>
  <c r="T134" i="3"/>
  <c r="U134" i="3"/>
  <c r="T695" i="2"/>
  <c r="S695" i="2"/>
  <c r="Y76" i="3"/>
  <c r="Z76" i="3"/>
  <c r="Y371" i="2"/>
  <c r="X371" i="2"/>
  <c r="V921" i="1"/>
  <c r="W921" i="1"/>
  <c r="Y566" i="2"/>
  <c r="X566" i="2"/>
  <c r="Z354" i="3"/>
  <c r="Y354" i="3"/>
  <c r="U355" i="3"/>
  <c r="T355" i="3"/>
  <c r="Z141" i="3"/>
  <c r="Y141" i="3"/>
  <c r="S794" i="2"/>
  <c r="T794" i="2"/>
  <c r="AA836" i="1"/>
  <c r="AB836" i="1"/>
  <c r="Z921" i="3"/>
  <c r="Y921" i="3"/>
  <c r="S842" i="2"/>
  <c r="T842" i="2"/>
  <c r="Y294" i="3"/>
  <c r="Z294" i="3"/>
  <c r="S322" i="2"/>
  <c r="T322" i="2"/>
  <c r="V827" i="1"/>
  <c r="W827" i="1"/>
  <c r="W937" i="1"/>
  <c r="V937" i="1"/>
  <c r="T698" i="2"/>
  <c r="S698" i="2"/>
  <c r="T242" i="2"/>
  <c r="S242" i="2"/>
  <c r="T241" i="3"/>
  <c r="U241" i="3"/>
  <c r="X579" i="2"/>
  <c r="Y579" i="2"/>
  <c r="Z493" i="3"/>
  <c r="Y493" i="3"/>
  <c r="T32" i="3"/>
  <c r="U32" i="3"/>
  <c r="X510" i="2"/>
  <c r="Y510" i="2"/>
  <c r="AA905" i="1"/>
  <c r="AB905" i="1"/>
  <c r="W883" i="1"/>
  <c r="V883" i="1"/>
  <c r="Z398" i="2"/>
  <c r="T388" i="2"/>
  <c r="S388" i="2"/>
  <c r="U917" i="3"/>
  <c r="T917" i="3"/>
  <c r="Z545" i="3"/>
  <c r="Y545" i="3"/>
  <c r="T733" i="2"/>
  <c r="S733" i="2"/>
  <c r="Z767" i="3"/>
  <c r="Y767" i="3"/>
  <c r="Y177" i="3"/>
  <c r="Z177" i="3"/>
  <c r="V811" i="1"/>
  <c r="W811" i="1"/>
  <c r="T709" i="2"/>
  <c r="S709" i="2"/>
  <c r="S261" i="2"/>
  <c r="T261" i="2"/>
  <c r="W1011" i="1"/>
  <c r="V1011" i="1"/>
  <c r="X984" i="2"/>
  <c r="Y984" i="2"/>
  <c r="T536" i="2"/>
  <c r="S536" i="2"/>
  <c r="T575" i="3"/>
  <c r="U575" i="3"/>
  <c r="Y699" i="3"/>
  <c r="Z699" i="3"/>
  <c r="Z402" i="3"/>
  <c r="Y402" i="3"/>
  <c r="Y47" i="3"/>
  <c r="Z47" i="3"/>
  <c r="AA925" i="1"/>
  <c r="AB925" i="1"/>
  <c r="AB870" i="1"/>
  <c r="AA870" i="1"/>
  <c r="S672" i="2"/>
  <c r="T672" i="2"/>
  <c r="T788" i="3"/>
  <c r="U788" i="3"/>
  <c r="T221" i="3"/>
  <c r="U221" i="3"/>
  <c r="X906" i="2"/>
  <c r="Y906" i="2"/>
  <c r="T985" i="3"/>
  <c r="U985" i="3"/>
  <c r="Y387" i="3"/>
  <c r="Z387" i="3"/>
  <c r="W897" i="1"/>
  <c r="V897" i="1"/>
  <c r="Y388" i="2"/>
  <c r="X388" i="2"/>
  <c r="V960" i="1"/>
  <c r="W960" i="1"/>
  <c r="S956" i="2"/>
  <c r="T956" i="2"/>
  <c r="Y235" i="3"/>
  <c r="Z235" i="3"/>
  <c r="X398" i="2"/>
  <c r="Y398" i="2"/>
  <c r="U556" i="3"/>
  <c r="T556" i="3"/>
  <c r="T377" i="2"/>
  <c r="S377" i="2"/>
  <c r="X583" i="2"/>
  <c r="Y583" i="2"/>
  <c r="T254" i="3"/>
  <c r="U254" i="3"/>
  <c r="W736" i="1"/>
  <c r="V736" i="1"/>
  <c r="X601" i="2"/>
  <c r="Y601" i="2"/>
  <c r="U76" i="3"/>
  <c r="T76" i="3"/>
  <c r="AA892" i="1"/>
  <c r="AB892" i="1"/>
  <c r="Y759" i="2"/>
  <c r="X759" i="2"/>
  <c r="U428" i="3"/>
  <c r="T428" i="3"/>
  <c r="Z420" i="3"/>
  <c r="Y420" i="3"/>
  <c r="Y531" i="2"/>
  <c r="X531" i="2"/>
  <c r="S492" i="2"/>
  <c r="T492" i="2"/>
  <c r="Y475" i="2"/>
  <c r="X475" i="2"/>
  <c r="Y871" i="2"/>
  <c r="X871" i="2"/>
  <c r="T656" i="2"/>
  <c r="S656" i="2"/>
  <c r="Y298" i="2"/>
  <c r="X298" i="2"/>
  <c r="U668" i="3"/>
  <c r="T668" i="3"/>
  <c r="AA920" i="1"/>
  <c r="AB920" i="1"/>
  <c r="Z447" i="3"/>
  <c r="Y447" i="3"/>
  <c r="AA942" i="1"/>
  <c r="AB942" i="1"/>
  <c r="Y420" i="2"/>
  <c r="X420" i="2"/>
  <c r="T808" i="2"/>
  <c r="S808" i="2"/>
  <c r="AB681" i="1"/>
  <c r="AA681" i="1"/>
  <c r="X535" i="2"/>
  <c r="Y535" i="2"/>
  <c r="S508" i="2"/>
  <c r="T508" i="2"/>
  <c r="S401" i="2"/>
  <c r="T401" i="2"/>
  <c r="T615" i="3"/>
  <c r="U615" i="3"/>
  <c r="Z254" i="3"/>
  <c r="Y254" i="3"/>
  <c r="T470" i="2"/>
  <c r="S470" i="2"/>
  <c r="AB741" i="1"/>
  <c r="AA741" i="1"/>
  <c r="Y234" i="2"/>
  <c r="X234" i="2"/>
  <c r="T702" i="2"/>
  <c r="S702" i="2"/>
  <c r="Y587" i="2"/>
  <c r="X587" i="2"/>
  <c r="Z829" i="3"/>
  <c r="Y829" i="3"/>
  <c r="U173" i="3"/>
  <c r="T173" i="3"/>
  <c r="Z870" i="3"/>
  <c r="Y870" i="3"/>
  <c r="W749" i="1"/>
  <c r="V749" i="1"/>
  <c r="T757" i="2"/>
  <c r="S757" i="2"/>
  <c r="Y167" i="3"/>
  <c r="Z167" i="3"/>
  <c r="AB763" i="1"/>
  <c r="AA763" i="1"/>
  <c r="X788" i="2"/>
  <c r="Y788" i="2"/>
  <c r="S676" i="2"/>
  <c r="T676" i="2"/>
  <c r="Y331" i="2"/>
  <c r="X331" i="2"/>
  <c r="U925" i="3"/>
  <c r="T925" i="3"/>
  <c r="Z671" i="3"/>
  <c r="Y671" i="3"/>
  <c r="Y358" i="2"/>
  <c r="X358" i="2"/>
  <c r="T307" i="3"/>
  <c r="U307" i="3"/>
  <c r="W890" i="1"/>
  <c r="V890" i="1"/>
  <c r="U202" i="3"/>
  <c r="T202" i="3"/>
  <c r="V996" i="1"/>
  <c r="W996" i="1"/>
  <c r="T765" i="2"/>
  <c r="S765" i="2"/>
  <c r="S772" i="2"/>
  <c r="T772" i="2"/>
  <c r="T84" i="3"/>
  <c r="U84" i="3"/>
  <c r="T633" i="2"/>
  <c r="S633" i="2"/>
  <c r="AB709" i="1"/>
  <c r="AA709" i="1"/>
  <c r="U916" i="3"/>
  <c r="T916" i="3"/>
  <c r="U525" i="3"/>
  <c r="T525" i="3"/>
  <c r="S542" i="2"/>
  <c r="T542" i="2"/>
  <c r="T864" i="2"/>
  <c r="S864" i="2"/>
  <c r="U652" i="3"/>
  <c r="T652" i="3"/>
  <c r="W722" i="1"/>
  <c r="V722" i="1"/>
  <c r="Z374" i="3"/>
  <c r="Y374" i="3"/>
  <c r="T1004" i="2"/>
  <c r="S1004" i="2"/>
  <c r="U523" i="3"/>
  <c r="T523" i="3"/>
  <c r="X629" i="2"/>
  <c r="Y629" i="2"/>
  <c r="Y217" i="2"/>
  <c r="X217" i="2"/>
  <c r="S314" i="2"/>
  <c r="T314" i="2"/>
  <c r="T430" i="2"/>
  <c r="S430" i="2"/>
  <c r="T857" i="2"/>
  <c r="S857" i="2"/>
  <c r="T736" i="2"/>
  <c r="S736" i="2"/>
  <c r="Z800" i="3"/>
  <c r="Y800" i="3"/>
  <c r="T586" i="2"/>
  <c r="S586" i="2"/>
  <c r="U301" i="3"/>
  <c r="T301" i="3"/>
  <c r="S993" i="2"/>
  <c r="T993" i="2"/>
  <c r="Z160" i="3"/>
  <c r="Y160" i="3"/>
  <c r="X544" i="2"/>
  <c r="Y544" i="2"/>
  <c r="T762" i="3"/>
  <c r="U762" i="3"/>
  <c r="T847" i="2"/>
  <c r="S847" i="2"/>
  <c r="Z57" i="3"/>
  <c r="Y57" i="3"/>
  <c r="Y317" i="3"/>
  <c r="Z317" i="3"/>
  <c r="Y674" i="2"/>
  <c r="X674" i="2"/>
  <c r="Y873" i="2"/>
  <c r="X873" i="2"/>
  <c r="AB765" i="1"/>
  <c r="AA765" i="1"/>
  <c r="T425" i="3"/>
  <c r="U425" i="3"/>
  <c r="T313" i="2"/>
  <c r="S313" i="2"/>
  <c r="T451" i="3"/>
  <c r="U451" i="3"/>
  <c r="Z793" i="3"/>
  <c r="Y793" i="3"/>
  <c r="W898" i="1"/>
  <c r="V898" i="1"/>
  <c r="X571" i="2"/>
  <c r="Y571" i="2"/>
  <c r="T246" i="3"/>
  <c r="U246" i="3"/>
  <c r="T941" i="3"/>
  <c r="U941" i="3"/>
  <c r="X740" i="2"/>
  <c r="Y740" i="2"/>
  <c r="Z132" i="3"/>
  <c r="Y132" i="3"/>
  <c r="X889" i="2"/>
  <c r="Y889" i="2"/>
  <c r="S637" i="2"/>
  <c r="T637" i="2"/>
  <c r="S836" i="2"/>
  <c r="T836" i="2"/>
  <c r="X786" i="2"/>
  <c r="Y786" i="2"/>
  <c r="Y342" i="2"/>
  <c r="X342" i="2"/>
  <c r="X605" i="2"/>
  <c r="Y605" i="2"/>
  <c r="T383" i="3"/>
  <c r="U383" i="3"/>
  <c r="W860" i="1"/>
  <c r="V860" i="1"/>
  <c r="Y550" i="3"/>
  <c r="Z550" i="3"/>
  <c r="W916" i="1"/>
  <c r="V916" i="1"/>
  <c r="AB812" i="1"/>
  <c r="AA812" i="1"/>
  <c r="T967" i="3"/>
  <c r="U967" i="3"/>
  <c r="Y385" i="2"/>
  <c r="X385" i="2"/>
  <c r="Y500" i="2"/>
  <c r="X500" i="2"/>
  <c r="S291" i="2"/>
  <c r="T291" i="2"/>
  <c r="S782" i="2"/>
  <c r="T782" i="2"/>
  <c r="T526" i="3"/>
  <c r="U526" i="3"/>
  <c r="Z906" i="3"/>
  <c r="Y906" i="3"/>
  <c r="U858" i="3"/>
  <c r="T858" i="3"/>
  <c r="X963" i="2"/>
  <c r="Y963" i="2"/>
  <c r="Z226" i="3"/>
  <c r="Y226" i="3"/>
  <c r="U78" i="3"/>
  <c r="T78" i="3"/>
  <c r="AA79" i="1"/>
  <c r="AB79" i="1"/>
  <c r="Y225" i="2"/>
  <c r="X225" i="2"/>
  <c r="X369" i="2"/>
  <c r="Y369" i="2"/>
  <c r="Z925" i="3"/>
  <c r="Y925" i="3"/>
  <c r="AB811" i="1"/>
  <c r="AA811" i="1"/>
  <c r="T197" i="3"/>
  <c r="U197" i="3"/>
  <c r="Y280" i="3"/>
  <c r="Z280" i="3"/>
  <c r="AA705" i="1"/>
  <c r="AB705" i="1"/>
  <c r="V825" i="1"/>
  <c r="W825" i="1"/>
  <c r="T509" i="2"/>
  <c r="S509" i="2"/>
  <c r="V739" i="1"/>
  <c r="W739" i="1"/>
  <c r="T579" i="2"/>
  <c r="S579" i="2"/>
  <c r="Y540" i="3"/>
  <c r="Z540" i="3"/>
  <c r="T979" i="3"/>
  <c r="U979" i="3"/>
  <c r="Y515" i="3"/>
  <c r="Z515" i="3"/>
  <c r="T646" i="3"/>
  <c r="U646" i="3"/>
  <c r="Z974" i="3"/>
  <c r="Y974" i="3"/>
  <c r="T482" i="2"/>
  <c r="S482" i="2"/>
  <c r="T956" i="3"/>
  <c r="U956" i="3"/>
  <c r="W972" i="1"/>
  <c r="V972" i="1"/>
  <c r="T877" i="2"/>
  <c r="S877" i="2"/>
  <c r="AB77" i="1"/>
  <c r="AA77" i="1"/>
  <c r="X881" i="2"/>
  <c r="Y881" i="2"/>
  <c r="T667" i="2"/>
  <c r="S667" i="2"/>
  <c r="S412" i="2"/>
  <c r="T412" i="2"/>
  <c r="Y746" i="3"/>
  <c r="Z746" i="3"/>
  <c r="U992" i="3"/>
  <c r="T992" i="3"/>
  <c r="Z298" i="3"/>
  <c r="Y298" i="3"/>
  <c r="Y368" i="2"/>
  <c r="X368" i="2"/>
  <c r="X879" i="2"/>
  <c r="Y879" i="2"/>
  <c r="T335" i="2"/>
  <c r="S335" i="2"/>
  <c r="T273" i="3"/>
  <c r="U273" i="3"/>
  <c r="Y574" i="2"/>
  <c r="X574" i="2"/>
  <c r="AA742" i="1"/>
  <c r="AB742" i="1"/>
  <c r="Y30" i="3"/>
  <c r="Z30" i="3"/>
  <c r="V760" i="1"/>
  <c r="W760" i="1"/>
  <c r="Y252" i="2"/>
  <c r="X252" i="2"/>
  <c r="AB685" i="1"/>
  <c r="AA685" i="1"/>
  <c r="AB794" i="1"/>
  <c r="AA794" i="1"/>
  <c r="AB796" i="1"/>
  <c r="AA796" i="1"/>
  <c r="T486" i="2"/>
  <c r="S486" i="2"/>
  <c r="Z961" i="3"/>
  <c r="Y961" i="3"/>
  <c r="Z808" i="3"/>
  <c r="Y808" i="3"/>
  <c r="U105" i="3"/>
  <c r="T105" i="3"/>
  <c r="Y502" i="2"/>
  <c r="X502" i="2"/>
  <c r="Y594" i="3"/>
  <c r="Z594" i="3"/>
  <c r="V780" i="1"/>
  <c r="W780" i="1"/>
  <c r="Z87" i="3"/>
  <c r="Y87" i="3"/>
  <c r="W1017" i="1"/>
  <c r="V1017" i="1"/>
  <c r="T394" i="2"/>
  <c r="S394" i="2"/>
  <c r="W718" i="1"/>
  <c r="V718" i="1"/>
  <c r="Z112" i="3"/>
  <c r="Y112" i="3"/>
  <c r="U396" i="3"/>
  <c r="T396" i="3"/>
  <c r="U616" i="3"/>
  <c r="T616" i="3"/>
  <c r="T575" i="2"/>
  <c r="S575" i="2"/>
  <c r="V942" i="1"/>
  <c r="W942" i="1"/>
  <c r="V700" i="1"/>
  <c r="W700" i="1"/>
  <c r="Y953" i="2"/>
  <c r="X953" i="2"/>
  <c r="T267" i="2"/>
  <c r="S267" i="2"/>
  <c r="T317" i="2"/>
  <c r="S317" i="2"/>
  <c r="V1014" i="1"/>
  <c r="W1014" i="1"/>
  <c r="U101" i="3"/>
  <c r="T101" i="3"/>
  <c r="X921" i="2"/>
  <c r="Y921" i="2"/>
  <c r="U721" i="3"/>
  <c r="T721" i="3"/>
  <c r="T31" i="3"/>
  <c r="U31" i="3"/>
  <c r="Y362" i="3"/>
  <c r="Z362" i="3"/>
  <c r="T190" i="2"/>
  <c r="S190" i="2"/>
  <c r="Z70" i="3"/>
  <c r="Y70" i="3"/>
  <c r="W1009" i="1"/>
  <c r="V1009" i="1"/>
  <c r="S272" i="2"/>
  <c r="T272" i="2"/>
  <c r="Z212" i="3"/>
  <c r="Y212" i="3"/>
  <c r="Y779" i="2"/>
  <c r="X779" i="2"/>
  <c r="T972" i="2"/>
  <c r="S972" i="2"/>
  <c r="V787" i="1"/>
  <c r="W787" i="1"/>
  <c r="T503" i="3"/>
  <c r="U503" i="3"/>
  <c r="T643" i="2"/>
  <c r="S643" i="2"/>
  <c r="T335" i="3"/>
  <c r="U335" i="3"/>
  <c r="T365" i="2"/>
  <c r="S365" i="2"/>
  <c r="AA712" i="1"/>
  <c r="AB712" i="1"/>
  <c r="Y752" i="3"/>
  <c r="Z752" i="3"/>
  <c r="AB998" i="1"/>
  <c r="AA998" i="1"/>
  <c r="W741" i="1"/>
  <c r="V741" i="1"/>
  <c r="U836" i="3"/>
  <c r="T836" i="3"/>
  <c r="T932" i="3"/>
  <c r="U932" i="3"/>
  <c r="U497" i="3"/>
  <c r="T497" i="3"/>
  <c r="W661" i="1"/>
  <c r="V661" i="1"/>
  <c r="T63" i="3"/>
  <c r="U63" i="3"/>
  <c r="Z288" i="3"/>
  <c r="Y288" i="3"/>
  <c r="U900" i="3"/>
  <c r="T900" i="3"/>
  <c r="U711" i="3"/>
  <c r="T711" i="3"/>
  <c r="S375" i="2"/>
  <c r="T375" i="2"/>
  <c r="T641" i="3"/>
  <c r="U641" i="3"/>
  <c r="T478" i="3"/>
  <c r="U478" i="3"/>
  <c r="X716" i="2"/>
  <c r="Y716" i="2"/>
  <c r="W924" i="1"/>
  <c r="V924" i="1"/>
  <c r="U607" i="3"/>
  <c r="T607" i="3"/>
  <c r="Y126" i="3"/>
  <c r="Z126" i="3"/>
  <c r="S762" i="2"/>
  <c r="T762" i="2"/>
  <c r="U728" i="3"/>
  <c r="T728" i="3"/>
  <c r="U219" i="3"/>
  <c r="T219" i="3"/>
  <c r="U207" i="3"/>
  <c r="T207" i="3"/>
  <c r="T752" i="2"/>
  <c r="S752" i="2"/>
  <c r="U147" i="3"/>
  <c r="T147" i="3"/>
  <c r="W805" i="1"/>
  <c r="V805" i="1"/>
  <c r="Y735" i="2"/>
  <c r="X735" i="2"/>
  <c r="X465" i="2"/>
  <c r="Y465" i="2"/>
  <c r="U472" i="3"/>
  <c r="T472" i="3"/>
  <c r="Y706" i="3"/>
  <c r="Z706" i="3"/>
  <c r="Z209" i="3"/>
  <c r="Y209" i="3"/>
  <c r="Y542" i="3"/>
  <c r="Z542" i="3"/>
  <c r="S977" i="2"/>
  <c r="T977" i="2"/>
  <c r="T714" i="2"/>
  <c r="S714" i="2"/>
  <c r="Y654" i="2"/>
  <c r="X654" i="2"/>
  <c r="Z74" i="3"/>
  <c r="Y74" i="3"/>
  <c r="Z970" i="3"/>
  <c r="Y970" i="3"/>
  <c r="X764" i="2"/>
  <c r="Y764" i="2"/>
  <c r="T386" i="3"/>
  <c r="U386" i="3"/>
  <c r="T751" i="2"/>
  <c r="S751" i="2"/>
  <c r="U306" i="3"/>
  <c r="T306" i="3"/>
  <c r="T649" i="3"/>
  <c r="U649" i="3"/>
  <c r="T138" i="3"/>
  <c r="U138" i="3"/>
  <c r="AB868" i="1"/>
  <c r="AA868" i="1"/>
  <c r="T421" i="3"/>
  <c r="U421" i="3"/>
  <c r="U599" i="3"/>
  <c r="T599" i="3"/>
  <c r="T936" i="2"/>
  <c r="S936" i="2"/>
  <c r="Z988" i="3"/>
  <c r="Y988" i="3"/>
  <c r="X224" i="2"/>
  <c r="Y224" i="2"/>
  <c r="S411" i="2"/>
  <c r="T411" i="2"/>
  <c r="AC727" i="2"/>
  <c r="T364" i="3"/>
  <c r="U364" i="3"/>
  <c r="Z116" i="3"/>
  <c r="Y116" i="3"/>
  <c r="Z472" i="3"/>
  <c r="Y472" i="3"/>
  <c r="Y972" i="3"/>
  <c r="Z972" i="3"/>
  <c r="X366" i="2"/>
  <c r="Y366" i="2"/>
  <c r="Z143" i="3"/>
  <c r="Y143" i="3"/>
  <c r="Y214" i="3"/>
  <c r="Z214" i="3"/>
  <c r="V723" i="1"/>
  <c r="W723" i="1"/>
  <c r="T238" i="2"/>
  <c r="S238" i="2"/>
  <c r="AB972" i="1"/>
  <c r="AA972" i="1"/>
  <c r="AA754" i="1"/>
  <c r="AB754" i="1"/>
  <c r="AB696" i="1"/>
  <c r="AA696" i="1"/>
  <c r="X988" i="2"/>
  <c r="Y988" i="2"/>
  <c r="Z991" i="3"/>
  <c r="Y991" i="3"/>
  <c r="S466" i="2"/>
  <c r="T466" i="2"/>
  <c r="T217" i="3"/>
  <c r="U217" i="3"/>
  <c r="S878" i="2"/>
  <c r="T878" i="2"/>
  <c r="U373" i="3"/>
  <c r="T373" i="3"/>
  <c r="S325" i="2"/>
  <c r="T325" i="2"/>
  <c r="AA769" i="1"/>
  <c r="AB769" i="1"/>
  <c r="V893" i="1"/>
  <c r="W893" i="1"/>
  <c r="Y454" i="2"/>
  <c r="X454" i="2"/>
  <c r="Y924" i="3"/>
  <c r="Z924" i="3"/>
  <c r="T492" i="3"/>
  <c r="U492" i="3"/>
  <c r="W669" i="1"/>
  <c r="V669" i="1"/>
  <c r="S755" i="2"/>
  <c r="T755" i="2"/>
  <c r="V886" i="1"/>
  <c r="W886" i="1"/>
  <c r="T1003" i="2"/>
  <c r="S1003" i="2"/>
  <c r="Y608" i="3"/>
  <c r="Z608" i="3"/>
  <c r="T540" i="2"/>
  <c r="S540" i="2"/>
  <c r="S1007" i="2"/>
  <c r="T1007" i="2"/>
  <c r="T355" i="2"/>
  <c r="S355" i="2"/>
  <c r="U700" i="3"/>
  <c r="T700" i="3"/>
  <c r="Z753" i="3"/>
  <c r="Y753" i="3"/>
  <c r="T190" i="3"/>
  <c r="U190" i="3"/>
  <c r="AB894" i="1"/>
  <c r="AA894" i="1"/>
  <c r="T791" i="3"/>
  <c r="U791" i="3"/>
  <c r="Y590" i="3"/>
  <c r="Z590" i="3"/>
  <c r="AA821" i="1"/>
  <c r="AB821" i="1"/>
  <c r="V686" i="1"/>
  <c r="W686" i="1"/>
  <c r="T686" i="2"/>
  <c r="S686" i="2"/>
  <c r="Z723" i="3"/>
  <c r="Y723" i="3"/>
  <c r="AB776" i="1"/>
  <c r="AA776" i="1"/>
  <c r="X620" i="2"/>
  <c r="Y620" i="2"/>
  <c r="U507" i="3"/>
  <c r="T507" i="3"/>
  <c r="AA855" i="1"/>
  <c r="AB855" i="1"/>
  <c r="Z338" i="3"/>
  <c r="Y338" i="3"/>
  <c r="U444" i="3"/>
  <c r="T444" i="3"/>
  <c r="T362" i="2"/>
  <c r="S362" i="2"/>
  <c r="X822" i="2"/>
  <c r="Y822" i="2"/>
  <c r="U764" i="3"/>
  <c r="T764" i="3"/>
  <c r="AB78" i="1"/>
  <c r="AA78" i="1"/>
  <c r="AA801" i="1"/>
  <c r="AB801" i="1"/>
  <c r="U581" i="3"/>
  <c r="T581" i="3"/>
  <c r="AB882" i="1"/>
  <c r="AA882" i="1"/>
  <c r="U666" i="3"/>
  <c r="T666" i="3"/>
  <c r="X646" i="2"/>
  <c r="Y646" i="2"/>
  <c r="S603" i="2"/>
  <c r="T603" i="2"/>
  <c r="U767" i="3"/>
  <c r="T767" i="3"/>
  <c r="Y543" i="2"/>
  <c r="X543" i="2"/>
  <c r="S285" i="2"/>
  <c r="T285" i="2"/>
  <c r="Z806" i="3"/>
  <c r="Y806" i="3"/>
  <c r="T574" i="3"/>
  <c r="U574" i="3"/>
  <c r="S539" i="2"/>
  <c r="T539" i="2"/>
  <c r="Y871" i="3"/>
  <c r="Z871" i="3"/>
  <c r="Y900" i="3"/>
  <c r="Z900" i="3"/>
  <c r="AB896" i="1"/>
  <c r="AA896" i="1"/>
  <c r="T712" i="2"/>
  <c r="S712" i="2"/>
  <c r="Y970" i="2"/>
  <c r="X970" i="2"/>
  <c r="U387" i="3"/>
  <c r="T387" i="3"/>
  <c r="AD277" i="3"/>
  <c r="AD246" i="3"/>
  <c r="Y761" i="2"/>
  <c r="X761" i="2"/>
  <c r="Y659" i="2"/>
  <c r="X659" i="2"/>
  <c r="Z29" i="3"/>
  <c r="Y29" i="3"/>
  <c r="T721" i="2"/>
  <c r="S721" i="2"/>
  <c r="S920" i="2"/>
  <c r="T920" i="2"/>
  <c r="AG185" i="2"/>
  <c r="X982" i="2"/>
  <c r="Y982" i="2"/>
  <c r="AB985" i="1"/>
  <c r="AA985" i="1"/>
  <c r="T320" i="2"/>
  <c r="S320" i="2"/>
  <c r="T546" i="2"/>
  <c r="S546" i="2"/>
  <c r="X622" i="2"/>
  <c r="Y622" i="2"/>
  <c r="AG747" i="2"/>
  <c r="T558" i="2"/>
  <c r="S558" i="2"/>
  <c r="AC801" i="2"/>
  <c r="Z918" i="3"/>
  <c r="Y918" i="3"/>
  <c r="T793" i="2"/>
  <c r="S793" i="2"/>
  <c r="T418" i="2"/>
  <c r="S418" i="2"/>
  <c r="Z299" i="3"/>
  <c r="Y299" i="3"/>
  <c r="AB761" i="1"/>
  <c r="AA761" i="1"/>
  <c r="T230" i="2"/>
  <c r="S230" i="2"/>
  <c r="Z188" i="3"/>
  <c r="Y188" i="3"/>
  <c r="U873" i="3"/>
  <c r="T873" i="3"/>
  <c r="V687" i="1"/>
  <c r="W687" i="1"/>
  <c r="V840" i="1"/>
  <c r="W840" i="1"/>
  <c r="Z948" i="3"/>
  <c r="Y948" i="3"/>
  <c r="Z183" i="3"/>
  <c r="Y183" i="3"/>
  <c r="Y647" i="2"/>
  <c r="X647" i="2"/>
  <c r="X844" i="2"/>
  <c r="Y844" i="2"/>
  <c r="S988" i="2"/>
  <c r="T988" i="2"/>
  <c r="Z691" i="3"/>
  <c r="Y691" i="3"/>
  <c r="S625" i="2"/>
  <c r="T625" i="2"/>
  <c r="Y380" i="3"/>
  <c r="Z380" i="3"/>
  <c r="Y602" i="2"/>
  <c r="X602" i="2"/>
  <c r="W756" i="1"/>
  <c r="V756" i="1"/>
  <c r="S469" i="2"/>
  <c r="T469" i="2"/>
  <c r="Y295" i="3"/>
  <c r="Z295" i="3"/>
  <c r="W819" i="1"/>
  <c r="V819" i="1"/>
  <c r="T313" i="3"/>
  <c r="U313" i="3"/>
  <c r="Y58" i="3"/>
  <c r="Z58" i="3"/>
  <c r="AG245" i="2"/>
  <c r="X856" i="2"/>
  <c r="Y856" i="2"/>
  <c r="Z401" i="2"/>
  <c r="Y407" i="2"/>
  <c r="X407" i="2"/>
  <c r="AA940" i="1"/>
  <c r="AB940" i="1"/>
  <c r="Z330" i="3"/>
  <c r="Y330" i="3"/>
  <c r="T200" i="2"/>
  <c r="S200" i="2"/>
  <c r="Y427" i="3"/>
  <c r="Z427" i="3"/>
  <c r="Z253" i="3"/>
  <c r="Y253" i="3"/>
  <c r="AB845" i="1"/>
  <c r="AA845" i="1"/>
  <c r="V881" i="1"/>
  <c r="W881" i="1"/>
  <c r="T981" i="3"/>
  <c r="U981" i="3"/>
  <c r="S400" i="2"/>
  <c r="T400" i="2"/>
  <c r="Z926" i="3"/>
  <c r="Y926" i="3"/>
  <c r="Y840" i="3"/>
  <c r="Z840" i="3"/>
  <c r="S228" i="2"/>
  <c r="T228" i="2"/>
  <c r="Y885" i="3"/>
  <c r="Z885" i="3"/>
  <c r="V820" i="1"/>
  <c r="W820" i="1"/>
  <c r="Z690" i="3"/>
  <c r="Y690" i="3"/>
  <c r="AB934" i="1"/>
  <c r="AA934" i="1"/>
  <c r="T489" i="2"/>
  <c r="S489" i="2"/>
  <c r="Z246" i="3"/>
  <c r="Y246" i="3"/>
  <c r="U406" i="3"/>
  <c r="T406" i="3"/>
  <c r="T192" i="3"/>
  <c r="U192" i="3"/>
  <c r="V903" i="1"/>
  <c r="W903" i="1"/>
  <c r="X478" i="2"/>
  <c r="Y478" i="2"/>
  <c r="S894" i="2"/>
  <c r="T894" i="2"/>
  <c r="S958" i="2"/>
  <c r="T958" i="2"/>
  <c r="T803" i="2"/>
  <c r="S803" i="2"/>
  <c r="S245" i="2"/>
  <c r="T245" i="2"/>
  <c r="T115" i="3"/>
  <c r="U115" i="3"/>
  <c r="Z468" i="3"/>
  <c r="Y468" i="3"/>
  <c r="U795" i="3"/>
  <c r="T795" i="3"/>
  <c r="W857" i="1"/>
  <c r="V857" i="1"/>
  <c r="X254" i="2"/>
  <c r="Y254" i="2"/>
  <c r="U844" i="3"/>
  <c r="T844" i="3"/>
  <c r="Y85" i="3"/>
  <c r="Z85" i="3"/>
  <c r="T866" i="3"/>
  <c r="U866" i="3"/>
  <c r="T43" i="3"/>
  <c r="U43" i="3"/>
  <c r="AC466" i="2"/>
  <c r="U250" i="3"/>
  <c r="T250" i="3"/>
  <c r="T218" i="3"/>
  <c r="U218" i="3"/>
  <c r="Y207" i="3"/>
  <c r="Z207" i="3"/>
  <c r="Z208" i="3"/>
  <c r="Y208" i="3"/>
  <c r="Z38" i="3"/>
  <c r="Y38" i="3"/>
  <c r="T380" i="2"/>
  <c r="S380" i="2"/>
  <c r="T875" i="2"/>
  <c r="S875" i="2"/>
  <c r="S630" i="2"/>
  <c r="T630" i="2"/>
  <c r="X1007" i="2"/>
  <c r="Y1007" i="2"/>
  <c r="U738" i="3"/>
  <c r="T738" i="3"/>
  <c r="U517" i="3"/>
  <c r="T517" i="3"/>
  <c r="Z287" i="3"/>
  <c r="Y287" i="3"/>
  <c r="U407" i="3"/>
  <c r="T407" i="3"/>
  <c r="Z490" i="3"/>
  <c r="Y490" i="3"/>
  <c r="S528" i="2"/>
  <c r="T528" i="2"/>
  <c r="AA858" i="1"/>
  <c r="AB858" i="1"/>
  <c r="Y333" i="2"/>
  <c r="X333" i="2"/>
  <c r="S407" i="2"/>
  <c r="T407" i="2"/>
  <c r="AB806" i="1"/>
  <c r="AA806" i="1"/>
  <c r="S529" i="2"/>
  <c r="T529" i="2"/>
  <c r="AD143" i="3"/>
  <c r="AB975" i="1"/>
  <c r="AA975" i="1"/>
  <c r="W902" i="1"/>
  <c r="V902" i="1"/>
  <c r="U699" i="3"/>
  <c r="T699" i="3"/>
  <c r="U127" i="3"/>
  <c r="T127" i="3"/>
  <c r="U180" i="3"/>
  <c r="T180" i="3"/>
  <c r="Y819" i="2"/>
  <c r="X819" i="2"/>
  <c r="U819" i="3"/>
  <c r="T819" i="3"/>
  <c r="Z620" i="3"/>
  <c r="Y620" i="3"/>
  <c r="S520" i="2"/>
  <c r="T520" i="2"/>
  <c r="T308" i="3"/>
  <c r="U308" i="3"/>
  <c r="X608" i="2"/>
  <c r="Y608" i="2"/>
  <c r="X487" i="2"/>
  <c r="Y487" i="2"/>
  <c r="X303" i="2"/>
  <c r="Y303" i="2"/>
  <c r="AG774" i="3"/>
  <c r="U181" i="3"/>
  <c r="T181" i="3"/>
  <c r="Y168" i="3"/>
  <c r="Z168" i="3"/>
  <c r="Y266" i="2"/>
  <c r="X266" i="2"/>
  <c r="X680" i="2"/>
  <c r="Y680" i="2"/>
  <c r="U132" i="3"/>
  <c r="T132" i="3"/>
  <c r="Z180" i="3"/>
  <c r="Y180" i="3"/>
  <c r="T754" i="2"/>
  <c r="S754" i="2"/>
  <c r="Y236" i="2"/>
  <c r="X236" i="2"/>
  <c r="X917" i="2"/>
  <c r="Y917" i="2"/>
  <c r="U475" i="3"/>
  <c r="T475" i="3"/>
  <c r="W845" i="1"/>
  <c r="V845" i="1"/>
  <c r="Z648" i="3"/>
  <c r="Y648" i="3"/>
  <c r="Y586" i="2"/>
  <c r="X586" i="2"/>
  <c r="T887" i="3"/>
  <c r="U887" i="3"/>
  <c r="U694" i="3"/>
  <c r="T694" i="3"/>
  <c r="X276" i="2"/>
  <c r="Y276" i="2"/>
  <c r="Y470" i="2"/>
  <c r="X470" i="2"/>
  <c r="X1006" i="2"/>
  <c r="Y1006" i="2"/>
  <c r="X991" i="2"/>
  <c r="Y991" i="2"/>
  <c r="U146" i="3"/>
  <c r="T146" i="3"/>
  <c r="T646" i="2"/>
  <c r="S646" i="2"/>
  <c r="T258" i="2"/>
  <c r="S258" i="2"/>
  <c r="Z69" i="3"/>
  <c r="Y69" i="3"/>
  <c r="T727" i="3"/>
  <c r="U727" i="3"/>
  <c r="T839" i="2"/>
  <c r="S839" i="2"/>
  <c r="Y269" i="3"/>
  <c r="Z269" i="3"/>
  <c r="AF867" i="1"/>
  <c r="AA560" i="3"/>
  <c r="AB143" i="3"/>
  <c r="AE143" i="3"/>
  <c r="AG143" i="3"/>
  <c r="X952" i="2"/>
  <c r="Y952" i="2"/>
  <c r="AD629" i="3"/>
  <c r="X419" i="2"/>
  <c r="Y419" i="2"/>
  <c r="T212" i="3"/>
  <c r="U212" i="3"/>
  <c r="S921" i="2"/>
  <c r="T921" i="2"/>
  <c r="X915" i="2"/>
  <c r="Y915" i="2"/>
  <c r="Y884" i="3"/>
  <c r="Z884" i="3"/>
  <c r="U953" i="3"/>
  <c r="T953" i="3"/>
  <c r="Y686" i="3"/>
  <c r="Z686" i="3"/>
  <c r="Y848" i="2"/>
  <c r="X848" i="2"/>
  <c r="T824" i="2"/>
  <c r="S824" i="2"/>
  <c r="Z485" i="3"/>
  <c r="Y485" i="3"/>
  <c r="X940" i="2"/>
  <c r="Y940" i="2"/>
  <c r="S443" i="2"/>
  <c r="T443" i="2"/>
  <c r="U485" i="3"/>
  <c r="T485" i="3"/>
  <c r="AB707" i="1"/>
  <c r="AA707" i="1"/>
  <c r="V870" i="1"/>
  <c r="W870" i="1"/>
  <c r="U178" i="3"/>
  <c r="T178" i="3"/>
  <c r="U260" i="3"/>
  <c r="T260" i="3"/>
  <c r="Y496" i="3"/>
  <c r="Z496" i="3"/>
  <c r="U321" i="3"/>
  <c r="T321" i="3"/>
  <c r="Y247" i="3"/>
  <c r="Z247" i="3"/>
  <c r="S419" i="2"/>
  <c r="T419" i="2"/>
  <c r="T595" i="2"/>
  <c r="S595" i="2"/>
  <c r="S445" i="2"/>
  <c r="T445" i="2"/>
  <c r="T895" i="2"/>
  <c r="S895" i="2"/>
  <c r="AA846" i="1"/>
  <c r="AB846" i="1"/>
  <c r="AD592" i="3"/>
  <c r="X637" i="2"/>
  <c r="Y637" i="2"/>
  <c r="Y698" i="3"/>
  <c r="Z698" i="3"/>
  <c r="T450" i="3"/>
  <c r="U450" i="3"/>
  <c r="V880" i="1"/>
  <c r="W880" i="1"/>
  <c r="X365" i="2"/>
  <c r="Y365" i="2"/>
  <c r="Y406" i="3"/>
  <c r="Z406" i="3"/>
  <c r="S812" i="2"/>
  <c r="T812" i="2"/>
  <c r="Y877" i="2"/>
  <c r="X877" i="2"/>
  <c r="X927" i="2"/>
  <c r="Y927" i="2"/>
  <c r="T557" i="3"/>
  <c r="U557" i="3"/>
  <c r="W1007" i="1"/>
  <c r="V1007" i="1"/>
  <c r="AB815" i="1"/>
  <c r="AA815" i="1"/>
  <c r="S213" i="2"/>
  <c r="T213" i="2"/>
  <c r="T703" i="3"/>
  <c r="U703" i="3"/>
  <c r="U776" i="3"/>
  <c r="T776" i="3"/>
  <c r="Z117" i="3"/>
  <c r="Y117" i="3"/>
  <c r="X463" i="2"/>
  <c r="Y463" i="2"/>
  <c r="T192" i="2"/>
  <c r="S192" i="2"/>
  <c r="T969" i="2"/>
  <c r="S969" i="2"/>
  <c r="AG714" i="3"/>
  <c r="AB842" i="1"/>
  <c r="AA842" i="1"/>
  <c r="X220" i="2"/>
  <c r="Y220" i="2"/>
  <c r="U787" i="3"/>
  <c r="T787" i="3"/>
  <c r="AD269" i="3"/>
  <c r="Y621" i="3"/>
  <c r="Z621" i="3"/>
  <c r="X573" i="2"/>
  <c r="Y573" i="2"/>
  <c r="S906" i="2"/>
  <c r="T906" i="2"/>
  <c r="U448" i="3"/>
  <c r="T448" i="3"/>
  <c r="U461" i="3"/>
  <c r="T461" i="3"/>
  <c r="Z54" i="3"/>
  <c r="Y54" i="3"/>
  <c r="AC870" i="2"/>
  <c r="T150" i="3"/>
  <c r="U150" i="3"/>
  <c r="Y443" i="3"/>
  <c r="Z443" i="3"/>
  <c r="Y91" i="3"/>
  <c r="Z91" i="3"/>
  <c r="W843" i="1"/>
  <c r="V843" i="1"/>
  <c r="T647" i="2"/>
  <c r="S647" i="2"/>
  <c r="Z227" i="3"/>
  <c r="Y227" i="3"/>
  <c r="Z297" i="3"/>
  <c r="Y297" i="3"/>
  <c r="T278" i="2"/>
  <c r="S278" i="2"/>
  <c r="S300" i="2"/>
  <c r="T300" i="2"/>
  <c r="Y48" i="3"/>
  <c r="Z48" i="3"/>
  <c r="X824" i="2"/>
  <c r="Y824" i="2"/>
  <c r="X708" i="2"/>
  <c r="Y708" i="2"/>
  <c r="X344" i="2"/>
  <c r="Y344" i="2"/>
  <c r="AB912" i="1"/>
  <c r="AA912" i="1"/>
  <c r="T123" i="3"/>
  <c r="U123" i="3"/>
  <c r="T474" i="2"/>
  <c r="S474" i="2"/>
  <c r="AB757" i="1"/>
  <c r="AA757" i="1"/>
  <c r="Z136" i="3"/>
  <c r="Y136" i="3"/>
  <c r="Y408" i="2"/>
  <c r="X408" i="2"/>
  <c r="X518" i="2"/>
  <c r="Y518" i="2"/>
  <c r="Z514" i="3"/>
  <c r="Y514" i="3"/>
  <c r="AG101" i="3"/>
  <c r="X354" i="2"/>
  <c r="Y354" i="2"/>
  <c r="S884" i="2"/>
  <c r="T884" i="2"/>
  <c r="S638" i="2"/>
  <c r="T638" i="2"/>
  <c r="AF974" i="1"/>
  <c r="AA791" i="1"/>
  <c r="AB791" i="1"/>
  <c r="X596" i="2"/>
  <c r="Y596" i="2"/>
  <c r="AD867" i="1"/>
  <c r="AG867" i="1"/>
  <c r="AI867" i="1"/>
  <c r="S617" i="2"/>
  <c r="T617" i="2"/>
  <c r="Y215" i="2"/>
  <c r="X215" i="2"/>
  <c r="Y383" i="3"/>
  <c r="Z383" i="3"/>
  <c r="V912" i="1"/>
  <c r="W912" i="1"/>
  <c r="U121" i="3"/>
  <c r="T121" i="3"/>
  <c r="AF875" i="1"/>
  <c r="W958" i="1"/>
  <c r="V958" i="1"/>
  <c r="Z797" i="3"/>
  <c r="Y797" i="3"/>
  <c r="Y527" i="2"/>
  <c r="X527" i="2"/>
  <c r="T820" i="3"/>
  <c r="U820" i="3"/>
  <c r="Y267" i="3"/>
  <c r="Z267" i="3"/>
  <c r="AD643" i="3"/>
  <c r="W712" i="1"/>
  <c r="V712" i="1"/>
  <c r="Y1009" i="2"/>
  <c r="X1009" i="2"/>
  <c r="V1000" i="1"/>
  <c r="W1000" i="1"/>
  <c r="Z437" i="3"/>
  <c r="Y437" i="3"/>
  <c r="U813" i="3"/>
  <c r="T813" i="3"/>
  <c r="U235" i="3"/>
  <c r="T235" i="3"/>
  <c r="Y622" i="3"/>
  <c r="Z622" i="3"/>
  <c r="Y462" i="3"/>
  <c r="Z462" i="3"/>
  <c r="W677" i="1"/>
  <c r="V677" i="1"/>
  <c r="X335" i="2"/>
  <c r="Y335" i="2"/>
  <c r="Y433" i="3"/>
  <c r="Z433" i="3"/>
  <c r="Z973" i="3"/>
  <c r="Y973" i="3"/>
  <c r="T784" i="3"/>
  <c r="U784" i="3"/>
  <c r="X745" i="2"/>
  <c r="Y745" i="2"/>
  <c r="T208" i="2"/>
  <c r="S208" i="2"/>
  <c r="S215" i="2"/>
  <c r="T215" i="2"/>
  <c r="AB944" i="1"/>
  <c r="AA944" i="1"/>
  <c r="X865" i="2"/>
  <c r="Y865" i="2"/>
  <c r="S343" i="2"/>
  <c r="T343" i="2"/>
  <c r="Y587" i="3"/>
  <c r="Z587" i="3"/>
  <c r="T211" i="3"/>
  <c r="U211" i="3"/>
  <c r="T938" i="3"/>
  <c r="U938" i="3"/>
  <c r="X872" i="2"/>
  <c r="Y872" i="2"/>
  <c r="S311" i="2"/>
  <c r="T311" i="2"/>
  <c r="T842" i="3"/>
  <c r="U842" i="3"/>
  <c r="Y121" i="3"/>
  <c r="Z121" i="3"/>
  <c r="Z756" i="3"/>
  <c r="Y756" i="3"/>
  <c r="W932" i="1"/>
  <c r="V932" i="1"/>
  <c r="S789" i="2"/>
  <c r="T789" i="2"/>
  <c r="U860" i="3"/>
  <c r="T860" i="3"/>
  <c r="Y417" i="2"/>
  <c r="X417" i="2"/>
  <c r="Y428" i="3"/>
  <c r="Z428" i="3"/>
  <c r="Y558" i="2"/>
  <c r="X558" i="2"/>
  <c r="X554" i="2"/>
  <c r="Y554" i="2"/>
  <c r="Z407" i="3"/>
  <c r="Y407" i="3"/>
  <c r="T916" i="2"/>
  <c r="S916" i="2"/>
  <c r="Y259" i="2"/>
  <c r="X259" i="2"/>
  <c r="U158" i="3"/>
  <c r="T158" i="3"/>
  <c r="U469" i="3"/>
  <c r="T469" i="3"/>
  <c r="Z987" i="3"/>
  <c r="Y987" i="3"/>
  <c r="Y888" i="2"/>
  <c r="X888" i="2"/>
  <c r="W664" i="1"/>
  <c r="V664" i="1"/>
  <c r="AC501" i="2"/>
  <c r="S608" i="2"/>
  <c r="T608" i="2"/>
  <c r="T570" i="3"/>
  <c r="U570" i="3"/>
  <c r="Y122" i="3"/>
  <c r="Z122" i="3"/>
  <c r="Z477" i="3"/>
  <c r="Y477" i="3"/>
  <c r="S194" i="2"/>
  <c r="T194" i="2"/>
  <c r="Y539" i="3"/>
  <c r="Z539" i="3"/>
  <c r="Y950" i="3"/>
  <c r="Z950" i="3"/>
  <c r="X846" i="2"/>
  <c r="Y846" i="2"/>
  <c r="S249" i="2"/>
  <c r="T249" i="2"/>
  <c r="Y912" i="3"/>
  <c r="Z912" i="3"/>
  <c r="T892" i="3"/>
  <c r="U892" i="3"/>
  <c r="S390" i="2"/>
  <c r="T390" i="2"/>
  <c r="AB714" i="1"/>
  <c r="AA714" i="1"/>
  <c r="Y476" i="3"/>
  <c r="Z476" i="3"/>
  <c r="AI756" i="1"/>
  <c r="W710" i="1"/>
  <c r="V710" i="1"/>
  <c r="U468" i="3"/>
  <c r="T468" i="3"/>
  <c r="T612" i="3"/>
  <c r="U612" i="3"/>
  <c r="AC849" i="2"/>
  <c r="Y189" i="3"/>
  <c r="Z189" i="3"/>
  <c r="U785" i="3"/>
  <c r="T785" i="3"/>
  <c r="X437" i="2"/>
  <c r="Y437" i="2"/>
  <c r="AB722" i="1"/>
  <c r="AA722" i="1"/>
  <c r="Y895" i="2"/>
  <c r="X895" i="2"/>
  <c r="Z401" i="3"/>
  <c r="Y401" i="3"/>
  <c r="Y559" i="2"/>
  <c r="X559" i="2"/>
  <c r="X367" i="2"/>
  <c r="Y367" i="2"/>
  <c r="T650" i="2"/>
  <c r="S650" i="2"/>
  <c r="AD709" i="3"/>
  <c r="T831" i="3"/>
  <c r="U831" i="3"/>
  <c r="Y592" i="3"/>
  <c r="Z592" i="3"/>
  <c r="AC426" i="2"/>
  <c r="W950" i="1"/>
  <c r="V950" i="1"/>
  <c r="AB907" i="1"/>
  <c r="AA907" i="1"/>
  <c r="Y104" i="3"/>
  <c r="Z104" i="3"/>
  <c r="Y492" i="3"/>
  <c r="Z492" i="3"/>
  <c r="T903" i="3"/>
  <c r="U903" i="3"/>
  <c r="U942" i="3"/>
  <c r="T942" i="3"/>
  <c r="T719" i="3"/>
  <c r="U719" i="3"/>
  <c r="S439" i="2"/>
  <c r="T439" i="2"/>
  <c r="T352" i="3"/>
  <c r="U352" i="3"/>
  <c r="Z892" i="3"/>
  <c r="Y892" i="3"/>
  <c r="T501" i="2"/>
  <c r="S501" i="2"/>
  <c r="Z72" i="3"/>
  <c r="Y72" i="3"/>
  <c r="Y732" i="2"/>
  <c r="X732" i="2"/>
  <c r="Z890" i="3"/>
  <c r="Y890" i="3"/>
  <c r="Z586" i="3"/>
  <c r="Y586" i="3"/>
  <c r="Y312" i="3"/>
  <c r="Z312" i="3"/>
  <c r="T745" i="2"/>
  <c r="S745" i="2"/>
  <c r="Z513" i="3"/>
  <c r="Y513" i="3"/>
  <c r="Y899" i="2"/>
  <c r="X899" i="2"/>
  <c r="Y511" i="2"/>
  <c r="X511" i="2"/>
  <c r="AC524" i="2"/>
  <c r="AD471" i="3"/>
  <c r="W778" i="1"/>
  <c r="V778" i="1"/>
  <c r="T310" i="3"/>
  <c r="U310" i="3"/>
  <c r="Y402" i="2"/>
  <c r="X402" i="2"/>
  <c r="W943" i="1"/>
  <c r="V943" i="1"/>
  <c r="X416" i="2"/>
  <c r="Y416" i="2"/>
  <c r="Y975" i="2"/>
  <c r="X975" i="2"/>
  <c r="X560" i="2"/>
  <c r="Y560" i="2"/>
  <c r="U62" i="3"/>
  <c r="T62" i="3"/>
  <c r="AB702" i="1"/>
  <c r="AA702" i="1"/>
  <c r="T428" i="2"/>
  <c r="S428" i="2"/>
  <c r="AA770" i="1"/>
  <c r="AB770" i="1"/>
  <c r="AC934" i="2"/>
  <c r="AF806" i="1"/>
  <c r="S521" i="2"/>
  <c r="T521" i="2"/>
  <c r="S283" i="2"/>
  <c r="T283" i="2"/>
  <c r="Y479" i="2"/>
  <c r="X479" i="2"/>
  <c r="U512" i="3"/>
  <c r="T512" i="3"/>
  <c r="Y434" i="3"/>
  <c r="Z434" i="3"/>
  <c r="Z729" i="3"/>
  <c r="Y729" i="3"/>
  <c r="Z935" i="3"/>
  <c r="Y935" i="3"/>
  <c r="Y896" i="2"/>
  <c r="X896" i="2"/>
  <c r="Y99" i="3"/>
  <c r="Z99" i="3"/>
  <c r="X670" i="2"/>
  <c r="Y670" i="2"/>
  <c r="T532" i="2"/>
  <c r="S532" i="2"/>
  <c r="Z322" i="3"/>
  <c r="Y322" i="3"/>
  <c r="Z382" i="3"/>
  <c r="Y382" i="3"/>
  <c r="U203" i="3"/>
  <c r="T203" i="3"/>
  <c r="U885" i="3"/>
  <c r="T885" i="3"/>
  <c r="X360" i="2"/>
  <c r="Y360" i="2"/>
  <c r="T255" i="2"/>
  <c r="S255" i="2"/>
  <c r="Z332" i="3"/>
  <c r="Y332" i="3"/>
  <c r="Y268" i="3"/>
  <c r="Z268" i="3"/>
  <c r="X919" i="2"/>
  <c r="Y919" i="2"/>
  <c r="M1007" i="1"/>
  <c r="T797" i="3"/>
  <c r="U797" i="3"/>
  <c r="T175" i="3"/>
  <c r="U175" i="3"/>
  <c r="V971" i="1"/>
  <c r="W971" i="1"/>
  <c r="S392" i="2"/>
  <c r="T392" i="2"/>
  <c r="U346" i="3"/>
  <c r="T346" i="3"/>
  <c r="Y248" i="2"/>
  <c r="X248" i="2"/>
  <c r="Y835" i="3"/>
  <c r="Z835" i="3"/>
  <c r="U179" i="3"/>
  <c r="T179" i="3"/>
  <c r="Y642" i="3"/>
  <c r="Z642" i="3"/>
  <c r="U884" i="3"/>
  <c r="T884" i="3"/>
  <c r="AF730" i="1"/>
  <c r="AB876" i="1"/>
  <c r="AA876" i="1"/>
  <c r="Y258" i="2"/>
  <c r="X258" i="2"/>
  <c r="W682" i="1"/>
  <c r="V682" i="1"/>
  <c r="T703" i="2"/>
  <c r="S703" i="2"/>
  <c r="T859" i="2"/>
  <c r="S859" i="2"/>
  <c r="AB756" i="1"/>
  <c r="AA756" i="1"/>
  <c r="S636" i="2"/>
  <c r="T636" i="2"/>
  <c r="X436" i="2"/>
  <c r="Y436" i="2"/>
  <c r="AG773" i="3"/>
  <c r="X616" i="2"/>
  <c r="Y616" i="2"/>
  <c r="AC665" i="1"/>
  <c r="X643" i="2"/>
  <c r="Y643" i="2"/>
  <c r="T491" i="2"/>
  <c r="S491" i="2"/>
  <c r="S679" i="2"/>
  <c r="T679" i="2"/>
  <c r="S441" i="2"/>
  <c r="T441" i="2"/>
  <c r="U87" i="3"/>
  <c r="T87" i="3"/>
  <c r="V1010" i="1"/>
  <c r="W1010" i="1"/>
  <c r="T251" i="3"/>
  <c r="U251" i="3"/>
  <c r="T768" i="2"/>
  <c r="S768" i="2"/>
  <c r="Z285" i="3"/>
  <c r="Y285" i="3"/>
  <c r="T883" i="2"/>
  <c r="S883" i="2"/>
  <c r="Z905" i="3"/>
  <c r="Y905" i="3"/>
  <c r="T774" i="2"/>
  <c r="S774" i="2"/>
  <c r="X650" i="2"/>
  <c r="Y650" i="2"/>
  <c r="S383" i="2"/>
  <c r="T383" i="2"/>
  <c r="Z372" i="3"/>
  <c r="Y372" i="3"/>
  <c r="X315" i="2"/>
  <c r="Y315" i="2"/>
  <c r="Z860" i="3"/>
  <c r="Y860" i="3"/>
  <c r="Y253" i="2"/>
  <c r="X253" i="2"/>
  <c r="AF818" i="1"/>
  <c r="S708" i="2"/>
  <c r="T708" i="2"/>
  <c r="Y196" i="3"/>
  <c r="Z196" i="3"/>
  <c r="U966" i="3"/>
  <c r="T966" i="3"/>
  <c r="Y928" i="3"/>
  <c r="Z928" i="3"/>
  <c r="T476" i="2"/>
  <c r="S476" i="2"/>
  <c r="Y166" i="3"/>
  <c r="Z166" i="3"/>
  <c r="T436" i="2"/>
  <c r="S436" i="2"/>
  <c r="U854" i="3"/>
  <c r="T854" i="3"/>
  <c r="T252" i="2"/>
  <c r="S252" i="2"/>
  <c r="Y674" i="3"/>
  <c r="Z674" i="3"/>
  <c r="AB915" i="1"/>
  <c r="AA915" i="1"/>
  <c r="X981" i="2"/>
  <c r="Y981" i="2"/>
  <c r="Z161" i="3"/>
  <c r="Y161" i="3"/>
  <c r="S952" i="2"/>
  <c r="T952" i="2"/>
  <c r="T393" i="3"/>
  <c r="U393" i="3"/>
  <c r="W871" i="1"/>
  <c r="V871" i="1"/>
  <c r="W853" i="1"/>
  <c r="V853" i="1"/>
  <c r="U851" i="3"/>
  <c r="T851" i="3"/>
  <c r="Y588" i="3"/>
  <c r="Z588" i="3"/>
  <c r="AF675" i="1"/>
  <c r="U107" i="3"/>
  <c r="T107" i="3"/>
  <c r="T817" i="2"/>
  <c r="S817" i="2"/>
  <c r="Z728" i="3"/>
  <c r="Y728" i="3"/>
  <c r="AH479" i="3"/>
  <c r="X590" i="2"/>
  <c r="Y590" i="2"/>
  <c r="S1006" i="2"/>
  <c r="T1006" i="2"/>
  <c r="S235" i="2"/>
  <c r="T235" i="2"/>
  <c r="Z421" i="3"/>
  <c r="Y421" i="3"/>
  <c r="Y435" i="3"/>
  <c r="Z435" i="3"/>
  <c r="AB692" i="1"/>
  <c r="AA692" i="1"/>
  <c r="Y431" i="3"/>
  <c r="Z431" i="3"/>
  <c r="T287" i="3"/>
  <c r="U287" i="3"/>
  <c r="U420" i="3"/>
  <c r="T420" i="3"/>
  <c r="Z580" i="3"/>
  <c r="Y580" i="3"/>
  <c r="AF756" i="1"/>
  <c r="X756" i="1"/>
  <c r="AD756" i="1"/>
  <c r="AG756" i="1"/>
  <c r="T658" i="3"/>
  <c r="U658" i="3"/>
  <c r="U562" i="3"/>
  <c r="T562" i="3"/>
  <c r="Z202" i="3"/>
  <c r="Y202" i="3"/>
  <c r="X533" i="2"/>
  <c r="Y533" i="2"/>
  <c r="W1006" i="1"/>
  <c r="V1006" i="1"/>
  <c r="U886" i="3"/>
  <c r="T886" i="3"/>
  <c r="X325" i="2"/>
  <c r="Y325" i="2"/>
  <c r="Z33" i="3"/>
  <c r="Y33" i="3"/>
  <c r="AA936" i="1"/>
  <c r="AB936" i="1"/>
  <c r="Y940" i="3"/>
  <c r="Z940" i="3"/>
  <c r="Y764" i="3"/>
  <c r="Z764" i="3"/>
  <c r="W126" i="1"/>
  <c r="V126" i="1"/>
  <c r="U549" i="3"/>
  <c r="T549" i="3"/>
  <c r="U559" i="3"/>
  <c r="T559" i="3"/>
  <c r="Y373" i="3"/>
  <c r="Z373" i="3"/>
  <c r="AD484" i="3"/>
  <c r="T259" i="2"/>
  <c r="S259" i="2"/>
  <c r="T978" i="2"/>
  <c r="S978" i="2"/>
  <c r="T502" i="2"/>
  <c r="S502" i="2"/>
  <c r="Y889" i="3"/>
  <c r="Z889" i="3"/>
  <c r="AC692" i="2"/>
  <c r="Y342" i="3"/>
  <c r="Z342" i="3"/>
  <c r="Y518" i="3"/>
  <c r="Z518" i="3"/>
  <c r="Y1002" i="2"/>
  <c r="X1002" i="2"/>
  <c r="Y747" i="3"/>
  <c r="Z747" i="3"/>
  <c r="AB965" i="1"/>
  <c r="AA965" i="1"/>
  <c r="AD714" i="3"/>
  <c r="AE714" i="3"/>
  <c r="T586" i="3"/>
  <c r="U586" i="3"/>
  <c r="AC243" i="2"/>
  <c r="Y237" i="2"/>
  <c r="X237" i="2"/>
  <c r="AG535" i="2"/>
  <c r="X458" i="2"/>
  <c r="Y458" i="2"/>
  <c r="T256" i="3"/>
  <c r="U256" i="3"/>
  <c r="T601" i="3"/>
  <c r="U601" i="3"/>
  <c r="AD391" i="3"/>
  <c r="AA331" i="3"/>
  <c r="U628" i="3"/>
  <c r="T628" i="3"/>
  <c r="AG799" i="2"/>
  <c r="AF837" i="1"/>
  <c r="X205" i="2"/>
  <c r="Y205" i="2"/>
  <c r="S683" i="2"/>
  <c r="T683" i="2"/>
  <c r="AB680" i="1"/>
  <c r="AA680" i="1"/>
  <c r="AI1000" i="1"/>
  <c r="X473" i="2"/>
  <c r="Y473" i="2"/>
  <c r="AD852" i="3"/>
  <c r="U57" i="3"/>
  <c r="T57" i="3"/>
  <c r="X734" i="2"/>
  <c r="Y734" i="2"/>
  <c r="T417" i="3"/>
  <c r="U417" i="3"/>
  <c r="T890" i="3"/>
  <c r="U890" i="3"/>
  <c r="S467" i="2"/>
  <c r="T467" i="2"/>
  <c r="Y824" i="3"/>
  <c r="Z824" i="3"/>
  <c r="Y673" i="3"/>
  <c r="Z673" i="3"/>
  <c r="AA670" i="1"/>
  <c r="AB670" i="1"/>
  <c r="Y652" i="3"/>
  <c r="Z652" i="3"/>
  <c r="U30" i="3"/>
  <c r="T30" i="3"/>
  <c r="T336" i="2"/>
  <c r="S336" i="2"/>
  <c r="Y913" i="2"/>
  <c r="X913" i="2"/>
  <c r="Y680" i="3"/>
  <c r="Z680" i="3"/>
  <c r="Y480" i="3"/>
  <c r="Z480" i="3"/>
  <c r="T659" i="2"/>
  <c r="S659" i="2"/>
  <c r="AF1000" i="1"/>
  <c r="X1000" i="1"/>
  <c r="AD1000" i="1"/>
  <c r="AG1000" i="1"/>
  <c r="AB854" i="1"/>
  <c r="AA854" i="1"/>
  <c r="S551" i="2"/>
  <c r="T551" i="2"/>
  <c r="X380" i="2"/>
  <c r="Y380" i="2"/>
  <c r="W969" i="1"/>
  <c r="V969" i="1"/>
  <c r="AC929" i="1"/>
  <c r="X317" i="2"/>
  <c r="Y317" i="2"/>
  <c r="T137" i="3"/>
  <c r="U137" i="3"/>
  <c r="X942" i="2"/>
  <c r="Y942" i="2"/>
  <c r="T792" i="3"/>
  <c r="U792" i="3"/>
  <c r="U621" i="3"/>
  <c r="T621" i="3"/>
  <c r="AC955" i="2"/>
  <c r="AH249" i="3"/>
  <c r="AF963" i="2"/>
  <c r="Z351" i="3"/>
  <c r="Y351" i="3"/>
  <c r="AA996" i="1"/>
  <c r="AB996" i="1"/>
  <c r="Y184" i="3"/>
  <c r="Z184" i="3"/>
  <c r="Y43" i="3"/>
  <c r="Z43" i="3"/>
  <c r="T227" i="3"/>
  <c r="U227" i="3"/>
  <c r="T584" i="3"/>
  <c r="U584" i="3"/>
  <c r="T113" i="3"/>
  <c r="U113" i="3"/>
  <c r="Y688" i="3"/>
  <c r="Z688" i="3"/>
  <c r="U471" i="3"/>
  <c r="T471" i="3"/>
  <c r="X204" i="2"/>
  <c r="Y204" i="2"/>
  <c r="T912" i="2"/>
  <c r="S912" i="2"/>
  <c r="Z846" i="3"/>
  <c r="Y846" i="3"/>
  <c r="AA924" i="1"/>
  <c r="AB924" i="1"/>
  <c r="T945" i="3"/>
  <c r="U945" i="3"/>
  <c r="T578" i="3"/>
  <c r="U578" i="3"/>
  <c r="T861" i="2"/>
  <c r="S861" i="2"/>
  <c r="S352" i="2"/>
  <c r="T352" i="2"/>
  <c r="Y363" i="3"/>
  <c r="Z363" i="3"/>
  <c r="Y489" i="2"/>
  <c r="X489" i="2"/>
  <c r="V685" i="1"/>
  <c r="W685" i="1"/>
  <c r="U803" i="3"/>
  <c r="T803" i="3"/>
  <c r="T372" i="2"/>
  <c r="S372" i="2"/>
  <c r="Z924" i="2"/>
  <c r="W789" i="1"/>
  <c r="V789" i="1"/>
  <c r="Z762" i="3"/>
  <c r="Y762" i="3"/>
  <c r="M868" i="1"/>
  <c r="S786" i="2"/>
  <c r="T786" i="2"/>
  <c r="Y260" i="3"/>
  <c r="Z260" i="3"/>
  <c r="T411" i="3"/>
  <c r="U411" i="3"/>
  <c r="AB695" i="1"/>
  <c r="AA695" i="1"/>
  <c r="T624" i="2"/>
  <c r="S624" i="2"/>
  <c r="AD863" i="3"/>
  <c r="Y661" i="2"/>
  <c r="X661" i="2"/>
  <c r="Y923" i="2"/>
  <c r="X923" i="2"/>
  <c r="AA747" i="1"/>
  <c r="AB747" i="1"/>
  <c r="Y241" i="2"/>
  <c r="X241" i="2"/>
  <c r="Z546" i="3"/>
  <c r="Y546" i="3"/>
  <c r="U245" i="3"/>
  <c r="T245" i="3"/>
  <c r="AG296" i="3"/>
  <c r="S823" i="2"/>
  <c r="T823" i="2"/>
  <c r="Z455" i="3"/>
  <c r="Y455" i="3"/>
  <c r="Y808" i="2"/>
  <c r="X808" i="2"/>
  <c r="Z661" i="3"/>
  <c r="Y661" i="3"/>
  <c r="Y552" i="2"/>
  <c r="X552" i="2"/>
  <c r="U92" i="3"/>
  <c r="T92" i="3"/>
  <c r="Z939" i="3"/>
  <c r="Y939" i="3"/>
  <c r="Y293" i="3"/>
  <c r="Z293" i="3"/>
  <c r="Y968" i="3"/>
  <c r="Z968" i="3"/>
  <c r="T186" i="2"/>
  <c r="S186" i="2"/>
  <c r="S994" i="2"/>
  <c r="T994" i="2"/>
  <c r="AD565" i="3"/>
  <c r="Z637" i="2"/>
  <c r="AD489" i="3"/>
  <c r="W926" i="1"/>
  <c r="V926" i="1"/>
  <c r="T397" i="2"/>
  <c r="S397" i="2"/>
  <c r="U418" i="3"/>
  <c r="T418" i="3"/>
  <c r="Z733" i="3"/>
  <c r="Y733" i="3"/>
  <c r="Y717" i="3"/>
  <c r="Z717" i="3"/>
  <c r="X739" i="2"/>
  <c r="Y739" i="2"/>
  <c r="Z444" i="3"/>
  <c r="Y444" i="3"/>
  <c r="Y505" i="3"/>
  <c r="Z505" i="3"/>
  <c r="T534" i="2"/>
  <c r="S534" i="2"/>
  <c r="Y464" i="2"/>
  <c r="X464" i="2"/>
  <c r="S522" i="2"/>
  <c r="T522" i="2"/>
  <c r="X389" i="2"/>
  <c r="Y389" i="2"/>
  <c r="Z148" i="3"/>
  <c r="Y148" i="3"/>
  <c r="AD581" i="3"/>
  <c r="AF558" i="2"/>
  <c r="AA687" i="3"/>
  <c r="AG925" i="2"/>
  <c r="Z321" i="2"/>
  <c r="T202" i="2"/>
  <c r="S202" i="2"/>
  <c r="T804" i="3"/>
  <c r="U804" i="3"/>
  <c r="AB629" i="3"/>
  <c r="AE629" i="3"/>
  <c r="AG629" i="3"/>
  <c r="X676" i="2"/>
  <c r="Y676" i="2"/>
  <c r="Z584" i="3"/>
  <c r="Y584" i="3"/>
  <c r="AD568" i="3"/>
  <c r="AD597" i="3"/>
  <c r="T874" i="3"/>
  <c r="U874" i="3"/>
  <c r="AC338" i="2"/>
  <c r="AG987" i="3"/>
  <c r="S841" i="2"/>
  <c r="T841" i="2"/>
  <c r="Y890" i="2"/>
  <c r="X890" i="2"/>
  <c r="Y752" i="2"/>
  <c r="X752" i="2"/>
  <c r="X758" i="2"/>
  <c r="Y758" i="2"/>
  <c r="U910" i="3"/>
  <c r="T910" i="3"/>
  <c r="T771" i="3"/>
  <c r="U771" i="3"/>
  <c r="T263" i="2"/>
  <c r="S263" i="2"/>
  <c r="AB683" i="1"/>
  <c r="AA683" i="1"/>
  <c r="T744" i="3"/>
  <c r="U744" i="3"/>
  <c r="Z455" i="2"/>
  <c r="X353" i="2"/>
  <c r="Y353" i="2"/>
  <c r="Y730" i="3"/>
  <c r="Z730" i="3"/>
  <c r="U369" i="3"/>
  <c r="T369" i="3"/>
  <c r="AD104" i="3"/>
  <c r="AF667" i="1"/>
  <c r="Y664" i="2"/>
  <c r="X664" i="2"/>
  <c r="T882" i="3"/>
  <c r="U882" i="3"/>
  <c r="Y221" i="3"/>
  <c r="Z221" i="3"/>
  <c r="T315" i="3"/>
  <c r="U315" i="3"/>
  <c r="T27" i="3"/>
  <c r="U27" i="3"/>
  <c r="AD719" i="3"/>
  <c r="Z207" i="2"/>
  <c r="Y609" i="2"/>
  <c r="X609" i="2"/>
  <c r="Z176" i="3"/>
  <c r="Y176" i="3"/>
  <c r="U437" i="3"/>
  <c r="T437" i="3"/>
  <c r="AB930" i="1"/>
  <c r="AA930" i="1"/>
  <c r="S981" i="2"/>
  <c r="T981" i="2"/>
  <c r="S460" i="2"/>
  <c r="T460" i="2"/>
  <c r="AH28" i="3"/>
  <c r="Y927" i="3"/>
  <c r="Z927" i="3"/>
  <c r="Y725" i="2"/>
  <c r="X725" i="2"/>
  <c r="Z345" i="2"/>
  <c r="AD237" i="3"/>
  <c r="Z506" i="3"/>
  <c r="Y506" i="3"/>
  <c r="S240" i="2"/>
  <c r="T240" i="2"/>
  <c r="Y532" i="2"/>
  <c r="X532" i="2"/>
  <c r="V794" i="1"/>
  <c r="W794" i="1"/>
  <c r="Y182" i="2"/>
  <c r="X182" i="2"/>
  <c r="V782" i="1"/>
  <c r="W782" i="1"/>
  <c r="AA751" i="1"/>
  <c r="AB751" i="1"/>
  <c r="AG936" i="2"/>
  <c r="T297" i="2"/>
  <c r="S297" i="2"/>
  <c r="U802" i="3"/>
  <c r="T802" i="3"/>
  <c r="AC522" i="2"/>
  <c r="U640" i="3"/>
  <c r="T640" i="3"/>
  <c r="X493" i="2"/>
  <c r="Y493" i="2"/>
  <c r="T865" i="2"/>
  <c r="S865" i="2"/>
  <c r="W888" i="1"/>
  <c r="V888" i="1"/>
  <c r="T519" i="2"/>
  <c r="S519" i="2"/>
  <c r="T689" i="3"/>
  <c r="U689" i="3"/>
  <c r="T874" i="2"/>
  <c r="S874" i="2"/>
  <c r="V744" i="1"/>
  <c r="W744" i="1"/>
  <c r="Y264" i="3"/>
  <c r="Z264" i="3"/>
  <c r="T959" i="3"/>
  <c r="U959" i="3"/>
  <c r="AD772" i="3"/>
  <c r="X262" i="2"/>
  <c r="Y262" i="2"/>
  <c r="AB987" i="1"/>
  <c r="AA987" i="1"/>
  <c r="T77" i="3"/>
  <c r="U77" i="3"/>
  <c r="X836" i="2"/>
  <c r="Y836" i="2"/>
  <c r="T152" i="3"/>
  <c r="U152" i="3"/>
  <c r="AH382" i="3"/>
  <c r="Y458" i="3"/>
  <c r="Z458" i="3"/>
  <c r="U869" i="3"/>
  <c r="T869" i="3"/>
  <c r="Y616" i="3"/>
  <c r="Z616" i="3"/>
  <c r="AB739" i="1"/>
  <c r="AA739" i="1"/>
  <c r="AD432" i="3"/>
  <c r="T142" i="3"/>
  <c r="U142" i="3"/>
  <c r="T214" i="3"/>
  <c r="U214" i="3"/>
  <c r="X462" i="2"/>
  <c r="Y462" i="2"/>
  <c r="AB675" i="1"/>
  <c r="AA675" i="1"/>
  <c r="T657" i="2"/>
  <c r="S657" i="2"/>
  <c r="T541" i="3"/>
  <c r="U541" i="3"/>
  <c r="U867" i="3"/>
  <c r="T867" i="3"/>
  <c r="T954" i="2"/>
  <c r="S954" i="2"/>
  <c r="X727" i="2"/>
  <c r="Y727" i="2"/>
  <c r="Y686" i="2"/>
  <c r="X686" i="2"/>
  <c r="T329" i="2"/>
  <c r="S329" i="2"/>
  <c r="X350" i="2"/>
  <c r="Y350" i="2"/>
  <c r="Y638" i="2"/>
  <c r="X638" i="2"/>
  <c r="X319" i="2"/>
  <c r="Y319" i="2"/>
  <c r="Z228" i="3"/>
  <c r="Y228" i="3"/>
  <c r="AC632" i="2"/>
  <c r="S324" i="2"/>
  <c r="T324" i="2"/>
  <c r="W797" i="1"/>
  <c r="V797" i="1"/>
  <c r="AC429" i="2"/>
  <c r="Z971" i="3"/>
  <c r="Y971" i="3"/>
  <c r="U500" i="3"/>
  <c r="T500" i="3"/>
  <c r="Y741" i="3"/>
  <c r="Z741" i="3"/>
  <c r="X949" i="2"/>
  <c r="Y949" i="2"/>
  <c r="V769" i="1"/>
  <c r="W769" i="1"/>
  <c r="V945" i="1"/>
  <c r="W945" i="1"/>
  <c r="AD897" i="3"/>
  <c r="Y351" i="2"/>
  <c r="X351" i="2"/>
  <c r="AA163" i="3"/>
  <c r="Z644" i="3"/>
  <c r="Y644" i="3"/>
  <c r="S700" i="2"/>
  <c r="T700" i="2"/>
  <c r="Z789" i="3"/>
  <c r="Y789" i="3"/>
  <c r="Z537" i="3"/>
  <c r="Y537" i="3"/>
  <c r="U268" i="3"/>
  <c r="T268" i="3"/>
  <c r="X383" i="2"/>
  <c r="Y383" i="2"/>
  <c r="AF970" i="1"/>
  <c r="X930" i="2"/>
  <c r="Y930" i="2"/>
  <c r="Y567" i="3"/>
  <c r="Z567" i="3"/>
  <c r="AD265" i="3"/>
  <c r="Z335" i="3"/>
  <c r="Y335" i="3"/>
  <c r="AC928" i="2"/>
  <c r="Y392" i="2"/>
  <c r="X392" i="2"/>
  <c r="Y575" i="2"/>
  <c r="X575" i="2"/>
  <c r="T837" i="3"/>
  <c r="U837" i="3"/>
  <c r="AC752" i="2"/>
  <c r="AH176" i="3"/>
  <c r="T691" i="3"/>
  <c r="U691" i="3"/>
  <c r="T309" i="3"/>
  <c r="U309" i="3"/>
  <c r="AF930" i="1"/>
  <c r="AA356" i="3"/>
  <c r="S553" i="2"/>
  <c r="T553" i="2"/>
  <c r="AD647" i="3"/>
  <c r="U297" i="3"/>
  <c r="T297" i="3"/>
  <c r="Y806" i="2"/>
  <c r="X806" i="2"/>
  <c r="V978" i="1"/>
  <c r="W978" i="1"/>
  <c r="Z491" i="3"/>
  <c r="Y491" i="3"/>
  <c r="Y672" i="3"/>
  <c r="Z672" i="3"/>
  <c r="Y417" i="3"/>
  <c r="Z417" i="3"/>
  <c r="T735" i="2"/>
  <c r="S735" i="2"/>
  <c r="Z470" i="3"/>
  <c r="Y470" i="3"/>
  <c r="S723" i="2"/>
  <c r="T723" i="2"/>
  <c r="Z533" i="2"/>
  <c r="T949" i="3"/>
  <c r="U949" i="3"/>
  <c r="Y281" i="3"/>
  <c r="Z281" i="3"/>
  <c r="W738" i="1"/>
  <c r="V738" i="1"/>
  <c r="Y263" i="2"/>
  <c r="X263" i="2"/>
  <c r="X582" i="2"/>
  <c r="Y582" i="2"/>
  <c r="W684" i="1"/>
  <c r="V684" i="1"/>
  <c r="Y36" i="3"/>
  <c r="Z36" i="3"/>
  <c r="T408" i="2"/>
  <c r="S408" i="2"/>
  <c r="Z727" i="3"/>
  <c r="Y727" i="3"/>
  <c r="AA966" i="1"/>
  <c r="AB966" i="1"/>
  <c r="U445" i="3"/>
  <c r="T445" i="3"/>
  <c r="AB673" i="1"/>
  <c r="AA673" i="1"/>
  <c r="Y958" i="3"/>
  <c r="Z958" i="3"/>
  <c r="Y237" i="3"/>
  <c r="Z237" i="3"/>
  <c r="Y277" i="2"/>
  <c r="X277" i="2"/>
  <c r="Y853" i="2"/>
  <c r="X853" i="2"/>
  <c r="T310" i="2"/>
  <c r="S310" i="2"/>
  <c r="T432" i="2"/>
  <c r="S432" i="2"/>
  <c r="AC432" i="2"/>
  <c r="Z385" i="3"/>
  <c r="Y385" i="3"/>
  <c r="T253" i="3"/>
  <c r="U253" i="3"/>
  <c r="W913" i="1"/>
  <c r="V913" i="1"/>
  <c r="V919" i="1"/>
  <c r="W919" i="1"/>
  <c r="AC555" i="2"/>
  <c r="V737" i="1"/>
  <c r="W737" i="1"/>
  <c r="U823" i="3"/>
  <c r="T823" i="3"/>
  <c r="T196" i="3"/>
  <c r="U196" i="3"/>
  <c r="X961" i="2"/>
  <c r="Y961" i="2"/>
  <c r="X693" i="2"/>
  <c r="Y693" i="2"/>
  <c r="Y538" i="3"/>
  <c r="Z538" i="3"/>
  <c r="Y850" i="2"/>
  <c r="X850" i="2"/>
  <c r="AC709" i="2"/>
  <c r="T340" i="3"/>
  <c r="U340" i="3"/>
  <c r="S232" i="2"/>
  <c r="T232" i="2"/>
  <c r="AG740" i="2"/>
  <c r="Z265" i="3"/>
  <c r="Y265" i="3"/>
  <c r="S670" i="2"/>
  <c r="T670" i="2"/>
  <c r="S524" i="2"/>
  <c r="T524" i="2"/>
  <c r="T384" i="2"/>
  <c r="S384" i="2"/>
  <c r="T316" i="2"/>
  <c r="S316" i="2"/>
  <c r="U865" i="3"/>
  <c r="T865" i="3"/>
  <c r="T552" i="3"/>
  <c r="U552" i="3"/>
  <c r="S348" i="2"/>
  <c r="T348" i="2"/>
  <c r="Y231" i="3"/>
  <c r="Z231" i="3"/>
  <c r="Y803" i="2"/>
  <c r="X803" i="2"/>
  <c r="U947" i="3"/>
  <c r="T947" i="3"/>
  <c r="Y66" i="3"/>
  <c r="Z66" i="3"/>
  <c r="T971" i="3"/>
  <c r="U971" i="3"/>
  <c r="AC635" i="2"/>
  <c r="Y83" i="3"/>
  <c r="Z83" i="3"/>
  <c r="Y910" i="3"/>
  <c r="Z910" i="3"/>
  <c r="T833" i="2"/>
  <c r="S833" i="2"/>
  <c r="AD950" i="3"/>
  <c r="U834" i="3"/>
  <c r="T834" i="3"/>
  <c r="U398" i="3"/>
  <c r="T398" i="3"/>
  <c r="T214" i="2"/>
  <c r="S214" i="2"/>
  <c r="Z224" i="3"/>
  <c r="Y224" i="3"/>
  <c r="X780" i="2"/>
  <c r="Y780" i="2"/>
  <c r="V839" i="1"/>
  <c r="W839" i="1"/>
  <c r="X536" i="2"/>
  <c r="Y536" i="2"/>
  <c r="T204" i="3"/>
  <c r="U204" i="3"/>
  <c r="S301" i="2"/>
  <c r="T301" i="2"/>
  <c r="AB964" i="1"/>
  <c r="AA964" i="1"/>
  <c r="S274" i="2"/>
  <c r="T274" i="2"/>
  <c r="Y339" i="2"/>
  <c r="X339" i="2"/>
  <c r="X615" i="2"/>
  <c r="Y615" i="2"/>
  <c r="S743" i="2"/>
  <c r="T743" i="2"/>
  <c r="Z599" i="3"/>
  <c r="Y599" i="3"/>
  <c r="Y491" i="2"/>
  <c r="X491" i="2"/>
  <c r="AA147" i="3"/>
  <c r="Y296" i="2"/>
  <c r="X296" i="2"/>
  <c r="Z391" i="3"/>
  <c r="Y391" i="3"/>
  <c r="T759" i="2"/>
  <c r="S759" i="2"/>
  <c r="X973" i="2"/>
  <c r="Y973" i="2"/>
  <c r="AC337" i="2"/>
  <c r="T426" i="3"/>
  <c r="U426" i="3"/>
  <c r="Y187" i="3"/>
  <c r="Z187" i="3"/>
  <c r="Y435" i="2"/>
  <c r="X435" i="2"/>
  <c r="T583" i="3"/>
  <c r="U583" i="3"/>
  <c r="W899" i="1"/>
  <c r="V899" i="1"/>
  <c r="V690" i="1"/>
  <c r="W690" i="1"/>
  <c r="Y235" i="2"/>
  <c r="X235" i="2"/>
  <c r="T360" i="3"/>
  <c r="U360" i="3"/>
  <c r="X282" i="2"/>
  <c r="Y282" i="2"/>
  <c r="Y337" i="3"/>
  <c r="Z337" i="3"/>
  <c r="Z886" i="2"/>
  <c r="V697" i="1"/>
  <c r="W697" i="1"/>
  <c r="AD533" i="3"/>
  <c r="AG487" i="3"/>
  <c r="T628" i="2"/>
  <c r="S628" i="2"/>
  <c r="U83" i="3"/>
  <c r="T83" i="3"/>
  <c r="T684" i="3"/>
  <c r="U684" i="3"/>
  <c r="AF901" i="1"/>
  <c r="Y631" i="2"/>
  <c r="X631" i="2"/>
  <c r="S236" i="2"/>
  <c r="T236" i="2"/>
  <c r="T539" i="3"/>
  <c r="U539" i="3"/>
  <c r="Y114" i="3"/>
  <c r="Z114" i="3"/>
  <c r="S939" i="2"/>
  <c r="T939" i="2"/>
  <c r="Z743" i="3"/>
  <c r="Y743" i="3"/>
  <c r="U409" i="3"/>
  <c r="T409" i="3"/>
  <c r="S181" i="2"/>
  <c r="T181" i="2"/>
  <c r="U527" i="3"/>
  <c r="T527" i="3"/>
  <c r="Z318" i="3"/>
  <c r="Y318" i="3"/>
  <c r="AG731" i="2"/>
  <c r="Z643" i="3"/>
  <c r="Y643" i="3"/>
  <c r="AC576" i="2"/>
  <c r="X485" i="2"/>
  <c r="Y485" i="2"/>
  <c r="X754" i="2"/>
  <c r="Y754" i="2"/>
  <c r="Z454" i="3"/>
  <c r="Y454" i="3"/>
  <c r="T722" i="2"/>
  <c r="S722" i="2"/>
  <c r="V873" i="1"/>
  <c r="W873" i="1"/>
  <c r="T727" i="2"/>
  <c r="S727" i="2"/>
  <c r="Y293" i="2"/>
  <c r="X293" i="2"/>
  <c r="T632" i="3"/>
  <c r="U632" i="3"/>
  <c r="T522" i="3"/>
  <c r="U522" i="3"/>
  <c r="Y607" i="3"/>
  <c r="Z607" i="3"/>
  <c r="Y495" i="3"/>
  <c r="Z495" i="3"/>
  <c r="W956" i="1"/>
  <c r="V956" i="1"/>
  <c r="U935" i="3"/>
  <c r="T935" i="3"/>
  <c r="X548" i="2"/>
  <c r="Y548" i="2"/>
  <c r="Y960" i="2"/>
  <c r="X960" i="2"/>
  <c r="U864" i="3"/>
  <c r="T864" i="3"/>
  <c r="AC236" i="2"/>
  <c r="Y898" i="3"/>
  <c r="Z898" i="3"/>
  <c r="W946" i="1"/>
  <c r="V946" i="1"/>
  <c r="U47" i="3"/>
  <c r="T47" i="3"/>
  <c r="Z411" i="3"/>
  <c r="Y411" i="3"/>
  <c r="AG209" i="2"/>
  <c r="U672" i="3"/>
  <c r="T672" i="3"/>
  <c r="U186" i="3"/>
  <c r="T186" i="3"/>
  <c r="U695" i="3"/>
  <c r="T695" i="3"/>
  <c r="X737" i="2"/>
  <c r="Y737" i="2"/>
  <c r="Y110" i="3"/>
  <c r="Z110" i="3"/>
  <c r="AA886" i="1"/>
  <c r="AB886" i="1"/>
  <c r="AF611" i="2"/>
  <c r="Y201" i="2"/>
  <c r="X201" i="2"/>
  <c r="Z765" i="3"/>
  <c r="Y765" i="3"/>
  <c r="X477" i="2"/>
  <c r="Y477" i="2"/>
  <c r="AC615" i="2"/>
  <c r="Y948" i="2"/>
  <c r="X948" i="2"/>
  <c r="U222" i="3"/>
  <c r="T222" i="3"/>
  <c r="AC448" i="2"/>
  <c r="U898" i="3"/>
  <c r="T898" i="3"/>
  <c r="T648" i="2"/>
  <c r="S648" i="2"/>
  <c r="S577" i="2"/>
  <c r="T577" i="2"/>
  <c r="AA635" i="3"/>
  <c r="Y768" i="2"/>
  <c r="X768" i="2"/>
  <c r="T446" i="3"/>
  <c r="U446" i="3"/>
  <c r="Y854" i="3"/>
  <c r="Z854" i="3"/>
  <c r="S266" i="2"/>
  <c r="T266" i="2"/>
  <c r="X378" i="2"/>
  <c r="Y378" i="2"/>
  <c r="Y788" i="3"/>
  <c r="Z788" i="3"/>
  <c r="T885" i="2"/>
  <c r="S885" i="2"/>
  <c r="T835" i="3"/>
  <c r="U835" i="3"/>
  <c r="AD638" i="3"/>
  <c r="Y736" i="2"/>
  <c r="X736" i="2"/>
  <c r="AB950" i="3"/>
  <c r="AE950" i="3"/>
  <c r="AG950" i="3"/>
  <c r="T629" i="3"/>
  <c r="U629" i="3"/>
  <c r="V629" i="3"/>
  <c r="V855" i="1"/>
  <c r="W855" i="1"/>
  <c r="X634" i="2"/>
  <c r="Y634" i="2"/>
  <c r="Y640" i="2"/>
  <c r="X640" i="2"/>
  <c r="X766" i="2"/>
  <c r="Y766" i="2"/>
  <c r="Y32" i="3"/>
  <c r="Z32" i="3"/>
  <c r="Y974" i="2"/>
  <c r="X974" i="2"/>
  <c r="Y534" i="3"/>
  <c r="Z534" i="3"/>
  <c r="AF967" i="1"/>
  <c r="AF356" i="2"/>
  <c r="T374" i="2"/>
  <c r="S374" i="2"/>
  <c r="Y386" i="3"/>
  <c r="Z386" i="3"/>
  <c r="AA1006" i="1"/>
  <c r="AB1006" i="1"/>
  <c r="AA783" i="1"/>
  <c r="AB783" i="1"/>
  <c r="AC781" i="2"/>
  <c r="T945" i="2"/>
  <c r="S945" i="2"/>
  <c r="U402" i="3"/>
  <c r="T402" i="3"/>
  <c r="U302" i="3"/>
  <c r="T302" i="3"/>
  <c r="Z339" i="3"/>
  <c r="Y339" i="3"/>
  <c r="Y990" i="3"/>
  <c r="Z990" i="3"/>
  <c r="AA790" i="1"/>
  <c r="AB790" i="1"/>
  <c r="U284" i="3"/>
  <c r="T284" i="3"/>
  <c r="Y966" i="2"/>
  <c r="X966" i="2"/>
  <c r="T730" i="3"/>
  <c r="U730" i="3"/>
  <c r="T712" i="3"/>
  <c r="U712" i="3"/>
  <c r="AC969" i="2"/>
  <c r="T538" i="3"/>
  <c r="U538" i="3"/>
  <c r="AC262" i="2"/>
  <c r="AB661" i="1"/>
  <c r="AA661" i="1"/>
  <c r="AC651" i="2"/>
  <c r="AA1015" i="1"/>
  <c r="AB1015" i="1"/>
  <c r="AD940" i="3"/>
  <c r="S756" i="2"/>
  <c r="T756" i="2"/>
  <c r="AD47" i="3"/>
  <c r="T915" i="3"/>
  <c r="U915" i="3"/>
  <c r="AD115" i="3"/>
  <c r="AC886" i="2"/>
  <c r="U442" i="3"/>
  <c r="T442" i="3"/>
  <c r="AH235" i="3"/>
  <c r="AF937" i="1"/>
  <c r="Z461" i="2"/>
  <c r="T675" i="2"/>
  <c r="S675" i="2"/>
  <c r="AF789" i="1"/>
  <c r="Z898" i="2"/>
  <c r="Y520" i="3"/>
  <c r="Z520" i="3"/>
  <c r="AE638" i="3"/>
  <c r="AG638" i="3"/>
  <c r="Z367" i="3"/>
  <c r="Y367" i="3"/>
  <c r="AA986" i="1"/>
  <c r="AB986" i="1"/>
  <c r="T691" i="2"/>
  <c r="S691" i="2"/>
  <c r="Y828" i="3"/>
  <c r="Z828" i="3"/>
  <c r="AG683" i="3"/>
  <c r="S854" i="2"/>
  <c r="T854" i="2"/>
  <c r="Y511" i="3"/>
  <c r="Z511" i="3"/>
  <c r="AC880" i="2"/>
  <c r="Z409" i="2"/>
  <c r="Y931" i="2"/>
  <c r="X931" i="2"/>
  <c r="T544" i="3"/>
  <c r="U544" i="3"/>
  <c r="AB829" i="1"/>
  <c r="AA829" i="1"/>
  <c r="Y93" i="3"/>
  <c r="Z93" i="3"/>
  <c r="V699" i="1"/>
  <c r="W699" i="1"/>
  <c r="Y870" i="2"/>
  <c r="X870" i="2"/>
  <c r="AC617" i="2"/>
  <c r="AD846" i="3"/>
  <c r="T717" i="3"/>
  <c r="U717" i="3"/>
  <c r="V678" i="1"/>
  <c r="W678" i="1"/>
  <c r="T593" i="3"/>
  <c r="U593" i="3"/>
  <c r="Z659" i="3"/>
  <c r="Y659" i="3"/>
  <c r="S512" i="2"/>
  <c r="T512" i="2"/>
  <c r="T957" i="3"/>
  <c r="U957" i="3"/>
  <c r="Y329" i="3"/>
  <c r="Z329" i="3"/>
  <c r="U493" i="3"/>
  <c r="T493" i="3"/>
  <c r="Y471" i="3"/>
  <c r="Z471" i="3"/>
  <c r="AD99" i="3"/>
  <c r="AB928" i="1"/>
  <c r="AA928" i="1"/>
  <c r="S724" i="2"/>
  <c r="T724" i="2"/>
  <c r="Y455" i="2"/>
  <c r="X455" i="2"/>
  <c r="Y424" i="3"/>
  <c r="Z424" i="3"/>
  <c r="AB786" i="1"/>
  <c r="AA786" i="1"/>
  <c r="T713" i="3"/>
  <c r="U713" i="3"/>
  <c r="T934" i="3"/>
  <c r="U934" i="3"/>
  <c r="U741" i="3"/>
  <c r="T741" i="3"/>
  <c r="Y597" i="2"/>
  <c r="X597" i="2"/>
  <c r="AD859" i="3"/>
  <c r="Y328" i="3"/>
  <c r="Z328" i="3"/>
  <c r="Z637" i="3"/>
  <c r="Y637" i="3"/>
  <c r="W798" i="1"/>
  <c r="V798" i="1"/>
  <c r="AB795" i="1"/>
  <c r="AA795" i="1"/>
  <c r="T422" i="2"/>
  <c r="S422" i="2"/>
  <c r="T61" i="3"/>
  <c r="U61" i="3"/>
  <c r="S438" i="2"/>
  <c r="T438" i="2"/>
  <c r="Y392" i="3"/>
  <c r="Z392" i="3"/>
  <c r="Y606" i="3"/>
  <c r="Z606" i="3"/>
  <c r="U288" i="3"/>
  <c r="T288" i="3"/>
  <c r="T303" i="3"/>
  <c r="U303" i="3"/>
  <c r="X994" i="2"/>
  <c r="Y994" i="2"/>
  <c r="U484" i="3"/>
  <c r="T484" i="3"/>
  <c r="T262" i="3"/>
  <c r="U262" i="3"/>
  <c r="X291" i="2"/>
  <c r="Y291" i="2"/>
  <c r="S629" i="2"/>
  <c r="T629" i="2"/>
  <c r="T930" i="2"/>
  <c r="S930" i="2"/>
  <c r="S997" i="2"/>
  <c r="T997" i="2"/>
  <c r="AA766" i="1"/>
  <c r="AB766" i="1"/>
  <c r="Y653" i="2"/>
  <c r="X653" i="2"/>
  <c r="S495" i="2"/>
  <c r="T495" i="2"/>
  <c r="Y848" i="3"/>
  <c r="Z848" i="3"/>
  <c r="S420" i="2"/>
  <c r="T420" i="2"/>
  <c r="AC355" i="2"/>
  <c r="Z277" i="3"/>
  <c r="Y277" i="3"/>
  <c r="AA848" i="1"/>
  <c r="AB848" i="1"/>
  <c r="AD180" i="3"/>
  <c r="Y139" i="3"/>
  <c r="Z139" i="3"/>
  <c r="W909" i="1"/>
  <c r="V909" i="1"/>
  <c r="AG969" i="2"/>
  <c r="AB872" i="1"/>
  <c r="AA872" i="1"/>
  <c r="Y494" i="2"/>
  <c r="X494" i="2"/>
  <c r="Z712" i="3"/>
  <c r="Y712" i="3"/>
  <c r="AA772" i="1"/>
  <c r="AB772" i="1"/>
  <c r="X591" i="2"/>
  <c r="Y591" i="2"/>
  <c r="AD870" i="3"/>
  <c r="T726" i="3"/>
  <c r="U726" i="3"/>
  <c r="W679" i="1"/>
  <c r="V679" i="1"/>
  <c r="V689" i="1"/>
  <c r="W689" i="1"/>
  <c r="AA137" i="3"/>
  <c r="Y213" i="2"/>
  <c r="X213" i="2"/>
  <c r="T456" i="3"/>
  <c r="U456" i="3"/>
  <c r="T565" i="2"/>
  <c r="S565" i="2"/>
  <c r="U960" i="3"/>
  <c r="T960" i="3"/>
  <c r="Y703" i="2"/>
  <c r="X703" i="2"/>
  <c r="U720" i="3"/>
  <c r="T720" i="3"/>
  <c r="S359" i="2"/>
  <c r="T359" i="2"/>
  <c r="S876" i="2"/>
  <c r="T876" i="2"/>
  <c r="S984" i="2"/>
  <c r="T984" i="2"/>
  <c r="S302" i="2"/>
  <c r="T302" i="2"/>
  <c r="U875" i="3"/>
  <c r="T875" i="3"/>
  <c r="S363" i="2"/>
  <c r="T363" i="2"/>
  <c r="T75" i="3"/>
  <c r="U75" i="3"/>
  <c r="T969" i="3"/>
  <c r="U969" i="3"/>
  <c r="U595" i="3"/>
  <c r="T595" i="3"/>
  <c r="U452" i="3"/>
  <c r="T452" i="3"/>
  <c r="U194" i="3"/>
  <c r="T194" i="3"/>
  <c r="AB903" i="1"/>
  <c r="AA903" i="1"/>
  <c r="T866" i="2"/>
  <c r="S866" i="2"/>
  <c r="T515" i="2"/>
  <c r="S515" i="2"/>
  <c r="AA676" i="1"/>
  <c r="AB676" i="1"/>
  <c r="X690" i="2"/>
  <c r="Y690" i="2"/>
  <c r="AA547" i="3"/>
  <c r="S229" i="2"/>
  <c r="T229" i="2"/>
  <c r="S578" i="2"/>
  <c r="T578" i="2"/>
  <c r="Y660" i="2"/>
  <c r="X660" i="2"/>
  <c r="T337" i="2"/>
  <c r="S337" i="2"/>
  <c r="Y397" i="3"/>
  <c r="Z397" i="3"/>
  <c r="X433" i="2"/>
  <c r="Y433" i="2"/>
  <c r="Y502" i="3"/>
  <c r="Z502" i="3"/>
  <c r="S448" i="2"/>
  <c r="T448" i="2"/>
  <c r="W931" i="1"/>
  <c r="V931" i="1"/>
  <c r="U929" i="3"/>
  <c r="T929" i="3"/>
  <c r="U136" i="3"/>
  <c r="T136" i="3"/>
  <c r="AC361" i="2"/>
  <c r="U490" i="3"/>
  <c r="T490" i="3"/>
  <c r="AD448" i="3"/>
  <c r="T968" i="3"/>
  <c r="U968" i="3"/>
  <c r="AD747" i="3"/>
  <c r="S742" i="2"/>
  <c r="T742" i="2"/>
  <c r="Z333" i="3"/>
  <c r="Y333" i="3"/>
  <c r="T706" i="3"/>
  <c r="U706" i="3"/>
  <c r="W928" i="1"/>
  <c r="V928" i="1"/>
  <c r="AG717" i="2"/>
  <c r="X555" i="2"/>
  <c r="Y555" i="2"/>
  <c r="Y79" i="3"/>
  <c r="Z79" i="3"/>
  <c r="U955" i="2"/>
  <c r="AA955" i="2"/>
  <c r="AD955" i="2"/>
  <c r="AF955" i="2"/>
  <c r="Z911" i="3"/>
  <c r="Y911" i="3"/>
  <c r="AD667" i="1"/>
  <c r="AG667" i="1"/>
  <c r="AI667" i="1"/>
  <c r="Z181" i="3"/>
  <c r="Y181" i="3"/>
  <c r="Y158" i="3"/>
  <c r="Z158" i="3"/>
  <c r="T554" i="2"/>
  <c r="S554" i="2"/>
  <c r="W836" i="1"/>
  <c r="V836" i="1"/>
  <c r="AC839" i="2"/>
  <c r="AB816" i="1"/>
  <c r="AA816" i="1"/>
  <c r="Z839" i="3"/>
  <c r="Y839" i="3"/>
  <c r="Y684" i="3"/>
  <c r="Z684" i="3"/>
  <c r="S929" i="2"/>
  <c r="T929" i="2"/>
  <c r="U811" i="3"/>
  <c r="T811" i="3"/>
  <c r="U67" i="3"/>
  <c r="T67" i="3"/>
  <c r="T276" i="2"/>
  <c r="S276" i="2"/>
  <c r="AD941" i="3"/>
  <c r="Z314" i="3"/>
  <c r="Y314" i="3"/>
  <c r="X288" i="2"/>
  <c r="Y288" i="2"/>
  <c r="X655" i="2"/>
  <c r="Y655" i="2"/>
  <c r="Y271" i="2"/>
  <c r="X271" i="2"/>
  <c r="T366" i="2"/>
  <c r="S366" i="2"/>
  <c r="AD136" i="3"/>
  <c r="T326" i="2"/>
  <c r="S326" i="2"/>
  <c r="AG249" i="3"/>
  <c r="Z151" i="3"/>
  <c r="Y151" i="3"/>
  <c r="AG234" i="2"/>
  <c r="AG652" i="2"/>
  <c r="U394" i="3"/>
  <c r="T394" i="3"/>
  <c r="Y700" i="3"/>
  <c r="Z700" i="3"/>
  <c r="AD337" i="3"/>
  <c r="U342" i="3"/>
  <c r="T342" i="3"/>
  <c r="AA724" i="1"/>
  <c r="AB724" i="1"/>
  <c r="AG207" i="2"/>
  <c r="AC903" i="1"/>
  <c r="Y424" i="2"/>
  <c r="X424" i="2"/>
  <c r="S275" i="2"/>
  <c r="T275" i="2"/>
  <c r="T513" i="3"/>
  <c r="U513" i="3"/>
  <c r="U751" i="3"/>
  <c r="T751" i="3"/>
  <c r="T591" i="2"/>
  <c r="S591" i="2"/>
  <c r="Y887" i="3"/>
  <c r="Z887" i="3"/>
  <c r="X228" i="2"/>
  <c r="Y228" i="2"/>
  <c r="AD537" i="3"/>
  <c r="U379" i="3"/>
  <c r="T379" i="3"/>
  <c r="Y801" i="3"/>
  <c r="Z801" i="3"/>
  <c r="W866" i="1"/>
  <c r="V866" i="1"/>
  <c r="Y709" i="3"/>
  <c r="Z709" i="3"/>
  <c r="U353" i="3"/>
  <c r="T353" i="3"/>
  <c r="Z905" i="2"/>
  <c r="AD558" i="2"/>
  <c r="U558" i="2"/>
  <c r="AA558" i="2"/>
  <c r="AC558" i="2"/>
  <c r="U382" i="3"/>
  <c r="T382" i="3"/>
  <c r="AA1014" i="1"/>
  <c r="AB1014" i="1"/>
  <c r="AD605" i="3"/>
  <c r="X866" i="2"/>
  <c r="Y866" i="2"/>
  <c r="Y589" i="3"/>
  <c r="Z589" i="3"/>
  <c r="T655" i="2"/>
  <c r="S655" i="2"/>
  <c r="T817" i="3"/>
  <c r="U817" i="3"/>
  <c r="AA993" i="1"/>
  <c r="AB993" i="1"/>
  <c r="AA941" i="1"/>
  <c r="AB941" i="1"/>
  <c r="S389" i="2"/>
  <c r="T389" i="2"/>
  <c r="AJ985" i="1"/>
  <c r="T253" i="2"/>
  <c r="S253" i="2"/>
  <c r="AA76" i="1"/>
  <c r="AB76" i="1"/>
  <c r="Z830" i="3"/>
  <c r="Y830" i="3"/>
  <c r="T973" i="3"/>
  <c r="U973" i="3"/>
  <c r="Y356" i="2"/>
  <c r="X356" i="2"/>
  <c r="AD194" i="3"/>
  <c r="T233" i="2"/>
  <c r="S233" i="2"/>
  <c r="X834" i="2"/>
  <c r="Y834" i="2"/>
  <c r="W698" i="1"/>
  <c r="V698" i="1"/>
  <c r="AG405" i="2"/>
  <c r="Y634" i="3"/>
  <c r="Z634" i="3"/>
  <c r="Y389" i="3"/>
  <c r="Z389" i="3"/>
  <c r="Y403" i="2"/>
  <c r="X403" i="2"/>
  <c r="T218" i="2"/>
  <c r="S218" i="2"/>
  <c r="U800" i="3"/>
  <c r="T800" i="3"/>
  <c r="S211" i="2"/>
  <c r="T211" i="2"/>
  <c r="U623" i="3"/>
  <c r="T623" i="3"/>
  <c r="Z388" i="3"/>
  <c r="Y388" i="3"/>
  <c r="Y668" i="2"/>
  <c r="X668" i="2"/>
  <c r="Y438" i="3"/>
  <c r="Z438" i="3"/>
  <c r="T324" i="3"/>
  <c r="U324" i="3"/>
  <c r="V779" i="1"/>
  <c r="W779" i="1"/>
  <c r="Y199" i="3"/>
  <c r="Z199" i="3"/>
  <c r="W783" i="1"/>
  <c r="V783" i="1"/>
  <c r="Z669" i="3"/>
  <c r="Y669" i="3"/>
  <c r="AC611" i="2"/>
  <c r="AD611" i="2"/>
  <c r="Z858" i="3"/>
  <c r="Y858" i="3"/>
  <c r="AA546" i="3"/>
  <c r="Z364" i="2"/>
  <c r="AC591" i="2"/>
  <c r="Z980" i="3"/>
  <c r="Y980" i="3"/>
  <c r="V940" i="1"/>
  <c r="W940" i="1"/>
  <c r="Y738" i="2"/>
  <c r="X738" i="2"/>
  <c r="U591" i="3"/>
  <c r="T591" i="3"/>
  <c r="Z959" i="3"/>
  <c r="Y959" i="3"/>
  <c r="U833" i="3"/>
  <c r="T833" i="3"/>
  <c r="Y611" i="2"/>
  <c r="AA611" i="2"/>
  <c r="X611" i="2"/>
  <c r="AH982" i="3"/>
  <c r="Z100" i="3"/>
  <c r="Y100" i="3"/>
  <c r="AC683" i="2"/>
  <c r="U635" i="2"/>
  <c r="AA635" i="2"/>
  <c r="AD635" i="2"/>
  <c r="AF635" i="2"/>
  <c r="T227" i="2"/>
  <c r="S227" i="2"/>
  <c r="AG684" i="2"/>
  <c r="U894" i="3"/>
  <c r="T894" i="3"/>
  <c r="AC434" i="2"/>
  <c r="Y450" i="3"/>
  <c r="Z450" i="3"/>
  <c r="T950" i="2"/>
  <c r="S950" i="2"/>
  <c r="T472" i="2"/>
  <c r="S472" i="2"/>
  <c r="T679" i="3"/>
  <c r="U679" i="3"/>
  <c r="AA144" i="3"/>
  <c r="U400" i="3"/>
  <c r="T400" i="3"/>
  <c r="U169" i="3"/>
  <c r="T169" i="3"/>
  <c r="T602" i="2"/>
  <c r="S602" i="2"/>
  <c r="Y197" i="3"/>
  <c r="Z197" i="3"/>
  <c r="T648" i="3"/>
  <c r="U648" i="3"/>
  <c r="U482" i="3"/>
  <c r="T482" i="3"/>
  <c r="Y341" i="2"/>
  <c r="X341" i="2"/>
  <c r="Z979" i="3"/>
  <c r="Y979" i="3"/>
  <c r="U761" i="3"/>
  <c r="T761" i="3"/>
  <c r="X421" i="2"/>
  <c r="Y421" i="2"/>
  <c r="AB729" i="1"/>
  <c r="AA729" i="1"/>
  <c r="Z119" i="3"/>
  <c r="Y119" i="3"/>
  <c r="T60" i="3"/>
  <c r="U60" i="3"/>
  <c r="Z826" i="3"/>
  <c r="Y826" i="3"/>
  <c r="X359" i="2"/>
  <c r="Y359" i="2"/>
  <c r="U298" i="3"/>
  <c r="T298" i="3"/>
  <c r="M939" i="1"/>
  <c r="T588" i="2"/>
  <c r="S588" i="2"/>
  <c r="Y794" i="3"/>
  <c r="Z794" i="3"/>
  <c r="Y649" i="2"/>
  <c r="X649" i="2"/>
  <c r="V755" i="1"/>
  <c r="W755" i="1"/>
  <c r="Z273" i="3"/>
  <c r="Y273" i="3"/>
  <c r="Z941" i="3"/>
  <c r="Y941" i="3"/>
  <c r="Y185" i="2"/>
  <c r="X185" i="2"/>
  <c r="AG715" i="2"/>
  <c r="V752" i="1"/>
  <c r="W752" i="1"/>
  <c r="T968" i="2"/>
  <c r="S968" i="2"/>
  <c r="S496" i="2"/>
  <c r="T496" i="2"/>
  <c r="W957" i="1"/>
  <c r="V957" i="1"/>
  <c r="T269" i="3"/>
  <c r="U269" i="3"/>
  <c r="T794" i="3"/>
  <c r="U794" i="3"/>
  <c r="S184" i="2"/>
  <c r="T184" i="2"/>
  <c r="X197" i="2"/>
  <c r="Y197" i="2"/>
  <c r="AD962" i="3"/>
  <c r="AB918" i="1"/>
  <c r="AA918" i="1"/>
  <c r="V968" i="1"/>
  <c r="W968" i="1"/>
  <c r="T530" i="3"/>
  <c r="U530" i="3"/>
  <c r="Z211" i="3"/>
  <c r="Y211" i="3"/>
  <c r="AF769" i="1"/>
  <c r="AA633" i="3"/>
  <c r="W704" i="1"/>
  <c r="V704" i="1"/>
  <c r="X540" i="2"/>
  <c r="Y540" i="2"/>
  <c r="Z897" i="3"/>
  <c r="Y897" i="3"/>
  <c r="Y855" i="3"/>
  <c r="Z855" i="3"/>
  <c r="Y378" i="3"/>
  <c r="Z378" i="3"/>
  <c r="AA750" i="3"/>
  <c r="S666" i="2"/>
  <c r="T666" i="2"/>
  <c r="AB833" i="1"/>
  <c r="AA833" i="1"/>
  <c r="AC403" i="2"/>
  <c r="AH567" i="3"/>
  <c r="Y349" i="3"/>
  <c r="Z349" i="3"/>
  <c r="W707" i="1"/>
  <c r="V707" i="1"/>
  <c r="AA890" i="1"/>
  <c r="AB890" i="1"/>
  <c r="U626" i="3"/>
  <c r="T626" i="3"/>
  <c r="U635" i="3"/>
  <c r="T635" i="3"/>
  <c r="Z744" i="3"/>
  <c r="Y744" i="3"/>
  <c r="S889" i="2"/>
  <c r="T889" i="2"/>
  <c r="Z295" i="2"/>
  <c r="X612" i="2"/>
  <c r="Y612" i="2"/>
  <c r="T409" i="2"/>
  <c r="S409" i="2"/>
  <c r="Z691" i="2"/>
  <c r="Y563" i="3"/>
  <c r="Z563" i="3"/>
  <c r="AB807" i="1"/>
  <c r="AA807" i="1"/>
  <c r="AB899" i="1"/>
  <c r="AA899" i="1"/>
  <c r="Z360" i="3"/>
  <c r="Y360" i="3"/>
  <c r="X847" i="2"/>
  <c r="Y847" i="2"/>
  <c r="AC207" i="2"/>
  <c r="Z172" i="3"/>
  <c r="Y172" i="3"/>
  <c r="AC930" i="1"/>
  <c r="S246" i="2"/>
  <c r="T246" i="2"/>
  <c r="U278" i="3"/>
  <c r="T278" i="3"/>
  <c r="AD356" i="2"/>
  <c r="U356" i="2"/>
  <c r="AA356" i="2"/>
  <c r="AC356" i="2"/>
  <c r="AA810" i="1"/>
  <c r="AB810" i="1"/>
  <c r="U781" i="2"/>
  <c r="AA781" i="2"/>
  <c r="AD781" i="2"/>
  <c r="AF781" i="2"/>
  <c r="Y507" i="2"/>
  <c r="X507" i="2"/>
  <c r="T664" i="3"/>
  <c r="U664" i="3"/>
  <c r="Y501" i="3"/>
  <c r="Z501" i="3"/>
  <c r="Y807" i="3"/>
  <c r="Z807" i="3"/>
  <c r="T896" i="2"/>
  <c r="S896" i="2"/>
  <c r="Y849" i="2"/>
  <c r="X849" i="2"/>
  <c r="Z899" i="3"/>
  <c r="Y899" i="3"/>
  <c r="T172" i="3"/>
  <c r="U172" i="3"/>
  <c r="Y496" i="2"/>
  <c r="X496" i="2"/>
  <c r="AF405" i="2"/>
  <c r="AF765" i="1"/>
  <c r="AF963" i="1"/>
  <c r="W944" i="1"/>
  <c r="V944" i="1"/>
  <c r="T350" i="2"/>
  <c r="S350" i="2"/>
  <c r="W703" i="1"/>
  <c r="V703" i="1"/>
  <c r="T185" i="2"/>
  <c r="S185" i="2"/>
  <c r="AA529" i="3"/>
  <c r="AD939" i="3"/>
  <c r="AF705" i="1"/>
  <c r="Z464" i="2"/>
  <c r="AC588" i="2"/>
  <c r="T683" i="3"/>
  <c r="U683" i="3"/>
  <c r="AD192" i="3"/>
  <c r="T611" i="2"/>
  <c r="S611" i="2"/>
  <c r="U611" i="2"/>
  <c r="AB895" i="1"/>
  <c r="AA895" i="1"/>
  <c r="AD120" i="3"/>
  <c r="AD883" i="3"/>
  <c r="W742" i="1"/>
  <c r="V742" i="1"/>
  <c r="AG641" i="2"/>
  <c r="X681" i="2"/>
  <c r="Y681" i="2"/>
  <c r="AD157" i="3"/>
  <c r="Y405" i="2"/>
  <c r="X405" i="2"/>
  <c r="AD821" i="3"/>
  <c r="AA767" i="1"/>
  <c r="AB767" i="1"/>
  <c r="T318" i="2"/>
  <c r="S318" i="2"/>
  <c r="T922" i="3"/>
  <c r="U922" i="3"/>
  <c r="AC948" i="2"/>
  <c r="AD529" i="3"/>
  <c r="S518" i="2"/>
  <c r="T518" i="2"/>
  <c r="Y236" i="3"/>
  <c r="Z236" i="3"/>
  <c r="AD979" i="3"/>
  <c r="S737" i="2"/>
  <c r="T737" i="2"/>
  <c r="U954" i="3"/>
  <c r="T954" i="3"/>
  <c r="AI695" i="1"/>
  <c r="AD373" i="3"/>
  <c r="AD433" i="3"/>
  <c r="AH971" i="3"/>
  <c r="AD158" i="3"/>
  <c r="AC392" i="2"/>
  <c r="AA910" i="3"/>
  <c r="AF990" i="1"/>
  <c r="AC870" i="1"/>
  <c r="Y442" i="3"/>
  <c r="Z442" i="3"/>
  <c r="AG867" i="3"/>
  <c r="S844" i="2"/>
  <c r="T844" i="2"/>
  <c r="AD787" i="3"/>
  <c r="X410" i="2"/>
  <c r="Y410" i="2"/>
  <c r="T364" i="2"/>
  <c r="S364" i="2"/>
  <c r="M686" i="1"/>
  <c r="AA938" i="1"/>
  <c r="AB938" i="1"/>
  <c r="AJ718" i="1"/>
  <c r="AC503" i="2"/>
  <c r="AF681" i="1"/>
  <c r="AD405" i="2"/>
  <c r="AA405" i="2"/>
  <c r="AC405" i="2"/>
  <c r="T210" i="2"/>
  <c r="S210" i="2"/>
  <c r="AD943" i="3"/>
  <c r="V605" i="3"/>
  <c r="AB605" i="3"/>
  <c r="AE605" i="3"/>
  <c r="AG605" i="3"/>
  <c r="T934" i="2"/>
  <c r="S934" i="2"/>
  <c r="AG994" i="2"/>
  <c r="AH496" i="3"/>
  <c r="S221" i="2"/>
  <c r="T221" i="2"/>
  <c r="V979" i="3"/>
  <c r="AB979" i="3"/>
  <c r="AE979" i="3"/>
  <c r="AG979" i="3"/>
  <c r="S843" i="2"/>
  <c r="T843" i="2"/>
  <c r="V717" i="1"/>
  <c r="W717" i="1"/>
  <c r="S626" i="2"/>
  <c r="T626" i="2"/>
  <c r="Y811" i="2"/>
  <c r="X811" i="2"/>
  <c r="T991" i="2"/>
  <c r="S991" i="2"/>
  <c r="AD637" i="3"/>
  <c r="Y418" i="2"/>
  <c r="X418" i="2"/>
  <c r="W914" i="1"/>
  <c r="V914" i="1"/>
  <c r="AC985" i="1"/>
  <c r="Y398" i="3"/>
  <c r="Z398" i="3"/>
  <c r="AB592" i="3"/>
  <c r="AE592" i="3"/>
  <c r="AG592" i="3"/>
  <c r="S662" i="2"/>
  <c r="T662" i="2"/>
  <c r="AD299" i="3"/>
  <c r="AI663" i="1"/>
  <c r="U571" i="3"/>
  <c r="T571" i="3"/>
  <c r="T545" i="2"/>
  <c r="S545" i="2"/>
  <c r="AC654" i="2"/>
  <c r="M962" i="1"/>
  <c r="X665" i="2"/>
  <c r="Y665" i="2"/>
  <c r="U569" i="3"/>
  <c r="T569" i="3"/>
  <c r="X272" i="2"/>
  <c r="Y272" i="2"/>
  <c r="S290" i="2"/>
  <c r="T290" i="2"/>
  <c r="AF809" i="1"/>
  <c r="Y624" i="2"/>
  <c r="X624" i="2"/>
  <c r="T565" i="3"/>
  <c r="U565" i="3"/>
  <c r="Y767" i="2"/>
  <c r="X767" i="2"/>
  <c r="Z969" i="2"/>
  <c r="Y316" i="3"/>
  <c r="Z316" i="3"/>
  <c r="Z164" i="3"/>
  <c r="Y164" i="3"/>
  <c r="Y229" i="3"/>
  <c r="Z229" i="3"/>
  <c r="AA941" i="3"/>
  <c r="AD655" i="3"/>
  <c r="Y729" i="2"/>
  <c r="X729" i="2"/>
  <c r="AI926" i="1"/>
  <c r="Z989" i="3"/>
  <c r="Y989" i="3"/>
  <c r="AD734" i="3"/>
  <c r="S556" i="2"/>
  <c r="T556" i="2"/>
  <c r="Y805" i="2"/>
  <c r="X805" i="2"/>
  <c r="AD106" i="3"/>
  <c r="U708" i="3"/>
  <c r="T708" i="3"/>
  <c r="AD355" i="3"/>
  <c r="U862" i="3"/>
  <c r="T862" i="3"/>
  <c r="X642" i="2"/>
  <c r="Y642" i="2"/>
  <c r="AB737" i="1"/>
  <c r="AA737" i="1"/>
  <c r="Z512" i="3"/>
  <c r="Y512" i="3"/>
  <c r="Y692" i="2"/>
  <c r="X692" i="2"/>
  <c r="Z754" i="3"/>
  <c r="Y754" i="3"/>
  <c r="Y750" i="2"/>
  <c r="X750" i="2"/>
  <c r="AC640" i="2"/>
  <c r="V746" i="1"/>
  <c r="W746" i="1"/>
  <c r="AA708" i="1"/>
  <c r="AB708" i="1"/>
  <c r="Z473" i="3"/>
  <c r="Y473" i="3"/>
  <c r="V758" i="1"/>
  <c r="W758" i="1"/>
  <c r="Y234" i="3"/>
  <c r="Z234" i="3"/>
  <c r="S549" i="2"/>
  <c r="T549" i="2"/>
  <c r="Y628" i="3"/>
  <c r="Z628" i="3"/>
  <c r="AD723" i="3"/>
  <c r="U515" i="3"/>
  <c r="T515" i="3"/>
  <c r="V841" i="1"/>
  <c r="W841" i="1"/>
  <c r="Y683" i="3"/>
  <c r="Z683" i="3"/>
  <c r="Y219" i="2"/>
  <c r="X219" i="2"/>
  <c r="U99" i="3"/>
  <c r="T99" i="3"/>
  <c r="Y592" i="2"/>
  <c r="X592" i="2"/>
  <c r="U300" i="3"/>
  <c r="T300" i="3"/>
  <c r="Y749" i="2"/>
  <c r="X749" i="2"/>
  <c r="T693" i="2"/>
  <c r="S693" i="2"/>
  <c r="U553" i="3"/>
  <c r="T553" i="3"/>
  <c r="AF661" i="1"/>
  <c r="AC751" i="2"/>
  <c r="AG777" i="3"/>
  <c r="Y675" i="3"/>
  <c r="Z675" i="3"/>
  <c r="V1008" i="1"/>
  <c r="W1008" i="1"/>
  <c r="AA864" i="1"/>
  <c r="AB864" i="1"/>
  <c r="AD149" i="3"/>
  <c r="AD640" i="3"/>
  <c r="Z734" i="2"/>
  <c r="M850" i="1"/>
  <c r="AF752" i="1"/>
  <c r="AC899" i="2"/>
  <c r="AC750" i="1"/>
  <c r="T654" i="3"/>
  <c r="U654" i="3"/>
  <c r="V637" i="3"/>
  <c r="AB637" i="3"/>
  <c r="AE637" i="3"/>
  <c r="AG637" i="3"/>
  <c r="Y710" i="2"/>
  <c r="X710" i="2"/>
  <c r="AB730" i="1"/>
  <c r="AA730" i="1"/>
  <c r="T51" i="3"/>
  <c r="U51" i="3"/>
  <c r="X245" i="2"/>
  <c r="Y245" i="2"/>
  <c r="AC510" i="2"/>
  <c r="AF701" i="1"/>
  <c r="Z34" i="3"/>
  <c r="Y34" i="3"/>
  <c r="U118" i="3"/>
  <c r="T118" i="3"/>
  <c r="Z552" i="2"/>
  <c r="AD727" i="3"/>
  <c r="T381" i="3"/>
  <c r="U381" i="3"/>
  <c r="AB904" i="1"/>
  <c r="AA904" i="1"/>
  <c r="AC628" i="2"/>
  <c r="AA798" i="1"/>
  <c r="AB798" i="1"/>
  <c r="AC402" i="2"/>
  <c r="T796" i="3"/>
  <c r="U796" i="3"/>
  <c r="Z721" i="3"/>
  <c r="Y721" i="3"/>
  <c r="AD426" i="3"/>
  <c r="AA629" i="3"/>
  <c r="AD275" i="3"/>
  <c r="AC320" i="2"/>
  <c r="AD518" i="3"/>
  <c r="Y863" i="3"/>
  <c r="Z863" i="3"/>
  <c r="S195" i="2"/>
  <c r="T195" i="2"/>
  <c r="Y672" i="2"/>
  <c r="X672" i="2"/>
  <c r="Z747" i="2"/>
  <c r="M76" i="1"/>
  <c r="Y751" i="3"/>
  <c r="Z751" i="3"/>
  <c r="Z431" i="2"/>
  <c r="S597" i="2"/>
  <c r="T597" i="2"/>
  <c r="AC213" i="2"/>
  <c r="S606" i="2"/>
  <c r="T606" i="2"/>
  <c r="Y419" i="3"/>
  <c r="Z419" i="3"/>
  <c r="V894" i="1"/>
  <c r="W894" i="1"/>
  <c r="T1009" i="2"/>
  <c r="S1009" i="2"/>
  <c r="Y884" i="2"/>
  <c r="X884" i="2"/>
  <c r="Y704" i="3"/>
  <c r="Z704" i="3"/>
  <c r="T44" i="3"/>
  <c r="U44" i="3"/>
  <c r="T837" i="2"/>
  <c r="S837" i="2"/>
  <c r="AC372" i="2"/>
  <c r="T552" i="2"/>
  <c r="S552" i="2"/>
  <c r="T495" i="3"/>
  <c r="U495" i="3"/>
  <c r="S592" i="2"/>
  <c r="T592" i="2"/>
  <c r="AD85" i="3"/>
  <c r="AD925" i="3"/>
  <c r="Y697" i="2"/>
  <c r="X697" i="2"/>
  <c r="Y103" i="3"/>
  <c r="Z103" i="3"/>
  <c r="AJ697" i="1"/>
  <c r="AB878" i="1"/>
  <c r="AA878" i="1"/>
  <c r="AC888" i="2"/>
  <c r="U661" i="3"/>
  <c r="T661" i="3"/>
  <c r="AH762" i="3"/>
  <c r="AF723" i="1"/>
  <c r="AB678" i="1"/>
  <c r="AA678" i="1"/>
  <c r="AD970" i="1"/>
  <c r="AG970" i="1"/>
  <c r="AI970" i="1"/>
  <c r="X542" i="2"/>
  <c r="Y542" i="2"/>
  <c r="AH893" i="3"/>
  <c r="Y805" i="3"/>
  <c r="Z805" i="3"/>
  <c r="T328" i="3"/>
  <c r="U328" i="3"/>
  <c r="AD280" i="3"/>
  <c r="AD216" i="3"/>
  <c r="T53" i="3"/>
  <c r="U53" i="3"/>
  <c r="U682" i="3"/>
  <c r="T682" i="3"/>
  <c r="AD317" i="3"/>
  <c r="Y947" i="3"/>
  <c r="Z947" i="3"/>
  <c r="Z206" i="3"/>
  <c r="Y206" i="3"/>
  <c r="AH947" i="3"/>
  <c r="Y562" i="3"/>
  <c r="Z562" i="3"/>
  <c r="AF839" i="1"/>
  <c r="Y909" i="2"/>
  <c r="X909" i="2"/>
  <c r="S940" i="2"/>
  <c r="T940" i="2"/>
  <c r="AA750" i="1"/>
  <c r="AB750" i="1"/>
  <c r="Z777" i="3"/>
  <c r="Y777" i="3"/>
  <c r="AD278" i="3"/>
  <c r="AD580" i="3"/>
  <c r="U561" i="3"/>
  <c r="T561" i="3"/>
  <c r="T423" i="2"/>
  <c r="S423" i="2"/>
  <c r="T975" i="2"/>
  <c r="S975" i="2"/>
  <c r="T820" i="2"/>
  <c r="S820" i="2"/>
  <c r="AG462" i="2"/>
  <c r="T170" i="3"/>
  <c r="U170" i="3"/>
  <c r="T857" i="3"/>
  <c r="U857" i="3"/>
  <c r="X466" i="2"/>
  <c r="Y466" i="2"/>
  <c r="AB992" i="1"/>
  <c r="AA992" i="1"/>
  <c r="AA988" i="1"/>
  <c r="AB988" i="1"/>
  <c r="Y211" i="2"/>
  <c r="X211" i="2"/>
  <c r="T634" i="3"/>
  <c r="U634" i="3"/>
  <c r="U918" i="3"/>
  <c r="T918" i="3"/>
  <c r="Y331" i="3"/>
  <c r="Z331" i="3"/>
  <c r="AD794" i="3"/>
  <c r="AF986" i="1"/>
  <c r="AB881" i="1"/>
  <c r="AA881" i="1"/>
  <c r="T811" i="2"/>
  <c r="S811" i="2"/>
  <c r="Z880" i="3"/>
  <c r="Y880" i="3"/>
  <c r="T848" i="2"/>
  <c r="S848" i="2"/>
  <c r="Z284" i="3"/>
  <c r="Y284" i="3"/>
  <c r="Z859" i="3"/>
  <c r="Y859" i="3"/>
  <c r="U563" i="3"/>
  <c r="T563" i="3"/>
  <c r="Y501" i="2"/>
  <c r="X501" i="2"/>
  <c r="AD288" i="3"/>
  <c r="V952" i="1"/>
  <c r="W952" i="1"/>
  <c r="U520" i="3"/>
  <c r="T520" i="3"/>
  <c r="T975" i="3"/>
  <c r="U975" i="3"/>
  <c r="U908" i="3"/>
  <c r="T908" i="3"/>
  <c r="T351" i="3"/>
  <c r="U351" i="3"/>
  <c r="Y546" i="2"/>
  <c r="X546" i="2"/>
  <c r="AC911" i="1"/>
  <c r="AB856" i="1"/>
  <c r="AA856" i="1"/>
  <c r="AJ904" i="1"/>
  <c r="S507" i="2"/>
  <c r="T507" i="2"/>
  <c r="T911" i="2"/>
  <c r="S911" i="2"/>
  <c r="Z509" i="3"/>
  <c r="Y509" i="3"/>
  <c r="AF719" i="2"/>
  <c r="Z803" i="2"/>
  <c r="Y391" i="2"/>
  <c r="X391" i="2"/>
  <c r="Y78" i="3"/>
  <c r="Z78" i="3"/>
  <c r="AC543" i="2"/>
  <c r="AG845" i="3"/>
  <c r="T818" i="2"/>
  <c r="S818" i="2"/>
  <c r="Z530" i="3"/>
  <c r="Y530" i="3"/>
  <c r="S766" i="2"/>
  <c r="T766" i="2"/>
  <c r="T161" i="3"/>
  <c r="U161" i="3"/>
  <c r="AA976" i="3"/>
  <c r="U323" i="3"/>
  <c r="T323" i="3"/>
  <c r="U195" i="3"/>
  <c r="T195" i="3"/>
  <c r="X633" i="2"/>
  <c r="Y633" i="2"/>
  <c r="Y714" i="3"/>
  <c r="Z714" i="3"/>
  <c r="AB714" i="3"/>
  <c r="W745" i="1"/>
  <c r="V745" i="1"/>
  <c r="T533" i="3"/>
  <c r="U533" i="3"/>
  <c r="T774" i="3"/>
  <c r="U774" i="3"/>
  <c r="AA939" i="1"/>
  <c r="AB939" i="1"/>
  <c r="U505" i="3"/>
  <c r="T505" i="3"/>
  <c r="Y306" i="2"/>
  <c r="X306" i="2"/>
  <c r="Z238" i="3"/>
  <c r="Y238" i="3"/>
  <c r="U669" i="3"/>
  <c r="T669" i="3"/>
  <c r="U576" i="3"/>
  <c r="T576" i="3"/>
  <c r="AA539" i="3"/>
  <c r="AB927" i="1"/>
  <c r="AA927" i="1"/>
  <c r="Z749" i="3"/>
  <c r="Y749" i="3"/>
  <c r="X273" i="2"/>
  <c r="Y273" i="2"/>
  <c r="Y88" i="3"/>
  <c r="Z88" i="3"/>
  <c r="Z577" i="3"/>
  <c r="Y577" i="3"/>
  <c r="W696" i="1"/>
  <c r="V696" i="1"/>
  <c r="Z769" i="3"/>
  <c r="Y769" i="3"/>
  <c r="T299" i="2"/>
  <c r="S299" i="2"/>
  <c r="T851" i="2"/>
  <c r="S851" i="2"/>
  <c r="T426" i="2"/>
  <c r="S426" i="2"/>
  <c r="Y555" i="3"/>
  <c r="Z555" i="3"/>
  <c r="X789" i="2"/>
  <c r="Y789" i="2"/>
  <c r="Z946" i="3"/>
  <c r="Y946" i="3"/>
  <c r="X384" i="2"/>
  <c r="Y384" i="2"/>
  <c r="S248" i="2"/>
  <c r="T248" i="2"/>
  <c r="Y474" i="2"/>
  <c r="X474" i="2"/>
  <c r="X792" i="2"/>
  <c r="Y792" i="2"/>
  <c r="T749" i="2"/>
  <c r="S749" i="2"/>
  <c r="M770" i="1"/>
  <c r="Z418" i="3"/>
  <c r="Y418" i="3"/>
  <c r="Z44" i="3"/>
  <c r="Y44" i="3"/>
  <c r="T91" i="3"/>
  <c r="U91" i="3"/>
  <c r="U242" i="3"/>
  <c r="T242" i="3"/>
  <c r="S367" i="2"/>
  <c r="T367" i="2"/>
  <c r="Y726" i="2"/>
  <c r="X726" i="2"/>
  <c r="X855" i="2"/>
  <c r="Y855" i="2"/>
  <c r="T502" i="3"/>
  <c r="U502" i="3"/>
  <c r="Y261" i="3"/>
  <c r="Z261" i="3"/>
  <c r="Y751" i="2"/>
  <c r="X751" i="2"/>
  <c r="M1018" i="1"/>
  <c r="Z632" i="3"/>
  <c r="Y632" i="3"/>
  <c r="U349" i="3"/>
  <c r="T349" i="3"/>
  <c r="AC989" i="2"/>
  <c r="X183" i="2"/>
  <c r="Y183" i="2"/>
  <c r="Y907" i="3"/>
  <c r="Z907" i="3"/>
  <c r="Y666" i="2"/>
  <c r="X666" i="2"/>
  <c r="AA745" i="1"/>
  <c r="AB745" i="1"/>
  <c r="T645" i="2"/>
  <c r="S645" i="2"/>
  <c r="X854" i="2"/>
  <c r="Y854" i="2"/>
  <c r="AD622" i="3"/>
  <c r="V939" i="1"/>
  <c r="W939" i="1"/>
  <c r="V867" i="1"/>
  <c r="W867" i="1"/>
  <c r="X867" i="1"/>
  <c r="T657" i="3"/>
  <c r="U657" i="3"/>
  <c r="T772" i="3"/>
  <c r="U772" i="3"/>
  <c r="AF369" i="2"/>
  <c r="Z1006" i="2"/>
  <c r="AF948" i="1"/>
  <c r="Y827" i="3"/>
  <c r="Z827" i="3"/>
  <c r="X704" i="2"/>
  <c r="Y704" i="2"/>
  <c r="Z140" i="3"/>
  <c r="Y140" i="3"/>
  <c r="U715" i="3"/>
  <c r="T715" i="3"/>
  <c r="S206" i="2"/>
  <c r="T206" i="2"/>
  <c r="Y997" i="2"/>
  <c r="X997" i="2"/>
  <c r="X495" i="2"/>
  <c r="Y495" i="2"/>
  <c r="AB725" i="1"/>
  <c r="AA725" i="1"/>
  <c r="AG905" i="2"/>
  <c r="AF532" i="2"/>
  <c r="S271" i="2"/>
  <c r="T271" i="2"/>
  <c r="AC198" i="2"/>
  <c r="U936" i="3"/>
  <c r="T936" i="3"/>
  <c r="AA388" i="3"/>
  <c r="S590" i="2"/>
  <c r="T590" i="2"/>
  <c r="M772" i="1"/>
  <c r="X411" i="2"/>
  <c r="Y411" i="2"/>
  <c r="Y655" i="3"/>
  <c r="Z655" i="3"/>
  <c r="T800" i="2"/>
  <c r="S800" i="2"/>
  <c r="T944" i="3"/>
  <c r="U944" i="3"/>
  <c r="T568" i="2"/>
  <c r="S568" i="2"/>
  <c r="T920" i="3"/>
  <c r="U920" i="3"/>
  <c r="Y850" i="3"/>
  <c r="Z850" i="3"/>
  <c r="Y868" i="3"/>
  <c r="Z868" i="3"/>
  <c r="W768" i="1"/>
  <c r="V768" i="1"/>
  <c r="U751" i="2"/>
  <c r="AA751" i="2"/>
  <c r="AD751" i="2"/>
  <c r="AF751" i="2"/>
  <c r="Y688" i="2"/>
  <c r="X688" i="2"/>
  <c r="AF670" i="1"/>
  <c r="Y785" i="2"/>
  <c r="X785" i="2"/>
  <c r="T488" i="2"/>
  <c r="S488" i="2"/>
  <c r="Y81" i="3"/>
  <c r="Z81" i="3"/>
  <c r="U608" i="3"/>
  <c r="T608" i="3"/>
  <c r="U151" i="3"/>
  <c r="T151" i="3"/>
  <c r="U109" i="3"/>
  <c r="T109" i="3"/>
  <c r="AA686" i="1"/>
  <c r="AB686" i="1"/>
  <c r="S485" i="2"/>
  <c r="T485" i="2"/>
  <c r="AD520" i="3"/>
  <c r="AG789" i="1"/>
  <c r="AI789" i="1"/>
  <c r="T961" i="3"/>
  <c r="U961" i="3"/>
  <c r="AF844" i="1"/>
  <c r="Z338" i="2"/>
  <c r="AB716" i="1"/>
  <c r="AA716" i="1"/>
  <c r="T828" i="2"/>
  <c r="S828" i="2"/>
  <c r="X632" i="2"/>
  <c r="Y632" i="2"/>
  <c r="AD652" i="3"/>
  <c r="T531" i="3"/>
  <c r="U531" i="3"/>
  <c r="X701" i="2"/>
  <c r="Y701" i="2"/>
  <c r="AH642" i="3"/>
  <c r="AA814" i="1"/>
  <c r="AB814" i="1"/>
  <c r="Y953" i="3"/>
  <c r="Z953" i="3"/>
  <c r="AD67" i="3"/>
  <c r="U617" i="2"/>
  <c r="AA617" i="2"/>
  <c r="AD617" i="2"/>
  <c r="AF617" i="2"/>
  <c r="AD711" i="3"/>
  <c r="AG495" i="2"/>
  <c r="AD140" i="3"/>
  <c r="U376" i="3"/>
  <c r="T376" i="3"/>
  <c r="AD542" i="3"/>
  <c r="X944" i="2"/>
  <c r="Y944" i="2"/>
  <c r="Y891" i="2"/>
  <c r="X891" i="2"/>
  <c r="U274" i="3"/>
  <c r="T274" i="3"/>
  <c r="Z994" i="3"/>
  <c r="Y994" i="3"/>
  <c r="Y653" i="3"/>
  <c r="Z653" i="3"/>
  <c r="T944" i="2"/>
  <c r="S944" i="2"/>
  <c r="T853" i="3"/>
  <c r="U853" i="3"/>
  <c r="X537" i="2"/>
  <c r="Y537" i="2"/>
  <c r="U338" i="3"/>
  <c r="T338" i="3"/>
  <c r="T813" i="2"/>
  <c r="S813" i="2"/>
  <c r="X505" i="2"/>
  <c r="Y505" i="2"/>
  <c r="U224" i="3"/>
  <c r="T224" i="3"/>
  <c r="Y931" i="3"/>
  <c r="Z931" i="3"/>
  <c r="S771" i="2"/>
  <c r="T771" i="2"/>
  <c r="Y595" i="3"/>
  <c r="Z595" i="3"/>
  <c r="AC964" i="2"/>
  <c r="AC897" i="2"/>
  <c r="U85" i="3"/>
  <c r="T85" i="3"/>
  <c r="V936" i="1"/>
  <c r="W936" i="1"/>
  <c r="AH245" i="3"/>
  <c r="T863" i="3"/>
  <c r="U863" i="3"/>
  <c r="Y992" i="3"/>
  <c r="Z992" i="3"/>
  <c r="T560" i="2"/>
  <c r="S560" i="2"/>
  <c r="AG389" i="2"/>
  <c r="Z965" i="3"/>
  <c r="Y965" i="3"/>
  <c r="AD610" i="3"/>
  <c r="AD802" i="3"/>
  <c r="T397" i="3"/>
  <c r="U397" i="3"/>
  <c r="Y687" i="3"/>
  <c r="Z687" i="3"/>
  <c r="X838" i="2"/>
  <c r="Y838" i="2"/>
  <c r="X498" i="2"/>
  <c r="Y498" i="2"/>
  <c r="S992" i="2"/>
  <c r="T992" i="2"/>
  <c r="AH587" i="3"/>
  <c r="AA297" i="3"/>
  <c r="Y41" i="3"/>
  <c r="Z41" i="3"/>
  <c r="V988" i="1"/>
  <c r="W988" i="1"/>
  <c r="Y656" i="2"/>
  <c r="X656" i="2"/>
  <c r="AB799" i="1"/>
  <c r="AA799" i="1"/>
  <c r="U993" i="3"/>
  <c r="T993" i="3"/>
  <c r="AB838" i="1"/>
  <c r="AA838" i="1"/>
  <c r="X309" i="2"/>
  <c r="Y309" i="2"/>
  <c r="X307" i="2"/>
  <c r="Y307" i="2"/>
  <c r="S796" i="2"/>
  <c r="T796" i="2"/>
  <c r="X192" i="2"/>
  <c r="Y192" i="2"/>
  <c r="T125" i="3"/>
  <c r="U125" i="3"/>
  <c r="W949" i="1"/>
  <c r="V949" i="1"/>
  <c r="AC375" i="2"/>
  <c r="AD819" i="3"/>
  <c r="AG796" i="3"/>
  <c r="AF909" i="1"/>
  <c r="AF421" i="2"/>
  <c r="U822" i="3"/>
  <c r="T822" i="3"/>
  <c r="V1018" i="1"/>
  <c r="W1018" i="1"/>
  <c r="AD477" i="3"/>
  <c r="Z369" i="2"/>
  <c r="U139" i="3"/>
  <c r="T139" i="3"/>
  <c r="T597" i="3"/>
  <c r="U597" i="3"/>
  <c r="AA961" i="1"/>
  <c r="AB961" i="1"/>
  <c r="AG550" i="2"/>
  <c r="Y675" i="2"/>
  <c r="X675" i="2"/>
  <c r="AA516" i="3"/>
  <c r="AA902" i="1"/>
  <c r="AB902" i="1"/>
  <c r="W859" i="1"/>
  <c r="V859" i="1"/>
  <c r="AD100" i="3"/>
  <c r="AD907" i="3"/>
  <c r="T528" i="3"/>
  <c r="U528" i="3"/>
  <c r="AD926" i="3"/>
  <c r="AC790" i="2"/>
  <c r="AC641" i="2"/>
  <c r="AH736" i="3"/>
  <c r="AF826" i="1"/>
  <c r="T878" i="3"/>
  <c r="U878" i="3"/>
  <c r="AF734" i="1"/>
  <c r="AA615" i="2"/>
  <c r="AD615" i="2"/>
  <c r="AF615" i="2"/>
  <c r="AJ702" i="1"/>
  <c r="AA943" i="1"/>
  <c r="AB943" i="1"/>
  <c r="AF695" i="1"/>
  <c r="X695" i="1"/>
  <c r="AD695" i="1"/>
  <c r="AG695" i="1"/>
  <c r="T287" i="2"/>
  <c r="S287" i="2"/>
  <c r="X883" i="2"/>
  <c r="Y883" i="2"/>
  <c r="AA31" i="3"/>
  <c r="AA385" i="3"/>
  <c r="Z755" i="3"/>
  <c r="Y755" i="3"/>
  <c r="S887" i="2"/>
  <c r="T887" i="2"/>
  <c r="AF851" i="1"/>
  <c r="T905" i="3"/>
  <c r="U905" i="3"/>
  <c r="S387" i="2"/>
  <c r="T387" i="2"/>
  <c r="U285" i="3"/>
  <c r="T285" i="3"/>
  <c r="S219" i="2"/>
  <c r="T219" i="2"/>
  <c r="Z598" i="3"/>
  <c r="Y598" i="3"/>
  <c r="U752" i="2"/>
  <c r="AA752" i="2"/>
  <c r="AD752" i="2"/>
  <c r="AF752" i="2"/>
  <c r="AA290" i="3"/>
  <c r="Z658" i="3"/>
  <c r="Y658" i="3"/>
  <c r="AD253" i="3"/>
  <c r="AA909" i="3"/>
  <c r="Z630" i="2"/>
  <c r="AF805" i="1"/>
  <c r="AC561" i="2"/>
  <c r="AD182" i="3"/>
  <c r="Y300" i="2"/>
  <c r="X300" i="2"/>
  <c r="AC726" i="2"/>
  <c r="T260" i="2"/>
  <c r="S260" i="2"/>
  <c r="AF366" i="2"/>
  <c r="U986" i="3"/>
  <c r="T986" i="3"/>
  <c r="AA697" i="3"/>
  <c r="T421" i="2"/>
  <c r="S421" i="2"/>
  <c r="AF858" i="1"/>
  <c r="AC867" i="2"/>
  <c r="AB660" i="1"/>
  <c r="AA660" i="1"/>
  <c r="T427" i="2"/>
  <c r="S427" i="2"/>
  <c r="AC380" i="2"/>
  <c r="AC613" i="2"/>
  <c r="Z646" i="3"/>
  <c r="Y646" i="3"/>
  <c r="X707" i="2"/>
  <c r="Y707" i="2"/>
  <c r="AB935" i="1"/>
  <c r="AA935" i="1"/>
  <c r="Y685" i="3"/>
  <c r="Z685" i="3"/>
  <c r="AG227" i="2"/>
  <c r="AC275" i="2"/>
  <c r="Z414" i="3"/>
  <c r="Y414" i="3"/>
  <c r="U736" i="3"/>
  <c r="T736" i="3"/>
  <c r="T483" i="2"/>
  <c r="S483" i="2"/>
  <c r="AD506" i="3"/>
  <c r="T416" i="2"/>
  <c r="S416" i="2"/>
  <c r="U410" i="3"/>
  <c r="T410" i="3"/>
  <c r="S680" i="2"/>
  <c r="T680" i="2"/>
  <c r="Y936" i="3"/>
  <c r="Z936" i="3"/>
  <c r="Z535" i="3"/>
  <c r="Y535" i="3"/>
  <c r="U95" i="3"/>
  <c r="T95" i="3"/>
  <c r="U750" i="3"/>
  <c r="T750" i="3"/>
  <c r="U821" i="3"/>
  <c r="T821" i="3"/>
  <c r="AB875" i="1"/>
  <c r="AA875" i="1"/>
  <c r="Y597" i="3"/>
  <c r="Z597" i="3"/>
  <c r="Z667" i="3"/>
  <c r="Y667" i="3"/>
  <c r="W765" i="1"/>
  <c r="V765" i="1"/>
  <c r="AA780" i="3"/>
  <c r="S974" i="2"/>
  <c r="T974" i="2"/>
  <c r="U709" i="3"/>
  <c r="T709" i="3"/>
  <c r="S308" i="2"/>
  <c r="T308" i="2"/>
  <c r="Y379" i="3"/>
  <c r="Z379" i="3"/>
  <c r="V977" i="1"/>
  <c r="W977" i="1"/>
  <c r="W775" i="1"/>
  <c r="V775" i="1"/>
  <c r="Y811" i="3"/>
  <c r="Z811" i="3"/>
  <c r="Y645" i="2"/>
  <c r="X645" i="2"/>
  <c r="Z598" i="2"/>
  <c r="W983" i="1"/>
  <c r="V983" i="1"/>
  <c r="U943" i="3"/>
  <c r="T943" i="3"/>
  <c r="T587" i="3"/>
  <c r="U587" i="3"/>
  <c r="T538" i="2"/>
  <c r="S538" i="2"/>
  <c r="T554" i="3"/>
  <c r="U554" i="3"/>
  <c r="AC972" i="2"/>
  <c r="AD135" i="3"/>
  <c r="Y347" i="3"/>
  <c r="Z347" i="3"/>
  <c r="AC382" i="2"/>
  <c r="Y304" i="2"/>
  <c r="X304" i="2"/>
  <c r="S668" i="2"/>
  <c r="T668" i="2"/>
  <c r="Y46" i="3"/>
  <c r="Z46" i="3"/>
  <c r="T406" i="2"/>
  <c r="S406" i="2"/>
  <c r="AD169" i="3"/>
  <c r="AF742" i="1"/>
  <c r="Y416" i="3"/>
  <c r="Z416" i="3"/>
  <c r="U480" i="3"/>
  <c r="T480" i="3"/>
  <c r="X705" i="2"/>
  <c r="Y705" i="2"/>
  <c r="S649" i="2"/>
  <c r="T649" i="2"/>
  <c r="Z716" i="3"/>
  <c r="Y716" i="3"/>
  <c r="AF293" i="2"/>
  <c r="T699" i="2"/>
  <c r="S699" i="2"/>
  <c r="U814" i="3"/>
  <c r="T814" i="3"/>
  <c r="U479" i="3"/>
  <c r="T479" i="3"/>
  <c r="X206" i="2"/>
  <c r="Y206" i="2"/>
  <c r="AB889" i="1"/>
  <c r="AA889" i="1"/>
  <c r="T405" i="2"/>
  <c r="U405" i="2"/>
  <c r="S405" i="2"/>
  <c r="AD345" i="3"/>
  <c r="Y225" i="3"/>
  <c r="Z225" i="3"/>
  <c r="Z877" i="3"/>
  <c r="Y877" i="3"/>
  <c r="AD311" i="3"/>
  <c r="AB704" i="1"/>
  <c r="AA704" i="1"/>
  <c r="AA760" i="3"/>
  <c r="T705" i="3"/>
  <c r="U705" i="3"/>
  <c r="S966" i="2"/>
  <c r="T966" i="2"/>
  <c r="Z836" i="3"/>
  <c r="Y836" i="3"/>
  <c r="V143" i="3"/>
  <c r="T143" i="3"/>
  <c r="U143" i="3"/>
  <c r="AE249" i="3"/>
  <c r="AD249" i="3"/>
  <c r="Y368" i="3"/>
  <c r="Z368" i="3"/>
  <c r="AA530" i="3"/>
  <c r="AG294" i="2"/>
  <c r="Y730" i="2"/>
  <c r="X730" i="2"/>
  <c r="AD923" i="3"/>
  <c r="V882" i="1"/>
  <c r="W882" i="1"/>
  <c r="T41" i="3"/>
  <c r="U41" i="3"/>
  <c r="AA733" i="3"/>
  <c r="AD289" i="3"/>
  <c r="AD672" i="3"/>
  <c r="AC908" i="2"/>
  <c r="AH728" i="3"/>
  <c r="Y901" i="3"/>
  <c r="Z901" i="3"/>
  <c r="Y275" i="2"/>
  <c r="X275" i="2"/>
  <c r="U100" i="3"/>
  <c r="T100" i="3"/>
  <c r="T244" i="2"/>
  <c r="S244" i="2"/>
  <c r="W976" i="1"/>
  <c r="V976" i="1"/>
  <c r="AH233" i="3"/>
  <c r="Y508" i="2"/>
  <c r="X508" i="2"/>
  <c r="Y124" i="3"/>
  <c r="Z124" i="3"/>
  <c r="T341" i="2"/>
  <c r="S341" i="2"/>
  <c r="Y962" i="3"/>
  <c r="Z962" i="3"/>
  <c r="AF859" i="1"/>
  <c r="AD316" i="3"/>
  <c r="S941" i="2"/>
  <c r="T941" i="2"/>
  <c r="AC548" i="2"/>
  <c r="U126" i="3"/>
  <c r="T126" i="3"/>
  <c r="W861" i="1"/>
  <c r="V861" i="1"/>
  <c r="T110" i="3"/>
  <c r="U110" i="3"/>
  <c r="Z443" i="2"/>
  <c r="Z378" i="2"/>
  <c r="Z650" i="3"/>
  <c r="Y650" i="3"/>
  <c r="AC400" i="2"/>
  <c r="X691" i="2"/>
  <c r="Y691" i="2"/>
  <c r="X893" i="2"/>
  <c r="Y893" i="2"/>
  <c r="T350" i="3"/>
  <c r="U350" i="3"/>
  <c r="AD705" i="3"/>
  <c r="S282" i="2"/>
  <c r="T282" i="2"/>
  <c r="T911" i="3"/>
  <c r="U911" i="3"/>
  <c r="X534" i="2"/>
  <c r="Y534" i="2"/>
  <c r="V672" i="1"/>
  <c r="W672" i="1"/>
  <c r="T344" i="2"/>
  <c r="S344" i="2"/>
  <c r="Z432" i="3"/>
  <c r="Y432" i="3"/>
  <c r="Z173" i="3"/>
  <c r="Y173" i="3"/>
  <c r="X379" i="2"/>
  <c r="Y379" i="2"/>
  <c r="AA669" i="1"/>
  <c r="AB669" i="1"/>
  <c r="W987" i="1"/>
  <c r="V987" i="1"/>
  <c r="V665" i="1"/>
  <c r="W665" i="1"/>
  <c r="AH911" i="3"/>
  <c r="T449" i="2"/>
  <c r="S449" i="2"/>
  <c r="M994" i="1"/>
  <c r="AA969" i="1"/>
  <c r="AB969" i="1"/>
  <c r="U205" i="3"/>
  <c r="T205" i="3"/>
  <c r="AJ972" i="1"/>
  <c r="AG260" i="3"/>
  <c r="Y524" i="3"/>
  <c r="Z524" i="3"/>
  <c r="AB861" i="1"/>
  <c r="AA861" i="1"/>
  <c r="S801" i="2"/>
  <c r="T801" i="2"/>
  <c r="S838" i="2"/>
  <c r="T838" i="2"/>
  <c r="Y352" i="2"/>
  <c r="X352" i="2"/>
  <c r="V735" i="1"/>
  <c r="W735" i="1"/>
  <c r="T149" i="3"/>
  <c r="U149" i="3"/>
  <c r="Y924" i="2"/>
  <c r="X924" i="2"/>
  <c r="AF704" i="2"/>
  <c r="U400" i="2"/>
  <c r="AA400" i="2"/>
  <c r="AD400" i="2"/>
  <c r="AF400" i="2"/>
  <c r="U632" i="2"/>
  <c r="AA632" i="2"/>
  <c r="AD632" i="2"/>
  <c r="AF632" i="2"/>
  <c r="U453" i="3"/>
  <c r="T453" i="3"/>
  <c r="U231" i="3"/>
  <c r="T231" i="3"/>
  <c r="X683" i="2"/>
  <c r="Y683" i="2"/>
  <c r="AC1005" i="2"/>
  <c r="Z861" i="3"/>
  <c r="Y861" i="3"/>
  <c r="T617" i="3"/>
  <c r="U617" i="3"/>
  <c r="AB813" i="1"/>
  <c r="AA813" i="1"/>
  <c r="X393" i="2"/>
  <c r="Y393" i="2"/>
  <c r="AC224" i="2"/>
  <c r="V1015" i="1"/>
  <c r="W1015" i="1"/>
  <c r="W984" i="1"/>
  <c r="V984" i="1"/>
  <c r="Y434" i="2"/>
  <c r="X434" i="2"/>
  <c r="V708" i="1"/>
  <c r="W708" i="1"/>
  <c r="U403" i="2"/>
  <c r="AA403" i="2"/>
  <c r="AD403" i="2"/>
  <c r="AF403" i="2"/>
  <c r="Y413" i="2"/>
  <c r="X413" i="2"/>
  <c r="AA756" i="3"/>
  <c r="AA880" i="3"/>
  <c r="Z234" i="2"/>
  <c r="Z945" i="3"/>
  <c r="Y945" i="3"/>
  <c r="Z191" i="3"/>
  <c r="Y191" i="3"/>
  <c r="AD372" i="3"/>
  <c r="T141" i="3"/>
  <c r="U141" i="3"/>
  <c r="Y952" i="3"/>
  <c r="Z952" i="3"/>
  <c r="S783" i="2"/>
  <c r="T783" i="2"/>
  <c r="Y429" i="3"/>
  <c r="Z429" i="3"/>
  <c r="U293" i="3"/>
  <c r="T293" i="3"/>
  <c r="Z474" i="3"/>
  <c r="Y474" i="3"/>
  <c r="T681" i="2"/>
  <c r="S681" i="2"/>
  <c r="Y896" i="3"/>
  <c r="Z896" i="3"/>
  <c r="Y820" i="2"/>
  <c r="X820" i="2"/>
  <c r="AC341" i="2"/>
  <c r="S265" i="2"/>
  <c r="T265" i="2"/>
  <c r="AD227" i="3"/>
  <c r="AB837" i="1"/>
  <c r="AA837" i="1"/>
  <c r="M1006" i="1"/>
  <c r="T560" i="3"/>
  <c r="U560" i="3"/>
  <c r="U377" i="3"/>
  <c r="T377" i="3"/>
  <c r="Z676" i="3"/>
  <c r="Y676" i="3"/>
  <c r="X801" i="2"/>
  <c r="Y801" i="2"/>
  <c r="Y302" i="2"/>
  <c r="X302" i="2"/>
  <c r="S640" i="2"/>
  <c r="T640" i="2"/>
  <c r="U275" i="3"/>
  <c r="T275" i="3"/>
  <c r="AG284" i="2"/>
  <c r="AD957" i="3"/>
  <c r="U845" i="3"/>
  <c r="T845" i="3"/>
  <c r="U275" i="2"/>
  <c r="AA275" i="2"/>
  <c r="AD275" i="2"/>
  <c r="AF275" i="2"/>
  <c r="T928" i="3"/>
  <c r="U928" i="3"/>
  <c r="AA406" i="3"/>
  <c r="Y578" i="3"/>
  <c r="Z578" i="3"/>
  <c r="U348" i="3"/>
  <c r="T348" i="3"/>
  <c r="Y567" i="2"/>
  <c r="X567" i="2"/>
  <c r="U183" i="3"/>
  <c r="T183" i="3"/>
  <c r="Z722" i="3"/>
  <c r="Y722" i="3"/>
  <c r="T582" i="2"/>
  <c r="S582" i="2"/>
  <c r="U937" i="3"/>
  <c r="T937" i="3"/>
  <c r="U977" i="3"/>
  <c r="T977" i="3"/>
  <c r="T545" i="3"/>
  <c r="U545" i="3"/>
  <c r="Y831" i="2"/>
  <c r="X831" i="2"/>
  <c r="S804" i="2"/>
  <c r="T804" i="2"/>
  <c r="S845" i="2"/>
  <c r="T845" i="2"/>
  <c r="Z785" i="2"/>
  <c r="U592" i="3"/>
  <c r="V592" i="3"/>
  <c r="T592" i="3"/>
  <c r="Y51" i="3"/>
  <c r="Z51" i="3"/>
  <c r="T678" i="2"/>
  <c r="S678" i="2"/>
  <c r="AC731" i="1"/>
  <c r="Z609" i="3"/>
  <c r="Y609" i="3"/>
  <c r="AB126" i="1"/>
  <c r="AA126" i="1"/>
  <c r="AC947" i="2"/>
  <c r="AH705" i="3"/>
  <c r="Y292" i="3"/>
  <c r="Z292" i="3"/>
  <c r="AF923" i="1"/>
  <c r="AD36" i="3"/>
  <c r="AD272" i="3"/>
  <c r="Z390" i="3"/>
  <c r="Y390" i="3"/>
  <c r="AD515" i="3"/>
  <c r="Y617" i="3"/>
  <c r="Z617" i="3"/>
  <c r="S835" i="2"/>
  <c r="T835" i="2"/>
  <c r="T333" i="2"/>
  <c r="S333" i="2"/>
  <c r="AA710" i="1"/>
  <c r="AB710" i="1"/>
  <c r="X469" i="2"/>
  <c r="Y469" i="2"/>
  <c r="Y68" i="3"/>
  <c r="Z68" i="3"/>
  <c r="M1009" i="1"/>
  <c r="AC291" i="2"/>
  <c r="S710" i="2"/>
  <c r="T710" i="2"/>
  <c r="Y222" i="3"/>
  <c r="Z222" i="3"/>
  <c r="Y564" i="3"/>
  <c r="Z564" i="3"/>
  <c r="AH438" i="3"/>
  <c r="AG533" i="2"/>
  <c r="X950" i="2"/>
  <c r="Y950" i="2"/>
  <c r="AB853" i="1"/>
  <c r="AA853" i="1"/>
  <c r="AF936" i="1"/>
  <c r="AD914" i="3"/>
  <c r="Y834" i="3"/>
  <c r="Z834" i="3"/>
  <c r="Z692" i="3"/>
  <c r="Y692" i="3"/>
  <c r="W733" i="1"/>
  <c r="V733" i="1"/>
  <c r="T479" i="2"/>
  <c r="S479" i="2"/>
  <c r="Y756" i="2"/>
  <c r="X756" i="2"/>
  <c r="T74" i="3"/>
  <c r="U74" i="3"/>
  <c r="U419" i="3"/>
  <c r="T419" i="3"/>
  <c r="Z508" i="3"/>
  <c r="Y508" i="3"/>
  <c r="Y565" i="3"/>
  <c r="Z565" i="3"/>
  <c r="AB1012" i="1"/>
  <c r="AA1012" i="1"/>
  <c r="U580" i="3"/>
  <c r="T580" i="3"/>
  <c r="W705" i="1"/>
  <c r="V705" i="1"/>
  <c r="Z879" i="3"/>
  <c r="Y879" i="3"/>
  <c r="Y355" i="2"/>
  <c r="X355" i="2"/>
  <c r="S731" i="2"/>
  <c r="T731" i="2"/>
  <c r="Y760" i="3"/>
  <c r="Z760" i="3"/>
  <c r="Z63" i="3"/>
  <c r="Y63" i="3"/>
  <c r="Y941" i="2"/>
  <c r="X941" i="2"/>
  <c r="T371" i="3"/>
  <c r="U371" i="3"/>
  <c r="Z123" i="3"/>
  <c r="Y123" i="3"/>
  <c r="T693" i="3"/>
  <c r="U693" i="3"/>
  <c r="U248" i="3"/>
  <c r="T248" i="3"/>
  <c r="T952" i="3"/>
  <c r="U952" i="3"/>
  <c r="T516" i="3"/>
  <c r="U516" i="3"/>
  <c r="AD854" i="3"/>
  <c r="X989" i="2"/>
  <c r="Y989" i="2"/>
  <c r="U630" i="3"/>
  <c r="T630" i="3"/>
  <c r="S541" i="2"/>
  <c r="T541" i="2"/>
  <c r="S226" i="2"/>
  <c r="T226" i="2"/>
  <c r="T996" i="2"/>
  <c r="S996" i="2"/>
  <c r="AD987" i="3"/>
  <c r="V987" i="3"/>
  <c r="AB987" i="3"/>
  <c r="AE987" i="3"/>
  <c r="AH194" i="3"/>
  <c r="T600" i="3"/>
  <c r="U600" i="3"/>
  <c r="U318" i="3"/>
  <c r="T318" i="3"/>
  <c r="T296" i="3"/>
  <c r="U296" i="3"/>
  <c r="U704" i="3"/>
  <c r="T704" i="3"/>
  <c r="AC220" i="2"/>
  <c r="X598" i="2"/>
  <c r="Y598" i="2"/>
  <c r="Y795" i="3"/>
  <c r="Z795" i="3"/>
  <c r="Y524" i="2"/>
  <c r="X524" i="2"/>
  <c r="AD981" i="3"/>
  <c r="Z449" i="2"/>
  <c r="AD318" i="3"/>
  <c r="X935" i="2"/>
  <c r="Y935" i="2"/>
  <c r="AI1012" i="1"/>
  <c r="T671" i="3"/>
  <c r="U671" i="3"/>
  <c r="AC1002" i="2"/>
  <c r="S434" i="2"/>
  <c r="T434" i="2"/>
  <c r="AF943" i="1"/>
  <c r="AF953" i="1"/>
  <c r="X603" i="2"/>
  <c r="Y603" i="2"/>
  <c r="Z636" i="2"/>
  <c r="AC552" i="2"/>
  <c r="T55" i="3"/>
  <c r="U55" i="3"/>
  <c r="X305" i="2"/>
  <c r="Y305" i="2"/>
  <c r="AA588" i="3"/>
  <c r="U519" i="3"/>
  <c r="T519" i="3"/>
  <c r="Y387" i="2"/>
  <c r="X387" i="2"/>
  <c r="T550" i="3"/>
  <c r="U550" i="3"/>
  <c r="V448" i="3"/>
  <c r="AB448" i="3"/>
  <c r="AE448" i="3"/>
  <c r="AG448" i="3"/>
  <c r="AA781" i="1"/>
  <c r="AB781" i="1"/>
  <c r="U426" i="2"/>
  <c r="AA426" i="2"/>
  <c r="AD426" i="2"/>
  <c r="AF426" i="2"/>
  <c r="Z731" i="2"/>
  <c r="Z923" i="3"/>
  <c r="Y923" i="3"/>
  <c r="T561" i="2"/>
  <c r="S561" i="2"/>
  <c r="AH932" i="3"/>
  <c r="T71" i="3"/>
  <c r="U71" i="3"/>
  <c r="Y358" i="3"/>
  <c r="Z358" i="3"/>
  <c r="Y695" i="2"/>
  <c r="X695" i="2"/>
  <c r="AC364" i="2"/>
  <c r="AC469" i="2"/>
  <c r="U341" i="2"/>
  <c r="AA341" i="2"/>
  <c r="AD341" i="2"/>
  <c r="AF341" i="2"/>
  <c r="T255" i="3"/>
  <c r="U255" i="3"/>
  <c r="V920" i="1"/>
  <c r="W920" i="1"/>
  <c r="AC444" i="2"/>
  <c r="T623" i="2"/>
  <c r="S623" i="2"/>
  <c r="V876" i="1"/>
  <c r="W876" i="1"/>
  <c r="Y703" i="3"/>
  <c r="Z703" i="3"/>
  <c r="Z963" i="3"/>
  <c r="Y963" i="3"/>
  <c r="Z596" i="3"/>
  <c r="Y596" i="3"/>
  <c r="AD968" i="3"/>
  <c r="Z128" i="3"/>
  <c r="Y128" i="3"/>
  <c r="V917" i="1"/>
  <c r="W917" i="1"/>
  <c r="Y796" i="2"/>
  <c r="X796" i="2"/>
  <c r="X480" i="2"/>
  <c r="Y480" i="2"/>
  <c r="AA514" i="3"/>
  <c r="U228" i="3"/>
  <c r="T228" i="3"/>
  <c r="Y593" i="2"/>
  <c r="X593" i="2"/>
  <c r="Y790" i="2"/>
  <c r="X790" i="2"/>
  <c r="U433" i="3"/>
  <c r="T433" i="3"/>
  <c r="Z239" i="3"/>
  <c r="Y239" i="3"/>
  <c r="Z512" i="2"/>
  <c r="AH913" i="3"/>
  <c r="Z510" i="3"/>
  <c r="Y510" i="3"/>
  <c r="AC786" i="1"/>
  <c r="AD701" i="3"/>
  <c r="AC962" i="1"/>
  <c r="AH423" i="3"/>
  <c r="X292" i="2"/>
  <c r="Y292" i="2"/>
  <c r="Z944" i="3"/>
  <c r="Y944" i="3"/>
  <c r="S452" i="2"/>
  <c r="T452" i="2"/>
  <c r="AB951" i="1"/>
  <c r="AA951" i="1"/>
  <c r="X445" i="2"/>
  <c r="Y445" i="2"/>
  <c r="Y739" i="3"/>
  <c r="Z739" i="3"/>
  <c r="S393" i="2"/>
  <c r="T393" i="2"/>
  <c r="AG836" i="3"/>
  <c r="U162" i="3"/>
  <c r="T162" i="3"/>
  <c r="Z707" i="3"/>
  <c r="Y707" i="3"/>
  <c r="AF690" i="1"/>
  <c r="Y714" i="2"/>
  <c r="X714" i="2"/>
  <c r="U159" i="3"/>
  <c r="T159" i="3"/>
  <c r="Z646" i="2"/>
  <c r="X814" i="2"/>
  <c r="Y814" i="2"/>
  <c r="AD382" i="3"/>
  <c r="AD403" i="3"/>
  <c r="Y772" i="3"/>
  <c r="Z772" i="3"/>
  <c r="X678" i="2"/>
  <c r="Y678" i="2"/>
  <c r="AD948" i="3"/>
  <c r="Y791" i="2"/>
  <c r="X791" i="2"/>
  <c r="Y770" i="3"/>
  <c r="Z770" i="3"/>
  <c r="Z954" i="2"/>
  <c r="AH960" i="3"/>
  <c r="AA628" i="3"/>
  <c r="Y344" i="3"/>
  <c r="Z344" i="3"/>
  <c r="T212" i="2"/>
  <c r="S212" i="2"/>
  <c r="AA262" i="2"/>
  <c r="AD262" i="2"/>
  <c r="AF262" i="2"/>
  <c r="AA672" i="1"/>
  <c r="AB672" i="1"/>
  <c r="X954" i="2"/>
  <c r="Y954" i="2"/>
  <c r="AD137" i="3"/>
  <c r="T882" i="2"/>
  <c r="S882" i="2"/>
  <c r="Y94" i="3"/>
  <c r="Z94" i="3"/>
  <c r="AC505" i="2"/>
  <c r="X269" i="2"/>
  <c r="Y269" i="2"/>
  <c r="Z501" i="2"/>
  <c r="AD619" i="3"/>
  <c r="AD405" i="3"/>
  <c r="AC918" i="2"/>
  <c r="AH452" i="3"/>
  <c r="AA577" i="3"/>
  <c r="Z768" i="2"/>
  <c r="Y681" i="3"/>
  <c r="Z681" i="3"/>
  <c r="AH673" i="3"/>
  <c r="AD144" i="3"/>
  <c r="AB917" i="1"/>
  <c r="AA917" i="1"/>
  <c r="AD406" i="3"/>
  <c r="T323" i="2"/>
  <c r="S323" i="2"/>
  <c r="AC893" i="2"/>
  <c r="T396" i="2"/>
  <c r="S396" i="2"/>
  <c r="AC668" i="2"/>
  <c r="X992" i="2"/>
  <c r="Y992" i="2"/>
  <c r="U208" i="3"/>
  <c r="T208" i="3"/>
  <c r="U408" i="3"/>
  <c r="T408" i="3"/>
  <c r="U656" i="3"/>
  <c r="T656" i="3"/>
  <c r="Z569" i="3"/>
  <c r="Y569" i="3"/>
  <c r="X503" i="2"/>
  <c r="Y503" i="2"/>
  <c r="S277" i="2"/>
  <c r="T277" i="2"/>
  <c r="T296" i="2"/>
  <c r="S296" i="2"/>
  <c r="T564" i="3"/>
  <c r="U564" i="3"/>
  <c r="W849" i="1"/>
  <c r="V849" i="1"/>
  <c r="AF348" i="2"/>
  <c r="Z993" i="3"/>
  <c r="Y993" i="3"/>
  <c r="X525" i="2"/>
  <c r="Y525" i="2"/>
  <c r="V995" i="1"/>
  <c r="W995" i="1"/>
  <c r="T197" i="2"/>
  <c r="S197" i="2"/>
  <c r="Z404" i="3"/>
  <c r="Y404" i="3"/>
  <c r="AA785" i="1"/>
  <c r="AB785" i="1"/>
  <c r="AF852" i="1"/>
  <c r="U906" i="3"/>
  <c r="T906" i="3"/>
  <c r="AC417" i="2"/>
  <c r="AC397" i="2"/>
  <c r="X370" i="2"/>
  <c r="Y370" i="2"/>
  <c r="AA884" i="1"/>
  <c r="AB884" i="1"/>
  <c r="AA112" i="3"/>
  <c r="AC422" i="2"/>
  <c r="AD895" i="3"/>
  <c r="X957" i="2"/>
  <c r="Y957" i="2"/>
  <c r="T443" i="3"/>
  <c r="U443" i="3"/>
  <c r="S621" i="2"/>
  <c r="T621" i="2"/>
  <c r="Z638" i="3"/>
  <c r="Y638" i="3"/>
  <c r="V638" i="3"/>
  <c r="AB638" i="3"/>
  <c r="S503" i="2"/>
  <c r="T503" i="2"/>
  <c r="AG506" i="2"/>
  <c r="Y159" i="3"/>
  <c r="Z159" i="3"/>
  <c r="Z505" i="2"/>
  <c r="AC292" i="2"/>
  <c r="W821" i="1"/>
  <c r="V821" i="1"/>
  <c r="AD482" i="3"/>
  <c r="U81" i="3"/>
  <c r="T81" i="3"/>
  <c r="AC228" i="2"/>
  <c r="V773" i="1"/>
  <c r="W773" i="1"/>
  <c r="AJ899" i="1"/>
  <c r="Y323" i="2"/>
  <c r="X323" i="2"/>
  <c r="AA346" i="3"/>
  <c r="AA407" i="3"/>
  <c r="V382" i="3"/>
  <c r="AB382" i="3"/>
  <c r="AE382" i="3"/>
  <c r="AG382" i="3"/>
  <c r="AA723" i="1"/>
  <c r="AB723" i="1"/>
  <c r="T533" i="2"/>
  <c r="S533" i="2"/>
  <c r="X329" i="2"/>
  <c r="Y329" i="2"/>
  <c r="Y745" i="3"/>
  <c r="Z745" i="3"/>
  <c r="AA200" i="3"/>
  <c r="Z579" i="3"/>
  <c r="Y579" i="3"/>
  <c r="Y773" i="2"/>
  <c r="X773" i="2"/>
  <c r="Z257" i="3"/>
  <c r="Y257" i="3"/>
  <c r="AB719" i="1"/>
  <c r="AA719" i="1"/>
  <c r="AF863" i="2"/>
  <c r="S459" i="2"/>
  <c r="T459" i="2"/>
  <c r="Y925" i="2"/>
  <c r="X925" i="2"/>
  <c r="T760" i="3"/>
  <c r="U760" i="3"/>
  <c r="T822" i="2"/>
  <c r="S822" i="2"/>
  <c r="U529" i="3"/>
  <c r="T529" i="3"/>
  <c r="AC796" i="2"/>
  <c r="X621" i="2"/>
  <c r="Y621" i="2"/>
  <c r="AD82" i="3"/>
  <c r="U759" i="3"/>
  <c r="T759" i="3"/>
  <c r="AG886" i="2"/>
  <c r="AD969" i="2"/>
  <c r="AF969" i="2"/>
  <c r="T643" i="3"/>
  <c r="U643" i="3"/>
  <c r="T511" i="2"/>
  <c r="S511" i="2"/>
  <c r="Z758" i="3"/>
  <c r="Y758" i="3"/>
  <c r="Z233" i="2"/>
  <c r="M870" i="1"/>
  <c r="AA946" i="1"/>
  <c r="AB946" i="1"/>
  <c r="AD37" i="3"/>
  <c r="T42" i="3"/>
  <c r="U42" i="3"/>
  <c r="W719" i="1"/>
  <c r="V719" i="1"/>
  <c r="Y666" i="3"/>
  <c r="Z666" i="3"/>
  <c r="AA155" i="3"/>
  <c r="Y355" i="3"/>
  <c r="Z355" i="3"/>
  <c r="T462" i="2"/>
  <c r="S462" i="2"/>
  <c r="AD551" i="3"/>
  <c r="Z120" i="3"/>
  <c r="Y120" i="3"/>
  <c r="AD490" i="3"/>
  <c r="V980" i="1"/>
  <c r="W980" i="1"/>
  <c r="AF677" i="1"/>
  <c r="AA89" i="3"/>
  <c r="Y826" i="2"/>
  <c r="X826" i="2"/>
  <c r="AD31" i="3"/>
  <c r="X918" i="2"/>
  <c r="Y918" i="2"/>
  <c r="T907" i="2"/>
  <c r="S907" i="2"/>
  <c r="S223" i="2"/>
  <c r="T223" i="2"/>
  <c r="AG471" i="2"/>
  <c r="S559" i="2"/>
  <c r="T559" i="2"/>
  <c r="AC845" i="2"/>
  <c r="Y652" i="2"/>
  <c r="X652" i="2"/>
  <c r="AA901" i="1"/>
  <c r="AB901" i="1"/>
  <c r="T697" i="3"/>
  <c r="U697" i="3"/>
  <c r="U230" i="3"/>
  <c r="T230" i="3"/>
  <c r="AD951" i="3"/>
  <c r="Z345" i="3"/>
  <c r="Y345" i="3"/>
  <c r="U59" i="3"/>
  <c r="T59" i="3"/>
  <c r="V784" i="1"/>
  <c r="W784" i="1"/>
  <c r="X956" i="2"/>
  <c r="Y956" i="2"/>
  <c r="Y895" i="3"/>
  <c r="Z895" i="3"/>
  <c r="U585" i="3"/>
  <c r="T585" i="3"/>
  <c r="T782" i="3"/>
  <c r="U782" i="3"/>
  <c r="Z313" i="2"/>
  <c r="Z351" i="2"/>
  <c r="AD785" i="3"/>
  <c r="Z571" i="3"/>
  <c r="Y571" i="3"/>
  <c r="T789" i="3"/>
  <c r="U789" i="3"/>
  <c r="AB891" i="1"/>
  <c r="AA891" i="1"/>
  <c r="AC888" i="1"/>
  <c r="T526" i="2"/>
  <c r="S526" i="2"/>
  <c r="M789" i="1"/>
  <c r="AF796" i="1"/>
  <c r="V940" i="3"/>
  <c r="AB940" i="3"/>
  <c r="AE940" i="3"/>
  <c r="AG940" i="3"/>
  <c r="Y517" i="3"/>
  <c r="Z517" i="3"/>
  <c r="W788" i="1"/>
  <c r="V788" i="1"/>
  <c r="AC502" i="2"/>
  <c r="AC531" i="2"/>
  <c r="AD837" i="3"/>
  <c r="Z527" i="2"/>
  <c r="AD201" i="3"/>
  <c r="AC898" i="1"/>
  <c r="Z45" i="3"/>
  <c r="Y45" i="3"/>
  <c r="AD65" i="3"/>
  <c r="U223" i="3"/>
  <c r="T223" i="3"/>
  <c r="AC638" i="2"/>
  <c r="AC659" i="2"/>
  <c r="Z326" i="2"/>
  <c r="AB789" i="1"/>
  <c r="AA789" i="1"/>
  <c r="X789" i="1"/>
  <c r="AD789" i="1"/>
  <c r="S741" i="2"/>
  <c r="T741" i="2"/>
  <c r="V670" i="1"/>
  <c r="W670" i="1"/>
  <c r="AE957" i="3"/>
  <c r="AG957" i="3"/>
  <c r="AC709" i="1"/>
  <c r="Y312" i="2"/>
  <c r="X312" i="2"/>
  <c r="AA301" i="3"/>
  <c r="Z655" i="2"/>
  <c r="W807" i="1"/>
  <c r="V807" i="1"/>
  <c r="AD453" i="3"/>
  <c r="AB921" i="1"/>
  <c r="AA921" i="1"/>
  <c r="T82" i="3"/>
  <c r="U82" i="3"/>
  <c r="V863" i="1"/>
  <c r="W863" i="1"/>
  <c r="V848" i="1"/>
  <c r="W848" i="1"/>
  <c r="X626" i="2"/>
  <c r="Y626" i="2"/>
  <c r="AD890" i="3"/>
  <c r="Z423" i="3"/>
  <c r="Y423" i="3"/>
  <c r="Y503" i="3"/>
  <c r="Z503" i="3"/>
  <c r="AB839" i="1"/>
  <c r="AA839" i="1"/>
  <c r="V941" i="3"/>
  <c r="AB941" i="3"/>
  <c r="AE941" i="3"/>
  <c r="AG941" i="3"/>
  <c r="U326" i="3"/>
  <c r="T326" i="3"/>
  <c r="AC281" i="2"/>
  <c r="T627" i="2"/>
  <c r="S627" i="2"/>
  <c r="AG907" i="2"/>
  <c r="AC302" i="2"/>
  <c r="AB728" i="1"/>
  <c r="AA728" i="1"/>
  <c r="U457" i="3"/>
  <c r="T457" i="3"/>
  <c r="S414" i="2"/>
  <c r="T414" i="2"/>
  <c r="Y346" i="2"/>
  <c r="X346" i="2"/>
  <c r="V729" i="1"/>
  <c r="W729" i="1"/>
  <c r="X514" i="2"/>
  <c r="Y514" i="2"/>
  <c r="Z736" i="3"/>
  <c r="Y736" i="3"/>
  <c r="Y934" i="2"/>
  <c r="X934" i="2"/>
  <c r="AB908" i="1"/>
  <c r="AA908" i="1"/>
  <c r="U613" i="3"/>
  <c r="T613" i="3"/>
  <c r="AC542" i="2"/>
  <c r="T719" i="2"/>
  <c r="S719" i="2"/>
  <c r="Z957" i="3"/>
  <c r="AB957" i="3"/>
  <c r="V957" i="3"/>
  <c r="Y957" i="3"/>
  <c r="AD154" i="3"/>
  <c r="AG960" i="3"/>
  <c r="AF1008" i="1"/>
  <c r="Y967" i="3"/>
  <c r="Z967" i="3"/>
  <c r="X539" i="2"/>
  <c r="Y539" i="2"/>
  <c r="S932" i="2"/>
  <c r="T932" i="2"/>
  <c r="AC693" i="1"/>
  <c r="M834" i="1"/>
  <c r="V299" i="3"/>
  <c r="AB299" i="3"/>
  <c r="AE299" i="3"/>
  <c r="AG299" i="3"/>
  <c r="T972" i="3"/>
  <c r="U972" i="3"/>
  <c r="U912" i="3"/>
  <c r="T912" i="3"/>
  <c r="Y445" i="3"/>
  <c r="Z445" i="3"/>
  <c r="AD238" i="3"/>
  <c r="AA778" i="1"/>
  <c r="AB778" i="1"/>
  <c r="Z816" i="3"/>
  <c r="Y816" i="3"/>
  <c r="Z28" i="3"/>
  <c r="Y28" i="3"/>
  <c r="Y460" i="2"/>
  <c r="X460" i="2"/>
  <c r="AD779" i="3"/>
  <c r="Y53" i="3"/>
  <c r="Z53" i="3"/>
  <c r="AC909" i="1"/>
  <c r="Y106" i="3"/>
  <c r="Z106" i="3"/>
  <c r="T791" i="2"/>
  <c r="S791" i="2"/>
  <c r="Y582" i="3"/>
  <c r="Z582" i="3"/>
  <c r="AC901" i="2"/>
  <c r="AC945" i="2"/>
  <c r="AH403" i="3"/>
  <c r="X457" i="2"/>
  <c r="Y457" i="2"/>
  <c r="S454" i="2"/>
  <c r="T454" i="2"/>
  <c r="X722" i="2"/>
  <c r="Y722" i="2"/>
  <c r="AG196" i="2"/>
  <c r="AC254" i="2"/>
  <c r="AC287" i="2"/>
  <c r="T471" i="2"/>
  <c r="S471" i="2"/>
  <c r="AE101" i="3"/>
  <c r="V101" i="3"/>
  <c r="AB101" i="3"/>
  <c r="AD101" i="3"/>
  <c r="Z524" i="2"/>
  <c r="AD466" i="3"/>
  <c r="AD902" i="3"/>
  <c r="Z248" i="3"/>
  <c r="Y248" i="3"/>
  <c r="Y179" i="3"/>
  <c r="Z179" i="3"/>
  <c r="M884" i="1"/>
  <c r="Z27" i="3"/>
  <c r="Y27" i="3"/>
  <c r="AD160" i="3"/>
  <c r="AF1018" i="1"/>
  <c r="AJ990" i="1"/>
  <c r="Y262" i="3"/>
  <c r="Z262" i="3"/>
  <c r="AA844" i="1"/>
  <c r="AB844" i="1"/>
  <c r="Z186" i="3"/>
  <c r="Y186" i="3"/>
  <c r="AF928" i="1"/>
  <c r="Y986" i="2"/>
  <c r="X986" i="2"/>
  <c r="AC876" i="1"/>
  <c r="Z408" i="3"/>
  <c r="Y408" i="3"/>
  <c r="X839" i="1"/>
  <c r="AD839" i="1"/>
  <c r="AG839" i="1"/>
  <c r="AI839" i="1"/>
  <c r="T369" i="2"/>
  <c r="S369" i="2"/>
  <c r="V854" i="1"/>
  <c r="W854" i="1"/>
  <c r="U757" i="3"/>
  <c r="T757" i="3"/>
  <c r="X483" i="2"/>
  <c r="Y483" i="2"/>
  <c r="X578" i="2"/>
  <c r="Y578" i="2"/>
  <c r="AC365" i="2"/>
  <c r="Z843" i="3"/>
  <c r="Y843" i="3"/>
  <c r="Y951" i="2"/>
  <c r="X951" i="2"/>
  <c r="T135" i="3"/>
  <c r="U135" i="3"/>
  <c r="T950" i="3"/>
  <c r="U950" i="3"/>
  <c r="V950" i="3"/>
  <c r="AD719" i="2"/>
  <c r="AC719" i="2"/>
  <c r="T402" i="2"/>
  <c r="S402" i="2"/>
  <c r="AG826" i="3"/>
  <c r="AA954" i="1"/>
  <c r="AB954" i="1"/>
  <c r="AC862" i="2"/>
  <c r="U98" i="3"/>
  <c r="T98" i="3"/>
  <c r="S587" i="2"/>
  <c r="T587" i="2"/>
  <c r="T487" i="3"/>
  <c r="U487" i="3"/>
  <c r="Y294" i="2"/>
  <c r="X294" i="2"/>
  <c r="Z174" i="3"/>
  <c r="Y174" i="3"/>
  <c r="T395" i="2"/>
  <c r="S395" i="2"/>
  <c r="T130" i="3"/>
  <c r="U130" i="3"/>
  <c r="Z975" i="3"/>
  <c r="Y975" i="3"/>
  <c r="M755" i="1"/>
  <c r="AA41" i="3"/>
  <c r="Y544" i="3"/>
  <c r="Z544" i="3"/>
  <c r="AD203" i="3"/>
  <c r="AC471" i="2"/>
  <c r="AD419" i="3"/>
  <c r="Y484" i="2"/>
  <c r="X484" i="2"/>
  <c r="U395" i="3"/>
  <c r="T395" i="3"/>
  <c r="M986" i="1"/>
  <c r="AC396" i="2"/>
  <c r="AH135" i="3"/>
  <c r="AA819" i="1"/>
  <c r="AB819" i="1"/>
  <c r="AJ820" i="1"/>
  <c r="S241" i="2"/>
  <c r="T241" i="2"/>
  <c r="U365" i="2"/>
  <c r="AA365" i="2"/>
  <c r="AD365" i="2"/>
  <c r="AF365" i="2"/>
  <c r="T926" i="2"/>
  <c r="S926" i="2"/>
  <c r="Z403" i="2"/>
  <c r="Y67" i="3"/>
  <c r="Z67" i="3"/>
  <c r="AF762" i="1"/>
  <c r="AD147" i="3"/>
  <c r="Y932" i="3"/>
  <c r="Z932" i="3"/>
  <c r="M754" i="1"/>
  <c r="AF1006" i="1"/>
  <c r="T747" i="3"/>
  <c r="U747" i="3"/>
  <c r="AD988" i="3"/>
  <c r="X186" i="2"/>
  <c r="Y186" i="2"/>
  <c r="AC969" i="1"/>
  <c r="AD559" i="3"/>
  <c r="Y799" i="3"/>
  <c r="Z799" i="3"/>
  <c r="T572" i="2"/>
  <c r="S572" i="2"/>
  <c r="AG191" i="2"/>
  <c r="AD308" i="3"/>
  <c r="Y357" i="3"/>
  <c r="Z357" i="3"/>
  <c r="S293" i="2"/>
  <c r="T293" i="2"/>
  <c r="AB910" i="1"/>
  <c r="AA910" i="1"/>
  <c r="AH961" i="3"/>
  <c r="Y907" i="2"/>
  <c r="X907" i="2"/>
  <c r="Y633" i="3"/>
  <c r="Z633" i="3"/>
  <c r="AC485" i="2"/>
  <c r="AC746" i="2"/>
  <c r="AA682" i="1"/>
  <c r="AB682" i="1"/>
  <c r="AA981" i="1"/>
  <c r="AB981" i="1"/>
  <c r="Y413" i="3"/>
  <c r="Z413" i="3"/>
  <c r="AD959" i="3"/>
  <c r="W800" i="1"/>
  <c r="V800" i="1"/>
  <c r="AA140" i="3"/>
  <c r="U948" i="3"/>
  <c r="T948" i="3"/>
  <c r="U724" i="3"/>
  <c r="T724" i="3"/>
  <c r="X476" i="2"/>
  <c r="Y476" i="2"/>
  <c r="U667" i="3"/>
  <c r="T667" i="3"/>
  <c r="AF729" i="1"/>
  <c r="AC1010" i="1"/>
  <c r="Z362" i="2"/>
  <c r="Y830" i="2"/>
  <c r="X830" i="2"/>
  <c r="S306" i="2"/>
  <c r="T306" i="2"/>
  <c r="U90" i="3"/>
  <c r="T90" i="3"/>
  <c r="AG809" i="3"/>
  <c r="AF672" i="1"/>
  <c r="T54" i="3"/>
  <c r="U54" i="3"/>
  <c r="T65" i="3"/>
  <c r="U65" i="3"/>
  <c r="U606" i="3"/>
  <c r="T606" i="3"/>
  <c r="AI907" i="1"/>
  <c r="AA712" i="3"/>
  <c r="U508" i="3"/>
  <c r="T508" i="3"/>
  <c r="W865" i="1"/>
  <c r="V865" i="1"/>
  <c r="AC762" i="2"/>
  <c r="X769" i="1"/>
  <c r="AD769" i="1"/>
  <c r="AG769" i="1"/>
  <c r="AI769" i="1"/>
  <c r="AC1005" i="1"/>
  <c r="W671" i="1"/>
  <c r="V671" i="1"/>
  <c r="Y406" i="2"/>
  <c r="X406" i="2"/>
  <c r="AD683" i="3"/>
  <c r="V683" i="3"/>
  <c r="AB683" i="3"/>
  <c r="AE683" i="3"/>
  <c r="Z519" i="3"/>
  <c r="Y519" i="3"/>
  <c r="V694" i="1"/>
  <c r="W694" i="1"/>
  <c r="AG512" i="2"/>
  <c r="AC722" i="1"/>
  <c r="AC568" i="2"/>
  <c r="AC957" i="2"/>
  <c r="X812" i="2"/>
  <c r="Y812" i="2"/>
  <c r="AD76" i="3"/>
  <c r="AH354" i="3"/>
  <c r="AC374" i="2"/>
  <c r="AA736" i="1"/>
  <c r="AB736" i="1"/>
  <c r="AB999" i="1"/>
  <c r="AA999" i="1"/>
  <c r="X238" i="2"/>
  <c r="Y238" i="2"/>
  <c r="AD307" i="3"/>
  <c r="AA715" i="1"/>
  <c r="AB715" i="1"/>
  <c r="T493" i="2"/>
  <c r="S493" i="2"/>
  <c r="AD928" i="2"/>
  <c r="AF928" i="2"/>
  <c r="V403" i="3"/>
  <c r="AB403" i="3"/>
  <c r="AE403" i="3"/>
  <c r="AG403" i="3"/>
  <c r="AA340" i="3"/>
  <c r="AF802" i="1"/>
  <c r="X336" i="2"/>
  <c r="Y336" i="2"/>
  <c r="Y657" i="3"/>
  <c r="Z657" i="3"/>
  <c r="Z583" i="3"/>
  <c r="Y583" i="3"/>
  <c r="AA916" i="1"/>
  <c r="AB916" i="1"/>
  <c r="AH670" i="3"/>
  <c r="X958" i="2"/>
  <c r="Y958" i="2"/>
  <c r="AB898" i="1"/>
  <c r="AA898" i="1"/>
  <c r="Y65" i="3"/>
  <c r="Z65" i="3"/>
  <c r="Y506" i="2"/>
  <c r="X506" i="2"/>
  <c r="AF894" i="1"/>
  <c r="S180" i="2"/>
  <c r="T180" i="2"/>
  <c r="AA930" i="3"/>
  <c r="AC930" i="2"/>
  <c r="W806" i="1"/>
  <c r="V806" i="1"/>
  <c r="AC271" i="2"/>
  <c r="Z600" i="2"/>
  <c r="AD383" i="3"/>
  <c r="U259" i="3"/>
  <c r="T259" i="3"/>
  <c r="AD151" i="3"/>
  <c r="T458" i="2"/>
  <c r="S458" i="2"/>
  <c r="AG249" i="2"/>
  <c r="AA517" i="3"/>
  <c r="T799" i="2"/>
  <c r="S799" i="2"/>
  <c r="AD346" i="3"/>
  <c r="W720" i="1"/>
  <c r="V720" i="1"/>
  <c r="AC319" i="2"/>
  <c r="T464" i="3"/>
  <c r="U464" i="3"/>
  <c r="AG915" i="3"/>
  <c r="AC657" i="2"/>
  <c r="AD360" i="3"/>
  <c r="AF813" i="1"/>
  <c r="AG872" i="2"/>
  <c r="AC652" i="2"/>
  <c r="Z961" i="2"/>
  <c r="M889" i="1"/>
  <c r="AG660" i="2"/>
  <c r="AD681" i="3"/>
  <c r="AC322" i="2"/>
  <c r="V939" i="3"/>
  <c r="AB939" i="3"/>
  <c r="AE939" i="3"/>
  <c r="AG939" i="3"/>
  <c r="AH809" i="3"/>
  <c r="U80" i="3"/>
  <c r="T80" i="3"/>
  <c r="Y499" i="3"/>
  <c r="Z499" i="3"/>
  <c r="AA953" i="1"/>
  <c r="AB953" i="1"/>
  <c r="Z440" i="3"/>
  <c r="Y440" i="3"/>
  <c r="AC598" i="2"/>
  <c r="W668" i="1"/>
  <c r="V668" i="1"/>
  <c r="S398" i="2"/>
  <c r="T398" i="2"/>
  <c r="U714" i="3"/>
  <c r="T714" i="3"/>
  <c r="V714" i="3"/>
  <c r="X423" i="2"/>
  <c r="Y423" i="2"/>
  <c r="AA396" i="3"/>
  <c r="AB949" i="1"/>
  <c r="AA949" i="1"/>
  <c r="Z575" i="3"/>
  <c r="Y575" i="3"/>
  <c r="T416" i="3"/>
  <c r="U416" i="3"/>
  <c r="Z763" i="3"/>
  <c r="Y763" i="3"/>
  <c r="W826" i="1"/>
  <c r="V826" i="1"/>
  <c r="Y593" i="3"/>
  <c r="Z593" i="3"/>
  <c r="AA978" i="1"/>
  <c r="AB978" i="1"/>
  <c r="AA982" i="1"/>
  <c r="AB982" i="1"/>
  <c r="S357" i="2"/>
  <c r="T357" i="2"/>
  <c r="X490" i="2"/>
  <c r="Y490" i="2"/>
  <c r="Y245" i="3"/>
  <c r="Z245" i="3"/>
  <c r="AG919" i="2"/>
  <c r="S642" i="2"/>
  <c r="T642" i="2"/>
  <c r="Y820" i="3"/>
  <c r="Z820" i="3"/>
  <c r="AH749" i="3"/>
  <c r="Y986" i="3"/>
  <c r="Z986" i="3"/>
  <c r="U707" i="3"/>
  <c r="T707" i="3"/>
  <c r="AA937" i="1"/>
  <c r="AB937" i="1"/>
  <c r="U45" i="3"/>
  <c r="T45" i="3"/>
  <c r="AE260" i="3"/>
  <c r="V260" i="3"/>
  <c r="AB260" i="3"/>
  <c r="AD260" i="3"/>
  <c r="V991" i="1"/>
  <c r="W991" i="1"/>
  <c r="Z454" i="2"/>
  <c r="U104" i="3"/>
  <c r="T104" i="3"/>
  <c r="S814" i="2"/>
  <c r="T814" i="2"/>
  <c r="V923" i="1"/>
  <c r="W923" i="1"/>
  <c r="AA95" i="3"/>
  <c r="M924" i="1"/>
  <c r="AF823" i="1"/>
  <c r="Z881" i="3"/>
  <c r="Y881" i="3"/>
  <c r="Y127" i="3"/>
  <c r="Z127" i="3"/>
  <c r="AA379" i="3"/>
  <c r="S386" i="2"/>
  <c r="T386" i="2"/>
  <c r="S682" i="2"/>
  <c r="T682" i="2"/>
  <c r="W925" i="1"/>
  <c r="V925" i="1"/>
  <c r="W964" i="1"/>
  <c r="V964" i="1"/>
  <c r="AD282" i="3"/>
  <c r="U388" i="3"/>
  <c r="T388" i="3"/>
  <c r="Z831" i="3"/>
  <c r="Y831" i="3"/>
  <c r="AA973" i="1"/>
  <c r="AB973" i="1"/>
  <c r="AD696" i="3"/>
  <c r="AA102" i="3"/>
  <c r="Y516" i="3"/>
  <c r="Z516" i="3"/>
  <c r="AA719" i="2"/>
  <c r="Y719" i="2"/>
  <c r="U719" i="2"/>
  <c r="X719" i="2"/>
  <c r="AH442" i="3"/>
  <c r="Y394" i="2"/>
  <c r="X394" i="2"/>
  <c r="AD874" i="3"/>
  <c r="AD775" i="3"/>
  <c r="S998" i="2"/>
  <c r="T998" i="2"/>
  <c r="U271" i="2"/>
  <c r="AA271" i="2"/>
  <c r="AD271" i="2"/>
  <c r="AF271" i="2"/>
  <c r="T311" i="3"/>
  <c r="U311" i="3"/>
  <c r="AD116" i="3"/>
  <c r="T225" i="2"/>
  <c r="S225" i="2"/>
  <c r="AC293" i="2"/>
  <c r="U293" i="2"/>
  <c r="AA293" i="2"/>
  <c r="AD293" i="2"/>
  <c r="S677" i="2"/>
  <c r="T677" i="2"/>
  <c r="AA387" i="3"/>
  <c r="AA882" i="3"/>
  <c r="Y865" i="3"/>
  <c r="Z865" i="3"/>
  <c r="AC983" i="1"/>
  <c r="AC994" i="2"/>
  <c r="AD679" i="3"/>
  <c r="AA499" i="3"/>
  <c r="W833" i="1"/>
  <c r="V833" i="1"/>
  <c r="AG121" i="3"/>
  <c r="V892" i="1"/>
  <c r="W892" i="1"/>
  <c r="AC718" i="1"/>
  <c r="W727" i="1"/>
  <c r="V727" i="1"/>
  <c r="T384" i="3"/>
  <c r="U384" i="3"/>
  <c r="U766" i="3"/>
  <c r="T766" i="3"/>
  <c r="AA959" i="1"/>
  <c r="AB959" i="1"/>
  <c r="U982" i="3"/>
  <c r="T982" i="3"/>
  <c r="S779" i="2"/>
  <c r="T779" i="2"/>
  <c r="T658" i="2"/>
  <c r="S658" i="2"/>
  <c r="AC948" i="1"/>
  <c r="AC614" i="2"/>
  <c r="U413" i="3"/>
  <c r="T413" i="3"/>
  <c r="AD960" i="3"/>
  <c r="V960" i="3"/>
  <c r="AB960" i="3"/>
  <c r="AE960" i="3"/>
  <c r="Z874" i="3"/>
  <c r="Y874" i="3"/>
  <c r="V829" i="1"/>
  <c r="W829" i="1"/>
  <c r="T106" i="3"/>
  <c r="U106" i="3"/>
  <c r="AD741" i="3"/>
  <c r="Y769" i="2"/>
  <c r="X769" i="2"/>
  <c r="U859" i="3"/>
  <c r="T859" i="3"/>
  <c r="T523" i="2"/>
  <c r="S523" i="2"/>
  <c r="V772" i="1"/>
  <c r="W772" i="1"/>
  <c r="Y588" i="2"/>
  <c r="X588" i="2"/>
  <c r="Y564" i="2"/>
  <c r="X564" i="2"/>
  <c r="V674" i="1"/>
  <c r="W674" i="1"/>
  <c r="AI1011" i="1"/>
  <c r="X774" i="2"/>
  <c r="Y774" i="2"/>
  <c r="AH228" i="3"/>
  <c r="Z334" i="3"/>
  <c r="Y334" i="3"/>
  <c r="X669" i="2"/>
  <c r="Y669" i="2"/>
  <c r="AF1012" i="1"/>
  <c r="X1012" i="1"/>
  <c r="AD1012" i="1"/>
  <c r="AG1012" i="1"/>
  <c r="AA131" i="3"/>
  <c r="T168" i="3"/>
  <c r="U168" i="3"/>
  <c r="AA955" i="3"/>
  <c r="AD449" i="3"/>
  <c r="T258" i="3"/>
  <c r="U258" i="3"/>
  <c r="AD334" i="3"/>
  <c r="U469" i="2"/>
  <c r="AA469" i="2"/>
  <c r="AD469" i="2"/>
  <c r="AF469" i="2"/>
  <c r="AA422" i="3"/>
  <c r="AC562" i="2"/>
  <c r="U422" i="3"/>
  <c r="T422" i="3"/>
  <c r="AC980" i="2"/>
  <c r="V673" i="1"/>
  <c r="W673" i="1"/>
  <c r="X439" i="2"/>
  <c r="Y439" i="2"/>
  <c r="Y182" i="3"/>
  <c r="Z182" i="3"/>
  <c r="AA914" i="1"/>
  <c r="AB914" i="1"/>
  <c r="AA929" i="1"/>
  <c r="AB929" i="1"/>
  <c r="Y654" i="3"/>
  <c r="Z654" i="3"/>
  <c r="AA866" i="1"/>
  <c r="AB866" i="1"/>
  <c r="Z254" i="2"/>
  <c r="X817" i="2"/>
  <c r="Y817" i="2"/>
  <c r="AA500" i="3"/>
  <c r="AC722" i="2"/>
  <c r="T380" i="3"/>
  <c r="U380" i="3"/>
  <c r="Z609" i="2"/>
  <c r="V730" i="1"/>
  <c r="W730" i="1"/>
  <c r="Y550" i="2"/>
  <c r="X550" i="2"/>
  <c r="Z405" i="2"/>
  <c r="Y882" i="2"/>
  <c r="X882" i="2"/>
  <c r="Y886" i="3"/>
  <c r="Z886" i="3"/>
  <c r="AD937" i="3"/>
  <c r="AD916" i="3"/>
  <c r="T209" i="2"/>
  <c r="S209" i="2"/>
  <c r="Y376" i="3"/>
  <c r="Z376" i="3"/>
  <c r="X361" i="2"/>
  <c r="Y361" i="2"/>
  <c r="Y363" i="2"/>
  <c r="X363" i="2"/>
  <c r="W922" i="1"/>
  <c r="V922" i="1"/>
  <c r="AD187" i="3"/>
  <c r="T901" i="2"/>
  <c r="S901" i="2"/>
  <c r="Z620" i="2"/>
  <c r="T486" i="3"/>
  <c r="U486" i="3"/>
  <c r="AD866" i="3"/>
  <c r="AA714" i="3"/>
  <c r="AD34" i="3"/>
  <c r="Y577" i="2"/>
  <c r="X577" i="2"/>
  <c r="Y558" i="3"/>
  <c r="Z558" i="3"/>
  <c r="AD884" i="3"/>
  <c r="AB759" i="1"/>
  <c r="AA759" i="1"/>
  <c r="Y810" i="3"/>
  <c r="Z810" i="3"/>
  <c r="S707" i="2"/>
  <c r="T707" i="2"/>
  <c r="U327" i="3"/>
  <c r="T327" i="3"/>
  <c r="X636" i="2"/>
  <c r="Y636" i="2"/>
  <c r="T899" i="2"/>
  <c r="S899" i="2"/>
  <c r="X864" i="2"/>
  <c r="Y864" i="2"/>
  <c r="Z84" i="3"/>
  <c r="Y84" i="3"/>
  <c r="U156" i="3"/>
  <c r="T156" i="3"/>
  <c r="X200" i="2"/>
  <c r="Y200" i="2"/>
  <c r="AB1008" i="1"/>
  <c r="AA1008" i="1"/>
  <c r="T514" i="2"/>
  <c r="S514" i="2"/>
  <c r="Z498" i="3"/>
  <c r="Y498" i="3"/>
  <c r="AA726" i="1"/>
  <c r="AB726" i="1"/>
  <c r="M704" i="1"/>
  <c r="U662" i="3"/>
  <c r="T662" i="3"/>
  <c r="AA67" i="3"/>
  <c r="X547" i="2"/>
  <c r="Y547" i="2"/>
  <c r="Y210" i="3"/>
  <c r="Z210" i="3"/>
  <c r="X965" i="2"/>
  <c r="Y965" i="2"/>
  <c r="AD387" i="3"/>
  <c r="U449" i="3"/>
  <c r="T449" i="3"/>
  <c r="T332" i="3"/>
  <c r="U332" i="3"/>
  <c r="V727" i="3"/>
  <c r="AB727" i="3"/>
  <c r="AE727" i="3"/>
  <c r="AG727" i="3"/>
  <c r="AD744" i="3"/>
  <c r="Z814" i="3"/>
  <c r="Y814" i="3"/>
  <c r="T281" i="3"/>
  <c r="U281" i="3"/>
  <c r="U651" i="3"/>
  <c r="T651" i="3"/>
  <c r="V269" i="3"/>
  <c r="AB269" i="3"/>
  <c r="AE269" i="3"/>
  <c r="AG269" i="3"/>
  <c r="AD132" i="3"/>
  <c r="AD522" i="3"/>
  <c r="AG794" i="2"/>
  <c r="AH909" i="3"/>
  <c r="AC771" i="2"/>
  <c r="AD918" i="3"/>
  <c r="AA51" i="3"/>
  <c r="AF951" i="1"/>
  <c r="V158" i="3"/>
  <c r="AB158" i="3"/>
  <c r="AE158" i="3"/>
  <c r="AG158" i="3"/>
  <c r="AG562" i="3"/>
  <c r="AJ817" i="1"/>
  <c r="AC973" i="2"/>
  <c r="AC406" i="2"/>
  <c r="V76" i="3"/>
  <c r="AB76" i="3"/>
  <c r="AE76" i="3"/>
  <c r="AG76" i="3"/>
  <c r="AA378" i="3"/>
  <c r="Y195" i="3"/>
  <c r="Z195" i="3"/>
  <c r="V795" i="1"/>
  <c r="W795" i="1"/>
  <c r="AH765" i="3"/>
  <c r="AC249" i="2"/>
  <c r="S706" i="2"/>
  <c r="T706" i="2"/>
  <c r="AA817" i="1"/>
  <c r="AB817" i="1"/>
  <c r="AC831" i="2"/>
  <c r="AB687" i="1"/>
  <c r="AA687" i="1"/>
  <c r="AA586" i="3"/>
  <c r="V643" i="3"/>
  <c r="AB643" i="3"/>
  <c r="AE643" i="3"/>
  <c r="AG643" i="3"/>
  <c r="U294" i="3"/>
  <c r="T294" i="3"/>
  <c r="Y755" i="2"/>
  <c r="X755" i="2"/>
  <c r="AH463" i="3"/>
  <c r="T918" i="2"/>
  <c r="S918" i="2"/>
  <c r="Y320" i="2"/>
  <c r="X320" i="2"/>
  <c r="Z77" i="3"/>
  <c r="Y77" i="3"/>
  <c r="U423" i="3"/>
  <c r="T423" i="3"/>
  <c r="AF545" i="2"/>
  <c r="T191" i="3"/>
  <c r="U191" i="3"/>
  <c r="S720" i="2"/>
  <c r="T720" i="2"/>
  <c r="AG386" i="2"/>
  <c r="W706" i="1"/>
  <c r="V706" i="1"/>
  <c r="U29" i="3"/>
  <c r="T29" i="3"/>
  <c r="AB841" i="1"/>
  <c r="AA841" i="1"/>
  <c r="S417" i="2"/>
  <c r="T417" i="2"/>
  <c r="Y673" i="2"/>
  <c r="X673" i="2"/>
  <c r="Z883" i="3"/>
  <c r="Y883" i="3"/>
  <c r="S953" i="2"/>
  <c r="T953" i="2"/>
  <c r="U644" i="3"/>
  <c r="T644" i="3"/>
  <c r="S444" i="2"/>
  <c r="T444" i="2"/>
  <c r="AG924" i="2"/>
  <c r="T530" i="2"/>
  <c r="S530" i="2"/>
  <c r="Y746" i="2"/>
  <c r="X746" i="2"/>
  <c r="AC296" i="2"/>
  <c r="T370" i="3"/>
  <c r="U370" i="3"/>
  <c r="Y157" i="3"/>
  <c r="Z157" i="3"/>
  <c r="AD530" i="3"/>
  <c r="W743" i="1"/>
  <c r="V743" i="1"/>
  <c r="AF745" i="1"/>
  <c r="X610" i="2"/>
  <c r="Y610" i="2"/>
  <c r="Z979" i="2"/>
  <c r="T739" i="2"/>
  <c r="S739" i="2"/>
  <c r="AD700" i="3"/>
  <c r="S237" i="2"/>
  <c r="T237" i="2"/>
  <c r="AE796" i="3"/>
  <c r="V796" i="3"/>
  <c r="AB796" i="3"/>
  <c r="AD796" i="3"/>
  <c r="AG338" i="2"/>
  <c r="AC812" i="2"/>
  <c r="Y154" i="3"/>
  <c r="Z154" i="3"/>
  <c r="AC371" i="2"/>
  <c r="AC987" i="2"/>
  <c r="AD251" i="3"/>
  <c r="Z926" i="2"/>
  <c r="T618" i="3"/>
  <c r="U618" i="3"/>
  <c r="Z823" i="2"/>
  <c r="AD589" i="3"/>
  <c r="V282" i="3"/>
  <c r="AB282" i="3"/>
  <c r="AE282" i="3"/>
  <c r="AG282" i="3"/>
  <c r="T805" i="3"/>
  <c r="U805" i="3"/>
  <c r="Y954" i="3"/>
  <c r="Z954" i="3"/>
  <c r="AD461" i="3"/>
  <c r="X442" i="2"/>
  <c r="Y442" i="2"/>
  <c r="T974" i="3"/>
  <c r="U974" i="3"/>
  <c r="Z548" i="3"/>
  <c r="Y548" i="3"/>
  <c r="W889" i="1"/>
  <c r="V889" i="1"/>
  <c r="AC825" i="2"/>
  <c r="AA782" i="1"/>
  <c r="AB782" i="1"/>
  <c r="S569" i="2"/>
  <c r="T569" i="2"/>
  <c r="AC754" i="1"/>
  <c r="T415" i="3"/>
  <c r="U415" i="3"/>
  <c r="T598" i="3"/>
  <c r="U598" i="3"/>
  <c r="AE487" i="3"/>
  <c r="V487" i="3"/>
  <c r="AB487" i="3"/>
  <c r="AD487" i="3"/>
  <c r="AC848" i="2"/>
  <c r="AF668" i="1"/>
  <c r="T490" i="2"/>
  <c r="S490" i="2"/>
  <c r="S345" i="2"/>
  <c r="T345" i="2"/>
  <c r="U818" i="3"/>
  <c r="T818" i="3"/>
  <c r="U849" i="3"/>
  <c r="T849" i="3"/>
  <c r="T305" i="3"/>
  <c r="U305" i="3"/>
  <c r="AA63" i="3"/>
  <c r="AC845" i="1"/>
  <c r="X1008" i="2"/>
  <c r="Y1008" i="2"/>
  <c r="AG904" i="2"/>
  <c r="AD661" i="3"/>
  <c r="AC922" i="2"/>
  <c r="Y816" i="2"/>
  <c r="X816" i="2"/>
  <c r="AH822" i="3"/>
  <c r="T367" i="3"/>
  <c r="U367" i="3"/>
  <c r="Y833" i="2"/>
  <c r="X833" i="2"/>
  <c r="U257" i="3"/>
  <c r="T257" i="3"/>
  <c r="Z668" i="3"/>
  <c r="Y668" i="3"/>
  <c r="S327" i="2"/>
  <c r="T327" i="2"/>
  <c r="U124" i="3"/>
  <c r="T124" i="3"/>
  <c r="U412" i="3"/>
  <c r="T412" i="3"/>
  <c r="S525" i="2"/>
  <c r="T525" i="2"/>
  <c r="M848" i="1"/>
  <c r="V661" i="3"/>
  <c r="AB661" i="3"/>
  <c r="AE661" i="3"/>
  <c r="AG661" i="3"/>
  <c r="AD83" i="3"/>
  <c r="AD892" i="3"/>
  <c r="AF663" i="1"/>
  <c r="AD663" i="1"/>
  <c r="AG663" i="1"/>
  <c r="Z52" i="3"/>
  <c r="Y52" i="3"/>
  <c r="X876" i="2"/>
  <c r="Y876" i="2"/>
  <c r="AH217" i="3"/>
  <c r="Z982" i="3"/>
  <c r="Y982" i="3"/>
  <c r="T644" i="2"/>
  <c r="S644" i="2"/>
  <c r="AD935" i="3"/>
  <c r="T430" i="3"/>
  <c r="U430" i="3"/>
  <c r="Y453" i="3"/>
  <c r="Z453" i="3"/>
  <c r="S262" i="2"/>
  <c r="T262" i="2"/>
  <c r="U262" i="2"/>
  <c r="S990" i="2"/>
  <c r="T990" i="2"/>
  <c r="Y969" i="2"/>
  <c r="X969" i="2"/>
  <c r="U969" i="2"/>
  <c r="AA969" i="2"/>
  <c r="AE774" i="3"/>
  <c r="V774" i="3"/>
  <c r="AB774" i="3"/>
  <c r="AD774" i="3"/>
  <c r="AF944" i="1"/>
  <c r="U375" i="2"/>
  <c r="AA375" i="2"/>
  <c r="AD375" i="2"/>
  <c r="AF375" i="2"/>
  <c r="V842" i="1"/>
  <c r="W842" i="1"/>
  <c r="U681" i="3"/>
  <c r="T681" i="3"/>
  <c r="AC824" i="1"/>
  <c r="S870" i="2"/>
  <c r="T870" i="2"/>
  <c r="T604" i="3"/>
  <c r="U604" i="3"/>
  <c r="X967" i="1"/>
  <c r="AD967" i="1"/>
  <c r="AG967" i="1"/>
  <c r="AI967" i="1"/>
  <c r="Z962" i="2"/>
  <c r="AC235" i="2"/>
  <c r="AD512" i="3"/>
  <c r="W963" i="1"/>
  <c r="V963" i="1"/>
  <c r="V277" i="3"/>
  <c r="AB277" i="3"/>
  <c r="AE277" i="3"/>
  <c r="AG277" i="3"/>
  <c r="Y144" i="3"/>
  <c r="Z144" i="3"/>
  <c r="T926" i="3"/>
  <c r="U926" i="3"/>
  <c r="Z735" i="3"/>
  <c r="Y735" i="3"/>
  <c r="AD479" i="3"/>
  <c r="Y283" i="2"/>
  <c r="X283" i="2"/>
  <c r="Z385" i="2"/>
  <c r="T567" i="3"/>
  <c r="U567" i="3"/>
  <c r="U249" i="2"/>
  <c r="AA249" i="2"/>
  <c r="AD249" i="2"/>
  <c r="AF249" i="2"/>
  <c r="T753" i="3"/>
  <c r="U753" i="3"/>
  <c r="V818" i="1"/>
  <c r="W818" i="1"/>
  <c r="AD108" i="3"/>
  <c r="AD112" i="3"/>
  <c r="T685" i="2"/>
  <c r="S685" i="2"/>
  <c r="Y313" i="2"/>
  <c r="X313" i="2"/>
  <c r="AA820" i="1"/>
  <c r="AB820" i="1"/>
  <c r="U188" i="3"/>
  <c r="T188" i="3"/>
  <c r="Y706" i="2"/>
  <c r="X706" i="2"/>
  <c r="T322" i="3"/>
  <c r="U322" i="3"/>
  <c r="AC376" i="2"/>
  <c r="Y627" i="3"/>
  <c r="Z627" i="3"/>
  <c r="T676" i="3"/>
  <c r="U676" i="3"/>
  <c r="AC724" i="1"/>
  <c r="Y504" i="2"/>
  <c r="X504" i="2"/>
  <c r="AA449" i="3"/>
  <c r="S696" i="2"/>
  <c r="T696" i="2"/>
  <c r="S908" i="2"/>
  <c r="T908" i="2"/>
  <c r="Z847" i="3"/>
  <c r="Y847" i="3"/>
  <c r="AC689" i="2"/>
  <c r="AC998" i="1"/>
  <c r="Y852" i="3"/>
  <c r="Z852" i="3"/>
  <c r="T193" i="2"/>
  <c r="S193" i="2"/>
  <c r="AB720" i="1"/>
  <c r="AA720" i="1"/>
  <c r="AD119" i="3"/>
  <c r="AC846" i="2"/>
  <c r="Y125" i="3"/>
  <c r="Z125" i="3"/>
  <c r="S298" i="2"/>
  <c r="T298" i="2"/>
  <c r="Y208" i="2"/>
  <c r="X208" i="2"/>
  <c r="X793" i="2"/>
  <c r="Y793" i="2"/>
  <c r="U723" i="3"/>
  <c r="T723" i="3"/>
  <c r="AD888" i="3"/>
  <c r="AA477" i="3"/>
  <c r="Z543" i="3"/>
  <c r="Y543" i="3"/>
  <c r="AD507" i="3"/>
  <c r="S1005" i="2"/>
  <c r="T1005" i="2"/>
  <c r="AA971" i="1"/>
  <c r="AB971" i="1"/>
  <c r="AA591" i="3"/>
  <c r="Z324" i="3"/>
  <c r="Y324" i="3"/>
  <c r="U591" i="2"/>
  <c r="AA591" i="2"/>
  <c r="AD591" i="2"/>
  <c r="AF591" i="2"/>
  <c r="Y702" i="3"/>
  <c r="Z702" i="3"/>
  <c r="M366" i="1"/>
  <c r="X486" i="2"/>
  <c r="Y486" i="2"/>
  <c r="X412" i="2"/>
  <c r="Y412" i="2"/>
  <c r="S787" i="2"/>
  <c r="T787" i="2"/>
  <c r="AG445" i="2"/>
  <c r="AC956" i="2"/>
  <c r="T983" i="3"/>
  <c r="U983" i="3"/>
  <c r="V834" i="1"/>
  <c r="W834" i="1"/>
  <c r="AA691" i="1"/>
  <c r="AB691" i="1"/>
  <c r="X1008" i="1"/>
  <c r="AD1008" i="1"/>
  <c r="AG1008" i="1"/>
  <c r="AI1008" i="1"/>
  <c r="V948" i="1"/>
  <c r="W948" i="1"/>
  <c r="AD171" i="3"/>
  <c r="AD438" i="3"/>
  <c r="T726" i="2"/>
  <c r="S726" i="2"/>
  <c r="U97" i="3"/>
  <c r="T97" i="3"/>
  <c r="Y1001" i="2"/>
  <c r="X1001" i="2"/>
  <c r="AH283" i="3"/>
  <c r="Z456" i="3"/>
  <c r="Y456" i="3"/>
  <c r="AD961" i="3"/>
  <c r="T279" i="3"/>
  <c r="U279" i="3"/>
  <c r="Z56" i="3"/>
  <c r="Y56" i="3"/>
  <c r="AA992" i="3"/>
  <c r="AA249" i="3"/>
  <c r="Y893" i="3"/>
  <c r="Z893" i="3"/>
  <c r="Z701" i="2"/>
  <c r="Z178" i="3"/>
  <c r="Y178" i="3"/>
  <c r="AD878" i="3"/>
  <c r="AG856" i="3"/>
  <c r="Z369" i="3"/>
  <c r="Y369" i="3"/>
  <c r="Y905" i="2"/>
  <c r="X905" i="2"/>
  <c r="AF697" i="1"/>
  <c r="AG342" i="3"/>
  <c r="U199" i="3"/>
  <c r="T199" i="3"/>
  <c r="T946" i="3"/>
  <c r="U946" i="3"/>
  <c r="X443" i="2"/>
  <c r="Y443" i="2"/>
  <c r="AD123" i="3"/>
  <c r="T664" i="2"/>
  <c r="S664" i="2"/>
  <c r="Y446" i="3"/>
  <c r="Z446" i="3"/>
  <c r="Z263" i="3"/>
  <c r="Y263" i="3"/>
  <c r="U615" i="2"/>
  <c r="T615" i="2"/>
  <c r="S615" i="2"/>
  <c r="T467" i="3"/>
  <c r="U467" i="3"/>
  <c r="AE121" i="3"/>
  <c r="V121" i="3"/>
  <c r="AB121" i="3"/>
  <c r="AD121" i="3"/>
  <c r="W728" i="1"/>
  <c r="V728" i="1"/>
  <c r="U372" i="3"/>
  <c r="T372" i="3"/>
  <c r="V799" i="1"/>
  <c r="W799" i="1"/>
  <c r="AF784" i="1"/>
  <c r="V918" i="1"/>
  <c r="W918" i="1"/>
  <c r="AB774" i="1"/>
  <c r="AA774" i="1"/>
  <c r="S484" i="2"/>
  <c r="T484" i="2"/>
  <c r="Y134" i="3"/>
  <c r="Z134" i="3"/>
  <c r="AA832" i="1"/>
  <c r="AB832" i="1"/>
  <c r="AC76" i="1"/>
  <c r="X805" i="1"/>
  <c r="AD805" i="1"/>
  <c r="AG805" i="1"/>
  <c r="AI805" i="1"/>
  <c r="AF846" i="1"/>
  <c r="V565" i="3"/>
  <c r="AB565" i="3"/>
  <c r="AE565" i="3"/>
  <c r="AG565" i="3"/>
  <c r="X1006" i="1"/>
  <c r="AD1006" i="1"/>
  <c r="AG1006" i="1"/>
  <c r="AI1006" i="1"/>
  <c r="U793" i="3"/>
  <c r="T793" i="3"/>
  <c r="Z410" i="3"/>
  <c r="Y410" i="3"/>
  <c r="T905" i="2"/>
  <c r="S905" i="2"/>
  <c r="Y528" i="2"/>
  <c r="X528" i="2"/>
  <c r="W998" i="1"/>
  <c r="V998" i="1"/>
  <c r="X343" i="2"/>
  <c r="Y343" i="2"/>
  <c r="U458" i="3"/>
  <c r="T458" i="3"/>
  <c r="Y601" i="3"/>
  <c r="Z601" i="3"/>
  <c r="AD351" i="3"/>
  <c r="T748" i="3"/>
  <c r="U748" i="3"/>
  <c r="AF810" i="1"/>
  <c r="Z336" i="3"/>
  <c r="Y336" i="3"/>
  <c r="X468" i="2"/>
  <c r="Y468" i="2"/>
  <c r="AB755" i="1"/>
  <c r="AA755" i="1"/>
  <c r="V647" i="3"/>
  <c r="AB647" i="3"/>
  <c r="AE647" i="3"/>
  <c r="AG647" i="3"/>
  <c r="T770" i="3"/>
  <c r="U770" i="3"/>
  <c r="X210" i="2"/>
  <c r="Y210" i="2"/>
  <c r="U359" i="3"/>
  <c r="T359" i="3"/>
  <c r="T145" i="3"/>
  <c r="U145" i="3"/>
  <c r="T371" i="2"/>
  <c r="S371" i="2"/>
  <c r="AF747" i="1"/>
  <c r="AD724" i="3"/>
  <c r="AF669" i="1"/>
  <c r="AF79" i="1"/>
  <c r="AJ689" i="1"/>
  <c r="Z241" i="3"/>
  <c r="Y241" i="3"/>
  <c r="AD908" i="2"/>
  <c r="AF908" i="2"/>
  <c r="AB787" i="1"/>
  <c r="AA787" i="1"/>
  <c r="Z219" i="3"/>
  <c r="Y219" i="3"/>
  <c r="U40" i="3"/>
  <c r="T40" i="3"/>
  <c r="X939" i="2"/>
  <c r="Y939" i="2"/>
  <c r="Z169" i="3"/>
  <c r="Y169" i="3"/>
  <c r="Z635" i="3"/>
  <c r="Y635" i="3"/>
  <c r="Y115" i="3"/>
  <c r="Z115" i="3"/>
  <c r="AC427" i="2"/>
  <c r="AD440" i="3"/>
  <c r="T362" i="3"/>
  <c r="U362" i="3"/>
  <c r="AC540" i="2"/>
  <c r="AF779" i="1"/>
  <c r="AH734" i="3"/>
  <c r="U674" i="3"/>
  <c r="T674" i="3"/>
  <c r="AH717" i="3"/>
  <c r="AG679" i="2"/>
  <c r="Y782" i="2"/>
  <c r="X782" i="2"/>
  <c r="AD541" i="3"/>
  <c r="Y874" i="2"/>
  <c r="X874" i="2"/>
  <c r="AC336" i="2"/>
  <c r="AD677" i="3"/>
  <c r="AA220" i="3"/>
  <c r="AD53" i="3"/>
  <c r="AA86" i="3"/>
  <c r="X733" i="2"/>
  <c r="Y733" i="2"/>
  <c r="Y373" i="2"/>
  <c r="X373" i="2"/>
  <c r="AA715" i="3"/>
  <c r="Y818" i="2"/>
  <c r="X818" i="2"/>
  <c r="U58" i="3"/>
  <c r="T58" i="3"/>
  <c r="Y250" i="3"/>
  <c r="Z250" i="3"/>
  <c r="AH766" i="3"/>
  <c r="Z343" i="3"/>
  <c r="Y343" i="3"/>
  <c r="Y922" i="3"/>
  <c r="Z922" i="3"/>
  <c r="AD750" i="3"/>
  <c r="Z346" i="3"/>
  <c r="Y346" i="3"/>
  <c r="U489" i="3"/>
  <c r="T489" i="3"/>
  <c r="T810" i="2"/>
  <c r="S810" i="2"/>
  <c r="AD856" i="3"/>
  <c r="V856" i="3"/>
  <c r="AB856" i="3"/>
  <c r="AE856" i="3"/>
  <c r="AC939" i="1"/>
  <c r="AA931" i="1"/>
  <c r="AB931" i="1"/>
  <c r="AJ884" i="1"/>
  <c r="M968" i="1"/>
  <c r="AD95" i="3"/>
  <c r="AC937" i="1"/>
  <c r="AF771" i="1"/>
  <c r="AA524" i="3"/>
  <c r="AA342" i="3"/>
  <c r="AA810" i="3"/>
  <c r="Z400" i="2"/>
  <c r="AG1011" i="1"/>
  <c r="X1011" i="1"/>
  <c r="AD1011" i="1"/>
  <c r="AF1011" i="1"/>
  <c r="Z863" i="2"/>
  <c r="Y662" i="3"/>
  <c r="Z662" i="3"/>
  <c r="AA859" i="1"/>
  <c r="AB859" i="1"/>
  <c r="AA731" i="1"/>
  <c r="AB731" i="1"/>
  <c r="Y551" i="3"/>
  <c r="Z551" i="3"/>
  <c r="Z192" i="3"/>
  <c r="Y192" i="3"/>
  <c r="AD176" i="3"/>
  <c r="X765" i="1"/>
  <c r="AD765" i="1"/>
  <c r="AG765" i="1"/>
  <c r="AI765" i="1"/>
  <c r="U577" i="3"/>
  <c r="T577" i="3"/>
  <c r="U825" i="2"/>
  <c r="AA825" i="2"/>
  <c r="AD825" i="2"/>
  <c r="AF825" i="2"/>
  <c r="AA1001" i="1"/>
  <c r="AB1001" i="1"/>
  <c r="V136" i="3"/>
  <c r="AB136" i="3"/>
  <c r="AE136" i="3"/>
  <c r="AG136" i="3"/>
  <c r="AA713" i="3"/>
  <c r="W810" i="1"/>
  <c r="V810" i="1"/>
  <c r="AC587" i="2"/>
  <c r="Z548" i="2"/>
  <c r="AG753" i="2"/>
  <c r="X425" i="2"/>
  <c r="Y425" i="2"/>
  <c r="X823" i="2"/>
  <c r="Y823" i="2"/>
  <c r="S674" i="2"/>
  <c r="T674" i="2"/>
  <c r="Y962" i="2"/>
  <c r="X962" i="2"/>
  <c r="Y310" i="3"/>
  <c r="Z310" i="3"/>
  <c r="S654" i="2"/>
  <c r="T654" i="2"/>
  <c r="Y740" i="3"/>
  <c r="Z740" i="3"/>
  <c r="X886" i="2"/>
  <c r="Y886" i="2"/>
  <c r="M665" i="1"/>
  <c r="U596" i="3"/>
  <c r="T596" i="3"/>
  <c r="AD713" i="3"/>
  <c r="Y481" i="2"/>
  <c r="X481" i="2"/>
  <c r="AC920" i="2"/>
  <c r="Y255" i="3"/>
  <c r="Z255" i="3"/>
  <c r="AA743" i="1"/>
  <c r="AB743" i="1"/>
  <c r="T506" i="2"/>
  <c r="S506" i="2"/>
  <c r="T514" i="3"/>
  <c r="U514" i="3"/>
  <c r="U462" i="3"/>
  <c r="T462" i="3"/>
  <c r="T850" i="3"/>
  <c r="U850" i="3"/>
  <c r="AD294" i="3"/>
  <c r="W663" i="1"/>
  <c r="X663" i="1"/>
  <c r="V663" i="1"/>
  <c r="T481" i="2"/>
  <c r="S481" i="2"/>
  <c r="AA887" i="1"/>
  <c r="AB887" i="1"/>
  <c r="Z420" i="2"/>
  <c r="Y200" i="3"/>
  <c r="Z200" i="3"/>
  <c r="AA686" i="3"/>
  <c r="AD145" i="3"/>
  <c r="AB804" i="1"/>
  <c r="AA804" i="1"/>
  <c r="AD855" i="3"/>
  <c r="U345" i="3"/>
  <c r="T345" i="3"/>
  <c r="AH843" i="3"/>
  <c r="AF737" i="1"/>
  <c r="Z692" i="2"/>
  <c r="AA906" i="1"/>
  <c r="AB906" i="1"/>
  <c r="AC770" i="2"/>
  <c r="Z618" i="3"/>
  <c r="Y618" i="3"/>
  <c r="U799" i="3"/>
  <c r="T799" i="3"/>
  <c r="AB1007" i="1"/>
  <c r="AA1007" i="1"/>
  <c r="V907" i="1"/>
  <c r="W907" i="1"/>
  <c r="Y377" i="3"/>
  <c r="Z377" i="3"/>
  <c r="T802" i="2"/>
  <c r="S802" i="2"/>
  <c r="Y709" i="2"/>
  <c r="X709" i="2"/>
  <c r="T375" i="3"/>
  <c r="U375" i="3"/>
  <c r="Z105" i="3"/>
  <c r="Y105" i="3"/>
  <c r="Y377" i="2"/>
  <c r="X377" i="2"/>
  <c r="X517" i="2"/>
  <c r="Y517" i="2"/>
  <c r="AD921" i="3"/>
  <c r="AB1018" i="1"/>
  <c r="AA1018" i="1"/>
  <c r="S593" i="2"/>
  <c r="T593" i="2"/>
  <c r="AC545" i="2"/>
  <c r="U545" i="2"/>
  <c r="AA545" i="2"/>
  <c r="AD545" i="2"/>
  <c r="AC983" i="2"/>
  <c r="Y165" i="3"/>
  <c r="Z165" i="3"/>
  <c r="X447" i="2"/>
  <c r="Y447" i="2"/>
  <c r="AA705" i="3"/>
  <c r="AH696" i="3"/>
  <c r="M943" i="1"/>
  <c r="X857" i="2"/>
  <c r="Y857" i="2"/>
  <c r="AH209" i="3"/>
  <c r="X681" i="1"/>
  <c r="AD681" i="1"/>
  <c r="AG681" i="1"/>
  <c r="AI681" i="1"/>
  <c r="AF252" i="2"/>
  <c r="V360" i="3"/>
  <c r="AB360" i="3"/>
  <c r="AE360" i="3"/>
  <c r="AG360" i="3"/>
  <c r="AC1003" i="2"/>
  <c r="Z98" i="3"/>
  <c r="Y98" i="3"/>
  <c r="AA984" i="1"/>
  <c r="AB984" i="1"/>
  <c r="M869" i="1"/>
  <c r="AJ996" i="1"/>
  <c r="AF912" i="2"/>
  <c r="Z804" i="3"/>
  <c r="Y804" i="3"/>
  <c r="X328" i="2"/>
  <c r="Y328" i="2"/>
  <c r="Y671" i="2"/>
  <c r="X671" i="2"/>
  <c r="AA764" i="1"/>
  <c r="AB764" i="1"/>
  <c r="T468" i="2"/>
  <c r="S468" i="2"/>
  <c r="T855" i="3"/>
  <c r="U855" i="3"/>
  <c r="M680" i="1"/>
  <c r="Z1003" i="2"/>
  <c r="M720" i="1"/>
  <c r="AG910" i="2"/>
  <c r="AB768" i="1"/>
  <c r="AA768" i="1"/>
  <c r="S478" i="2"/>
  <c r="T478" i="2"/>
  <c r="AA991" i="3"/>
  <c r="AC895" i="2"/>
  <c r="AF929" i="1"/>
  <c r="AD830" i="3"/>
  <c r="AA918" i="3"/>
  <c r="U330" i="3"/>
  <c r="T330" i="3"/>
  <c r="W929" i="1"/>
  <c r="V929" i="1"/>
  <c r="AC470" i="2"/>
  <c r="T289" i="3"/>
  <c r="U289" i="3"/>
  <c r="T979" i="2"/>
  <c r="S979" i="2"/>
  <c r="AF673" i="1"/>
  <c r="Z781" i="2"/>
  <c r="W933" i="1"/>
  <c r="V933" i="1"/>
  <c r="X862" i="2"/>
  <c r="Y862" i="2"/>
  <c r="Z942" i="3"/>
  <c r="Y942" i="3"/>
  <c r="AG273" i="2"/>
  <c r="W716" i="1"/>
  <c r="V716" i="1"/>
  <c r="Y390" i="2"/>
  <c r="X390" i="2"/>
  <c r="AD955" i="3"/>
  <c r="T925" i="2"/>
  <c r="S925" i="2"/>
  <c r="S510" i="2"/>
  <c r="T510" i="2"/>
  <c r="AC735" i="2"/>
  <c r="V702" i="1"/>
  <c r="W702" i="1"/>
  <c r="U392" i="3"/>
  <c r="T392" i="3"/>
  <c r="AD210" i="3"/>
  <c r="U46" i="3"/>
  <c r="T46" i="3"/>
  <c r="AG948" i="2"/>
  <c r="AG749" i="2"/>
  <c r="AC259" i="2"/>
  <c r="AD867" i="3"/>
  <c r="V867" i="3"/>
  <c r="AB867" i="3"/>
  <c r="AE867" i="3"/>
  <c r="AD421" i="2"/>
  <c r="U421" i="2"/>
  <c r="AA421" i="2"/>
  <c r="AC421" i="2"/>
  <c r="AA703" i="1"/>
  <c r="AB703" i="1"/>
  <c r="AC436" i="2"/>
  <c r="AG277" i="2"/>
  <c r="U374" i="2"/>
  <c r="AA374" i="2"/>
  <c r="AD374" i="2"/>
  <c r="AF374" i="2"/>
  <c r="T688" i="2"/>
  <c r="S688" i="2"/>
  <c r="AD809" i="3"/>
  <c r="V809" i="3"/>
  <c r="AB809" i="3"/>
  <c r="AE809" i="3"/>
  <c r="Y444" i="2"/>
  <c r="X444" i="2"/>
  <c r="Z803" i="3"/>
  <c r="Y803" i="3"/>
  <c r="Y130" i="3"/>
  <c r="Z130" i="3"/>
  <c r="AA352" i="3"/>
  <c r="Z809" i="2"/>
  <c r="AD908" i="3"/>
  <c r="AA824" i="1"/>
  <c r="AB824" i="1"/>
  <c r="AB919" i="1"/>
  <c r="AA919" i="1"/>
  <c r="AG766" i="3"/>
  <c r="AC282" i="2"/>
  <c r="AG402" i="3"/>
  <c r="AB734" i="1"/>
  <c r="AA734" i="1"/>
  <c r="Z556" i="3"/>
  <c r="Y556" i="3"/>
  <c r="V981" i="1"/>
  <c r="W981" i="1"/>
  <c r="Y226" i="2"/>
  <c r="X226" i="2"/>
  <c r="AD71" i="3"/>
  <c r="AA749" i="3"/>
  <c r="AC618" i="2"/>
  <c r="S790" i="2"/>
  <c r="T790" i="2"/>
  <c r="Y483" i="3"/>
  <c r="Z483" i="3"/>
  <c r="V786" i="1"/>
  <c r="W786" i="1"/>
  <c r="AD608" i="3"/>
  <c r="V814" i="1"/>
  <c r="W814" i="1"/>
  <c r="AB957" i="1"/>
  <c r="AA957" i="1"/>
  <c r="T685" i="3"/>
  <c r="U685" i="3"/>
  <c r="AF724" i="1"/>
  <c r="AC602" i="2"/>
  <c r="AG697" i="1"/>
  <c r="AI697" i="1"/>
  <c r="Z697" i="3"/>
  <c r="Y697" i="3"/>
  <c r="T631" i="3"/>
  <c r="U631" i="3"/>
  <c r="AC992" i="1"/>
  <c r="Z518" i="2"/>
  <c r="S924" i="2"/>
  <c r="T924" i="2"/>
  <c r="Y625" i="2"/>
  <c r="X625" i="2"/>
  <c r="Z759" i="3"/>
  <c r="Y759" i="3"/>
  <c r="AD660" i="3"/>
  <c r="W767" i="1"/>
  <c r="V767" i="1"/>
  <c r="T717" i="2"/>
  <c r="S717" i="2"/>
  <c r="Z607" i="2"/>
  <c r="Z873" i="2"/>
  <c r="AA188" i="3"/>
  <c r="AA71" i="3"/>
  <c r="Z341" i="3"/>
  <c r="Y341" i="3"/>
  <c r="Y566" i="3"/>
  <c r="Z566" i="3"/>
  <c r="Y594" i="2"/>
  <c r="X594" i="2"/>
  <c r="X362" i="2"/>
  <c r="Y362" i="2"/>
  <c r="W951" i="1"/>
  <c r="V951" i="1"/>
  <c r="AH623" i="3"/>
  <c r="AD338" i="3"/>
  <c r="Y679" i="2"/>
  <c r="X679" i="2"/>
  <c r="T518" i="3"/>
  <c r="U518" i="3"/>
  <c r="AC634" i="2"/>
  <c r="AD161" i="3"/>
  <c r="W803" i="1"/>
  <c r="V803" i="1"/>
  <c r="S715" i="2"/>
  <c r="T715" i="2"/>
  <c r="AD333" i="3"/>
  <c r="AD793" i="3"/>
  <c r="AC247" i="2"/>
  <c r="V346" i="3"/>
  <c r="AB346" i="3"/>
  <c r="AE346" i="3"/>
  <c r="AG346" i="3"/>
  <c r="AG871" i="3"/>
  <c r="Z870" i="2"/>
  <c r="AE342" i="3"/>
  <c r="V342" i="3"/>
  <c r="AB342" i="3"/>
  <c r="AD342" i="3"/>
  <c r="AC743" i="2"/>
  <c r="AA226" i="3"/>
  <c r="AC210" i="2"/>
  <c r="S315" i="2"/>
  <c r="T315" i="2"/>
  <c r="AC905" i="2"/>
  <c r="M771" i="1"/>
  <c r="AC507" i="2"/>
  <c r="AF78" i="1"/>
  <c r="AC344" i="2"/>
  <c r="M823" i="1"/>
  <c r="AF310" i="2"/>
  <c r="AC270" i="2"/>
  <c r="V119" i="3"/>
  <c r="AB119" i="3"/>
  <c r="AE119" i="3"/>
  <c r="AG119" i="3"/>
  <c r="T890" i="2"/>
  <c r="S890" i="2"/>
  <c r="T249" i="3"/>
  <c r="U249" i="3"/>
  <c r="V479" i="3"/>
  <c r="AB479" i="3"/>
  <c r="AE479" i="3"/>
  <c r="AG479" i="3"/>
  <c r="T207" i="2"/>
  <c r="S207" i="2"/>
  <c r="T117" i="3"/>
  <c r="U117" i="3"/>
  <c r="AJ902" i="1"/>
  <c r="Z721" i="2"/>
  <c r="AC699" i="1"/>
  <c r="Z399" i="2"/>
  <c r="AF660" i="1"/>
  <c r="V868" i="1"/>
  <c r="W868" i="1"/>
  <c r="U365" i="3"/>
  <c r="T365" i="3"/>
  <c r="AC842" i="1"/>
  <c r="AC904" i="2"/>
  <c r="M932" i="1"/>
  <c r="AF933" i="1"/>
  <c r="AC960" i="2"/>
  <c r="Z832" i="2"/>
  <c r="AF751" i="1"/>
  <c r="AD575" i="3"/>
  <c r="AF706" i="1"/>
  <c r="Z693" i="2"/>
  <c r="AA211" i="3"/>
  <c r="AC836" i="2"/>
  <c r="AC584" i="2"/>
  <c r="Z613" i="2"/>
  <c r="AF710" i="1"/>
  <c r="AD853" i="3"/>
  <c r="AJ901" i="1"/>
  <c r="S440" i="2"/>
  <c r="T440" i="2"/>
  <c r="AC677" i="1"/>
  <c r="U590" i="3"/>
  <c r="T590" i="3"/>
  <c r="Y484" i="3"/>
  <c r="Z484" i="3"/>
  <c r="Z233" i="3"/>
  <c r="Y233" i="3"/>
  <c r="U897" i="2"/>
  <c r="AA897" i="2"/>
  <c r="AD897" i="2"/>
  <c r="AF897" i="2"/>
  <c r="AG420" i="2"/>
  <c r="AF801" i="1"/>
  <c r="AC891" i="1"/>
  <c r="T568" i="3"/>
  <c r="U568" i="3"/>
  <c r="T946" i="2"/>
  <c r="S946" i="2"/>
  <c r="W701" i="1"/>
  <c r="V701" i="1"/>
  <c r="AD827" i="3"/>
  <c r="Z532" i="2"/>
  <c r="AD525" i="3"/>
  <c r="V908" i="3"/>
  <c r="AB908" i="3"/>
  <c r="AE908" i="3"/>
  <c r="AG908" i="3"/>
  <c r="AC391" i="2"/>
  <c r="AA797" i="1"/>
  <c r="AB797" i="1"/>
  <c r="AA928" i="2"/>
  <c r="X928" i="2"/>
  <c r="U928" i="2"/>
  <c r="Y928" i="2"/>
  <c r="AD390" i="3"/>
  <c r="AJ711" i="1"/>
  <c r="V968" i="3"/>
  <c r="AB968" i="3"/>
  <c r="AE968" i="3"/>
  <c r="AG968" i="3"/>
  <c r="AE777" i="3"/>
  <c r="AB777" i="3"/>
  <c r="AD777" i="3"/>
  <c r="T290" i="3"/>
  <c r="U290" i="3"/>
  <c r="Z240" i="3"/>
  <c r="Y240" i="3"/>
  <c r="X753" i="2"/>
  <c r="Y753" i="2"/>
  <c r="Z812" i="2"/>
  <c r="AD730" i="3"/>
  <c r="T978" i="3"/>
  <c r="U978" i="3"/>
  <c r="AB690" i="1"/>
  <c r="AA690" i="1"/>
  <c r="U235" i="2"/>
  <c r="AA235" i="2"/>
  <c r="AD235" i="2"/>
  <c r="AF235" i="2"/>
  <c r="AA860" i="1"/>
  <c r="AB860" i="1"/>
  <c r="U602" i="2"/>
  <c r="AA602" i="2"/>
  <c r="AD602" i="2"/>
  <c r="AF602" i="2"/>
  <c r="X908" i="2"/>
  <c r="Y908" i="2"/>
  <c r="U908" i="2"/>
  <c r="AA908" i="2"/>
  <c r="U198" i="3"/>
  <c r="T198" i="3"/>
  <c r="AD628" i="3"/>
  <c r="AA69" i="3"/>
  <c r="AD162" i="3"/>
  <c r="U881" i="3"/>
  <c r="T881" i="3"/>
  <c r="T321" i="2"/>
  <c r="S321" i="2"/>
  <c r="U778" i="3"/>
  <c r="T778" i="3"/>
  <c r="AC305" i="2"/>
  <c r="AA419" i="3"/>
  <c r="AG836" i="2"/>
  <c r="Z323" i="2"/>
  <c r="T785" i="2"/>
  <c r="S785" i="2"/>
  <c r="T488" i="3"/>
  <c r="U488" i="3"/>
  <c r="AA700" i="3"/>
  <c r="AD915" i="3"/>
  <c r="V915" i="3"/>
  <c r="AB915" i="3"/>
  <c r="AE915" i="3"/>
  <c r="AA420" i="3"/>
  <c r="AD297" i="3"/>
  <c r="AG507" i="2"/>
  <c r="V433" i="3"/>
  <c r="AB433" i="3"/>
  <c r="AE433" i="3"/>
  <c r="AG433" i="3"/>
  <c r="AD230" i="3"/>
  <c r="AA239" i="3"/>
  <c r="AG918" i="2"/>
  <c r="AC991" i="2"/>
  <c r="AA207" i="3"/>
  <c r="AH148" i="3"/>
  <c r="AF718" i="1"/>
  <c r="AA871" i="3"/>
  <c r="U905" i="2"/>
  <c r="AA905" i="2"/>
  <c r="AD905" i="2"/>
  <c r="AF905" i="2"/>
  <c r="AF865" i="1"/>
  <c r="AC390" i="2"/>
  <c r="AD776" i="3"/>
  <c r="AJ789" i="1"/>
  <c r="AF871" i="1"/>
  <c r="Z653" i="2"/>
  <c r="AF740" i="1"/>
  <c r="Z249" i="3"/>
  <c r="AB249" i="3"/>
  <c r="V249" i="3"/>
  <c r="Y249" i="3"/>
  <c r="Z719" i="2"/>
  <c r="AC279" i="2"/>
  <c r="X685" i="2"/>
  <c r="Y685" i="2"/>
  <c r="Z603" i="2"/>
  <c r="AD105" i="3"/>
  <c r="X660" i="1"/>
  <c r="AD660" i="1"/>
  <c r="AG660" i="1"/>
  <c r="AI660" i="1"/>
  <c r="Z677" i="3"/>
  <c r="Y677" i="3"/>
  <c r="AD357" i="3"/>
  <c r="T399" i="2"/>
  <c r="S399" i="2"/>
  <c r="AC694" i="2"/>
  <c r="V512" i="2"/>
  <c r="AB512" i="2"/>
  <c r="AE512" i="2"/>
  <c r="AA741" i="3"/>
  <c r="AF836" i="1"/>
  <c r="AD784" i="3"/>
  <c r="Z180" i="2"/>
  <c r="AA479" i="3"/>
  <c r="Z278" i="2"/>
  <c r="AC973" i="1"/>
  <c r="AD375" i="3"/>
  <c r="V888" i="3"/>
  <c r="AB888" i="3"/>
  <c r="AE888" i="3"/>
  <c r="AG888" i="3"/>
  <c r="AG210" i="2"/>
  <c r="AF684" i="2"/>
  <c r="AF907" i="1"/>
  <c r="X907" i="1"/>
  <c r="AD907" i="1"/>
  <c r="AG907" i="1"/>
  <c r="Z553" i="2"/>
  <c r="S437" i="2"/>
  <c r="T437" i="2"/>
  <c r="V723" i="3"/>
  <c r="AB723" i="3"/>
  <c r="AE723" i="3"/>
  <c r="AG723" i="3"/>
  <c r="AF736" i="1"/>
  <c r="M689" i="1"/>
  <c r="W879" i="1"/>
  <c r="V879" i="1"/>
  <c r="S410" i="2"/>
  <c r="T410" i="2"/>
  <c r="S965" i="2"/>
  <c r="T965" i="2"/>
  <c r="W724" i="1"/>
  <c r="V724" i="1"/>
  <c r="AH154" i="3"/>
  <c r="V390" i="3"/>
  <c r="AB390" i="3"/>
  <c r="AE390" i="3"/>
  <c r="AG390" i="3"/>
  <c r="S442" i="2"/>
  <c r="T442" i="2"/>
  <c r="U111" i="3"/>
  <c r="T111" i="3"/>
  <c r="W947" i="1"/>
  <c r="V947" i="1"/>
  <c r="U722" i="2"/>
  <c r="AA722" i="2"/>
  <c r="AD722" i="2"/>
  <c r="AF722" i="2"/>
  <c r="AD845" i="3"/>
  <c r="V845" i="3"/>
  <c r="AB845" i="3"/>
  <c r="AE845" i="3"/>
  <c r="U243" i="2"/>
  <c r="AA243" i="2"/>
  <c r="AD243" i="2"/>
  <c r="AF243" i="2"/>
  <c r="T357" i="3"/>
  <c r="U357" i="3"/>
  <c r="V730" i="3"/>
  <c r="AB730" i="3"/>
  <c r="AE730" i="3"/>
  <c r="AG730" i="3"/>
  <c r="AG410" i="2"/>
  <c r="U397" i="2"/>
  <c r="AA397" i="2"/>
  <c r="AD397" i="2"/>
  <c r="AF397" i="2"/>
  <c r="AH346" i="3"/>
  <c r="AC877" i="2"/>
  <c r="AD745" i="3"/>
  <c r="X541" i="2"/>
  <c r="Y541" i="2"/>
  <c r="AF942" i="1"/>
  <c r="U444" i="2"/>
  <c r="AA444" i="2"/>
  <c r="AD444" i="2"/>
  <c r="AF444" i="2"/>
  <c r="Y109" i="3"/>
  <c r="Z109" i="3"/>
  <c r="AB979" i="1"/>
  <c r="AA979" i="1"/>
  <c r="T429" i="2"/>
  <c r="S429" i="2"/>
  <c r="T363" i="3"/>
  <c r="U363" i="3"/>
  <c r="AD826" i="3"/>
  <c r="V826" i="3"/>
  <c r="AB826" i="3"/>
  <c r="AE826" i="3"/>
  <c r="V924" i="2"/>
  <c r="AB924" i="2"/>
  <c r="AE924" i="2"/>
  <c r="Z897" i="2"/>
  <c r="AG958" i="2"/>
  <c r="AA889" i="3"/>
  <c r="AE773" i="3"/>
  <c r="V773" i="3"/>
  <c r="AB773" i="3"/>
  <c r="AD773" i="3"/>
  <c r="U636" i="3"/>
  <c r="T636" i="3"/>
  <c r="AC675" i="2"/>
  <c r="AG824" i="2"/>
  <c r="U620" i="3"/>
  <c r="T620" i="3"/>
  <c r="AH322" i="3"/>
  <c r="AH298" i="3"/>
  <c r="AG242" i="2"/>
  <c r="AC226" i="2"/>
  <c r="Z464" i="3"/>
  <c r="Y464" i="3"/>
  <c r="AE402" i="3"/>
  <c r="V402" i="3"/>
  <c r="AB402" i="3"/>
  <c r="AD402" i="3"/>
  <c r="AH667" i="3"/>
  <c r="AF717" i="1"/>
  <c r="AH701" i="3"/>
  <c r="AA73" i="3"/>
  <c r="AG84" i="3"/>
  <c r="U282" i="2"/>
  <c r="AA282" i="2"/>
  <c r="AD282" i="2"/>
  <c r="AF282" i="2"/>
  <c r="Z232" i="2"/>
  <c r="AC803" i="1"/>
  <c r="U991" i="2"/>
  <c r="AA991" i="2"/>
  <c r="AD991" i="2"/>
  <c r="AF991" i="2"/>
  <c r="M661" i="1"/>
  <c r="AG972" i="2"/>
  <c r="AD753" i="3"/>
  <c r="U93" i="3"/>
  <c r="T93" i="3"/>
  <c r="AC447" i="2"/>
  <c r="X815" i="2"/>
  <c r="Y815" i="2"/>
  <c r="AD195" i="3"/>
  <c r="AA843" i="3"/>
  <c r="AF770" i="1"/>
  <c r="X871" i="1"/>
  <c r="AD871" i="1"/>
  <c r="AG871" i="1"/>
  <c r="AI871" i="1"/>
  <c r="Z1007" i="2"/>
  <c r="AH178" i="3"/>
  <c r="AA965" i="3"/>
  <c r="AG878" i="2"/>
  <c r="X332" i="2"/>
  <c r="Y332" i="2"/>
  <c r="AC774" i="1"/>
  <c r="AC711" i="2"/>
  <c r="AH629" i="3"/>
  <c r="AF899" i="1"/>
  <c r="AH543" i="3"/>
  <c r="AD710" i="3"/>
  <c r="AC724" i="2"/>
  <c r="AD376" i="3"/>
  <c r="AA169" i="3"/>
  <c r="AA341" i="3"/>
  <c r="V854" i="3"/>
  <c r="AB854" i="3"/>
  <c r="AE854" i="3"/>
  <c r="AG854" i="3"/>
  <c r="U336" i="2"/>
  <c r="AA336" i="2"/>
  <c r="AD336" i="2"/>
  <c r="AF336" i="2"/>
  <c r="AD305" i="3"/>
  <c r="AC433" i="2"/>
  <c r="AF971" i="1"/>
  <c r="Y969" i="3"/>
  <c r="Z969" i="3"/>
  <c r="Z763" i="2"/>
  <c r="AB788" i="1"/>
  <c r="AA788" i="1"/>
  <c r="AD427" i="3"/>
  <c r="U434" i="3"/>
  <c r="T434" i="3"/>
  <c r="AA813" i="3"/>
  <c r="AF915" i="1"/>
  <c r="W970" i="1"/>
  <c r="V970" i="1"/>
  <c r="X970" i="1"/>
  <c r="V831" i="1"/>
  <c r="W831" i="1"/>
  <c r="T923" i="3"/>
  <c r="U923" i="3"/>
  <c r="AC811" i="1"/>
  <c r="AD611" i="3"/>
  <c r="AC666" i="1"/>
  <c r="AH524" i="3"/>
  <c r="AC456" i="2"/>
  <c r="AF941" i="1"/>
  <c r="AC773" i="2"/>
  <c r="AJ828" i="1"/>
  <c r="AF728" i="1"/>
  <c r="AD252" i="2"/>
  <c r="U252" i="2"/>
  <c r="AA252" i="2"/>
  <c r="AC252" i="2"/>
  <c r="AC592" i="2"/>
  <c r="AF996" i="2"/>
  <c r="AA973" i="2"/>
  <c r="AD973" i="2"/>
  <c r="AF973" i="2"/>
  <c r="M746" i="1"/>
  <c r="AC526" i="2"/>
  <c r="AC680" i="1"/>
  <c r="AC861" i="2"/>
  <c r="AE82" i="3"/>
  <c r="AG82" i="3"/>
  <c r="AC263" i="2"/>
  <c r="AD511" i="3"/>
  <c r="W979" i="1"/>
  <c r="V979" i="1"/>
  <c r="U317" i="3"/>
  <c r="T317" i="3"/>
  <c r="U922" i="2"/>
  <c r="AA922" i="2"/>
  <c r="AD922" i="2"/>
  <c r="AF922" i="2"/>
  <c r="U931" i="3"/>
  <c r="T931" i="3"/>
  <c r="Y352" i="3"/>
  <c r="Z352" i="3"/>
  <c r="AF692" i="1"/>
  <c r="Z590" i="2"/>
  <c r="AC914" i="1"/>
  <c r="T991" i="3"/>
  <c r="U991" i="3"/>
  <c r="Y327" i="2"/>
  <c r="X327" i="2"/>
  <c r="AC996" i="1"/>
  <c r="AC307" i="2"/>
  <c r="X446" i="2"/>
  <c r="Y446" i="2"/>
  <c r="AD669" i="3"/>
  <c r="AB762" i="1"/>
  <c r="AA762" i="1"/>
  <c r="U292" i="2"/>
  <c r="AA292" i="2"/>
  <c r="AD292" i="2"/>
  <c r="AF292" i="2"/>
  <c r="AH551" i="3"/>
  <c r="AD699" i="3"/>
  <c r="Y843" i="2"/>
  <c r="X843" i="2"/>
  <c r="AG540" i="3"/>
  <c r="Y102" i="3"/>
  <c r="Z102" i="3"/>
  <c r="X867" i="2"/>
  <c r="Y867" i="2"/>
  <c r="AH169" i="3"/>
  <c r="Y327" i="3"/>
  <c r="Z327" i="3"/>
  <c r="S902" i="2"/>
  <c r="T902" i="2"/>
  <c r="U209" i="3"/>
  <c r="T209" i="3"/>
  <c r="S995" i="2"/>
  <c r="T995" i="2"/>
  <c r="Z80" i="3"/>
  <c r="Y80" i="3"/>
  <c r="AG686" i="2"/>
  <c r="Z82" i="3"/>
  <c r="Y82" i="3"/>
  <c r="V82" i="3"/>
  <c r="AB82" i="3"/>
  <c r="AG517" i="2"/>
  <c r="Y528" i="3"/>
  <c r="Z528" i="3"/>
  <c r="AC789" i="1"/>
  <c r="S989" i="2"/>
  <c r="T989" i="2"/>
  <c r="AD86" i="3"/>
  <c r="X326" i="2"/>
  <c r="Y326" i="2"/>
  <c r="AA587" i="3"/>
  <c r="U786" i="3"/>
  <c r="T786" i="3"/>
  <c r="T784" i="2"/>
  <c r="S784" i="2"/>
  <c r="X968" i="2"/>
  <c r="Y968" i="2"/>
  <c r="AA933" i="3"/>
  <c r="Y39" i="3"/>
  <c r="Z39" i="3"/>
  <c r="AC802" i="2"/>
  <c r="AC512" i="2"/>
  <c r="U964" i="2"/>
  <c r="AA964" i="2"/>
  <c r="AD964" i="2"/>
  <c r="AF964" i="2"/>
  <c r="T286" i="2"/>
  <c r="S286" i="2"/>
  <c r="Z213" i="3"/>
  <c r="Y213" i="3"/>
  <c r="X932" i="2"/>
  <c r="Y932" i="2"/>
  <c r="S798" i="2"/>
  <c r="T798" i="2"/>
  <c r="AC927" i="1"/>
  <c r="AG302" i="2"/>
  <c r="X910" i="2"/>
  <c r="Y910" i="2"/>
  <c r="V667" i="1"/>
  <c r="X667" i="1"/>
  <c r="W667" i="1"/>
  <c r="U176" i="3"/>
  <c r="T176" i="3"/>
  <c r="AG598" i="3"/>
  <c r="X723" i="1"/>
  <c r="AD723" i="1"/>
  <c r="AG723" i="1"/>
  <c r="AI723" i="1"/>
  <c r="Y347" i="2"/>
  <c r="X347" i="2"/>
  <c r="T769" i="2"/>
  <c r="S769" i="2"/>
  <c r="AH844" i="3"/>
  <c r="Y463" i="3"/>
  <c r="Z463" i="3"/>
  <c r="Y640" i="3"/>
  <c r="Z640" i="3"/>
  <c r="AH172" i="3"/>
  <c r="S382" i="2"/>
  <c r="T382" i="2"/>
  <c r="Y866" i="3"/>
  <c r="Z866" i="3"/>
  <c r="AB826" i="1"/>
  <c r="AA826" i="1"/>
  <c r="T506" i="3"/>
  <c r="U506" i="3"/>
  <c r="V989" i="1"/>
  <c r="W989" i="1"/>
  <c r="AC467" i="2"/>
  <c r="AF884" i="1"/>
  <c r="V918" i="3"/>
  <c r="AB918" i="3"/>
  <c r="AE918" i="3"/>
  <c r="AG918" i="3"/>
  <c r="T747" i="2"/>
  <c r="S747" i="2"/>
  <c r="T344" i="3"/>
  <c r="U344" i="3"/>
  <c r="AB922" i="1"/>
  <c r="AA922" i="1"/>
  <c r="T550" i="2"/>
  <c r="S550" i="2"/>
  <c r="Y111" i="3"/>
  <c r="Z111" i="3"/>
  <c r="T524" i="3"/>
  <c r="U524" i="3"/>
  <c r="AG350" i="2"/>
  <c r="AC978" i="2"/>
  <c r="U163" i="3"/>
  <c r="T163" i="3"/>
  <c r="T827" i="2"/>
  <c r="S827" i="2"/>
  <c r="AB800" i="1"/>
  <c r="AA800" i="1"/>
  <c r="Z185" i="2"/>
  <c r="T756" i="3"/>
  <c r="U756" i="3"/>
  <c r="Z296" i="3"/>
  <c r="Y296" i="3"/>
  <c r="S447" i="2"/>
  <c r="T447" i="2"/>
  <c r="AC582" i="2"/>
  <c r="AC899" i="1"/>
  <c r="U438" i="3"/>
  <c r="T438" i="3"/>
  <c r="AD315" i="3"/>
  <c r="Y812" i="3"/>
  <c r="Z812" i="3"/>
  <c r="AD767" i="3"/>
  <c r="AA704" i="3"/>
  <c r="AF709" i="1"/>
  <c r="AJ833" i="1"/>
  <c r="AC941" i="2"/>
  <c r="AD562" i="3"/>
  <c r="V562" i="3"/>
  <c r="AB562" i="3"/>
  <c r="AE562" i="3"/>
  <c r="AD920" i="3"/>
  <c r="Y600" i="2"/>
  <c r="X600" i="2"/>
  <c r="AF968" i="1"/>
  <c r="Z925" i="2"/>
  <c r="Z775" i="3"/>
  <c r="Y775" i="3"/>
  <c r="Y581" i="3"/>
  <c r="Z581" i="3"/>
  <c r="AA244" i="3"/>
  <c r="AD913" i="3"/>
  <c r="Y422" i="3"/>
  <c r="Z422" i="3"/>
  <c r="S451" i="2"/>
  <c r="T451" i="2"/>
  <c r="AC940" i="2"/>
  <c r="Z62" i="3"/>
  <c r="Y62" i="3"/>
  <c r="AC956" i="1"/>
  <c r="AF666" i="1"/>
  <c r="W761" i="1"/>
  <c r="V761" i="1"/>
  <c r="AB990" i="1"/>
  <c r="AA990" i="1"/>
  <c r="AB980" i="1"/>
  <c r="AA980" i="1"/>
  <c r="M722" i="1"/>
  <c r="AA785" i="3"/>
  <c r="Y521" i="2"/>
  <c r="X521" i="2"/>
  <c r="AJ78" i="1"/>
  <c r="U956" i="2"/>
  <c r="AA956" i="2"/>
  <c r="AD956" i="2"/>
  <c r="AF956" i="2"/>
  <c r="AH313" i="3"/>
  <c r="S183" i="2"/>
  <c r="T183" i="2"/>
  <c r="M982" i="1"/>
  <c r="AG748" i="3"/>
  <c r="M946" i="1"/>
  <c r="V47" i="3"/>
  <c r="AB47" i="3"/>
  <c r="AE47" i="3"/>
  <c r="AG47" i="3"/>
  <c r="AH850" i="3"/>
  <c r="T331" i="3"/>
  <c r="U331" i="3"/>
  <c r="AG428" i="2"/>
  <c r="Z953" i="2"/>
  <c r="AF950" i="1"/>
  <c r="AA671" i="1"/>
  <c r="AB671" i="1"/>
  <c r="V237" i="3"/>
  <c r="AB237" i="3"/>
  <c r="AE237" i="3"/>
  <c r="AG237" i="3"/>
  <c r="Z397" i="2"/>
  <c r="AF958" i="1"/>
  <c r="AC253" i="2"/>
  <c r="W747" i="1"/>
  <c r="V747" i="1"/>
  <c r="AJ875" i="1"/>
  <c r="M907" i="1"/>
  <c r="AH505" i="3"/>
  <c r="AG956" i="3"/>
  <c r="AD429" i="3"/>
  <c r="AC868" i="2"/>
  <c r="Z573" i="2"/>
  <c r="AD880" i="3"/>
  <c r="AC866" i="2"/>
  <c r="AC388" i="2"/>
  <c r="AC862" i="1"/>
  <c r="AD186" i="3"/>
  <c r="AC272" i="2"/>
  <c r="Z842" i="2"/>
  <c r="AJ912" i="1"/>
  <c r="AA474" i="3"/>
  <c r="AA894" i="3"/>
  <c r="Z648" i="2"/>
  <c r="V305" i="3"/>
  <c r="AB305" i="3"/>
  <c r="AE305" i="3"/>
  <c r="AG305" i="3"/>
  <c r="AA701" i="3"/>
  <c r="M750" i="1"/>
  <c r="Z252" i="3"/>
  <c r="Y252" i="3"/>
  <c r="S909" i="2"/>
  <c r="T909" i="2"/>
  <c r="AC906" i="2"/>
  <c r="X936" i="1"/>
  <c r="AD936" i="1"/>
  <c r="AG936" i="1"/>
  <c r="AI936" i="1"/>
  <c r="V808" i="1"/>
  <c r="W808" i="1"/>
  <c r="AC704" i="2"/>
  <c r="U704" i="2"/>
  <c r="AA704" i="2"/>
  <c r="AD704" i="2"/>
  <c r="AC609" i="2"/>
  <c r="S867" i="2"/>
  <c r="T867" i="2"/>
  <c r="T872" i="3"/>
  <c r="U872" i="3"/>
  <c r="T440" i="3"/>
  <c r="U440" i="3"/>
  <c r="AC532" i="2"/>
  <c r="U532" i="2"/>
  <c r="AA532" i="2"/>
  <c r="AD532" i="2"/>
  <c r="Y798" i="3"/>
  <c r="Z798" i="3"/>
  <c r="AC366" i="2"/>
  <c r="U366" i="2"/>
  <c r="AA366" i="2"/>
  <c r="AD366" i="2"/>
  <c r="AA445" i="3"/>
  <c r="AH469" i="3"/>
  <c r="Y829" i="2"/>
  <c r="X829" i="2"/>
  <c r="Z709" i="2"/>
  <c r="AG750" i="2"/>
  <c r="T896" i="3"/>
  <c r="U896" i="3"/>
  <c r="Y572" i="2"/>
  <c r="X572" i="2"/>
  <c r="T710" i="3"/>
  <c r="U710" i="3"/>
  <c r="T247" i="2"/>
  <c r="S247" i="2"/>
  <c r="AA699" i="3"/>
  <c r="U1003" i="2"/>
  <c r="AA1003" i="2"/>
  <c r="AD1003" i="2"/>
  <c r="AF1003" i="2"/>
  <c r="AD509" i="3"/>
  <c r="AB752" i="1"/>
  <c r="AA752" i="1"/>
  <c r="X488" i="2"/>
  <c r="Y488" i="2"/>
  <c r="U901" i="3"/>
  <c r="T901" i="3"/>
  <c r="AD55" i="3"/>
  <c r="Y431" i="2"/>
  <c r="X431" i="2"/>
  <c r="AD455" i="3"/>
  <c r="Z205" i="3"/>
  <c r="Y205" i="3"/>
  <c r="AC826" i="2"/>
  <c r="AH439" i="3"/>
  <c r="AF991" i="1"/>
  <c r="Z906" i="2"/>
  <c r="M937" i="1"/>
  <c r="AC360" i="2"/>
  <c r="AC1018" i="1"/>
  <c r="AG934" i="3"/>
  <c r="AD766" i="3"/>
  <c r="V766" i="3"/>
  <c r="AB766" i="3"/>
  <c r="AE766" i="3"/>
  <c r="AC865" i="2"/>
  <c r="AD96" i="3"/>
  <c r="AC370" i="2"/>
  <c r="AG961" i="2"/>
  <c r="AC712" i="2"/>
  <c r="AD77" i="3"/>
  <c r="U226" i="2"/>
  <c r="AA226" i="2"/>
  <c r="AD226" i="2"/>
  <c r="AF226" i="2"/>
  <c r="AC808" i="2"/>
  <c r="AC713" i="2"/>
  <c r="AH361" i="3"/>
  <c r="Z632" i="2"/>
  <c r="AC312" i="2"/>
  <c r="AC534" i="2"/>
  <c r="AC810" i="1"/>
  <c r="AF1007" i="1"/>
  <c r="AD732" i="3"/>
  <c r="M817" i="1"/>
  <c r="AA808" i="3"/>
  <c r="AF879" i="3"/>
  <c r="AH879" i="3"/>
  <c r="AD503" i="3"/>
  <c r="AA736" i="3"/>
  <c r="X950" i="1"/>
  <c r="AD950" i="1"/>
  <c r="AG950" i="1"/>
  <c r="AI950" i="1"/>
  <c r="AE540" i="3"/>
  <c r="V540" i="3"/>
  <c r="AB540" i="3"/>
  <c r="AD540" i="3"/>
  <c r="AC866" i="1"/>
  <c r="AE836" i="3"/>
  <c r="V836" i="3"/>
  <c r="AB836" i="3"/>
  <c r="AD836" i="3"/>
  <c r="AC335" i="2"/>
  <c r="T304" i="2"/>
  <c r="S304" i="2"/>
  <c r="U133" i="3"/>
  <c r="T133" i="3"/>
  <c r="AC716" i="1"/>
  <c r="AC798" i="1"/>
  <c r="V777" i="3"/>
  <c r="T777" i="3"/>
  <c r="U777" i="3"/>
  <c r="AC643" i="2"/>
  <c r="U302" i="2"/>
  <c r="AA302" i="2"/>
  <c r="AD302" i="2"/>
  <c r="AF302" i="2"/>
  <c r="AD841" i="3"/>
  <c r="AG556" i="2"/>
  <c r="AC304" i="2"/>
  <c r="AD748" i="3"/>
  <c r="V748" i="3"/>
  <c r="AB748" i="3"/>
  <c r="AE748" i="3"/>
  <c r="X953" i="1"/>
  <c r="AD953" i="1"/>
  <c r="AG953" i="1"/>
  <c r="AI953" i="1"/>
  <c r="AH499" i="3"/>
  <c r="AA183" i="3"/>
  <c r="Z465" i="2"/>
  <c r="Z181" i="2"/>
  <c r="AC667" i="2"/>
  <c r="AC915" i="1"/>
  <c r="AD130" i="3"/>
  <c r="AC801" i="1"/>
  <c r="V776" i="1"/>
  <c r="W776" i="1"/>
  <c r="S289" i="2"/>
  <c r="T289" i="2"/>
  <c r="Y71" i="3"/>
  <c r="Z71" i="3"/>
  <c r="T701" i="3"/>
  <c r="U701" i="3"/>
  <c r="T73" i="3"/>
  <c r="U73" i="3"/>
  <c r="Z640" i="2"/>
  <c r="U755" i="3"/>
  <c r="T755" i="3"/>
  <c r="AC288" i="2"/>
  <c r="Y195" i="2"/>
  <c r="X195" i="2"/>
  <c r="AG950" i="2"/>
  <c r="Z193" i="2"/>
  <c r="AJ666" i="1"/>
  <c r="AB733" i="1"/>
  <c r="AA733" i="1"/>
  <c r="AA868" i="3"/>
  <c r="Y569" i="2"/>
  <c r="X569" i="2"/>
  <c r="U259" i="2"/>
  <c r="AA259" i="2"/>
  <c r="AD259" i="2"/>
  <c r="AF259" i="2"/>
  <c r="S697" i="2"/>
  <c r="T697" i="2"/>
  <c r="AC348" i="2"/>
  <c r="U348" i="2"/>
  <c r="AA348" i="2"/>
  <c r="AD348" i="2"/>
  <c r="AC788" i="1"/>
  <c r="AC269" i="2"/>
  <c r="Y92" i="3"/>
  <c r="Z92" i="3"/>
  <c r="U232" i="3"/>
  <c r="T232" i="3"/>
  <c r="AA803" i="1"/>
  <c r="AB803" i="1"/>
  <c r="U312" i="3"/>
  <c r="T312" i="3"/>
  <c r="X974" i="1"/>
  <c r="AD974" i="1"/>
  <c r="AG974" i="1"/>
  <c r="AI974" i="1"/>
  <c r="S807" i="2"/>
  <c r="T807" i="2"/>
  <c r="AD686" i="3"/>
  <c r="V559" i="3"/>
  <c r="AB559" i="3"/>
  <c r="AE559" i="3"/>
  <c r="AG559" i="3"/>
  <c r="V853" i="3"/>
  <c r="AB853" i="3"/>
  <c r="AE853" i="3"/>
  <c r="AG853" i="3"/>
  <c r="T729" i="2"/>
  <c r="S729" i="2"/>
  <c r="T131" i="3"/>
  <c r="U131" i="3"/>
  <c r="V597" i="3"/>
  <c r="AB597" i="3"/>
  <c r="AE597" i="3"/>
  <c r="AG597" i="3"/>
  <c r="T669" i="2"/>
  <c r="S669" i="2"/>
  <c r="T840" i="3"/>
  <c r="U840" i="3"/>
  <c r="AF877" i="1"/>
  <c r="X892" i="2"/>
  <c r="Y892" i="2"/>
  <c r="AD863" i="2"/>
  <c r="U863" i="2"/>
  <c r="AA863" i="2"/>
  <c r="AC863" i="2"/>
  <c r="AD174" i="3"/>
  <c r="AG236" i="2"/>
  <c r="AA614" i="3"/>
  <c r="Y133" i="3"/>
  <c r="Z133" i="3"/>
  <c r="AA979" i="3"/>
  <c r="Y894" i="3"/>
  <c r="Z894" i="3"/>
  <c r="U436" i="3"/>
  <c r="T436" i="3"/>
  <c r="Y880" i="2"/>
  <c r="X880" i="2"/>
  <c r="AF934" i="1"/>
  <c r="AF913" i="1"/>
  <c r="AD303" i="3"/>
  <c r="AD786" i="3"/>
  <c r="AG873" i="2"/>
  <c r="AG648" i="2"/>
  <c r="AF804" i="2"/>
  <c r="V731" i="1"/>
  <c r="W731" i="1"/>
  <c r="AC629" i="2"/>
  <c r="AA398" i="3"/>
  <c r="AE296" i="3"/>
  <c r="V296" i="3"/>
  <c r="AB296" i="3"/>
  <c r="AD296" i="3"/>
  <c r="AD828" i="3"/>
  <c r="AC560" i="2"/>
  <c r="AA850" i="3"/>
  <c r="AC951" i="1"/>
  <c r="AD422" i="3"/>
  <c r="AG562" i="2"/>
  <c r="Y170" i="3"/>
  <c r="Z170" i="3"/>
  <c r="AC395" i="2"/>
  <c r="AC1009" i="2"/>
  <c r="AC695" i="2"/>
  <c r="T737" i="3"/>
  <c r="U737" i="3"/>
  <c r="AC219" i="2"/>
  <c r="AH538" i="3"/>
  <c r="U783" i="3"/>
  <c r="T783" i="3"/>
  <c r="AF906" i="1"/>
  <c r="Z340" i="2"/>
  <c r="Z189" i="2"/>
  <c r="M741" i="1"/>
  <c r="AC589" i="2"/>
  <c r="AC912" i="2"/>
  <c r="U912" i="2"/>
  <c r="AA912" i="2"/>
  <c r="AD912" i="2"/>
  <c r="T185" i="3"/>
  <c r="U185" i="3"/>
  <c r="AF743" i="1"/>
  <c r="AC399" i="2"/>
  <c r="AB822" i="1"/>
  <c r="AA822" i="1"/>
  <c r="AD726" i="3"/>
  <c r="AD963" i="2"/>
  <c r="U963" i="2"/>
  <c r="AA963" i="2"/>
  <c r="AC963" i="2"/>
  <c r="U877" i="2"/>
  <c r="AA877" i="2"/>
  <c r="AD877" i="2"/>
  <c r="AF877" i="2"/>
  <c r="AG339" i="2"/>
  <c r="Y885" i="2"/>
  <c r="X885" i="2"/>
  <c r="AA119" i="3"/>
  <c r="T781" i="3"/>
  <c r="U781" i="3"/>
  <c r="AD365" i="3"/>
  <c r="AA432" i="3"/>
  <c r="AD447" i="3"/>
  <c r="AC938" i="1"/>
  <c r="AH510" i="3"/>
  <c r="AF848" i="1"/>
  <c r="AH114" i="3"/>
  <c r="AD435" i="3"/>
  <c r="X971" i="1"/>
  <c r="AD971" i="1"/>
  <c r="AG971" i="1"/>
  <c r="AI971" i="1"/>
  <c r="AC662" i="2"/>
  <c r="AD630" i="3"/>
  <c r="AE606" i="2"/>
  <c r="AG606" i="2"/>
  <c r="AF849" i="1"/>
  <c r="U726" i="2"/>
  <c r="AA726" i="2"/>
  <c r="AD726" i="2"/>
  <c r="AF726" i="2"/>
  <c r="AD46" i="3"/>
  <c r="AA475" i="3"/>
  <c r="Y947" i="2"/>
  <c r="X947" i="2"/>
  <c r="T465" i="3"/>
  <c r="U465" i="3"/>
  <c r="AC580" i="2"/>
  <c r="AJ810" i="1"/>
  <c r="X971" i="2"/>
  <c r="Y971" i="2"/>
  <c r="AC340" i="2"/>
  <c r="V696" i="3"/>
  <c r="AB696" i="3"/>
  <c r="AE696" i="3"/>
  <c r="AG696" i="3"/>
  <c r="Z883" i="2"/>
  <c r="V294" i="3"/>
  <c r="AB294" i="3"/>
  <c r="AE294" i="3"/>
  <c r="AG294" i="3"/>
  <c r="T1001" i="2"/>
  <c r="S1001" i="2"/>
  <c r="X512" i="2"/>
  <c r="Y512" i="2"/>
  <c r="U339" i="3"/>
  <c r="T339" i="3"/>
  <c r="AJ943" i="1"/>
  <c r="X557" i="2"/>
  <c r="Y557" i="2"/>
  <c r="AC844" i="2"/>
  <c r="AA710" i="3"/>
  <c r="AC241" i="2"/>
  <c r="V981" i="3"/>
  <c r="AB981" i="3"/>
  <c r="AE981" i="3"/>
  <c r="AG981" i="3"/>
  <c r="X945" i="2"/>
  <c r="Y945" i="2"/>
  <c r="Y776" i="2"/>
  <c r="X776" i="2"/>
  <c r="Y983" i="2"/>
  <c r="X983" i="2"/>
  <c r="S730" i="2"/>
  <c r="T730" i="2"/>
  <c r="AJ728" i="1"/>
  <c r="Y482" i="2"/>
  <c r="X482" i="2"/>
  <c r="X698" i="2"/>
  <c r="Y698" i="2"/>
  <c r="AA365" i="3"/>
  <c r="AD127" i="3"/>
  <c r="T826" i="2"/>
  <c r="S826" i="2"/>
  <c r="V137" i="3"/>
  <c r="AB137" i="3"/>
  <c r="AE137" i="3"/>
  <c r="AG137" i="3"/>
  <c r="U220" i="3"/>
  <c r="T220" i="3"/>
  <c r="AD150" i="3"/>
  <c r="AG931" i="2"/>
  <c r="AD964" i="3"/>
  <c r="Z964" i="2"/>
  <c r="T687" i="3"/>
  <c r="U687" i="3"/>
  <c r="Z660" i="3"/>
  <c r="Y660" i="3"/>
  <c r="Z976" i="2"/>
  <c r="S718" i="2"/>
  <c r="T718" i="2"/>
  <c r="AJ682" i="1"/>
  <c r="X990" i="2"/>
  <c r="Y990" i="2"/>
  <c r="AG666" i="2"/>
  <c r="AC927" i="2"/>
  <c r="AH821" i="3"/>
  <c r="V307" i="3"/>
  <c r="AB307" i="3"/>
  <c r="AE307" i="3"/>
  <c r="AG307" i="3"/>
  <c r="T309" i="2"/>
  <c r="S309" i="2"/>
  <c r="U560" i="2"/>
  <c r="AA560" i="2"/>
  <c r="AD560" i="2"/>
  <c r="AF560" i="2"/>
  <c r="AC574" i="2"/>
  <c r="AC636" i="2"/>
  <c r="AC1017" i="1"/>
  <c r="Y242" i="2"/>
  <c r="X242" i="2"/>
  <c r="Y223" i="2"/>
  <c r="X223" i="2"/>
  <c r="AD586" i="3"/>
  <c r="AG841" i="2"/>
  <c r="AC824" i="2"/>
  <c r="AG241" i="2"/>
  <c r="AD335" i="3"/>
  <c r="AC455" i="2"/>
  <c r="T831" i="2"/>
  <c r="S831" i="2"/>
  <c r="AH299" i="3"/>
  <c r="V169" i="3"/>
  <c r="AB169" i="3"/>
  <c r="AE169" i="3"/>
  <c r="AG169" i="3"/>
  <c r="AC822" i="2"/>
  <c r="AA344" i="3"/>
  <c r="AF985" i="1"/>
  <c r="S886" i="2"/>
  <c r="T886" i="2"/>
  <c r="M666" i="1"/>
  <c r="AC805" i="2"/>
  <c r="U325" i="3"/>
  <c r="T325" i="3"/>
  <c r="AD486" i="3"/>
  <c r="AD825" i="3"/>
  <c r="AD44" i="3"/>
  <c r="V916" i="3"/>
  <c r="AB916" i="3"/>
  <c r="AE916" i="3"/>
  <c r="AG916" i="3"/>
  <c r="AD576" i="3"/>
  <c r="AA48" i="3"/>
  <c r="AF798" i="1"/>
  <c r="AF233" i="2"/>
  <c r="AC970" i="2"/>
  <c r="T491" i="3"/>
  <c r="U491" i="3"/>
  <c r="AC465" i="2"/>
  <c r="Z710" i="3"/>
  <c r="Y710" i="3"/>
  <c r="AA532" i="3"/>
  <c r="Z874" i="2"/>
  <c r="AC221" i="2"/>
  <c r="Z936" i="2"/>
  <c r="AA943" i="3"/>
  <c r="AD306" i="3"/>
  <c r="AC869" i="2"/>
  <c r="Z436" i="2"/>
  <c r="AD780" i="3"/>
  <c r="AD28" i="3"/>
  <c r="AC791" i="2"/>
  <c r="AG848" i="2"/>
  <c r="AD460" i="3"/>
  <c r="AF824" i="1"/>
  <c r="AC563" i="2"/>
  <c r="AC935" i="2"/>
  <c r="AA860" i="3"/>
  <c r="AC683" i="1"/>
  <c r="AC710" i="2"/>
  <c r="AC566" i="2"/>
  <c r="S431" i="2"/>
  <c r="T431" i="2"/>
  <c r="V771" i="1"/>
  <c r="W771" i="1"/>
  <c r="T609" i="2"/>
  <c r="S609" i="2"/>
  <c r="AD517" i="3"/>
  <c r="M756" i="1"/>
  <c r="AC298" i="2"/>
  <c r="T610" i="2"/>
  <c r="S610" i="2"/>
  <c r="T713" i="2"/>
  <c r="S713" i="2"/>
  <c r="Y852" i="2"/>
  <c r="X852" i="2"/>
  <c r="AF716" i="1"/>
  <c r="X745" i="1"/>
  <c r="AD745" i="1"/>
  <c r="AG745" i="1"/>
  <c r="AI745" i="1"/>
  <c r="AC462" i="2"/>
  <c r="AA573" i="3"/>
  <c r="X827" i="2"/>
  <c r="Y827" i="2"/>
  <c r="U673" i="3"/>
  <c r="T673" i="3"/>
  <c r="AC383" i="2"/>
  <c r="AA289" i="3"/>
  <c r="V766" i="1"/>
  <c r="W766" i="1"/>
  <c r="U722" i="3"/>
  <c r="T722" i="3"/>
  <c r="M790" i="1"/>
  <c r="AH869" i="3"/>
  <c r="X595" i="2"/>
  <c r="Y595" i="2"/>
  <c r="AG346" i="2"/>
  <c r="AG433" i="2"/>
  <c r="AJ978" i="1"/>
  <c r="AI895" i="1"/>
  <c r="AA809" i="3"/>
  <c r="AF703" i="1"/>
  <c r="Y334" i="2"/>
  <c r="X334" i="2"/>
  <c r="AA42" i="3"/>
  <c r="Y999" i="2"/>
  <c r="X999" i="2"/>
  <c r="U291" i="2"/>
  <c r="AA291" i="2"/>
  <c r="AD291" i="2"/>
  <c r="AF291" i="2"/>
  <c r="AD463" i="3"/>
  <c r="AC823" i="2"/>
  <c r="AC856" i="2"/>
  <c r="AG246" i="2"/>
  <c r="AD917" i="3"/>
  <c r="AA444" i="3"/>
  <c r="AE871" i="3"/>
  <c r="V871" i="3"/>
  <c r="AB871" i="3"/>
  <c r="AD871" i="3"/>
  <c r="AH417" i="3"/>
  <c r="Z394" i="2"/>
  <c r="AG680" i="2"/>
  <c r="AF982" i="1"/>
  <c r="V517" i="3"/>
  <c r="AB517" i="3"/>
  <c r="AE517" i="3"/>
  <c r="AG517" i="3"/>
  <c r="AC459" i="2"/>
  <c r="AC300" i="2"/>
  <c r="T566" i="2"/>
  <c r="S566" i="2"/>
  <c r="AA983" i="2"/>
  <c r="AD983" i="2"/>
  <c r="AF983" i="2"/>
  <c r="AA76" i="3"/>
  <c r="AF999" i="1"/>
  <c r="AD310" i="2"/>
  <c r="U310" i="2"/>
  <c r="AA310" i="2"/>
  <c r="AC310" i="2"/>
  <c r="T748" i="2"/>
  <c r="S748" i="2"/>
  <c r="AC718" i="2"/>
  <c r="M861" i="1"/>
  <c r="Z529" i="3"/>
  <c r="Y529" i="3"/>
  <c r="V85" i="3"/>
  <c r="AB85" i="3"/>
  <c r="AE85" i="3"/>
  <c r="AG85" i="3"/>
  <c r="AF984" i="1"/>
  <c r="V533" i="3"/>
  <c r="AB533" i="3"/>
  <c r="AE533" i="3"/>
  <c r="AG533" i="3"/>
  <c r="AA27" i="3"/>
  <c r="Z827" i="2"/>
  <c r="AC871" i="1"/>
  <c r="Z628" i="2"/>
  <c r="U509" i="3"/>
  <c r="T509" i="3"/>
  <c r="AH529" i="3"/>
  <c r="Z357" i="2"/>
  <c r="S900" i="2"/>
  <c r="T900" i="2"/>
  <c r="AD510" i="3"/>
  <c r="AD220" i="3"/>
  <c r="AA666" i="3"/>
  <c r="AH46" i="3"/>
  <c r="AJ746" i="1"/>
  <c r="AF761" i="1"/>
  <c r="AG757" i="2"/>
  <c r="AG263" i="3"/>
  <c r="AD376" i="2"/>
  <c r="AF376" i="2"/>
  <c r="AD881" i="3"/>
  <c r="AA948" i="3"/>
  <c r="AG890" i="2"/>
  <c r="U824" i="2"/>
  <c r="AA824" i="2"/>
  <c r="AD824" i="2"/>
  <c r="AF824" i="2"/>
  <c r="AC703" i="2"/>
  <c r="V53" i="3"/>
  <c r="AB53" i="3"/>
  <c r="AE53" i="3"/>
  <c r="AG53" i="3"/>
  <c r="AD624" i="3"/>
  <c r="Z757" i="2"/>
  <c r="Z549" i="2"/>
  <c r="Y469" i="3"/>
  <c r="Z469" i="3"/>
  <c r="AD312" i="3"/>
  <c r="AD729" i="3"/>
  <c r="AC211" i="2"/>
  <c r="Z684" i="2"/>
  <c r="AC684" i="2"/>
  <c r="U684" i="2"/>
  <c r="AA684" i="2"/>
  <c r="AD684" i="2"/>
  <c r="M697" i="1"/>
  <c r="AC852" i="1"/>
  <c r="AA262" i="3"/>
  <c r="AF929" i="2"/>
  <c r="U66" i="3"/>
  <c r="T66" i="3"/>
  <c r="AH335" i="3"/>
  <c r="AA805" i="3"/>
  <c r="AJ895" i="1"/>
  <c r="AC408" i="2"/>
  <c r="Y131" i="3"/>
  <c r="Z131" i="3"/>
  <c r="AA828" i="1"/>
  <c r="AB828" i="1"/>
  <c r="AA840" i="1"/>
  <c r="AB840" i="1"/>
  <c r="AA265" i="3"/>
  <c r="AH590" i="3"/>
  <c r="Y497" i="3"/>
  <c r="Z497" i="3"/>
  <c r="W587" i="3"/>
  <c r="AC587" i="3"/>
  <c r="AF587" i="3"/>
  <c r="AC556" i="2"/>
  <c r="AC479" i="2"/>
  <c r="AF774" i="1"/>
  <c r="AJ668" i="1"/>
  <c r="AD231" i="3"/>
  <c r="Y541" i="3"/>
  <c r="Z541" i="3"/>
  <c r="AC222" i="2"/>
  <c r="V699" i="3"/>
  <c r="AB699" i="3"/>
  <c r="AE699" i="3"/>
  <c r="AG699" i="3"/>
  <c r="AA825" i="3"/>
  <c r="Z937" i="2"/>
  <c r="AA302" i="3"/>
  <c r="Z320" i="3"/>
  <c r="Y320" i="3"/>
  <c r="Y946" i="2"/>
  <c r="X946" i="2"/>
  <c r="AD259" i="3"/>
  <c r="AG446" i="3"/>
  <c r="Z419" i="2"/>
  <c r="Y306" i="3"/>
  <c r="Z306" i="3"/>
  <c r="V71" i="3"/>
  <c r="AB71" i="3"/>
  <c r="AE71" i="3"/>
  <c r="AG71" i="3"/>
  <c r="AC772" i="1"/>
  <c r="AD424" i="3"/>
  <c r="U970" i="3"/>
  <c r="T970" i="3"/>
  <c r="Z439" i="3"/>
  <c r="Y439" i="3"/>
  <c r="AC189" i="2"/>
  <c r="M998" i="1"/>
  <c r="T331" i="2"/>
  <c r="S331" i="2"/>
  <c r="AG649" i="2"/>
  <c r="AD993" i="3"/>
  <c r="AD38" i="3"/>
  <c r="AD543" i="3"/>
  <c r="AC993" i="2"/>
  <c r="AA847" i="3"/>
  <c r="AD556" i="3"/>
  <c r="AB956" i="1"/>
  <c r="AA956" i="1"/>
  <c r="AI918" i="1"/>
  <c r="AC675" i="1"/>
  <c r="Y742" i="3"/>
  <c r="Z742" i="3"/>
  <c r="AD550" i="3"/>
  <c r="AC596" i="2"/>
  <c r="Z834" i="2"/>
  <c r="AD594" i="3"/>
  <c r="AC873" i="2"/>
  <c r="AC214" i="2"/>
  <c r="V986" i="1"/>
  <c r="W986" i="1"/>
  <c r="M942" i="1"/>
  <c r="AC720" i="1"/>
  <c r="AF713" i="1"/>
  <c r="AJ779" i="1"/>
  <c r="AC742" i="2"/>
  <c r="AH816" i="3"/>
  <c r="AA939" i="3"/>
  <c r="AD343" i="3"/>
  <c r="S312" i="2"/>
  <c r="T312" i="2"/>
  <c r="AF830" i="1"/>
  <c r="AC858" i="2"/>
  <c r="AF925" i="1"/>
  <c r="AC690" i="2"/>
  <c r="AF793" i="1"/>
  <c r="AA273" i="3"/>
  <c r="AA674" i="3"/>
  <c r="AC251" i="2"/>
  <c r="AA858" i="3"/>
  <c r="AD362" i="3"/>
  <c r="V951" i="3"/>
  <c r="AB951" i="3"/>
  <c r="AE951" i="3"/>
  <c r="AG951" i="3"/>
  <c r="AF748" i="1"/>
  <c r="AC959" i="1"/>
  <c r="M996" i="1"/>
  <c r="AA279" i="3"/>
  <c r="AD213" i="3"/>
  <c r="AC333" i="2"/>
  <c r="AD731" i="3"/>
  <c r="AJ1005" i="1"/>
  <c r="AA701" i="1"/>
  <c r="AB701" i="1"/>
  <c r="AC999" i="2"/>
  <c r="AC670" i="2"/>
  <c r="U592" i="2"/>
  <c r="AA592" i="2"/>
  <c r="AD592" i="2"/>
  <c r="AF592" i="2"/>
  <c r="AD648" i="3"/>
  <c r="V776" i="3"/>
  <c r="AB776" i="3"/>
  <c r="AE776" i="3"/>
  <c r="AG776" i="3"/>
  <c r="AJ802" i="1"/>
  <c r="AD72" i="3"/>
  <c r="AA238" i="3"/>
  <c r="M717" i="1"/>
  <c r="Y449" i="2"/>
  <c r="X449" i="2"/>
  <c r="AC299" i="2"/>
  <c r="AH394" i="3"/>
  <c r="AF719" i="1"/>
  <c r="AH345" i="3"/>
  <c r="AD552" i="3"/>
  <c r="AD613" i="3"/>
  <c r="AJ698" i="1"/>
  <c r="Z145" i="3"/>
  <c r="Y145" i="3"/>
  <c r="AD587" i="3"/>
  <c r="T376" i="2"/>
  <c r="S376" i="2"/>
  <c r="Z606" i="2"/>
  <c r="V606" i="2"/>
  <c r="AB606" i="2"/>
  <c r="AC985" i="2"/>
  <c r="AA181" i="3"/>
  <c r="U877" i="3"/>
  <c r="T877" i="3"/>
  <c r="AA240" i="3"/>
  <c r="V830" i="3"/>
  <c r="AB830" i="3"/>
  <c r="AE830" i="3"/>
  <c r="AG830" i="3"/>
  <c r="Y274" i="3"/>
  <c r="Z274" i="3"/>
  <c r="AA216" i="3"/>
  <c r="AC764" i="2"/>
  <c r="AD87" i="3"/>
  <c r="AC260" i="2"/>
  <c r="AG987" i="2"/>
  <c r="AC961" i="1"/>
  <c r="AA668" i="1"/>
  <c r="AB668" i="1"/>
  <c r="U802" i="2"/>
  <c r="AA802" i="2"/>
  <c r="AD802" i="2"/>
  <c r="AF802" i="2"/>
  <c r="AA164" i="3"/>
  <c r="AC885" i="2"/>
  <c r="AD546" i="3"/>
  <c r="AD400" i="3"/>
  <c r="Y284" i="2"/>
  <c r="X284" i="2"/>
  <c r="AA553" i="3"/>
  <c r="V866" i="3"/>
  <c r="AB866" i="3"/>
  <c r="AE866" i="3"/>
  <c r="AG866" i="3"/>
  <c r="AD168" i="3"/>
  <c r="AF845" i="1"/>
  <c r="AD29" i="3"/>
  <c r="AJ836" i="1"/>
  <c r="AD527" i="3"/>
  <c r="U408" i="2"/>
  <c r="AA408" i="2"/>
  <c r="AD408" i="2"/>
  <c r="AF408" i="2"/>
  <c r="AA267" i="3"/>
  <c r="AC401" i="2"/>
  <c r="AD93" i="3"/>
  <c r="AC726" i="1"/>
  <c r="AC804" i="1"/>
  <c r="S535" i="2"/>
  <c r="T535" i="2"/>
  <c r="AC710" i="1"/>
  <c r="AD225" i="3"/>
  <c r="AF764" i="1"/>
  <c r="Z307" i="2"/>
  <c r="Z938" i="2"/>
  <c r="AA223" i="3"/>
  <c r="AF868" i="1"/>
  <c r="X835" i="2"/>
  <c r="Y835" i="2"/>
  <c r="AD395" i="3"/>
  <c r="X718" i="1"/>
  <c r="AD718" i="1"/>
  <c r="AG718" i="1"/>
  <c r="AI718" i="1"/>
  <c r="AJ749" i="1"/>
  <c r="AF704" i="1"/>
  <c r="AA694" i="3"/>
  <c r="S892" i="2"/>
  <c r="T892" i="2"/>
  <c r="AF788" i="1"/>
  <c r="AD91" i="3"/>
  <c r="U189" i="2"/>
  <c r="AA189" i="2"/>
  <c r="AD189" i="2"/>
  <c r="AF189" i="2"/>
  <c r="T570" i="2"/>
  <c r="S570" i="2"/>
  <c r="M718" i="1"/>
  <c r="U758" i="3"/>
  <c r="T758" i="3"/>
  <c r="Y585" i="2"/>
  <c r="X585" i="2"/>
  <c r="U867" i="2"/>
  <c r="AA867" i="2"/>
  <c r="AD867" i="2"/>
  <c r="AF867" i="2"/>
  <c r="V709" i="1"/>
  <c r="W709" i="1"/>
  <c r="V543" i="3"/>
  <c r="AB543" i="3"/>
  <c r="AE543" i="3"/>
  <c r="AG543" i="3"/>
  <c r="W674" i="3"/>
  <c r="AC674" i="3"/>
  <c r="AF674" i="3"/>
  <c r="AH674" i="3"/>
  <c r="AA266" i="3"/>
  <c r="AA576" i="2"/>
  <c r="AD576" i="2"/>
  <c r="AF576" i="2"/>
  <c r="Z753" i="2"/>
  <c r="Z727" i="2"/>
  <c r="AA662" i="1"/>
  <c r="AB662" i="1"/>
  <c r="AF820" i="1"/>
  <c r="AD558" i="3"/>
  <c r="V881" i="3"/>
  <c r="AB881" i="3"/>
  <c r="AE881" i="3"/>
  <c r="AG881" i="3"/>
  <c r="AD300" i="3"/>
  <c r="AC809" i="2"/>
  <c r="AH129" i="3"/>
  <c r="V594" i="3"/>
  <c r="AB594" i="3"/>
  <c r="AE594" i="3"/>
  <c r="AG594" i="3"/>
  <c r="V672" i="3"/>
  <c r="AB672" i="3"/>
  <c r="AE672" i="3"/>
  <c r="AG672" i="3"/>
  <c r="AH220" i="3"/>
  <c r="AC840" i="2"/>
  <c r="AD498" i="3"/>
  <c r="AD274" i="3"/>
  <c r="AC773" i="1"/>
  <c r="U496" i="3"/>
  <c r="T496" i="3"/>
  <c r="AD304" i="3"/>
  <c r="AC648" i="2"/>
  <c r="AF908" i="1"/>
  <c r="AA727" i="1"/>
  <c r="AB727" i="1"/>
  <c r="Y531" i="3"/>
  <c r="Z531" i="3"/>
  <c r="Z211" i="2"/>
  <c r="X584" i="2"/>
  <c r="Y584" i="2"/>
  <c r="AC794" i="2"/>
  <c r="AA744" i="3"/>
  <c r="M854" i="1"/>
  <c r="Z627" i="2"/>
  <c r="AC882" i="2"/>
  <c r="AC846" i="1"/>
  <c r="T596" i="2"/>
  <c r="S596" i="2"/>
  <c r="AD591" i="3"/>
  <c r="U399" i="2"/>
  <c r="AA399" i="2"/>
  <c r="AD399" i="2"/>
  <c r="AF399" i="2"/>
  <c r="U260" i="2"/>
  <c r="AA260" i="2"/>
  <c r="AD260" i="2"/>
  <c r="AF260" i="2"/>
  <c r="AF1010" i="1"/>
  <c r="AF872" i="1"/>
  <c r="AD996" i="2"/>
  <c r="U996" i="2"/>
  <c r="AA996" i="2"/>
  <c r="AC996" i="2"/>
  <c r="AA557" i="3"/>
  <c r="V719" i="3"/>
  <c r="AB719" i="3"/>
  <c r="AE719" i="3"/>
  <c r="AG719" i="3"/>
  <c r="AA969" i="3"/>
  <c r="AC854" i="1"/>
  <c r="AH933" i="3"/>
  <c r="AG198" i="2"/>
  <c r="V168" i="3"/>
  <c r="AB168" i="3"/>
  <c r="AE168" i="3"/>
  <c r="AG168" i="3"/>
  <c r="AC536" i="2"/>
  <c r="U970" i="2"/>
  <c r="AA970" i="2"/>
  <c r="AD970" i="2"/>
  <c r="AF970" i="2"/>
  <c r="AA520" i="3"/>
  <c r="AD193" i="3"/>
  <c r="Z657" i="2"/>
  <c r="AC733" i="2"/>
  <c r="AC491" i="2"/>
  <c r="AD539" i="3"/>
  <c r="AJ768" i="1"/>
  <c r="AD698" i="3"/>
  <c r="AG650" i="2"/>
  <c r="AD814" i="3"/>
  <c r="V527" i="3"/>
  <c r="AB527" i="3"/>
  <c r="AE527" i="3"/>
  <c r="AG527" i="3"/>
  <c r="U948" i="2"/>
  <c r="AA948" i="2"/>
  <c r="AD948" i="2"/>
  <c r="AF948" i="2"/>
  <c r="Z761" i="3"/>
  <c r="Y761" i="3"/>
  <c r="AD596" i="3"/>
  <c r="AF825" i="1"/>
  <c r="AC731" i="2"/>
  <c r="AH533" i="3"/>
  <c r="AC575" i="2"/>
  <c r="V878" i="3"/>
  <c r="AB878" i="3"/>
  <c r="AE878" i="3"/>
  <c r="AG878" i="3"/>
  <c r="U897" i="3"/>
  <c r="T897" i="3"/>
  <c r="AA282" i="3"/>
  <c r="AH367" i="3"/>
  <c r="AD738" i="3"/>
  <c r="Y497" i="2"/>
  <c r="X497" i="2"/>
  <c r="AC679" i="1"/>
  <c r="AD416" i="3"/>
  <c r="AF749" i="1"/>
  <c r="V907" i="3"/>
  <c r="AB907" i="3"/>
  <c r="AE907" i="3"/>
  <c r="AG907" i="3"/>
  <c r="T631" i="2"/>
  <c r="S631" i="2"/>
  <c r="U568" i="2"/>
  <c r="AA568" i="2"/>
  <c r="AD568" i="2"/>
  <c r="AF568" i="2"/>
  <c r="AG654" i="3"/>
  <c r="Z526" i="2"/>
  <c r="T268" i="2"/>
  <c r="S268" i="2"/>
  <c r="Z531" i="2"/>
  <c r="AA535" i="3"/>
  <c r="AH383" i="3"/>
  <c r="U746" i="2"/>
  <c r="AA746" i="2"/>
  <c r="AD746" i="2"/>
  <c r="AF746" i="2"/>
  <c r="AD331" i="3"/>
  <c r="AA962" i="3"/>
  <c r="AG999" i="2"/>
  <c r="AG446" i="2"/>
  <c r="AD743" i="3"/>
  <c r="M828" i="1"/>
  <c r="AC933" i="1"/>
  <c r="AC942" i="2"/>
  <c r="U251" i="2"/>
  <c r="AA251" i="2"/>
  <c r="AD251" i="2"/>
  <c r="AF251" i="2"/>
  <c r="AA549" i="3"/>
  <c r="AF665" i="1"/>
  <c r="AD680" i="3"/>
  <c r="AA758" i="1"/>
  <c r="AB758" i="1"/>
  <c r="AG583" i="2"/>
  <c r="AA85" i="3"/>
  <c r="U589" i="2"/>
  <c r="AA589" i="2"/>
  <c r="AD589" i="2"/>
  <c r="AF589" i="2"/>
  <c r="AH948" i="3"/>
  <c r="AC486" i="2"/>
  <c r="AC912" i="1"/>
  <c r="AJ754" i="1"/>
  <c r="AG394" i="2"/>
  <c r="AF959" i="1"/>
  <c r="V539" i="3"/>
  <c r="AB539" i="3"/>
  <c r="AE539" i="3"/>
  <c r="AG539" i="3"/>
  <c r="AD352" i="3"/>
  <c r="Z831" i="2"/>
  <c r="AG377" i="3"/>
  <c r="AD569" i="3"/>
  <c r="AD824" i="3"/>
  <c r="M896" i="1"/>
  <c r="S858" i="2"/>
  <c r="T858" i="2"/>
  <c r="AH79" i="3"/>
  <c r="AA195" i="3"/>
  <c r="AG926" i="1"/>
  <c r="X926" i="1"/>
  <c r="AD926" i="1"/>
  <c r="AF926" i="1"/>
  <c r="AG378" i="2"/>
  <c r="X729" i="1"/>
  <c r="AD729" i="1"/>
  <c r="AG729" i="1"/>
  <c r="AI729" i="1"/>
  <c r="X701" i="1"/>
  <c r="AD701" i="1"/>
  <c r="AG701" i="1"/>
  <c r="AI701" i="1"/>
  <c r="AA277" i="3"/>
  <c r="AC387" i="2"/>
  <c r="AC804" i="2"/>
  <c r="AD804" i="2"/>
  <c r="AA401" i="3"/>
  <c r="Y811" i="1"/>
  <c r="AE811" i="1"/>
  <c r="AH811" i="1"/>
  <c r="AJ811" i="1"/>
  <c r="V123" i="3"/>
  <c r="AB123" i="3"/>
  <c r="AE123" i="3"/>
  <c r="AG123" i="3"/>
  <c r="AD889" i="3"/>
  <c r="AA74" i="3"/>
  <c r="AD755" i="3"/>
  <c r="AD464" i="3"/>
  <c r="AD770" i="3"/>
  <c r="Z547" i="2"/>
  <c r="AG733" i="2"/>
  <c r="V373" i="3"/>
  <c r="AB373" i="3"/>
  <c r="AE373" i="3"/>
  <c r="AG373" i="3"/>
  <c r="M662" i="1"/>
  <c r="AH118" i="3"/>
  <c r="AG480" i="2"/>
  <c r="AC898" i="2"/>
  <c r="Z502" i="2"/>
  <c r="AG909" i="2"/>
  <c r="Z698" i="2"/>
  <c r="AF1005" i="1"/>
  <c r="AC929" i="2"/>
  <c r="U929" i="2"/>
  <c r="AA929" i="2"/>
  <c r="AD929" i="2"/>
  <c r="Z432" i="2"/>
  <c r="AC838" i="2"/>
  <c r="AF722" i="1"/>
  <c r="AC499" i="2"/>
  <c r="AD70" i="3"/>
  <c r="AD184" i="3"/>
  <c r="Y318" i="2"/>
  <c r="X318" i="2"/>
  <c r="AD191" i="3"/>
  <c r="AD823" i="3"/>
  <c r="AC572" i="2"/>
  <c r="AD815" i="3"/>
  <c r="Y536" i="3"/>
  <c r="Z536" i="3"/>
  <c r="AC737" i="2"/>
  <c r="AD68" i="3"/>
  <c r="AF714" i="1"/>
  <c r="AD208" i="3"/>
  <c r="AC215" i="2"/>
  <c r="T188" i="2"/>
  <c r="S188" i="2"/>
  <c r="V784" i="3"/>
  <c r="AB784" i="3"/>
  <c r="AE784" i="3"/>
  <c r="AG784" i="3"/>
  <c r="AD797" i="3"/>
  <c r="AF775" i="1"/>
  <c r="AF975" i="1"/>
  <c r="AH738" i="3"/>
  <c r="AD428" i="3"/>
  <c r="AE284" i="2"/>
  <c r="U211" i="2"/>
  <c r="AA211" i="2"/>
  <c r="AD211" i="2"/>
  <c r="AF211" i="2"/>
  <c r="AD547" i="3"/>
  <c r="AH800" i="3"/>
  <c r="AC797" i="1"/>
  <c r="AA620" i="3"/>
  <c r="AF780" i="1"/>
  <c r="AF881" i="1"/>
  <c r="AA692" i="3"/>
  <c r="AD41" i="3"/>
  <c r="W529" i="3"/>
  <c r="AC529" i="3"/>
  <c r="AF529" i="3"/>
  <c r="AC218" i="2"/>
  <c r="AA675" i="3"/>
  <c r="AD675" i="3"/>
  <c r="AD78" i="1"/>
  <c r="AG78" i="1"/>
  <c r="AI78" i="1"/>
  <c r="Y330" i="2"/>
  <c r="X330" i="2"/>
  <c r="AC449" i="2"/>
  <c r="T870" i="3"/>
  <c r="U870" i="3"/>
  <c r="T983" i="2"/>
  <c r="S983" i="2"/>
  <c r="U983" i="2"/>
  <c r="AF965" i="1"/>
  <c r="Z751" i="2"/>
  <c r="V815" i="3"/>
  <c r="AB815" i="3"/>
  <c r="AE815" i="3"/>
  <c r="AG815" i="3"/>
  <c r="AC579" i="2"/>
  <c r="Z492" i="2"/>
  <c r="Z190" i="2"/>
  <c r="AA493" i="3"/>
  <c r="AA626" i="3"/>
  <c r="AD90" i="3"/>
  <c r="X775" i="1"/>
  <c r="AD775" i="1"/>
  <c r="AG775" i="1"/>
  <c r="AI775" i="1"/>
  <c r="AA202" i="3"/>
  <c r="M829" i="1"/>
  <c r="AH160" i="3"/>
  <c r="AC286" i="2"/>
  <c r="AB694" i="1"/>
  <c r="AA694" i="1"/>
  <c r="AA562" i="3"/>
  <c r="T555" i="2"/>
  <c r="S555" i="2"/>
  <c r="AF1009" i="1"/>
  <c r="AH808" i="3"/>
  <c r="AG852" i="2"/>
  <c r="Z300" i="2"/>
  <c r="U812" i="3"/>
  <c r="T812" i="3"/>
  <c r="Z750" i="3"/>
  <c r="Y750" i="3"/>
  <c r="AA740" i="1"/>
  <c r="AB740" i="1"/>
  <c r="AF739" i="1"/>
  <c r="Z289" i="3"/>
  <c r="Y289" i="3"/>
  <c r="AJ993" i="1"/>
  <c r="AD223" i="3"/>
  <c r="AA609" i="3"/>
  <c r="AC868" i="1"/>
  <c r="AC725" i="2"/>
  <c r="AG789" i="2"/>
  <c r="AD202" i="3"/>
  <c r="AA275" i="3"/>
  <c r="AA911" i="1"/>
  <c r="AB911" i="1"/>
  <c r="AD583" i="3"/>
  <c r="AC877" i="1"/>
  <c r="U247" i="3"/>
  <c r="T247" i="3"/>
  <c r="X376" i="2"/>
  <c r="AA376" i="2"/>
  <c r="U376" i="2"/>
  <c r="Y376" i="2"/>
  <c r="M847" i="1"/>
  <c r="AF1015" i="1"/>
  <c r="AF838" i="1"/>
  <c r="AA831" i="1"/>
  <c r="AB831" i="1"/>
  <c r="AA286" i="3"/>
  <c r="AA469" i="3"/>
  <c r="T272" i="3"/>
  <c r="U272" i="3"/>
  <c r="AG443" i="3"/>
  <c r="AD969" i="3"/>
  <c r="AH142" i="3"/>
  <c r="S433" i="2"/>
  <c r="T433" i="2"/>
  <c r="AD639" i="3"/>
  <c r="AA829" i="3"/>
  <c r="AC998" i="2"/>
  <c r="AH838" i="3"/>
  <c r="Z688" i="2"/>
  <c r="AG842" i="2"/>
  <c r="T497" i="2"/>
  <c r="S497" i="2"/>
  <c r="M892" i="1"/>
  <c r="AC913" i="1"/>
  <c r="T329" i="3"/>
  <c r="U329" i="3"/>
  <c r="U334" i="3"/>
  <c r="T334" i="3"/>
  <c r="T236" i="3"/>
  <c r="U236" i="3"/>
  <c r="AD188" i="3"/>
  <c r="AH514" i="3"/>
  <c r="V234" i="2"/>
  <c r="AB234" i="2"/>
  <c r="AE234" i="2"/>
  <c r="AC359" i="2"/>
  <c r="Z517" i="2"/>
  <c r="AH316" i="3"/>
  <c r="U210" i="3"/>
  <c r="T210" i="3"/>
  <c r="AH311" i="3"/>
  <c r="T871" i="2"/>
  <c r="S871" i="2"/>
  <c r="X770" i="1"/>
  <c r="AD770" i="1"/>
  <c r="AG770" i="1"/>
  <c r="AI770" i="1"/>
  <c r="Z852" i="2"/>
  <c r="M784" i="1"/>
  <c r="V655" i="3"/>
  <c r="AB655" i="3"/>
  <c r="AE655" i="3"/>
  <c r="AG655" i="3"/>
  <c r="AA400" i="3"/>
  <c r="AD953" i="3"/>
  <c r="AC943" i="1"/>
  <c r="AJ923" i="1"/>
  <c r="T288" i="2"/>
  <c r="S288" i="2"/>
  <c r="AF989" i="1"/>
  <c r="U193" i="3"/>
  <c r="T193" i="3"/>
  <c r="W725" i="1"/>
  <c r="V725" i="1"/>
  <c r="V220" i="3"/>
  <c r="AB220" i="3"/>
  <c r="AE220" i="3"/>
  <c r="AG220" i="3"/>
  <c r="M810" i="1"/>
  <c r="X381" i="2"/>
  <c r="Y381" i="2"/>
  <c r="Z645" i="3"/>
  <c r="Y645" i="3"/>
  <c r="AA976" i="1"/>
  <c r="AB976" i="1"/>
  <c r="Y494" i="3"/>
  <c r="Z494" i="3"/>
  <c r="AA875" i="3"/>
  <c r="AC274" i="2"/>
  <c r="AA746" i="3"/>
  <c r="AG979" i="2"/>
  <c r="U542" i="2"/>
  <c r="AA542" i="2"/>
  <c r="AD542" i="2"/>
  <c r="AF542" i="2"/>
  <c r="AA651" i="3"/>
  <c r="Z616" i="2"/>
  <c r="U769" i="3"/>
  <c r="T769" i="3"/>
  <c r="AC330" i="2"/>
  <c r="AD341" i="3"/>
  <c r="W935" i="1"/>
  <c r="V935" i="1"/>
  <c r="AD634" i="3"/>
  <c r="AE84" i="3"/>
  <c r="V84" i="3"/>
  <c r="AB84" i="3"/>
  <c r="AD84" i="3"/>
  <c r="AC890" i="2"/>
  <c r="Y933" i="2"/>
  <c r="X933" i="2"/>
  <c r="AC691" i="1"/>
  <c r="Z651" i="2"/>
  <c r="AH400" i="3"/>
  <c r="T915" i="2"/>
  <c r="S915" i="2"/>
  <c r="Z516" i="2"/>
  <c r="AH857" i="3"/>
  <c r="AD816" i="3"/>
  <c r="AD443" i="3"/>
  <c r="V443" i="3"/>
  <c r="AB443" i="3"/>
  <c r="AE443" i="3"/>
  <c r="AC258" i="2"/>
  <c r="AH691" i="3"/>
  <c r="AA34" i="3"/>
  <c r="AF787" i="2"/>
  <c r="AA649" i="3"/>
  <c r="AC225" i="2"/>
  <c r="V530" i="3"/>
  <c r="AB530" i="3"/>
  <c r="AE530" i="3"/>
  <c r="AG530" i="3"/>
  <c r="T501" i="3"/>
  <c r="U501" i="3"/>
  <c r="V316" i="3"/>
  <c r="AB316" i="3"/>
  <c r="AE316" i="3"/>
  <c r="AG316" i="3"/>
  <c r="AD292" i="3"/>
  <c r="AD799" i="3"/>
  <c r="X838" i="1"/>
  <c r="AD838" i="1"/>
  <c r="AG838" i="1"/>
  <c r="AI838" i="1"/>
  <c r="AA47" i="3"/>
  <c r="Y949" i="3"/>
  <c r="Z949" i="3"/>
  <c r="AF857" i="1"/>
  <c r="AC233" i="2"/>
  <c r="U233" i="2"/>
  <c r="AA233" i="2"/>
  <c r="AD233" i="2"/>
  <c r="AD377" i="3"/>
  <c r="V377" i="3"/>
  <c r="AB377" i="3"/>
  <c r="AE377" i="3"/>
  <c r="U998" i="2"/>
  <c r="AA998" i="2"/>
  <c r="AD998" i="2"/>
  <c r="AF998" i="2"/>
  <c r="AG289" i="2"/>
  <c r="AH671" i="3"/>
  <c r="AC326" i="2"/>
  <c r="U873" i="2"/>
  <c r="AA873" i="2"/>
  <c r="AD873" i="2"/>
  <c r="AF873" i="2"/>
  <c r="AD48" i="3"/>
  <c r="AH645" i="3"/>
  <c r="AD875" i="3"/>
  <c r="U809" i="2"/>
  <c r="AA809" i="2"/>
  <c r="AD809" i="2"/>
  <c r="AF809" i="2"/>
  <c r="AA52" i="3"/>
  <c r="AI841" i="1"/>
  <c r="AC468" i="2"/>
  <c r="AD234" i="3"/>
  <c r="AG483" i="3"/>
  <c r="AE780" i="3"/>
  <c r="AG780" i="3"/>
  <c r="Z649" i="2"/>
  <c r="U858" i="2"/>
  <c r="AA858" i="2"/>
  <c r="AD858" i="2"/>
  <c r="AF858" i="2"/>
  <c r="AD94" i="3"/>
  <c r="Z869" i="2"/>
  <c r="AG820" i="3"/>
  <c r="S653" i="2"/>
  <c r="T653" i="2"/>
  <c r="AA697" i="1"/>
  <c r="AB697" i="1"/>
  <c r="X697" i="1"/>
  <c r="AD697" i="1"/>
  <c r="W828" i="1"/>
  <c r="V828" i="1"/>
  <c r="X428" i="2"/>
  <c r="Y428" i="2"/>
  <c r="AA945" i="1"/>
  <c r="AB945" i="1"/>
  <c r="AB744" i="1"/>
  <c r="AA744" i="1"/>
  <c r="AJ799" i="1"/>
  <c r="Y891" i="3"/>
  <c r="Z891" i="3"/>
  <c r="U269" i="2"/>
  <c r="AA269" i="2"/>
  <c r="AD269" i="2"/>
  <c r="AF269" i="2"/>
  <c r="Y316" i="2"/>
  <c r="X316" i="2"/>
  <c r="X959" i="2"/>
  <c r="Y959" i="2"/>
  <c r="X229" i="2"/>
  <c r="Y229" i="2"/>
  <c r="AD219" i="3"/>
  <c r="Y73" i="3"/>
  <c r="Z73" i="3"/>
  <c r="U733" i="2"/>
  <c r="AA733" i="2"/>
  <c r="AD733" i="2"/>
  <c r="AF733" i="2"/>
  <c r="AA915" i="3"/>
  <c r="AF702" i="1"/>
  <c r="AD633" i="3"/>
  <c r="AC707" i="2"/>
  <c r="M902" i="1"/>
  <c r="AC581" i="2"/>
  <c r="AD737" i="3"/>
  <c r="AC695" i="1"/>
  <c r="Z277" i="2"/>
  <c r="U214" i="2"/>
  <c r="AA214" i="2"/>
  <c r="AD214" i="2"/>
  <c r="AF214" i="2"/>
  <c r="V767" i="3"/>
  <c r="AB767" i="3"/>
  <c r="AE767" i="3"/>
  <c r="AG767" i="3"/>
  <c r="AG256" i="2"/>
  <c r="U653" i="3"/>
  <c r="T653" i="3"/>
  <c r="AA192" i="3"/>
  <c r="U572" i="3"/>
  <c r="T572" i="3"/>
  <c r="AD650" i="3"/>
  <c r="AC208" i="2"/>
  <c r="V700" i="3"/>
  <c r="AB700" i="3"/>
  <c r="AE700" i="3"/>
  <c r="AG700" i="3"/>
  <c r="AC914" i="2"/>
  <c r="AD129" i="3"/>
  <c r="U980" i="2"/>
  <c r="AA980" i="2"/>
  <c r="AD980" i="2"/>
  <c r="AF980" i="2"/>
  <c r="AA888" i="3"/>
  <c r="AA755" i="3"/>
  <c r="AA218" i="3"/>
  <c r="AF924" i="1"/>
  <c r="AF685" i="1"/>
  <c r="V507" i="3"/>
  <c r="AB507" i="3"/>
  <c r="AE507" i="3"/>
  <c r="AG507" i="3"/>
  <c r="U330" i="2"/>
  <c r="AA330" i="2"/>
  <c r="AD330" i="2"/>
  <c r="AF330" i="2"/>
  <c r="Z820" i="2"/>
  <c r="U827" i="3"/>
  <c r="T827" i="3"/>
  <c r="AG520" i="2"/>
  <c r="AA725" i="3"/>
  <c r="X915" i="1"/>
  <c r="AD915" i="1"/>
  <c r="AG915" i="1"/>
  <c r="AI915" i="1"/>
  <c r="Y658" i="2"/>
  <c r="X658" i="2"/>
  <c r="U502" i="2"/>
  <c r="AA502" i="2"/>
  <c r="AD502" i="2"/>
  <c r="AF502" i="2"/>
  <c r="AB773" i="1"/>
  <c r="AA773" i="1"/>
  <c r="Z737" i="3"/>
  <c r="Y737" i="3"/>
  <c r="Z920" i="3"/>
  <c r="Y920" i="3"/>
  <c r="Z447" i="2"/>
  <c r="U305" i="2"/>
  <c r="AA305" i="2"/>
  <c r="AD305" i="2"/>
  <c r="AF305" i="2"/>
  <c r="AD62" i="3"/>
  <c r="U587" i="2"/>
  <c r="AA587" i="2"/>
  <c r="AD587" i="2"/>
  <c r="AF587" i="2"/>
  <c r="AD97" i="3"/>
  <c r="X619" i="2"/>
  <c r="Y619" i="2"/>
  <c r="Z271" i="2"/>
  <c r="M985" i="1"/>
  <c r="AA495" i="3"/>
  <c r="T564" i="2"/>
  <c r="S564" i="2"/>
  <c r="AF962" i="1"/>
  <c r="AC682" i="2"/>
  <c r="AC745" i="1"/>
  <c r="Z334" i="2"/>
  <c r="AH296" i="3"/>
  <c r="AE784" i="2"/>
  <c r="AG784" i="2"/>
  <c r="AC565" i="2"/>
  <c r="AJ880" i="1"/>
  <c r="Y436" i="3"/>
  <c r="Z436" i="3"/>
  <c r="Z696" i="2"/>
  <c r="V799" i="3"/>
  <c r="AB799" i="3"/>
  <c r="AE799" i="3"/>
  <c r="AG799" i="3"/>
  <c r="AH41" i="3"/>
  <c r="AA256" i="3"/>
  <c r="AG973" i="3"/>
  <c r="AF947" i="1"/>
  <c r="AH478" i="3"/>
  <c r="Z982" i="2"/>
  <c r="AD347" i="3"/>
  <c r="AD873" i="3"/>
  <c r="AI956" i="1"/>
  <c r="Z990" i="2"/>
  <c r="V936" i="2"/>
  <c r="AB936" i="2"/>
  <c r="AE936" i="2"/>
  <c r="AG984" i="2"/>
  <c r="AG422" i="2"/>
  <c r="W741" i="3"/>
  <c r="AC741" i="3"/>
  <c r="AF741" i="3"/>
  <c r="AH741" i="3"/>
  <c r="V541" i="3"/>
  <c r="AB541" i="3"/>
  <c r="AE541" i="3"/>
  <c r="AG541" i="3"/>
  <c r="V875" i="3"/>
  <c r="AB875" i="3"/>
  <c r="AE875" i="3"/>
  <c r="AG875" i="3"/>
  <c r="Z802" i="2"/>
  <c r="AD956" i="3"/>
  <c r="V956" i="3"/>
  <c r="AB956" i="3"/>
  <c r="AE956" i="3"/>
  <c r="AH222" i="3"/>
  <c r="M819" i="1"/>
  <c r="U468" i="2"/>
  <c r="AA468" i="2"/>
  <c r="AD468" i="2"/>
  <c r="AF468" i="2"/>
  <c r="V331" i="3"/>
  <c r="AB331" i="3"/>
  <c r="AE331" i="3"/>
  <c r="AG331" i="3"/>
  <c r="AH81" i="3"/>
  <c r="AF674" i="1"/>
  <c r="AH853" i="3"/>
  <c r="AC789" i="2"/>
  <c r="Z824" i="2"/>
  <c r="AG523" i="2"/>
  <c r="AF1001" i="1"/>
  <c r="U337" i="2"/>
  <c r="AA337" i="2"/>
  <c r="AD337" i="2"/>
  <c r="AF337" i="2"/>
  <c r="AC815" i="2"/>
  <c r="U609" i="2"/>
  <c r="AA609" i="2"/>
  <c r="AD609" i="2"/>
  <c r="AF609" i="2"/>
  <c r="AD103" i="3"/>
  <c r="AC349" i="2"/>
  <c r="AH231" i="3"/>
  <c r="U945" i="2"/>
  <c r="AA945" i="2"/>
  <c r="AD945" i="2"/>
  <c r="AF945" i="2"/>
  <c r="AC437" i="2"/>
  <c r="AD60" i="3"/>
  <c r="AC858" i="1"/>
  <c r="Z191" i="2"/>
  <c r="Z430" i="2"/>
  <c r="AC995" i="2"/>
  <c r="AC309" i="2"/>
  <c r="Z298" i="2"/>
  <c r="U563" i="2"/>
  <c r="AA563" i="2"/>
  <c r="AD563" i="2"/>
  <c r="AF563" i="2"/>
  <c r="AG744" i="2"/>
  <c r="AD262" i="3"/>
  <c r="AA231" i="3"/>
  <c r="AD73" i="3"/>
  <c r="T389" i="3"/>
  <c r="U389" i="3"/>
  <c r="V86" i="3"/>
  <c r="AB86" i="3"/>
  <c r="AE86" i="3"/>
  <c r="AG86" i="3"/>
  <c r="AD843" i="3"/>
  <c r="T923" i="2"/>
  <c r="S923" i="2"/>
  <c r="AB664" i="1"/>
  <c r="AA664" i="1"/>
  <c r="U650" i="3"/>
  <c r="T650" i="3"/>
  <c r="U208" i="2"/>
  <c r="AA208" i="2"/>
  <c r="AD208" i="2"/>
  <c r="AF208" i="2"/>
  <c r="AA189" i="3"/>
  <c r="Y353" i="3"/>
  <c r="Z353" i="3"/>
  <c r="U868" i="2"/>
  <c r="AA868" i="2"/>
  <c r="AD868" i="2"/>
  <c r="AF868" i="2"/>
  <c r="AD887" i="3"/>
  <c r="Z239" i="2"/>
  <c r="Z748" i="2"/>
  <c r="AC212" i="2"/>
  <c r="V253" i="3"/>
  <c r="AB253" i="3"/>
  <c r="AE253" i="3"/>
  <c r="AG253" i="3"/>
  <c r="Y804" i="2"/>
  <c r="X804" i="2"/>
  <c r="U804" i="2"/>
  <c r="AA804" i="2"/>
  <c r="AC571" i="2"/>
  <c r="X749" i="1"/>
  <c r="AD749" i="1"/>
  <c r="AG749" i="1"/>
  <c r="AI749" i="1"/>
  <c r="AH385" i="3"/>
  <c r="AA145" i="3"/>
  <c r="AA893" i="1"/>
  <c r="AB893" i="1"/>
  <c r="V68" i="3"/>
  <c r="AB68" i="3"/>
  <c r="AE68" i="3"/>
  <c r="AG68" i="3"/>
  <c r="AE263" i="3"/>
  <c r="V263" i="3"/>
  <c r="AB263" i="3"/>
  <c r="AD263" i="3"/>
  <c r="M916" i="1"/>
  <c r="M683" i="1"/>
  <c r="X875" i="1"/>
  <c r="AD875" i="1"/>
  <c r="AG875" i="1"/>
  <c r="AI875" i="1"/>
  <c r="AA644" i="3"/>
  <c r="Y929" i="1"/>
  <c r="AE929" i="1"/>
  <c r="AH929" i="1"/>
  <c r="AJ929" i="1"/>
  <c r="T338" i="2"/>
  <c r="S338" i="2"/>
  <c r="T343" i="3"/>
  <c r="U343" i="3"/>
  <c r="V591" i="3"/>
  <c r="AB591" i="3"/>
  <c r="AE591" i="3"/>
  <c r="AG591" i="3"/>
  <c r="Z149" i="3"/>
  <c r="Y149" i="3"/>
  <c r="AD340" i="3"/>
  <c r="Z395" i="3"/>
  <c r="Y395" i="3"/>
  <c r="AA222" i="3"/>
  <c r="M867" i="1"/>
  <c r="Z986" i="2"/>
  <c r="V357" i="3"/>
  <c r="AB357" i="3"/>
  <c r="AE357" i="3"/>
  <c r="AG357" i="3"/>
  <c r="AD718" i="3"/>
  <c r="AD457" i="3"/>
  <c r="AI689" i="1"/>
  <c r="AD704" i="3"/>
  <c r="Z984" i="2"/>
  <c r="M806" i="1"/>
  <c r="T776" i="2"/>
  <c r="S776" i="2"/>
  <c r="AC454" i="2"/>
  <c r="M919" i="1"/>
  <c r="AG310" i="2"/>
  <c r="AF1017" i="1"/>
  <c r="V144" i="3"/>
  <c r="AB144" i="3"/>
  <c r="AE144" i="3"/>
  <c r="AG144" i="3"/>
  <c r="U942" i="2"/>
  <c r="AA942" i="2"/>
  <c r="AD942" i="2"/>
  <c r="AF942" i="2"/>
  <c r="AC890" i="1"/>
  <c r="Z579" i="2"/>
  <c r="AA196" i="3"/>
  <c r="AJ687" i="1"/>
  <c r="S349" i="2"/>
  <c r="T349" i="2"/>
  <c r="AA359" i="3"/>
  <c r="AF768" i="1"/>
  <c r="AD462" i="3"/>
  <c r="U934" i="2"/>
  <c r="AA934" i="2"/>
  <c r="AD934" i="2"/>
  <c r="AF934" i="2"/>
  <c r="AC537" i="2"/>
  <c r="AD557" i="3"/>
  <c r="AD264" i="3"/>
  <c r="AE778" i="2"/>
  <c r="AG778" i="2"/>
  <c r="Z665" i="2"/>
  <c r="Z228" i="2"/>
  <c r="AH739" i="3"/>
  <c r="AF627" i="2"/>
  <c r="M895" i="1"/>
  <c r="AJ714" i="1"/>
  <c r="V403" i="2"/>
  <c r="AB403" i="2"/>
  <c r="AE403" i="2"/>
  <c r="AG403" i="2"/>
  <c r="Z544" i="2"/>
  <c r="AA545" i="3"/>
  <c r="AA476" i="3"/>
  <c r="T562" i="2"/>
  <c r="S562" i="2"/>
  <c r="Z904" i="2"/>
  <c r="T187" i="3"/>
  <c r="U187" i="3"/>
  <c r="T72" i="3"/>
  <c r="U72" i="3"/>
  <c r="AF773" i="1"/>
  <c r="AD716" i="3"/>
  <c r="AC925" i="2"/>
  <c r="T810" i="3"/>
  <c r="U810" i="3"/>
  <c r="Y438" i="2"/>
  <c r="X438" i="2"/>
  <c r="AD475" i="3"/>
  <c r="AC761" i="2"/>
  <c r="V669" i="3"/>
  <c r="AB669" i="3"/>
  <c r="AE669" i="3"/>
  <c r="AG669" i="3"/>
  <c r="V34" i="3"/>
  <c r="AB34" i="3"/>
  <c r="AE34" i="3"/>
  <c r="AG34" i="3"/>
  <c r="AA512" i="3"/>
  <c r="AF1003" i="1"/>
  <c r="Z331" i="2"/>
  <c r="Z865" i="2"/>
  <c r="AF976" i="1"/>
  <c r="AA233" i="3"/>
  <c r="AH846" i="3"/>
  <c r="X415" i="2"/>
  <c r="Y415" i="2"/>
  <c r="AJ839" i="1"/>
  <c r="Z726" i="3"/>
  <c r="Y726" i="3"/>
  <c r="Z780" i="3"/>
  <c r="Y780" i="3"/>
  <c r="V780" i="3"/>
  <c r="AB780" i="3"/>
  <c r="Z794" i="2"/>
  <c r="V341" i="3"/>
  <c r="AB341" i="3"/>
  <c r="AE341" i="3"/>
  <c r="AG341" i="3"/>
  <c r="AC778" i="1"/>
  <c r="AC1008" i="2"/>
  <c r="U964" i="3"/>
  <c r="T964" i="3"/>
  <c r="AD992" i="3"/>
  <c r="AC792" i="2"/>
  <c r="Y270" i="3"/>
  <c r="Z270" i="3"/>
  <c r="AD350" i="3"/>
  <c r="U806" i="3"/>
  <c r="T806" i="3"/>
  <c r="AA423" i="3"/>
  <c r="Y725" i="3"/>
  <c r="Z725" i="3"/>
  <c r="AF895" i="1"/>
  <c r="X895" i="1"/>
  <c r="AD895" i="1"/>
  <c r="AG895" i="1"/>
  <c r="X705" i="1"/>
  <c r="AD705" i="1"/>
  <c r="AG705" i="1"/>
  <c r="AI705" i="1"/>
  <c r="AH453" i="3"/>
  <c r="V874" i="1"/>
  <c r="W874" i="1"/>
  <c r="U385" i="3"/>
  <c r="T385" i="3"/>
  <c r="U392" i="2"/>
  <c r="AA392" i="2"/>
  <c r="AD392" i="2"/>
  <c r="AF392" i="2"/>
  <c r="AD763" i="3"/>
  <c r="AA435" i="3"/>
  <c r="AD229" i="3"/>
  <c r="AF758" i="1"/>
  <c r="AH790" i="3"/>
  <c r="AA851" i="3"/>
  <c r="AG328" i="2"/>
  <c r="Z528" i="2"/>
  <c r="AD198" i="3"/>
  <c r="Z778" i="2"/>
  <c r="V778" i="2"/>
  <c r="AB778" i="2"/>
  <c r="AA403" i="3"/>
  <c r="Z685" i="2"/>
  <c r="AC779" i="2"/>
  <c r="AH828" i="3"/>
  <c r="AD178" i="3"/>
  <c r="AD720" i="3"/>
  <c r="AD118" i="3"/>
  <c r="Y742" i="2"/>
  <c r="X742" i="2"/>
  <c r="AJ776" i="1"/>
  <c r="Z467" i="2"/>
  <c r="AC655" i="2"/>
  <c r="AJ918" i="1"/>
  <c r="U737" i="2"/>
  <c r="AA737" i="2"/>
  <c r="AD737" i="2"/>
  <c r="AF737" i="2"/>
  <c r="AD270" i="3"/>
  <c r="AA142" i="3"/>
  <c r="Z280" i="2"/>
  <c r="U359" i="2"/>
  <c r="AA359" i="2"/>
  <c r="AD359" i="2"/>
  <c r="AF359" i="2"/>
  <c r="AA729" i="3"/>
  <c r="AC879" i="3"/>
  <c r="W879" i="3"/>
  <c r="AA879" i="3"/>
  <c r="Z494" i="2"/>
  <c r="X1015" i="1"/>
  <c r="AD1015" i="1"/>
  <c r="AG1015" i="1"/>
  <c r="AI1015" i="1"/>
  <c r="W954" i="1"/>
  <c r="V954" i="1"/>
  <c r="AC239" i="2"/>
  <c r="T332" i="2"/>
  <c r="S332" i="2"/>
  <c r="AA891" i="3"/>
  <c r="AG714" i="2"/>
  <c r="Z652" i="2"/>
  <c r="AJ955" i="1"/>
  <c r="S574" i="2"/>
  <c r="T574" i="2"/>
  <c r="Z594" i="2"/>
  <c r="AD555" i="3"/>
  <c r="AA143" i="3"/>
  <c r="Z371" i="3"/>
  <c r="Y371" i="3"/>
  <c r="T174" i="3"/>
  <c r="U174" i="3"/>
  <c r="AH744" i="3"/>
  <c r="T424" i="3"/>
  <c r="U424" i="3"/>
  <c r="Z994" i="2"/>
  <c r="S463" i="2"/>
  <c r="T463" i="2"/>
  <c r="U387" i="2"/>
  <c r="AA387" i="2"/>
  <c r="AD387" i="2"/>
  <c r="AF387" i="2"/>
  <c r="U634" i="2"/>
  <c r="AA634" i="2"/>
  <c r="AD634" i="2"/>
  <c r="AF634" i="2"/>
  <c r="AD612" i="3"/>
  <c r="AA721" i="1"/>
  <c r="AB721" i="1"/>
  <c r="AF855" i="1"/>
  <c r="AC538" i="2"/>
  <c r="AC666" i="2"/>
  <c r="AG224" i="2"/>
  <c r="AD922" i="3"/>
  <c r="X860" i="2"/>
  <c r="Y860" i="2"/>
  <c r="AD865" i="3"/>
  <c r="AH131" i="3"/>
  <c r="AF869" i="3"/>
  <c r="AC814" i="1"/>
  <c r="U628" i="2"/>
  <c r="AA628" i="2"/>
  <c r="AD628" i="2"/>
  <c r="AF628" i="2"/>
  <c r="V475" i="3"/>
  <c r="AB475" i="3"/>
  <c r="AE475" i="3"/>
  <c r="AG475" i="3"/>
  <c r="Z269" i="2"/>
  <c r="AF918" i="1"/>
  <c r="X918" i="1"/>
  <c r="AD918" i="1"/>
  <c r="AG918" i="1"/>
  <c r="Y239" i="2"/>
  <c r="X239" i="2"/>
  <c r="AC185" i="2"/>
  <c r="AA497" i="3"/>
  <c r="AJ663" i="1"/>
  <c r="S663" i="2"/>
  <c r="T663" i="2"/>
  <c r="AA804" i="3"/>
  <c r="AC783" i="1"/>
  <c r="AD446" i="3"/>
  <c r="V446" i="3"/>
  <c r="AB446" i="3"/>
  <c r="AE446" i="3"/>
  <c r="AG832" i="2"/>
  <c r="Z470" i="2"/>
  <c r="AG438" i="2"/>
  <c r="AF694" i="1"/>
  <c r="U267" i="3"/>
  <c r="T267" i="3"/>
  <c r="Z561" i="2"/>
  <c r="X774" i="1"/>
  <c r="AD774" i="1"/>
  <c r="AG774" i="1"/>
  <c r="AI774" i="1"/>
  <c r="V28" i="3"/>
  <c r="AB28" i="3"/>
  <c r="AE28" i="3"/>
  <c r="AG28" i="3"/>
  <c r="T33" i="3"/>
  <c r="U33" i="3"/>
  <c r="AF767" i="1"/>
  <c r="AH980" i="3"/>
  <c r="AB932" i="1"/>
  <c r="AA932" i="1"/>
  <c r="AE903" i="2"/>
  <c r="AG903" i="2"/>
  <c r="T973" i="2"/>
  <c r="U973" i="2"/>
  <c r="S973" i="2"/>
  <c r="Z490" i="2"/>
  <c r="AA576" i="3"/>
  <c r="Z888" i="2"/>
  <c r="U108" i="3"/>
  <c r="T108" i="3"/>
  <c r="Y301" i="3"/>
  <c r="Z301" i="3"/>
  <c r="AC265" i="2"/>
  <c r="AD980" i="3"/>
  <c r="X515" i="2"/>
  <c r="Y515" i="2"/>
  <c r="AH530" i="3"/>
  <c r="V83" i="3"/>
  <c r="AB83" i="3"/>
  <c r="AE83" i="3"/>
  <c r="AG83" i="3"/>
  <c r="AC721" i="2"/>
  <c r="AI772" i="1"/>
  <c r="Z738" i="2"/>
  <c r="Z952" i="2"/>
  <c r="AG189" i="3"/>
  <c r="AD635" i="3"/>
  <c r="T624" i="3"/>
  <c r="U624" i="3"/>
  <c r="U779" i="2"/>
  <c r="AA779" i="2"/>
  <c r="AD779" i="2"/>
  <c r="AF779" i="2"/>
  <c r="AG726" i="2"/>
  <c r="Y943" i="1"/>
  <c r="AE943" i="1"/>
  <c r="AH943" i="1"/>
  <c r="AA79" i="3"/>
  <c r="AA764" i="3"/>
  <c r="Z221" i="2"/>
  <c r="AG921" i="2"/>
  <c r="AG635" i="2"/>
  <c r="AH767" i="3"/>
  <c r="Z336" i="2"/>
  <c r="V270" i="3"/>
  <c r="AB270" i="3"/>
  <c r="AE270" i="3"/>
  <c r="AG270" i="3"/>
  <c r="Z766" i="2"/>
  <c r="V969" i="3"/>
  <c r="AB969" i="3"/>
  <c r="AE969" i="3"/>
  <c r="AG969" i="3"/>
  <c r="AD653" i="3"/>
  <c r="Z537" i="2"/>
  <c r="AD247" i="3"/>
  <c r="AC661" i="1"/>
  <c r="AJ841" i="1"/>
  <c r="AA642" i="3"/>
  <c r="AA263" i="3"/>
  <c r="V116" i="3"/>
  <c r="AB116" i="3"/>
  <c r="AE116" i="3"/>
  <c r="AG116" i="3"/>
  <c r="T222" i="2"/>
  <c r="S222" i="2"/>
  <c r="AA324" i="3"/>
  <c r="AF126" i="1"/>
  <c r="V512" i="3"/>
  <c r="AB512" i="3"/>
  <c r="AE512" i="3"/>
  <c r="AG512" i="3"/>
  <c r="Y525" i="3"/>
  <c r="Z525" i="3"/>
  <c r="T120" i="3"/>
  <c r="U120" i="3"/>
  <c r="AA35" i="3"/>
  <c r="Z868" i="2"/>
  <c r="S264" i="2"/>
  <c r="T264" i="2"/>
  <c r="V937" i="3"/>
  <c r="AB937" i="3"/>
  <c r="AE937" i="3"/>
  <c r="AG937" i="3"/>
  <c r="AC261" i="2"/>
  <c r="AD159" i="3"/>
  <c r="AD807" i="3"/>
  <c r="Z672" i="2"/>
  <c r="AF238" i="2"/>
  <c r="AH136" i="3"/>
  <c r="AC523" i="2"/>
  <c r="U636" i="2"/>
  <c r="AA636" i="2"/>
  <c r="AD636" i="2"/>
  <c r="AF636" i="2"/>
  <c r="X801" i="1"/>
  <c r="AD801" i="1"/>
  <c r="AG801" i="1"/>
  <c r="AI801" i="1"/>
  <c r="AD869" i="3"/>
  <c r="V67" i="3"/>
  <c r="AB67" i="3"/>
  <c r="AE67" i="3"/>
  <c r="AG67" i="3"/>
  <c r="V900" i="1"/>
  <c r="W900" i="1"/>
  <c r="V383" i="3"/>
  <c r="AB383" i="3"/>
  <c r="AE383" i="3"/>
  <c r="AG383" i="3"/>
  <c r="AD281" i="3"/>
  <c r="V624" i="3"/>
  <c r="AB624" i="3"/>
  <c r="AE624" i="3"/>
  <c r="AG624" i="3"/>
  <c r="U901" i="2"/>
  <c r="AA901" i="2"/>
  <c r="AD901" i="2"/>
  <c r="AF901" i="2"/>
  <c r="Z757" i="3"/>
  <c r="Y757" i="3"/>
  <c r="Z733" i="2"/>
  <c r="M682" i="1"/>
  <c r="Z574" i="3"/>
  <c r="Y574" i="3"/>
  <c r="Z811" i="2"/>
  <c r="AA575" i="3"/>
  <c r="X941" i="1"/>
  <c r="AD941" i="1"/>
  <c r="AG941" i="1"/>
  <c r="AI941" i="1"/>
  <c r="Z205" i="2"/>
  <c r="V515" i="3"/>
  <c r="AB515" i="3"/>
  <c r="AE515" i="3"/>
  <c r="AG515" i="3"/>
  <c r="Z807" i="2"/>
  <c r="U710" i="2"/>
  <c r="AA710" i="2"/>
  <c r="AD710" i="2"/>
  <c r="AF710" i="2"/>
  <c r="M736" i="1"/>
  <c r="AD319" i="3"/>
  <c r="AA251" i="3"/>
  <c r="Z573" i="3"/>
  <c r="Y573" i="3"/>
  <c r="M740" i="1"/>
  <c r="AG840" i="3"/>
  <c r="X965" i="1"/>
  <c r="AD965" i="1"/>
  <c r="AG965" i="1"/>
  <c r="AI965" i="1"/>
  <c r="X845" i="1"/>
  <c r="AD845" i="1"/>
  <c r="AG845" i="1"/>
  <c r="AI845" i="1"/>
  <c r="AC758" i="2"/>
  <c r="AC339" i="2"/>
  <c r="AA109" i="3"/>
  <c r="AH531" i="3"/>
  <c r="AA489" i="3"/>
  <c r="AA467" i="3"/>
  <c r="AA209" i="3"/>
  <c r="AC995" i="1"/>
  <c r="AG111" i="3"/>
  <c r="X728" i="1"/>
  <c r="AD728" i="1"/>
  <c r="AG728" i="1"/>
  <c r="AI728" i="1"/>
  <c r="AA320" i="3"/>
  <c r="AC244" i="2"/>
  <c r="AC875" i="1"/>
  <c r="AC647" i="2"/>
  <c r="Z789" i="2"/>
  <c r="U361" i="2"/>
  <c r="AA361" i="2"/>
  <c r="AD361" i="2"/>
  <c r="AF361" i="2"/>
  <c r="AA790" i="3"/>
  <c r="V747" i="3"/>
  <c r="AB747" i="3"/>
  <c r="AE747" i="3"/>
  <c r="AG747" i="3"/>
  <c r="AG544" i="2"/>
  <c r="X848" i="1"/>
  <c r="AD848" i="1"/>
  <c r="AG848" i="1"/>
  <c r="AI848" i="1"/>
  <c r="AD983" i="3"/>
  <c r="Z289" i="2"/>
  <c r="AD882" i="3"/>
  <c r="Z290" i="2"/>
  <c r="Z943" i="2"/>
  <c r="AF896" i="1"/>
  <c r="AJ772" i="1"/>
  <c r="AG758" i="3"/>
  <c r="AD250" i="3"/>
  <c r="AJ777" i="1"/>
  <c r="AC860" i="2"/>
  <c r="AC727" i="1"/>
  <c r="Z875" i="2"/>
  <c r="AG596" i="2"/>
  <c r="AG654" i="2"/>
  <c r="Z437" i="2"/>
  <c r="AD970" i="3"/>
  <c r="AH801" i="3"/>
  <c r="AG341" i="2"/>
  <c r="AA627" i="3"/>
  <c r="V518" i="3"/>
  <c r="AB518" i="3"/>
  <c r="AE518" i="3"/>
  <c r="AG518" i="3"/>
  <c r="AA460" i="3"/>
  <c r="V990" i="1"/>
  <c r="W990" i="1"/>
  <c r="AA797" i="3"/>
  <c r="U552" i="2"/>
  <c r="AA552" i="2"/>
  <c r="AD552" i="2"/>
  <c r="AF552" i="2"/>
  <c r="AA709" i="3"/>
  <c r="Z155" i="3"/>
  <c r="Y155" i="3"/>
  <c r="AC799" i="1"/>
  <c r="Z390" i="2"/>
  <c r="V557" i="3"/>
  <c r="AB557" i="3"/>
  <c r="AE557" i="3"/>
  <c r="AG557" i="3"/>
  <c r="AD963" i="3"/>
  <c r="U437" i="2"/>
  <c r="AA437" i="2"/>
  <c r="AD437" i="2"/>
  <c r="AF437" i="2"/>
  <c r="AA424" i="3"/>
  <c r="U642" i="3"/>
  <c r="T642" i="3"/>
  <c r="AG615" i="2"/>
  <c r="AC874" i="2"/>
  <c r="V710" i="3"/>
  <c r="AB710" i="3"/>
  <c r="AE710" i="3"/>
  <c r="AG710" i="3"/>
  <c r="AD564" i="3"/>
  <c r="AA319" i="3"/>
  <c r="U486" i="2"/>
  <c r="AA486" i="2"/>
  <c r="AD486" i="2"/>
  <c r="AF486" i="2"/>
  <c r="U361" i="3"/>
  <c r="T361" i="3"/>
  <c r="U861" i="2"/>
  <c r="AA861" i="2"/>
  <c r="AD861" i="2"/>
  <c r="AF861" i="2"/>
  <c r="V596" i="3"/>
  <c r="AB596" i="3"/>
  <c r="AE596" i="3"/>
  <c r="AG596" i="3"/>
  <c r="Y721" i="2"/>
  <c r="X721" i="2"/>
  <c r="AD849" i="3"/>
  <c r="M824" i="1"/>
  <c r="AD544" i="3"/>
  <c r="AD243" i="3"/>
  <c r="AH854" i="3"/>
  <c r="V486" i="3"/>
  <c r="AB486" i="3"/>
  <c r="AE486" i="3"/>
  <c r="AG486" i="3"/>
  <c r="X894" i="1"/>
  <c r="AD894" i="1"/>
  <c r="AG894" i="1"/>
  <c r="AI894" i="1"/>
  <c r="AH418" i="3"/>
  <c r="X857" i="1"/>
  <c r="AD857" i="1"/>
  <c r="AG857" i="1"/>
  <c r="AI857" i="1"/>
  <c r="X947" i="1"/>
  <c r="AD947" i="1"/>
  <c r="AG947" i="1"/>
  <c r="AI947" i="1"/>
  <c r="Z740" i="2"/>
  <c r="AC227" i="2"/>
  <c r="Z745" i="2"/>
  <c r="Z255" i="2"/>
  <c r="AH607" i="3"/>
  <c r="Z323" i="3"/>
  <c r="Y323" i="3"/>
  <c r="AA566" i="3"/>
  <c r="AA171" i="3"/>
  <c r="M667" i="1"/>
  <c r="S435" i="2"/>
  <c r="T435" i="2"/>
  <c r="Z899" i="2"/>
  <c r="AD52" i="3"/>
  <c r="AG1008" i="2"/>
  <c r="AH396" i="3"/>
  <c r="Z840" i="2"/>
  <c r="AC818" i="2"/>
  <c r="AF856" i="1"/>
  <c r="AF927" i="1"/>
  <c r="V498" i="3"/>
  <c r="AB498" i="3"/>
  <c r="AE498" i="3"/>
  <c r="AG498" i="3"/>
  <c r="AD623" i="3"/>
  <c r="Z225" i="2"/>
  <c r="AF750" i="1"/>
  <c r="AE840" i="3"/>
  <c r="V840" i="3"/>
  <c r="AB840" i="3"/>
  <c r="AD840" i="3"/>
  <c r="M712" i="1"/>
  <c r="U888" i="2"/>
  <c r="AA888" i="2"/>
  <c r="AD888" i="2"/>
  <c r="AF888" i="2"/>
  <c r="AF572" i="3"/>
  <c r="AH572" i="3"/>
  <c r="AH145" i="3"/>
  <c r="AH63" i="3"/>
  <c r="AC900" i="2"/>
  <c r="Z927" i="2"/>
  <c r="Z983" i="2"/>
  <c r="AD860" i="3"/>
  <c r="X674" i="1"/>
  <c r="AD674" i="1"/>
  <c r="AG674" i="1"/>
  <c r="AI674" i="1"/>
  <c r="AC960" i="1"/>
  <c r="V210" i="3"/>
  <c r="AB210" i="3"/>
  <c r="AE210" i="3"/>
  <c r="AG210" i="3"/>
  <c r="AD163" i="3"/>
  <c r="AH641" i="3"/>
  <c r="AJ969" i="1"/>
  <c r="AD148" i="3"/>
  <c r="Z911" i="2"/>
  <c r="AC474" i="2"/>
  <c r="U927" i="2"/>
  <c r="AA927" i="2"/>
  <c r="AD927" i="2"/>
  <c r="AF927" i="2"/>
  <c r="AJ671" i="1"/>
  <c r="AA800" i="3"/>
  <c r="U112" i="3"/>
  <c r="T112" i="3"/>
  <c r="AJ885" i="1"/>
  <c r="AJ959" i="1"/>
  <c r="AG397" i="2"/>
  <c r="AH773" i="3"/>
  <c r="AA583" i="3"/>
  <c r="AI715" i="1"/>
  <c r="Z801" i="2"/>
  <c r="AG452" i="3"/>
  <c r="AJ699" i="1"/>
  <c r="AG501" i="2"/>
  <c r="AF711" i="1"/>
  <c r="M971" i="1"/>
  <c r="AC697" i="1"/>
  <c r="M729" i="1"/>
  <c r="AC676" i="1"/>
  <c r="AH862" i="3"/>
  <c r="AD938" i="3"/>
  <c r="AH712" i="3"/>
  <c r="Z441" i="2"/>
  <c r="AD238" i="2"/>
  <c r="U238" i="2"/>
  <c r="AA238" i="2"/>
  <c r="AC238" i="2"/>
  <c r="AC667" i="1"/>
  <c r="U261" i="2"/>
  <c r="AA261" i="2"/>
  <c r="AD261" i="2"/>
  <c r="AF261" i="2"/>
  <c r="Z535" i="2"/>
  <c r="V639" i="3"/>
  <c r="AB639" i="3"/>
  <c r="AE639" i="3"/>
  <c r="AG639" i="3"/>
  <c r="AG901" i="3"/>
  <c r="AG371" i="2"/>
  <c r="AC573" i="2"/>
  <c r="AC585" i="2"/>
  <c r="AC997" i="1"/>
  <c r="AD452" i="3"/>
  <c r="V452" i="3"/>
  <c r="AB452" i="3"/>
  <c r="AE452" i="3"/>
  <c r="AJ1013" i="1"/>
  <c r="AE802" i="3"/>
  <c r="AG802" i="3"/>
  <c r="AD54" i="3"/>
  <c r="Y914" i="2"/>
  <c r="X914" i="2"/>
  <c r="AG348" i="2"/>
  <c r="AG354" i="3"/>
  <c r="AC590" i="2"/>
  <c r="M987" i="1"/>
  <c r="AD620" i="3"/>
  <c r="AH35" i="3"/>
  <c r="AD480" i="3"/>
  <c r="AA411" i="3"/>
  <c r="AD181" i="3"/>
  <c r="AD944" i="3"/>
  <c r="Z666" i="2"/>
  <c r="M957" i="1"/>
  <c r="AD900" i="3"/>
  <c r="AD450" i="3"/>
  <c r="Z973" i="2"/>
  <c r="AH678" i="3"/>
  <c r="AD332" i="3"/>
  <c r="AC763" i="1"/>
  <c r="AA87" i="3"/>
  <c r="X809" i="1"/>
  <c r="AD809" i="1"/>
  <c r="AG809" i="1"/>
  <c r="AI809" i="1"/>
  <c r="Z786" i="2"/>
  <c r="AH338" i="3"/>
  <c r="AC925" i="1"/>
  <c r="AG837" i="2"/>
  <c r="AF795" i="1"/>
  <c r="Z412" i="2"/>
  <c r="AF696" i="1"/>
  <c r="AC681" i="1"/>
  <c r="AJ973" i="1"/>
  <c r="AC902" i="2"/>
  <c r="AD965" i="3"/>
  <c r="AD392" i="3"/>
  <c r="AF994" i="1"/>
  <c r="U522" i="2"/>
  <c r="AA522" i="2"/>
  <c r="AD522" i="2"/>
  <c r="AF522" i="2"/>
  <c r="AC750" i="2"/>
  <c r="AC739" i="2"/>
  <c r="AC498" i="2"/>
  <c r="Z581" i="2"/>
  <c r="AC921" i="2"/>
  <c r="AC283" i="2"/>
  <c r="AE726" i="2"/>
  <c r="W808" i="3"/>
  <c r="AC808" i="3"/>
  <c r="AF808" i="3"/>
  <c r="Z428" i="2"/>
  <c r="AF442" i="3"/>
  <c r="AA72" i="3"/>
  <c r="AJ720" i="1"/>
  <c r="AA893" i="3"/>
  <c r="AD217" i="3"/>
  <c r="AD910" i="3"/>
  <c r="AD707" i="3"/>
  <c r="AH410" i="3"/>
  <c r="AG754" i="3"/>
  <c r="AD579" i="3"/>
  <c r="AF888" i="1"/>
  <c r="AD499" i="3"/>
  <c r="AF828" i="3"/>
  <c r="Z367" i="2"/>
  <c r="V132" i="3"/>
  <c r="AB132" i="3"/>
  <c r="AE132" i="3"/>
  <c r="AG132" i="3"/>
  <c r="AF753" i="1"/>
  <c r="Z309" i="2"/>
  <c r="AC439" i="2"/>
  <c r="AH985" i="3"/>
  <c r="AJ995" i="1"/>
  <c r="AD842" i="3"/>
  <c r="AD497" i="3"/>
  <c r="AC834" i="2"/>
  <c r="AC938" i="2"/>
  <c r="AA945" i="3"/>
  <c r="AH832" i="3"/>
  <c r="AA75" i="3"/>
  <c r="AF960" i="1"/>
  <c r="AC1009" i="1"/>
  <c r="AA246" i="3"/>
  <c r="AF715" i="1"/>
  <c r="X715" i="1"/>
  <c r="AD715" i="1"/>
  <c r="AG715" i="1"/>
  <c r="AC511" i="2"/>
  <c r="AD214" i="3"/>
  <c r="AG608" i="2"/>
  <c r="AC828" i="3"/>
  <c r="W828" i="3"/>
  <c r="AA828" i="3"/>
  <c r="M735" i="1"/>
  <c r="U773" i="2"/>
  <c r="AA773" i="2"/>
  <c r="AD773" i="2"/>
  <c r="AF773" i="2"/>
  <c r="AA732" i="1"/>
  <c r="AB732" i="1"/>
  <c r="AF304" i="3"/>
  <c r="AH304" i="3"/>
  <c r="AD641" i="3"/>
  <c r="AA339" i="3"/>
  <c r="AA272" i="3"/>
  <c r="AG237" i="2"/>
  <c r="AA292" i="3"/>
  <c r="AD397" i="3"/>
  <c r="AC352" i="2"/>
  <c r="Y614" i="3"/>
  <c r="Z614" i="3"/>
  <c r="AA728" i="3"/>
  <c r="AD189" i="3"/>
  <c r="V189" i="3"/>
  <c r="AB189" i="3"/>
  <c r="AE189" i="3"/>
  <c r="AC289" i="2"/>
  <c r="AF935" i="1"/>
  <c r="Z236" i="2"/>
  <c r="W479" i="3"/>
  <c r="AC479" i="3"/>
  <c r="AF479" i="3"/>
  <c r="AH598" i="3"/>
  <c r="U304" i="2"/>
  <c r="AA304" i="2"/>
  <c r="AD304" i="2"/>
  <c r="AF304" i="2"/>
  <c r="AF853" i="1"/>
  <c r="Z282" i="2"/>
  <c r="V31" i="3"/>
  <c r="AB31" i="3"/>
  <c r="AE31" i="3"/>
  <c r="AG31" i="3"/>
  <c r="AD601" i="3"/>
  <c r="AF911" i="1"/>
  <c r="X948" i="1"/>
  <c r="AD948" i="1"/>
  <c r="AG948" i="1"/>
  <c r="AI948" i="1"/>
  <c r="V311" i="3"/>
  <c r="AB311" i="3"/>
  <c r="AE311" i="3"/>
  <c r="AG311" i="3"/>
  <c r="AC413" i="2"/>
  <c r="AG255" i="2"/>
  <c r="M715" i="1"/>
  <c r="AD483" i="3"/>
  <c r="V483" i="3"/>
  <c r="AB483" i="3"/>
  <c r="AE483" i="3"/>
  <c r="AC672" i="2"/>
  <c r="AD800" i="3"/>
  <c r="Z891" i="2"/>
  <c r="V97" i="3"/>
  <c r="AB97" i="3"/>
  <c r="AE97" i="3"/>
  <c r="AG97" i="3"/>
  <c r="X734" i="1"/>
  <c r="AD734" i="1"/>
  <c r="AG734" i="1"/>
  <c r="AI734" i="1"/>
  <c r="AC237" i="2"/>
  <c r="AA647" i="3"/>
  <c r="AA465" i="3"/>
  <c r="U955" i="3"/>
  <c r="T955" i="3"/>
  <c r="V988" i="3"/>
  <c r="AB988" i="3"/>
  <c r="AE988" i="3"/>
  <c r="AG988" i="3"/>
  <c r="AD857" i="3"/>
  <c r="AG298" i="2"/>
  <c r="U265" i="2"/>
  <c r="AA265" i="2"/>
  <c r="AD265" i="2"/>
  <c r="AF265" i="2"/>
  <c r="M788" i="1"/>
  <c r="V181" i="3"/>
  <c r="AB181" i="3"/>
  <c r="AE181" i="3"/>
  <c r="AG181" i="3"/>
  <c r="AD574" i="3"/>
  <c r="AC946" i="1"/>
  <c r="AC800" i="1"/>
  <c r="AD835" i="3"/>
  <c r="Z885" i="2"/>
  <c r="AC744" i="2"/>
  <c r="M876" i="1"/>
  <c r="AD771" i="3"/>
  <c r="V277" i="2"/>
  <c r="AB277" i="2"/>
  <c r="AE277" i="2"/>
  <c r="AG384" i="2"/>
  <c r="AA318" i="3"/>
  <c r="AG995" i="2"/>
  <c r="X802" i="1"/>
  <c r="AD802" i="1"/>
  <c r="AG802" i="1"/>
  <c r="AI802" i="1"/>
  <c r="AC932" i="2"/>
  <c r="M972" i="1"/>
  <c r="AD164" i="3"/>
  <c r="Z975" i="2"/>
  <c r="AC217" i="2"/>
  <c r="AH72" i="3"/>
  <c r="AH916" i="3"/>
  <c r="AC328" i="2"/>
  <c r="AA507" i="3"/>
  <c r="U750" i="2"/>
  <c r="AA750" i="2"/>
  <c r="AD750" i="2"/>
  <c r="AF750" i="2"/>
  <c r="U739" i="2"/>
  <c r="AA739" i="2"/>
  <c r="AD739" i="2"/>
  <c r="AF739" i="2"/>
  <c r="AD465" i="3"/>
  <c r="AF905" i="1"/>
  <c r="M856" i="1"/>
  <c r="AD418" i="3"/>
  <c r="Z212" i="2"/>
  <c r="AF834" i="1"/>
  <c r="AC706" i="1"/>
  <c r="AF725" i="1"/>
  <c r="M930" i="1"/>
  <c r="AC979" i="2"/>
  <c r="V217" i="3"/>
  <c r="AB217" i="3"/>
  <c r="AE217" i="3"/>
  <c r="AG217" i="3"/>
  <c r="Z950" i="2"/>
  <c r="AA738" i="3"/>
  <c r="AD494" i="3"/>
  <c r="AJ726" i="1"/>
  <c r="AH548" i="3"/>
  <c r="AG952" i="2"/>
  <c r="Z392" i="2"/>
  <c r="AA832" i="3"/>
  <c r="AA327" i="3"/>
  <c r="AJ743" i="1"/>
  <c r="AE820" i="3"/>
  <c r="V820" i="3"/>
  <c r="AB820" i="3"/>
  <c r="AD820" i="3"/>
  <c r="AC78" i="1"/>
  <c r="Z341" i="2"/>
  <c r="V619" i="3"/>
  <c r="AB619" i="3"/>
  <c r="AE619" i="3"/>
  <c r="AG619" i="3"/>
  <c r="AG712" i="2"/>
  <c r="X687" i="2"/>
  <c r="Y687" i="2"/>
  <c r="AC570" i="2"/>
  <c r="Z626" i="2"/>
  <c r="AC760" i="2"/>
  <c r="AC285" i="2"/>
  <c r="AH500" i="3"/>
  <c r="Z182" i="2"/>
  <c r="U511" i="2"/>
  <c r="AA511" i="2"/>
  <c r="AD511" i="2"/>
  <c r="AF511" i="2"/>
  <c r="AG611" i="2"/>
  <c r="AF827" i="1"/>
  <c r="AD359" i="3"/>
  <c r="AC982" i="1"/>
  <c r="AA554" i="3"/>
  <c r="Z530" i="2"/>
  <c r="AA313" i="3"/>
  <c r="AD1005" i="2"/>
  <c r="AF1005" i="2"/>
  <c r="AD196" i="3"/>
  <c r="AF772" i="1"/>
  <c r="X772" i="1"/>
  <c r="AD772" i="1"/>
  <c r="AG772" i="1"/>
  <c r="AD901" i="3"/>
  <c r="V901" i="3"/>
  <c r="AB901" i="3"/>
  <c r="AE901" i="3"/>
  <c r="AA300" i="3"/>
  <c r="AH347" i="3"/>
  <c r="AG491" i="2"/>
  <c r="AC827" i="1"/>
  <c r="AC690" i="1"/>
  <c r="AC734" i="2"/>
  <c r="AA881" i="3"/>
  <c r="AG513" i="2"/>
  <c r="AG779" i="2"/>
  <c r="AF979" i="1"/>
  <c r="AD254" i="3"/>
  <c r="AC715" i="2"/>
  <c r="AD909" i="3"/>
  <c r="T231" i="2"/>
  <c r="S231" i="2"/>
  <c r="AD78" i="3"/>
  <c r="V157" i="3"/>
  <c r="AB157" i="3"/>
  <c r="AE157" i="3"/>
  <c r="AG157" i="3"/>
  <c r="AA156" i="3"/>
  <c r="AH373" i="3"/>
  <c r="AD728" i="3"/>
  <c r="AC785" i="2"/>
  <c r="Z830" i="2"/>
  <c r="V753" i="3"/>
  <c r="AB753" i="3"/>
  <c r="AE753" i="3"/>
  <c r="AG753" i="3"/>
  <c r="AA97" i="3"/>
  <c r="U344" i="2"/>
  <c r="AA344" i="2"/>
  <c r="AD344" i="2"/>
  <c r="AF344" i="2"/>
  <c r="AF303" i="2"/>
  <c r="Z893" i="2"/>
  <c r="U288" i="2"/>
  <c r="AA288" i="2"/>
  <c r="AD288" i="2"/>
  <c r="AF288" i="2"/>
  <c r="V800" i="3"/>
  <c r="AB800" i="3"/>
  <c r="AE800" i="3"/>
  <c r="AG800" i="3"/>
  <c r="AF954" i="1"/>
  <c r="V904" i="2"/>
  <c r="AB904" i="2"/>
  <c r="AE904" i="2"/>
  <c r="AC821" i="2"/>
  <c r="Z440" i="2"/>
  <c r="V37" i="3"/>
  <c r="AB37" i="3"/>
  <c r="AE37" i="3"/>
  <c r="AG37" i="3"/>
  <c r="Z511" i="2"/>
  <c r="V869" i="3"/>
  <c r="AB869" i="3"/>
  <c r="AE869" i="3"/>
  <c r="AG869" i="3"/>
  <c r="AF886" i="1"/>
  <c r="V913" i="3"/>
  <c r="AB913" i="3"/>
  <c r="AE913" i="3"/>
  <c r="AG913" i="3"/>
  <c r="Z680" i="2"/>
  <c r="AF997" i="1"/>
  <c r="AC607" i="2"/>
  <c r="AD898" i="3"/>
  <c r="AD593" i="3"/>
  <c r="AH560" i="3"/>
  <c r="AC280" i="2"/>
  <c r="AD239" i="3"/>
  <c r="AA304" i="3"/>
  <c r="W304" i="3"/>
  <c r="AC304" i="3"/>
  <c r="AC624" i="2"/>
  <c r="AH281" i="3"/>
  <c r="Z215" i="2"/>
  <c r="AC546" i="2"/>
  <c r="AC829" i="1"/>
  <c r="AC327" i="2"/>
  <c r="V365" i="3"/>
  <c r="AB365" i="3"/>
  <c r="AE365" i="3"/>
  <c r="AG365" i="3"/>
  <c r="AA698" i="3"/>
  <c r="AD285" i="3"/>
  <c r="U217" i="2"/>
  <c r="AA217" i="2"/>
  <c r="AD217" i="2"/>
  <c r="AF217" i="2"/>
  <c r="AH29" i="3"/>
  <c r="AD175" i="3"/>
  <c r="AD199" i="3"/>
  <c r="AD761" i="3"/>
  <c r="V250" i="3"/>
  <c r="AB250" i="3"/>
  <c r="AE250" i="3"/>
  <c r="AG250" i="3"/>
  <c r="AD850" i="3"/>
  <c r="AA50" i="3"/>
  <c r="X905" i="1"/>
  <c r="AD905" i="1"/>
  <c r="AG905" i="1"/>
  <c r="AI905" i="1"/>
  <c r="AC415" i="2"/>
  <c r="M723" i="1"/>
  <c r="AC864" i="2"/>
  <c r="AF969" i="1"/>
  <c r="U485" i="2"/>
  <c r="AA485" i="2"/>
  <c r="AD485" i="2"/>
  <c r="AF485" i="2"/>
  <c r="V965" i="3"/>
  <c r="AB965" i="3"/>
  <c r="AE965" i="3"/>
  <c r="AG965" i="3"/>
  <c r="AF431" i="2"/>
  <c r="Z790" i="2"/>
  <c r="V333" i="3"/>
  <c r="AB333" i="3"/>
  <c r="AE333" i="3"/>
  <c r="AG333" i="3"/>
  <c r="AC700" i="1"/>
  <c r="V223" i="3"/>
  <c r="AB223" i="3"/>
  <c r="AE223" i="3"/>
  <c r="AG223" i="3"/>
  <c r="Z209" i="2"/>
  <c r="AD302" i="3"/>
  <c r="AA634" i="3"/>
  <c r="AG869" i="2"/>
  <c r="AD781" i="3"/>
  <c r="AE538" i="2"/>
  <c r="AG538" i="2"/>
  <c r="AF939" i="1"/>
  <c r="AC697" i="2"/>
  <c r="AG221" i="2"/>
  <c r="Z279" i="2"/>
  <c r="AJ910" i="1"/>
  <c r="AF1004" i="1"/>
  <c r="AG572" i="2"/>
  <c r="AD394" i="3"/>
  <c r="V681" i="3"/>
  <c r="AB681" i="3"/>
  <c r="AE681" i="3"/>
  <c r="AG681" i="3"/>
  <c r="AC729" i="1"/>
  <c r="AC707" i="1"/>
  <c r="AE754" i="3"/>
  <c r="V754" i="3"/>
  <c r="AB754" i="3"/>
  <c r="AD754" i="3"/>
  <c r="AG404" i="3"/>
  <c r="AA160" i="3"/>
  <c r="AC354" i="2"/>
  <c r="AC732" i="1"/>
  <c r="AJ935" i="1"/>
  <c r="AC686" i="1"/>
  <c r="AG493" i="2"/>
  <c r="AF676" i="1"/>
  <c r="AA563" i="3"/>
  <c r="AC827" i="2"/>
  <c r="Z270" i="2"/>
  <c r="AF897" i="1"/>
  <c r="AA105" i="3"/>
  <c r="AC745" i="2"/>
  <c r="V359" i="3"/>
  <c r="AB359" i="3"/>
  <c r="AE359" i="3"/>
  <c r="AG359" i="3"/>
  <c r="Z928" i="2"/>
  <c r="Z231" i="2"/>
  <c r="AD607" i="3"/>
  <c r="AD473" i="3"/>
  <c r="M857" i="1"/>
  <c r="AA28" i="3"/>
  <c r="AC246" i="2"/>
  <c r="AE758" i="3"/>
  <c r="V758" i="3"/>
  <c r="AB758" i="3"/>
  <c r="AD758" i="3"/>
  <c r="AA884" i="3"/>
  <c r="AG754" i="2"/>
  <c r="AH973" i="3"/>
  <c r="AH663" i="3"/>
  <c r="AD339" i="3"/>
  <c r="AC493" i="2"/>
  <c r="AD627" i="3"/>
  <c r="AC999" i="1"/>
  <c r="AD945" i="3"/>
  <c r="M833" i="1"/>
  <c r="U715" i="2"/>
  <c r="AA715" i="2"/>
  <c r="AD715" i="2"/>
  <c r="AF715" i="2"/>
  <c r="AA111" i="3"/>
  <c r="V78" i="3"/>
  <c r="AB78" i="3"/>
  <c r="AE78" i="3"/>
  <c r="AG78" i="3"/>
  <c r="Z410" i="2"/>
  <c r="AF955" i="1"/>
  <c r="Z992" i="2"/>
  <c r="Z347" i="2"/>
  <c r="Z1000" i="2"/>
  <c r="AC278" i="2"/>
  <c r="AG172" i="3"/>
  <c r="Z523" i="2"/>
  <c r="V718" i="3"/>
  <c r="AB718" i="3"/>
  <c r="AE718" i="3"/>
  <c r="AG718" i="3"/>
  <c r="V552" i="3"/>
  <c r="AB552" i="3"/>
  <c r="AE552" i="3"/>
  <c r="AG552" i="3"/>
  <c r="Z602" i="2"/>
  <c r="AG387" i="2"/>
  <c r="AA721" i="3"/>
  <c r="AF808" i="1"/>
  <c r="AA519" i="3"/>
  <c r="U846" i="3"/>
  <c r="T846" i="3"/>
  <c r="AF854" i="1"/>
  <c r="Z372" i="2"/>
  <c r="AC500" i="2"/>
  <c r="AD693" i="3"/>
  <c r="AD410" i="3"/>
  <c r="AH265" i="3"/>
  <c r="Z483" i="2"/>
  <c r="AF778" i="1"/>
  <c r="AF760" i="1"/>
  <c r="V306" i="3"/>
  <c r="AB306" i="3"/>
  <c r="AE306" i="3"/>
  <c r="AG306" i="3"/>
  <c r="V898" i="3"/>
  <c r="AB898" i="3"/>
  <c r="AE898" i="3"/>
  <c r="AG898" i="3"/>
  <c r="AA657" i="3"/>
  <c r="AH107" i="3"/>
  <c r="AA175" i="3"/>
  <c r="M956" i="1"/>
  <c r="AC814" i="2"/>
  <c r="AD286" i="3"/>
  <c r="AD689" i="3"/>
  <c r="AA541" i="3"/>
  <c r="AC621" i="2"/>
  <c r="AD862" i="3"/>
  <c r="AD911" i="3"/>
  <c r="AF835" i="1"/>
  <c r="AF885" i="1"/>
  <c r="AA528" i="3"/>
  <c r="AG665" i="2"/>
  <c r="AH693" i="3"/>
  <c r="AC688" i="1"/>
  <c r="X793" i="1"/>
  <c r="AD793" i="1"/>
  <c r="AG793" i="1"/>
  <c r="AI793" i="1"/>
  <c r="AD756" i="3"/>
  <c r="AA932" i="3"/>
  <c r="M893" i="1"/>
  <c r="AC932" i="1"/>
  <c r="AC290" i="2"/>
  <c r="AD735" i="3"/>
  <c r="AD801" i="3"/>
  <c r="AG962" i="2"/>
  <c r="AB888" i="1"/>
  <c r="AA888" i="1"/>
  <c r="V55" i="3"/>
  <c r="AB55" i="3"/>
  <c r="AE55" i="3"/>
  <c r="AG55" i="3"/>
  <c r="AC701" i="1"/>
  <c r="AC689" i="1"/>
  <c r="AD977" i="3"/>
  <c r="AA203" i="3"/>
  <c r="Z229" i="2"/>
  <c r="AC332" i="2"/>
  <c r="AF964" i="1"/>
  <c r="AC806" i="1"/>
  <c r="AC916" i="2"/>
  <c r="X372" i="2"/>
  <c r="Y372" i="2"/>
  <c r="AC972" i="1"/>
  <c r="AC321" i="2"/>
  <c r="AA296" i="3"/>
  <c r="AD958" i="3"/>
  <c r="AA363" i="3"/>
  <c r="AD329" i="3"/>
  <c r="V278" i="3"/>
  <c r="AB278" i="3"/>
  <c r="AE278" i="3"/>
  <c r="AG278" i="3"/>
  <c r="AC807" i="1"/>
  <c r="AF776" i="1"/>
  <c r="X944" i="1"/>
  <c r="AD944" i="1"/>
  <c r="AG944" i="1"/>
  <c r="AI944" i="1"/>
  <c r="U505" i="2"/>
  <c r="AA505" i="2"/>
  <c r="AD505" i="2"/>
  <c r="AF505" i="2"/>
  <c r="AG579" i="2"/>
  <c r="W792" i="1"/>
  <c r="V792" i="1"/>
  <c r="X955" i="1"/>
  <c r="AD955" i="1"/>
  <c r="AG955" i="1"/>
  <c r="AI955" i="1"/>
  <c r="X788" i="1"/>
  <c r="AD788" i="1"/>
  <c r="AG788" i="1"/>
  <c r="AI788" i="1"/>
  <c r="AJ1001" i="1"/>
  <c r="Z784" i="2"/>
  <c r="V784" i="2"/>
  <c r="AB784" i="2"/>
  <c r="AC559" i="2"/>
  <c r="AH221" i="3"/>
  <c r="AH761" i="3"/>
  <c r="M681" i="1"/>
  <c r="V275" i="3"/>
  <c r="AB275" i="3"/>
  <c r="AE275" i="3"/>
  <c r="AG275" i="3"/>
  <c r="AC633" i="2"/>
  <c r="AF874" i="1"/>
  <c r="AH704" i="3"/>
  <c r="AC931" i="2"/>
  <c r="AA427" i="3"/>
  <c r="AC199" i="2"/>
  <c r="AD493" i="3"/>
  <c r="V790" i="1"/>
  <c r="W790" i="1"/>
  <c r="AC836" i="1"/>
  <c r="AH582" i="3"/>
  <c r="V150" i="3"/>
  <c r="AB150" i="3"/>
  <c r="AE150" i="3"/>
  <c r="AG150" i="3"/>
  <c r="M774" i="1"/>
  <c r="Z308" i="3"/>
  <c r="Y308" i="3"/>
  <c r="X934" i="1"/>
  <c r="AD934" i="1"/>
  <c r="AG934" i="1"/>
  <c r="AI934" i="1"/>
  <c r="AD812" i="3"/>
  <c r="Z989" i="2"/>
  <c r="AH343" i="3"/>
  <c r="AG432" i="2"/>
  <c r="Z330" i="2"/>
  <c r="V405" i="3"/>
  <c r="AB405" i="3"/>
  <c r="AE405" i="3"/>
  <c r="AG405" i="3"/>
  <c r="AC412" i="2"/>
  <c r="AF329" i="2"/>
  <c r="AD295" i="3"/>
  <c r="AD618" i="3"/>
  <c r="AC625" i="2"/>
  <c r="AD788" i="3"/>
  <c r="AC797" i="2"/>
  <c r="V286" i="3"/>
  <c r="AB286" i="3"/>
  <c r="AE286" i="3"/>
  <c r="AG286" i="3"/>
  <c r="Z355" i="2"/>
  <c r="U614" i="2"/>
  <c r="AA614" i="2"/>
  <c r="AD614" i="2"/>
  <c r="AF614" i="2"/>
  <c r="AI811" i="1"/>
  <c r="AD833" i="3"/>
  <c r="U466" i="2"/>
  <c r="AA466" i="2"/>
  <c r="AD466" i="2"/>
  <c r="AF466" i="2"/>
  <c r="AC191" i="2"/>
  <c r="AJ1018" i="1"/>
  <c r="Z408" i="2"/>
  <c r="M838" i="1"/>
  <c r="AC816" i="2"/>
  <c r="AG978" i="3"/>
  <c r="Z625" i="2"/>
  <c r="Z841" i="2"/>
  <c r="AA362" i="3"/>
  <c r="AC480" i="2"/>
  <c r="AH820" i="3"/>
  <c r="Z421" i="2"/>
  <c r="Z433" i="2"/>
  <c r="Z302" i="2"/>
  <c r="AF781" i="1"/>
  <c r="AA382" i="3"/>
  <c r="AC660" i="2"/>
  <c r="U958" i="3"/>
  <c r="T958" i="3"/>
  <c r="AG442" i="2"/>
  <c r="AC954" i="2"/>
  <c r="U667" i="2"/>
  <c r="AA667" i="2"/>
  <c r="AD667" i="2"/>
  <c r="AF667" i="2"/>
  <c r="Z929" i="2"/>
  <c r="M855" i="1"/>
  <c r="AD670" i="3"/>
  <c r="Z743" i="2"/>
  <c r="Z382" i="2"/>
  <c r="U789" i="2"/>
  <c r="AA789" i="2"/>
  <c r="AD789" i="2"/>
  <c r="AF789" i="2"/>
  <c r="AA270" i="3"/>
  <c r="Z201" i="2"/>
  <c r="X760" i="1"/>
  <c r="AD760" i="1"/>
  <c r="AG760" i="1"/>
  <c r="AI760" i="1"/>
  <c r="AC865" i="1"/>
  <c r="Z413" i="2"/>
  <c r="AD844" i="3"/>
  <c r="AC887" i="2"/>
  <c r="AF645" i="3"/>
  <c r="Z250" i="2"/>
  <c r="V140" i="3"/>
  <c r="AB140" i="3"/>
  <c r="AE140" i="3"/>
  <c r="AG140" i="3"/>
  <c r="AC564" i="2"/>
  <c r="AH294" i="3"/>
  <c r="AA926" i="3"/>
  <c r="AD787" i="2"/>
  <c r="U787" i="2"/>
  <c r="AA787" i="2"/>
  <c r="AC787" i="2"/>
  <c r="V786" i="3"/>
  <c r="AB786" i="3"/>
  <c r="AE786" i="3"/>
  <c r="AG786" i="3"/>
  <c r="AA478" i="3"/>
  <c r="AD221" i="3"/>
  <c r="AH487" i="3"/>
  <c r="AC673" i="2"/>
  <c r="Z800" i="2"/>
  <c r="AH126" i="3"/>
  <c r="U340" i="2"/>
  <c r="AA340" i="2"/>
  <c r="AD340" i="2"/>
  <c r="AF340" i="2"/>
  <c r="V794" i="3"/>
  <c r="AB794" i="3"/>
  <c r="AE794" i="3"/>
  <c r="AG794" i="3"/>
  <c r="M768" i="1"/>
  <c r="M765" i="1"/>
  <c r="AF76" i="1"/>
  <c r="AJ740" i="1"/>
  <c r="AC256" i="2"/>
  <c r="V440" i="3"/>
  <c r="AB440" i="3"/>
  <c r="AE440" i="3"/>
  <c r="AG440" i="3"/>
  <c r="Z912" i="2"/>
  <c r="M781" i="1"/>
  <c r="AD572" i="3"/>
  <c r="AA178" i="3"/>
  <c r="AA661" i="3"/>
  <c r="Z802" i="3"/>
  <c r="Y802" i="3"/>
  <c r="V802" i="3"/>
  <c r="AB802" i="3"/>
  <c r="AH664" i="3"/>
  <c r="M799" i="1"/>
  <c r="AG661" i="2"/>
  <c r="Z596" i="2"/>
  <c r="AD676" i="3"/>
  <c r="Z760" i="2"/>
  <c r="AA92" i="3"/>
  <c r="AC955" i="1"/>
  <c r="V583" i="3"/>
  <c r="AB583" i="3"/>
  <c r="AE583" i="3"/>
  <c r="AG583" i="3"/>
  <c r="V850" i="3"/>
  <c r="AB850" i="3"/>
  <c r="AE850" i="3"/>
  <c r="AG850" i="3"/>
  <c r="AD595" i="3"/>
  <c r="AA801" i="3"/>
  <c r="AF817" i="1"/>
  <c r="U633" i="2"/>
  <c r="AA633" i="2"/>
  <c r="AD633" i="2"/>
  <c r="AF633" i="2"/>
  <c r="AD667" i="3"/>
  <c r="U807" i="3"/>
  <c r="T807" i="3"/>
  <c r="AJ675" i="1"/>
  <c r="AF684" i="1"/>
  <c r="AJ758" i="1"/>
  <c r="AD832" i="3"/>
  <c r="AH375" i="3"/>
  <c r="X824" i="1"/>
  <c r="AD824" i="1"/>
  <c r="AG824" i="1"/>
  <c r="AI824" i="1"/>
  <c r="Z741" i="2"/>
  <c r="AC757" i="2"/>
  <c r="AC334" i="2"/>
  <c r="Z896" i="2"/>
  <c r="AD560" i="3"/>
  <c r="AG795" i="2"/>
  <c r="AC776" i="1"/>
  <c r="U412" i="2"/>
  <c r="AA412" i="2"/>
  <c r="AD412" i="2"/>
  <c r="AF412" i="2"/>
  <c r="U836" i="2"/>
  <c r="AA836" i="2"/>
  <c r="AD836" i="2"/>
  <c r="AF836" i="2"/>
  <c r="AC443" i="2"/>
  <c r="V580" i="3"/>
  <c r="AB580" i="3"/>
  <c r="AE580" i="3"/>
  <c r="AG580" i="3"/>
  <c r="AD975" i="3"/>
  <c r="AH634" i="3"/>
  <c r="AF679" i="1"/>
  <c r="AJ876" i="1"/>
  <c r="Z592" i="2"/>
  <c r="AD326" i="3"/>
  <c r="AG303" i="2"/>
  <c r="V372" i="3"/>
  <c r="AB372" i="3"/>
  <c r="AE372" i="3"/>
  <c r="AG372" i="3"/>
  <c r="AA165" i="3"/>
  <c r="M77" i="1"/>
  <c r="AD369" i="2"/>
  <c r="U369" i="2"/>
  <c r="AA369" i="2"/>
  <c r="AC369" i="2"/>
  <c r="AG737" i="2"/>
  <c r="AJ664" i="1"/>
  <c r="U279" i="2"/>
  <c r="AA279" i="2"/>
  <c r="AD279" i="2"/>
  <c r="AF279" i="2"/>
  <c r="Z486" i="2"/>
  <c r="Z866" i="2"/>
  <c r="Z903" i="2"/>
  <c r="V903" i="2"/>
  <c r="AB903" i="2"/>
  <c r="U491" i="2"/>
  <c r="AA491" i="2"/>
  <c r="AD491" i="2"/>
  <c r="AF491" i="2"/>
  <c r="AA394" i="3"/>
  <c r="Z779" i="2"/>
  <c r="AC464" i="2"/>
  <c r="AC714" i="2"/>
  <c r="AD439" i="3"/>
  <c r="U327" i="2"/>
  <c r="AA327" i="2"/>
  <c r="AD327" i="2"/>
  <c r="AF327" i="2"/>
  <c r="AC451" i="2"/>
  <c r="AD656" i="3"/>
  <c r="Z664" i="2"/>
  <c r="U659" i="3"/>
  <c r="T659" i="3"/>
  <c r="AG942" i="2"/>
  <c r="AE471" i="2"/>
  <c r="AA835" i="3"/>
  <c r="AD209" i="3"/>
  <c r="AC637" i="2"/>
  <c r="AA748" i="3"/>
  <c r="AD534" i="3"/>
  <c r="AH486" i="3"/>
  <c r="M716" i="1"/>
  <c r="AC209" i="2"/>
  <c r="M804" i="1"/>
  <c r="AF910" i="1"/>
  <c r="AC478" i="2"/>
  <c r="V827" i="3"/>
  <c r="AB827" i="3"/>
  <c r="AE827" i="3"/>
  <c r="AG827" i="3"/>
  <c r="V660" i="3"/>
  <c r="AB660" i="3"/>
  <c r="AE660" i="3"/>
  <c r="AG660" i="3"/>
  <c r="Z856" i="2"/>
  <c r="AA91" i="3"/>
  <c r="AG537" i="2"/>
  <c r="Z716" i="2"/>
  <c r="V686" i="3"/>
  <c r="AB686" i="3"/>
  <c r="AE686" i="3"/>
  <c r="AG686" i="3"/>
  <c r="AC398" i="2"/>
  <c r="U380" i="2"/>
  <c r="AA380" i="2"/>
  <c r="AD380" i="2"/>
  <c r="AF380" i="2"/>
  <c r="AD632" i="3"/>
  <c r="AD183" i="3"/>
  <c r="V228" i="2"/>
  <c r="AB228" i="2"/>
  <c r="AE228" i="2"/>
  <c r="AG228" i="2"/>
  <c r="AG473" i="2"/>
  <c r="AH833" i="3"/>
  <c r="AA603" i="3"/>
  <c r="Z618" i="2"/>
  <c r="AF721" i="1"/>
  <c r="AC928" i="1"/>
  <c r="AF603" i="2"/>
  <c r="V338" i="3"/>
  <c r="AB338" i="3"/>
  <c r="AE338" i="3"/>
  <c r="AG338" i="3"/>
  <c r="Z188" i="2"/>
  <c r="AD252" i="3"/>
  <c r="AC216" i="2"/>
  <c r="X709" i="1"/>
  <c r="AD709" i="1"/>
  <c r="AG709" i="1"/>
  <c r="AI709" i="1"/>
  <c r="Z604" i="2"/>
  <c r="AD678" i="3"/>
  <c r="AF1002" i="1"/>
  <c r="X724" i="1"/>
  <c r="AD724" i="1"/>
  <c r="AG724" i="1"/>
  <c r="AI724" i="1"/>
  <c r="AC769" i="1"/>
  <c r="U994" i="2"/>
  <c r="AA994" i="2"/>
  <c r="AD994" i="2"/>
  <c r="AF994" i="2"/>
  <c r="AA966" i="3"/>
  <c r="Z569" i="2"/>
  <c r="AG270" i="2"/>
  <c r="AC763" i="2"/>
  <c r="AD590" i="3"/>
  <c r="AH59" i="3"/>
  <c r="AC599" i="2"/>
  <c r="AA869" i="3"/>
  <c r="W869" i="3"/>
  <c r="AC869" i="3"/>
  <c r="AF916" i="1"/>
  <c r="Z550" i="2"/>
  <c r="AJ909" i="1"/>
  <c r="V292" i="3"/>
  <c r="AB292" i="3"/>
  <c r="AE292" i="3"/>
  <c r="AG292" i="3"/>
  <c r="AF869" i="1"/>
  <c r="AG964" i="2"/>
  <c r="Z859" i="2"/>
  <c r="AA648" i="3"/>
  <c r="AA345" i="3"/>
  <c r="AC610" i="2"/>
  <c r="AG257" i="3"/>
  <c r="V303" i="3"/>
  <c r="AB303" i="3"/>
  <c r="AE303" i="3"/>
  <c r="AG303" i="3"/>
  <c r="X825" i="1"/>
  <c r="AD825" i="1"/>
  <c r="AG825" i="1"/>
  <c r="AI825" i="1"/>
  <c r="U220" i="2"/>
  <c r="AA220" i="2"/>
  <c r="AD220" i="2"/>
  <c r="AF220" i="2"/>
  <c r="AC705" i="1"/>
  <c r="AC701" i="2"/>
  <c r="AH596" i="3"/>
  <c r="AH519" i="3"/>
  <c r="AA248" i="3"/>
  <c r="AH778" i="3"/>
  <c r="Z297" i="2"/>
  <c r="AG426" i="2"/>
  <c r="AH668" i="3"/>
  <c r="AA761" i="3"/>
  <c r="Z473" i="2"/>
  <c r="AD535" i="3"/>
  <c r="AG877" i="2"/>
  <c r="U647" i="2"/>
  <c r="AA647" i="2"/>
  <c r="AD647" i="2"/>
  <c r="AF647" i="2"/>
  <c r="AA425" i="3"/>
  <c r="Z444" i="2"/>
  <c r="AF843" i="1"/>
  <c r="AC193" i="2"/>
  <c r="U184" i="3"/>
  <c r="T184" i="3"/>
  <c r="AA494" i="3"/>
  <c r="AA501" i="3"/>
  <c r="AF879" i="1"/>
  <c r="AH855" i="3"/>
  <c r="Z352" i="2"/>
  <c r="Z522" i="2"/>
  <c r="V400" i="3"/>
  <c r="AB400" i="3"/>
  <c r="AE400" i="3"/>
  <c r="AG400" i="3"/>
  <c r="AJ756" i="1"/>
  <c r="T455" i="3"/>
  <c r="U455" i="3"/>
  <c r="AH318" i="3"/>
  <c r="AD293" i="3"/>
  <c r="Z551" i="2"/>
  <c r="AA151" i="3"/>
  <c r="AC851" i="2"/>
  <c r="AA846" i="3"/>
  <c r="M775" i="1"/>
  <c r="V192" i="3"/>
  <c r="AB192" i="3"/>
  <c r="AE192" i="3"/>
  <c r="AG192" i="3"/>
  <c r="AH888" i="3"/>
  <c r="AF822" i="1"/>
  <c r="AC775" i="1"/>
  <c r="Z360" i="2"/>
  <c r="V935" i="3"/>
  <c r="AB935" i="3"/>
  <c r="AE935" i="3"/>
  <c r="AG935" i="3"/>
  <c r="AC529" i="2"/>
  <c r="AG863" i="2"/>
  <c r="Z244" i="2"/>
  <c r="V428" i="3"/>
  <c r="AB428" i="3"/>
  <c r="AE428" i="3"/>
  <c r="AG428" i="3"/>
  <c r="V775" i="3"/>
  <c r="AB775" i="3"/>
  <c r="AE775" i="3"/>
  <c r="AG775" i="3"/>
  <c r="AC715" i="1"/>
  <c r="AH314" i="3"/>
  <c r="AA45" i="3"/>
  <c r="V297" i="3"/>
  <c r="AB297" i="3"/>
  <c r="AE297" i="3"/>
  <c r="AG297" i="3"/>
  <c r="AD61" i="3"/>
  <c r="AC958" i="1"/>
  <c r="V418" i="3"/>
  <c r="AB418" i="3"/>
  <c r="AE418" i="3"/>
  <c r="AG418" i="3"/>
  <c r="U675" i="2"/>
  <c r="AA675" i="2"/>
  <c r="AD675" i="2"/>
  <c r="AF675" i="2"/>
  <c r="AD314" i="3"/>
  <c r="V44" i="3"/>
  <c r="AB44" i="3"/>
  <c r="AE44" i="3"/>
  <c r="AG44" i="3"/>
  <c r="Z198" i="2"/>
  <c r="AG885" i="2"/>
  <c r="AD838" i="3"/>
  <c r="X784" i="1"/>
  <c r="AD784" i="1"/>
  <c r="AG784" i="1"/>
  <c r="AI784" i="1"/>
  <c r="AA285" i="3"/>
  <c r="AH849" i="3"/>
  <c r="AH230" i="3"/>
  <c r="U333" i="2"/>
  <c r="AA333" i="2"/>
  <c r="AD333" i="2"/>
  <c r="AF333" i="2"/>
  <c r="AD218" i="3"/>
  <c r="M726" i="1"/>
  <c r="AC661" i="2"/>
  <c r="AA637" i="3"/>
  <c r="AA690" i="3"/>
  <c r="AG391" i="2"/>
  <c r="AA376" i="3"/>
  <c r="AC777" i="2"/>
  <c r="AH993" i="3"/>
  <c r="AA141" i="3"/>
  <c r="AA841" i="3"/>
  <c r="AG678" i="2"/>
  <c r="AD361" i="3"/>
  <c r="Y488" i="3"/>
  <c r="Z488" i="3"/>
  <c r="U790" i="2"/>
  <c r="AA790" i="2"/>
  <c r="AD790" i="2"/>
  <c r="AF790" i="2"/>
  <c r="M126" i="1"/>
  <c r="AD76" i="1"/>
  <c r="AG76" i="1"/>
  <c r="AI76" i="1"/>
  <c r="AF1014" i="1"/>
  <c r="M880" i="1"/>
  <c r="AC965" i="1"/>
  <c r="AH697" i="3"/>
  <c r="AD982" i="3"/>
  <c r="W713" i="3"/>
  <c r="AC713" i="3"/>
  <c r="AF713" i="3"/>
  <c r="AH713" i="3"/>
  <c r="M671" i="1"/>
  <c r="AA961" i="3"/>
  <c r="V819" i="3"/>
  <c r="AB819" i="3"/>
  <c r="AE819" i="3"/>
  <c r="AG819" i="3"/>
  <c r="AG820" i="2"/>
  <c r="U298" i="2"/>
  <c r="AA298" i="2"/>
  <c r="AD298" i="2"/>
  <c r="AF298" i="2"/>
  <c r="AH289" i="3"/>
  <c r="M840" i="1"/>
  <c r="V734" i="3"/>
  <c r="AB734" i="3"/>
  <c r="AE734" i="3"/>
  <c r="AG734" i="3"/>
  <c r="X696" i="1"/>
  <c r="AD696" i="1"/>
  <c r="AG696" i="1"/>
  <c r="AI696" i="1"/>
  <c r="AC786" i="2"/>
  <c r="AC780" i="2"/>
  <c r="AD64" i="3"/>
  <c r="AF786" i="1"/>
  <c r="AJ708" i="1"/>
  <c r="Z558" i="2"/>
  <c r="V48" i="3"/>
  <c r="AB48" i="3"/>
  <c r="AE48" i="3"/>
  <c r="AG48" i="3"/>
  <c r="AC630" i="2"/>
  <c r="AJ987" i="1"/>
  <c r="AC781" i="1"/>
  <c r="Z387" i="2"/>
  <c r="Z218" i="2"/>
  <c r="AC738" i="2"/>
  <c r="AA617" i="3"/>
  <c r="AH84" i="3"/>
  <c r="M687" i="1"/>
  <c r="AA94" i="3"/>
  <c r="AC311" i="2"/>
  <c r="AC516" i="2"/>
  <c r="AD271" i="3"/>
  <c r="Z615" i="2"/>
  <c r="AC601" i="2"/>
  <c r="W142" i="3"/>
  <c r="AC142" i="3"/>
  <c r="AF142" i="3"/>
  <c r="X752" i="1"/>
  <c r="AD752" i="1"/>
  <c r="AG752" i="1"/>
  <c r="AI752" i="1"/>
  <c r="Y898" i="2"/>
  <c r="X898" i="2"/>
  <c r="AF766" i="1"/>
  <c r="M727" i="1"/>
  <c r="AD783" i="3"/>
  <c r="AJ849" i="1"/>
  <c r="AA723" i="3"/>
  <c r="AF790" i="1"/>
  <c r="AD381" i="3"/>
  <c r="AA757" i="3"/>
  <c r="AA957" i="3"/>
  <c r="AC857" i="1"/>
  <c r="AD398" i="3"/>
  <c r="V729" i="3"/>
  <c r="AB729" i="3"/>
  <c r="AE729" i="3"/>
  <c r="AG729" i="3"/>
  <c r="AH171" i="3"/>
  <c r="AH61" i="3"/>
  <c r="AG109" i="3"/>
  <c r="Z773" i="2"/>
  <c r="AC740" i="1"/>
  <c r="W318" i="3"/>
  <c r="AC318" i="3"/>
  <c r="AF318" i="3"/>
  <c r="AA44" i="3"/>
  <c r="AD573" i="3"/>
  <c r="AF757" i="1"/>
  <c r="AD313" i="3"/>
  <c r="AD408" i="3"/>
  <c r="AC673" i="1"/>
  <c r="Z184" i="2"/>
  <c r="U286" i="2"/>
  <c r="AA286" i="2"/>
  <c r="AD286" i="2"/>
  <c r="AF286" i="2"/>
  <c r="AD768" i="3"/>
  <c r="M798" i="1"/>
  <c r="T816" i="2"/>
  <c r="S816" i="2"/>
  <c r="V87" i="3"/>
  <c r="AB87" i="3"/>
  <c r="AE87" i="3"/>
  <c r="AG87" i="3"/>
  <c r="AD323" i="3"/>
  <c r="AC1011" i="1"/>
  <c r="AA572" i="3"/>
  <c r="W572" i="3"/>
  <c r="AC572" i="3"/>
  <c r="AC232" i="2"/>
  <c r="Z1001" i="2"/>
  <c r="AC671" i="2"/>
  <c r="W815" i="1"/>
  <c r="V815" i="1"/>
  <c r="AF957" i="1"/>
  <c r="AD974" i="3"/>
  <c r="AH711" i="3"/>
  <c r="AA328" i="3"/>
  <c r="AA176" i="3"/>
  <c r="AG831" i="3"/>
  <c r="W524" i="3"/>
  <c r="AC524" i="3"/>
  <c r="AF524" i="3"/>
  <c r="AC852" i="2"/>
  <c r="V394" i="2"/>
  <c r="AB394" i="2"/>
  <c r="AE394" i="2"/>
  <c r="AF904" i="1"/>
  <c r="AJ934" i="1"/>
  <c r="AA853" i="3"/>
  <c r="AD388" i="3"/>
  <c r="W520" i="3"/>
  <c r="AC520" i="3"/>
  <c r="AF520" i="3"/>
  <c r="AH520" i="3"/>
  <c r="AH432" i="3"/>
  <c r="AA442" i="3"/>
  <c r="W442" i="3"/>
  <c r="AC442" i="3"/>
  <c r="AC1007" i="2"/>
  <c r="Z241" i="2"/>
  <c r="AC756" i="2"/>
  <c r="AJ695" i="1"/>
  <c r="AA39" i="3"/>
  <c r="V332" i="3"/>
  <c r="AB332" i="3"/>
  <c r="AE332" i="3"/>
  <c r="AG332" i="3"/>
  <c r="Y319" i="3"/>
  <c r="Z319" i="3"/>
  <c r="U232" i="2"/>
  <c r="AA232" i="2"/>
  <c r="AD232" i="2"/>
  <c r="AF232" i="2"/>
  <c r="AA368" i="3"/>
  <c r="AA971" i="3"/>
  <c r="U283" i="2"/>
  <c r="AA283" i="2"/>
  <c r="AD283" i="2"/>
  <c r="AF283" i="2"/>
  <c r="AC250" i="2"/>
  <c r="AG323" i="2"/>
  <c r="V361" i="3"/>
  <c r="AB361" i="3"/>
  <c r="AE361" i="3"/>
  <c r="AG361" i="3"/>
  <c r="U285" i="2"/>
  <c r="AA285" i="2"/>
  <c r="AD285" i="2"/>
  <c r="AF285" i="2"/>
  <c r="AD645" i="3"/>
  <c r="AE934" i="3"/>
  <c r="V934" i="3"/>
  <c r="AB934" i="3"/>
  <c r="AD934" i="3"/>
  <c r="AD571" i="3"/>
  <c r="AA836" i="3"/>
  <c r="AG898" i="2"/>
  <c r="X939" i="1"/>
  <c r="AD939" i="1"/>
  <c r="AG939" i="1"/>
  <c r="AI939" i="1"/>
  <c r="AD45" i="3"/>
  <c r="AC806" i="2"/>
  <c r="Z350" i="2"/>
  <c r="AD751" i="3"/>
  <c r="AJ834" i="1"/>
  <c r="X909" i="1"/>
  <c r="AD909" i="1"/>
  <c r="AG909" i="1"/>
  <c r="AI909" i="1"/>
  <c r="AJ781" i="1"/>
  <c r="AC736" i="2"/>
  <c r="X764" i="1"/>
  <c r="AD764" i="1"/>
  <c r="AG764" i="1"/>
  <c r="AI764" i="1"/>
  <c r="AA696" i="3"/>
  <c r="Z587" i="2"/>
  <c r="AC525" i="2"/>
  <c r="V555" i="3"/>
  <c r="AB555" i="3"/>
  <c r="AE555" i="3"/>
  <c r="AG555" i="3"/>
  <c r="AD423" i="3"/>
  <c r="Z695" i="2"/>
  <c r="AA543" i="3"/>
  <c r="V807" i="3"/>
  <c r="AB807" i="3"/>
  <c r="AE807" i="3"/>
  <c r="AG807" i="3"/>
  <c r="Z546" i="2"/>
  <c r="AA414" i="3"/>
  <c r="AF961" i="1"/>
  <c r="AJ660" i="1"/>
  <c r="AG871" i="2"/>
  <c r="AA212" i="3"/>
  <c r="AG814" i="2"/>
  <c r="X737" i="1"/>
  <c r="AD737" i="1"/>
  <c r="AG737" i="1"/>
  <c r="AI737" i="1"/>
  <c r="AA745" i="3"/>
  <c r="AA358" i="3"/>
  <c r="AC343" i="2"/>
  <c r="V271" i="3"/>
  <c r="AB271" i="3"/>
  <c r="AE271" i="3"/>
  <c r="AG271" i="3"/>
  <c r="V623" i="3"/>
  <c r="AB623" i="3"/>
  <c r="AE623" i="3"/>
  <c r="AG623" i="3"/>
  <c r="AE973" i="3"/>
  <c r="V973" i="3"/>
  <c r="AB973" i="3"/>
  <c r="AD973" i="3"/>
  <c r="M866" i="1"/>
  <c r="X822" i="1"/>
  <c r="AD822" i="1"/>
  <c r="AG822" i="1"/>
  <c r="AI822" i="1"/>
  <c r="Z822" i="2"/>
  <c r="AA806" i="3"/>
  <c r="AC597" i="2"/>
  <c r="AG642" i="2"/>
  <c r="AD303" i="2"/>
  <c r="U303" i="2"/>
  <c r="AA303" i="2"/>
  <c r="AC303" i="2"/>
  <c r="AD978" i="3"/>
  <c r="V978" i="3"/>
  <c r="AB978" i="3"/>
  <c r="AE978" i="3"/>
  <c r="AA173" i="3"/>
  <c r="AC188" i="2"/>
  <c r="AC622" i="2"/>
  <c r="AG326" i="2"/>
  <c r="AG616" i="2"/>
  <c r="AF799" i="1"/>
  <c r="AF920" i="1"/>
  <c r="Z263" i="2"/>
  <c r="AF870" i="1"/>
  <c r="AH635" i="3"/>
  <c r="AC692" i="1"/>
  <c r="AC423" i="2"/>
  <c r="AH874" i="3"/>
  <c r="AF782" i="1"/>
  <c r="AH244" i="3"/>
  <c r="Z909" i="2"/>
  <c r="Z674" i="2"/>
  <c r="V103" i="3"/>
  <c r="AB103" i="3"/>
  <c r="AE103" i="3"/>
  <c r="AG103" i="3"/>
  <c r="AH842" i="3"/>
  <c r="AA526" i="3"/>
  <c r="Z980" i="2"/>
  <c r="AA544" i="3"/>
  <c r="Z303" i="2"/>
  <c r="AH51" i="3"/>
  <c r="Z183" i="2"/>
  <c r="AH768" i="3"/>
  <c r="V186" i="3"/>
  <c r="AB186" i="3"/>
  <c r="AE186" i="3"/>
  <c r="AG186" i="3"/>
  <c r="AF755" i="1"/>
  <c r="AD966" i="3"/>
  <c r="AA561" i="3"/>
  <c r="M941" i="1"/>
  <c r="U839" i="2"/>
  <c r="AA839" i="2"/>
  <c r="AD839" i="2"/>
  <c r="AF839" i="2"/>
  <c r="AG847" i="2"/>
  <c r="AD206" i="3"/>
  <c r="AH847" i="3"/>
  <c r="AC936" i="2"/>
  <c r="AC373" i="2"/>
  <c r="AH869" i="1"/>
  <c r="AJ869" i="1"/>
  <c r="AD810" i="3"/>
  <c r="AG393" i="2"/>
  <c r="AC755" i="2"/>
  <c r="AD242" i="3"/>
  <c r="AD284" i="3"/>
  <c r="AF783" i="1"/>
  <c r="AH406" i="3"/>
  <c r="AC807" i="2"/>
  <c r="Y977" i="3"/>
  <c r="Z977" i="3"/>
  <c r="AF965" i="2"/>
  <c r="U250" i="2"/>
  <c r="AA250" i="2"/>
  <c r="AD250" i="2"/>
  <c r="AF250" i="2"/>
  <c r="X761" i="1"/>
  <c r="AD761" i="1"/>
  <c r="AG761" i="1"/>
  <c r="AI761" i="1"/>
  <c r="AC833" i="2"/>
  <c r="AH181" i="3"/>
  <c r="V645" i="3"/>
  <c r="AB645" i="3"/>
  <c r="AE645" i="3"/>
  <c r="AG645" i="3"/>
  <c r="Z567" i="2"/>
  <c r="X758" i="1"/>
  <c r="AD758" i="1"/>
  <c r="AG758" i="1"/>
  <c r="AI758" i="1"/>
  <c r="AH328" i="3"/>
  <c r="V537" i="3"/>
  <c r="AB537" i="3"/>
  <c r="AE537" i="3"/>
  <c r="AG537" i="3"/>
  <c r="AD578" i="3"/>
  <c r="Z851" i="2"/>
  <c r="AH925" i="3"/>
  <c r="AC980" i="1"/>
  <c r="V530" i="2"/>
  <c r="AB530" i="2"/>
  <c r="AE530" i="2"/>
  <c r="AG530" i="2"/>
  <c r="M934" i="1"/>
  <c r="X935" i="1"/>
  <c r="AD935" i="1"/>
  <c r="AG935" i="1"/>
  <c r="AI935" i="1"/>
  <c r="AC981" i="2"/>
  <c r="M776" i="1"/>
  <c r="V463" i="3"/>
  <c r="AB463" i="3"/>
  <c r="AE463" i="3"/>
  <c r="AG463" i="3"/>
  <c r="V477" i="3"/>
  <c r="AB477" i="3"/>
  <c r="AE477" i="3"/>
  <c r="AG477" i="3"/>
  <c r="AA217" i="3"/>
  <c r="AC982" i="2"/>
  <c r="AC184" i="2"/>
  <c r="AD822" i="3"/>
  <c r="AC694" i="1"/>
  <c r="AF993" i="1"/>
  <c r="Y902" i="3"/>
  <c r="Z902" i="3"/>
  <c r="X911" i="1"/>
  <c r="AD911" i="1"/>
  <c r="AG911" i="1"/>
  <c r="AI911" i="1"/>
  <c r="Z217" i="2"/>
  <c r="U427" i="2"/>
  <c r="AA427" i="2"/>
  <c r="AD427" i="2"/>
  <c r="AF427" i="2"/>
  <c r="AF863" i="1"/>
  <c r="AH187" i="3"/>
  <c r="AJ662" i="1"/>
  <c r="AC952" i="1"/>
  <c r="M675" i="1"/>
  <c r="U831" i="2"/>
  <c r="AA831" i="2"/>
  <c r="AD831" i="2"/>
  <c r="AF831" i="2"/>
  <c r="Z310" i="2"/>
  <c r="AF949" i="1"/>
  <c r="AC126" i="1"/>
  <c r="AD617" i="3"/>
  <c r="Z129" i="3"/>
  <c r="Y129" i="3"/>
  <c r="X906" i="1"/>
  <c r="AD906" i="1"/>
  <c r="AG906" i="1"/>
  <c r="AI906" i="1"/>
  <c r="AA177" i="3"/>
  <c r="AH544" i="3"/>
  <c r="AH336" i="3"/>
  <c r="V705" i="3"/>
  <c r="AB705" i="3"/>
  <c r="AE705" i="3"/>
  <c r="AG705" i="3"/>
  <c r="V428" i="2"/>
  <c r="AB428" i="2"/>
  <c r="AE428" i="2"/>
  <c r="AD57" i="3"/>
  <c r="Z761" i="2"/>
  <c r="AA287" i="3"/>
  <c r="AC604" i="2"/>
  <c r="V455" i="3"/>
  <c r="AB455" i="3"/>
  <c r="AE455" i="3"/>
  <c r="AG455" i="3"/>
  <c r="AH474" i="3"/>
  <c r="AF664" i="1"/>
  <c r="Z931" i="2"/>
  <c r="M908" i="1"/>
  <c r="AC551" i="2"/>
  <c r="AC557" i="2"/>
  <c r="AC818" i="1"/>
  <c r="AG444" i="2"/>
  <c r="X782" i="1"/>
  <c r="AD782" i="1"/>
  <c r="AG782" i="1"/>
  <c r="AI782" i="1"/>
  <c r="M913" i="1"/>
  <c r="AD782" i="3"/>
  <c r="AC504" i="2"/>
  <c r="AG940" i="2"/>
  <c r="U826" i="2"/>
  <c r="AA826" i="2"/>
  <c r="AD826" i="2"/>
  <c r="AF826" i="2"/>
  <c r="V300" i="3"/>
  <c r="AB300" i="3"/>
  <c r="AE300" i="3"/>
  <c r="AG300" i="3"/>
  <c r="AC759" i="1"/>
  <c r="X661" i="1"/>
  <c r="AD661" i="1"/>
  <c r="AG661" i="1"/>
  <c r="AI661" i="1"/>
  <c r="AC357" i="2"/>
  <c r="Z540" i="2"/>
  <c r="AA357" i="3"/>
  <c r="AA631" i="3"/>
  <c r="U274" i="2"/>
  <c r="AA274" i="2"/>
  <c r="AD274" i="2"/>
  <c r="AF274" i="2"/>
  <c r="M815" i="1"/>
  <c r="AD665" i="3"/>
  <c r="AC855" i="2"/>
  <c r="Z237" i="2"/>
  <c r="Z562" i="2"/>
  <c r="AA316" i="3"/>
  <c r="Z469" i="2"/>
  <c r="AF995" i="1"/>
  <c r="AC884" i="2"/>
  <c r="AA892" i="3"/>
  <c r="AD861" i="3"/>
  <c r="AD356" i="3"/>
  <c r="V461" i="3"/>
  <c r="AB461" i="3"/>
  <c r="AE461" i="3"/>
  <c r="AG461" i="3"/>
  <c r="Y453" i="2"/>
  <c r="X453" i="2"/>
  <c r="AC294" i="2"/>
  <c r="Z319" i="2"/>
  <c r="AG954" i="2"/>
  <c r="M874" i="1"/>
  <c r="V862" i="3"/>
  <c r="AB862" i="3"/>
  <c r="AE862" i="3"/>
  <c r="AG862" i="3"/>
  <c r="V738" i="3"/>
  <c r="AB738" i="3"/>
  <c r="AE738" i="3"/>
  <c r="AG738" i="3"/>
  <c r="Z291" i="2"/>
  <c r="V558" i="3"/>
  <c r="AB558" i="3"/>
  <c r="AE558" i="3"/>
  <c r="AG558" i="3"/>
  <c r="AD563" i="3"/>
  <c r="AH513" i="3"/>
  <c r="W945" i="3"/>
  <c r="AC945" i="3"/>
  <c r="AF945" i="3"/>
  <c r="AH945" i="3"/>
  <c r="AA93" i="3"/>
  <c r="U874" i="2"/>
  <c r="AA874" i="2"/>
  <c r="AD874" i="2"/>
  <c r="AF874" i="2"/>
  <c r="AJ741" i="1"/>
  <c r="AA205" i="3"/>
  <c r="X710" i="1"/>
  <c r="AD710" i="1"/>
  <c r="AG710" i="1"/>
  <c r="AI710" i="1"/>
  <c r="AJ730" i="1"/>
  <c r="AH979" i="3"/>
  <c r="AH839" i="3"/>
  <c r="AC867" i="1"/>
  <c r="Z477" i="2"/>
  <c r="Z1008" i="2"/>
  <c r="AD421" i="3"/>
  <c r="AC691" i="2"/>
  <c r="AD165" i="3"/>
  <c r="AA402" i="3"/>
  <c r="Y748" i="2"/>
  <c r="X748" i="2"/>
  <c r="AD933" i="3"/>
  <c r="AD442" i="3"/>
  <c r="AD354" i="3"/>
  <c r="V354" i="3"/>
  <c r="AB354" i="3"/>
  <c r="AE354" i="3"/>
  <c r="AA542" i="3"/>
  <c r="AD233" i="3"/>
  <c r="AD664" i="3"/>
  <c r="X702" i="1"/>
  <c r="AD702" i="1"/>
  <c r="AG702" i="1"/>
  <c r="AI702" i="1"/>
  <c r="M851" i="1"/>
  <c r="T622" i="2"/>
  <c r="S622" i="2"/>
  <c r="M926" i="1"/>
  <c r="AH161" i="3"/>
  <c r="U209" i="2"/>
  <c r="AA209" i="2"/>
  <c r="AD209" i="2"/>
  <c r="AF209" i="2"/>
  <c r="V550" i="3"/>
  <c r="AB550" i="3"/>
  <c r="AE550" i="3"/>
  <c r="AG550" i="3"/>
  <c r="AA384" i="3"/>
  <c r="W478" i="3"/>
  <c r="AC478" i="3"/>
  <c r="AF478" i="3"/>
  <c r="V751" i="3"/>
  <c r="AB751" i="3"/>
  <c r="AE751" i="3"/>
  <c r="AG751" i="3"/>
  <c r="AH606" i="3"/>
  <c r="AG318" i="2"/>
  <c r="X929" i="1"/>
  <c r="AD929" i="1"/>
  <c r="AG929" i="1"/>
  <c r="AI929" i="1"/>
  <c r="AA308" i="3"/>
  <c r="AG813" i="2"/>
  <c r="AE878" i="2"/>
  <c r="AD386" i="3"/>
  <c r="M809" i="1"/>
  <c r="X835" i="1"/>
  <c r="AD835" i="1"/>
  <c r="AG835" i="1"/>
  <c r="AI835" i="1"/>
  <c r="AD703" i="3"/>
  <c r="AD657" i="3"/>
  <c r="AD694" i="3"/>
  <c r="AA826" i="3"/>
  <c r="AH974" i="3"/>
  <c r="AF533" i="2"/>
  <c r="AC424" i="2"/>
  <c r="U742" i="2"/>
  <c r="AA742" i="2"/>
  <c r="AD742" i="2"/>
  <c r="AF742" i="2"/>
  <c r="AG401" i="2"/>
  <c r="AC768" i="1"/>
  <c r="X806" i="1"/>
  <c r="AD806" i="1"/>
  <c r="AG806" i="1"/>
  <c r="AI806" i="1"/>
  <c r="Z374" i="2"/>
  <c r="AA271" i="3"/>
  <c r="M709" i="1"/>
  <c r="AA392" i="3"/>
  <c r="Z837" i="2"/>
  <c r="Z301" i="2"/>
  <c r="AH195" i="3"/>
  <c r="AC896" i="1"/>
  <c r="Z934" i="2"/>
  <c r="AD662" i="3"/>
  <c r="AG542" i="2"/>
  <c r="AD110" i="3"/>
  <c r="U588" i="2"/>
  <c r="AA588" i="2"/>
  <c r="AD588" i="2"/>
  <c r="AF588" i="2"/>
  <c r="AA332" i="3"/>
  <c r="V191" i="3"/>
  <c r="AB191" i="3"/>
  <c r="AE191" i="3"/>
  <c r="AG191" i="3"/>
  <c r="W915" i="3"/>
  <c r="AC915" i="3"/>
  <c r="AF915" i="3"/>
  <c r="AH915" i="3"/>
  <c r="V318" i="3"/>
  <c r="AB318" i="3"/>
  <c r="AE318" i="3"/>
  <c r="AG318" i="3"/>
  <c r="V471" i="3"/>
  <c r="AB471" i="3"/>
  <c r="AE471" i="3"/>
  <c r="AG471" i="3"/>
  <c r="AD903" i="3"/>
  <c r="X716" i="1"/>
  <c r="AD716" i="1"/>
  <c r="AG716" i="1"/>
  <c r="AI716" i="1"/>
  <c r="V501" i="2"/>
  <c r="AB501" i="2"/>
  <c r="AE501" i="2"/>
  <c r="AD818" i="3"/>
  <c r="AF833" i="1"/>
  <c r="AH700" i="3"/>
  <c r="AF680" i="1"/>
  <c r="U256" i="2"/>
  <c r="AA256" i="2"/>
  <c r="AD256" i="2"/>
  <c r="AF256" i="2"/>
  <c r="V419" i="3"/>
  <c r="AB419" i="3"/>
  <c r="AE419" i="3"/>
  <c r="AG419" i="3"/>
  <c r="AF921" i="1"/>
  <c r="Z697" i="2"/>
  <c r="AA702" i="3"/>
  <c r="AD524" i="3"/>
  <c r="V794" i="2"/>
  <c r="AB794" i="2"/>
  <c r="AE794" i="2"/>
  <c r="AA314" i="3"/>
  <c r="AG343" i="2"/>
  <c r="V926" i="3"/>
  <c r="AB926" i="3"/>
  <c r="AE926" i="3"/>
  <c r="AG926" i="3"/>
  <c r="Z687" i="2"/>
  <c r="AJ858" i="1"/>
  <c r="AA247" i="3"/>
  <c r="AH323" i="3"/>
  <c r="AA618" i="3"/>
  <c r="AG477" i="2"/>
  <c r="Z673" i="2"/>
  <c r="AF878" i="1"/>
  <c r="U890" i="2"/>
  <c r="AA890" i="2"/>
  <c r="AD890" i="2"/>
  <c r="AF890" i="2"/>
  <c r="AC670" i="1"/>
  <c r="U655" i="2"/>
  <c r="AA655" i="2"/>
  <c r="AD655" i="2"/>
  <c r="AF655" i="2"/>
  <c r="U501" i="2"/>
  <c r="AA501" i="2"/>
  <c r="AD501" i="2"/>
  <c r="AF501" i="2"/>
  <c r="AC182" i="2"/>
  <c r="AD444" i="3"/>
  <c r="AF699" i="1"/>
  <c r="AC874" i="1"/>
  <c r="AH699" i="3"/>
  <c r="AJ736" i="1"/>
  <c r="AA166" i="3"/>
  <c r="AA410" i="3"/>
  <c r="AD697" i="3"/>
  <c r="AA375" i="3"/>
  <c r="V203" i="3"/>
  <c r="AB203" i="3"/>
  <c r="AE203" i="3"/>
  <c r="AG203" i="3"/>
  <c r="AA685" i="3"/>
  <c r="AD434" i="3"/>
  <c r="AA912" i="3"/>
  <c r="V622" i="3"/>
  <c r="AB622" i="3"/>
  <c r="AE622" i="3"/>
  <c r="AG622" i="3"/>
  <c r="Z564" i="2"/>
  <c r="AF712" i="1"/>
  <c r="W696" i="3"/>
  <c r="AC696" i="3"/>
  <c r="AF696" i="3"/>
  <c r="AC835" i="2"/>
  <c r="M785" i="1"/>
  <c r="X1014" i="1"/>
  <c r="AD1014" i="1"/>
  <c r="AG1014" i="1"/>
  <c r="AI1014" i="1"/>
  <c r="AD146" i="3"/>
  <c r="AC645" i="2"/>
  <c r="V837" i="3"/>
  <c r="AB837" i="3"/>
  <c r="AE837" i="3"/>
  <c r="AG837" i="3"/>
  <c r="U94" i="3"/>
  <c r="T94" i="3"/>
  <c r="AD425" i="3"/>
  <c r="AG340" i="2"/>
  <c r="V439" i="3"/>
  <c r="AB439" i="3"/>
  <c r="AE439" i="3"/>
  <c r="AG439" i="3"/>
  <c r="AG928" i="2"/>
  <c r="AD40" i="3"/>
  <c r="AG939" i="2"/>
  <c r="AA682" i="3"/>
  <c r="AG188" i="2"/>
  <c r="AA852" i="3"/>
  <c r="AC671" i="1"/>
  <c r="AH267" i="3"/>
  <c r="Z930" i="2"/>
  <c r="AI977" i="1"/>
  <c r="AC645" i="3"/>
  <c r="W645" i="3"/>
  <c r="AA645" i="3"/>
  <c r="AG321" i="2"/>
  <c r="AC186" i="2"/>
  <c r="AH288" i="3"/>
  <c r="M730" i="1"/>
  <c r="X885" i="1"/>
  <c r="AD885" i="1"/>
  <c r="AG885" i="1"/>
  <c r="AI885" i="1"/>
  <c r="V480" i="3"/>
  <c r="AB480" i="3"/>
  <c r="AE480" i="3"/>
  <c r="AG480" i="3"/>
  <c r="AF792" i="1"/>
  <c r="U822" i="2"/>
  <c r="AA822" i="2"/>
  <c r="AD822" i="2"/>
  <c r="AF822" i="2"/>
  <c r="AD267" i="3"/>
  <c r="AG685" i="3"/>
  <c r="AC627" i="2"/>
  <c r="U627" i="2"/>
  <c r="AA627" i="2"/>
  <c r="AD627" i="2"/>
  <c r="Z471" i="2"/>
  <c r="V471" i="2"/>
  <c r="AB471" i="2"/>
  <c r="Z608" i="2"/>
  <c r="AA711" i="3"/>
  <c r="M890" i="1"/>
  <c r="M742" i="1"/>
  <c r="AG811" i="1"/>
  <c r="X811" i="1"/>
  <c r="AD811" i="1"/>
  <c r="AF811" i="1"/>
  <c r="AC940" i="1"/>
  <c r="AH751" i="3"/>
  <c r="AA641" i="3"/>
  <c r="AF671" i="1"/>
  <c r="AD385" i="3"/>
  <c r="AH372" i="3"/>
  <c r="U237" i="2"/>
  <c r="AA237" i="2"/>
  <c r="AD237" i="2"/>
  <c r="AF237" i="2"/>
  <c r="AD654" i="3"/>
  <c r="V654" i="3"/>
  <c r="AB654" i="3"/>
  <c r="AE654" i="3"/>
  <c r="V499" i="3"/>
  <c r="AB499" i="3"/>
  <c r="AE499" i="3"/>
  <c r="AG499" i="3"/>
  <c r="Z375" i="2"/>
  <c r="Z220" i="2"/>
  <c r="AH357" i="3"/>
  <c r="AG201" i="2"/>
  <c r="AA730" i="3"/>
  <c r="Y754" i="1"/>
  <c r="AE754" i="1"/>
  <c r="AH754" i="1"/>
  <c r="AH87" i="3"/>
  <c r="AF700" i="1"/>
  <c r="AG796" i="2"/>
  <c r="AC1000" i="2"/>
  <c r="Z902" i="2"/>
  <c r="Z541" i="2"/>
  <c r="Z503" i="2"/>
  <c r="AF284" i="2"/>
  <c r="AD985" i="3"/>
  <c r="AH861" i="3"/>
  <c r="AA963" i="3"/>
  <c r="AG990" i="2"/>
  <c r="U995" i="2"/>
  <c r="AA995" i="2"/>
  <c r="AD995" i="2"/>
  <c r="AF995" i="2"/>
  <c r="AH872" i="3"/>
  <c r="M664" i="1"/>
  <c r="AC939" i="2"/>
  <c r="AD131" i="3"/>
  <c r="Z686" i="2"/>
  <c r="AC798" i="2"/>
  <c r="M710" i="1"/>
  <c r="AH319" i="3"/>
  <c r="T346" i="2"/>
  <c r="S346" i="2"/>
  <c r="AD273" i="3"/>
  <c r="AH677" i="3"/>
  <c r="AA569" i="3"/>
  <c r="U564" i="2"/>
  <c r="AA564" i="2"/>
  <c r="AD564" i="2"/>
  <c r="AF564" i="2"/>
  <c r="U371" i="2"/>
  <c r="AA371" i="2"/>
  <c r="AD371" i="2"/>
  <c r="AF371" i="2"/>
  <c r="AA862" i="3"/>
  <c r="AF791" i="1"/>
  <c r="V595" i="3"/>
  <c r="AB595" i="3"/>
  <c r="AE595" i="3"/>
  <c r="AG595" i="3"/>
  <c r="AC586" i="2"/>
  <c r="Z317" i="2"/>
  <c r="AA621" i="3"/>
  <c r="V975" i="3"/>
  <c r="AB975" i="3"/>
  <c r="AE975" i="3"/>
  <c r="AG975" i="3"/>
  <c r="Z386" i="2"/>
  <c r="X858" i="1"/>
  <c r="AD858" i="1"/>
  <c r="AG858" i="1"/>
  <c r="AI858" i="1"/>
  <c r="AA288" i="3"/>
  <c r="AA367" i="3"/>
  <c r="AJ958" i="1"/>
  <c r="AH836" i="3"/>
  <c r="AH416" i="3"/>
  <c r="AA29" i="3"/>
  <c r="AD320" i="3"/>
  <c r="AG998" i="2"/>
  <c r="AG447" i="2"/>
  <c r="AC521" i="2"/>
  <c r="AC759" i="2"/>
  <c r="Z844" i="2"/>
  <c r="AA336" i="3"/>
  <c r="AD851" i="3"/>
  <c r="AC351" i="2"/>
  <c r="AG919" i="3"/>
  <c r="AH647" i="3"/>
  <c r="AJ755" i="1"/>
  <c r="AA975" i="3"/>
  <c r="AJ701" i="1"/>
  <c r="Z195" i="2"/>
  <c r="T943" i="1"/>
  <c r="X943" i="1"/>
  <c r="AD943" i="1"/>
  <c r="AG943" i="1"/>
  <c r="AI943" i="1"/>
  <c r="Y1005" i="1"/>
  <c r="AE1005" i="1"/>
  <c r="AH1005" i="1"/>
  <c r="AG825" i="2"/>
  <c r="Z348" i="2"/>
  <c r="AF938" i="1"/>
  <c r="W519" i="3"/>
  <c r="AC519" i="3"/>
  <c r="AF519" i="3"/>
  <c r="AD420" i="3"/>
  <c r="M929" i="1"/>
  <c r="T929" i="1"/>
  <c r="AD602" i="3"/>
  <c r="AC460" i="2"/>
  <c r="AA116" i="3"/>
  <c r="Z724" i="2"/>
  <c r="AF600" i="2"/>
  <c r="AA960" i="3"/>
  <c r="X969" i="1"/>
  <c r="AD969" i="1"/>
  <c r="AG969" i="1"/>
  <c r="AI969" i="1"/>
  <c r="AJ962" i="1"/>
  <c r="AA758" i="3"/>
  <c r="AC740" i="2"/>
  <c r="AA215" i="3"/>
  <c r="AC711" i="1"/>
  <c r="AA950" i="3"/>
  <c r="AA899" i="3"/>
  <c r="AG489" i="2"/>
  <c r="Z422" i="2"/>
  <c r="X699" i="1"/>
  <c r="AD699" i="1"/>
  <c r="AG699" i="1"/>
  <c r="AI699" i="1"/>
  <c r="AC664" i="2"/>
  <c r="V579" i="2"/>
  <c r="AB579" i="2"/>
  <c r="AE579" i="2"/>
  <c r="U1007" i="2"/>
  <c r="AA1007" i="2"/>
  <c r="AD1007" i="2"/>
  <c r="AF1007" i="2"/>
  <c r="AC678" i="1"/>
  <c r="V45" i="3"/>
  <c r="AB45" i="3"/>
  <c r="AE45" i="3"/>
  <c r="AG45" i="3"/>
  <c r="AD621" i="3"/>
  <c r="AF706" i="2"/>
  <c r="U227" i="2"/>
  <c r="AA227" i="2"/>
  <c r="AD227" i="2"/>
  <c r="AF227" i="2"/>
  <c r="AA638" i="3"/>
  <c r="AF671" i="3"/>
  <c r="AC769" i="2"/>
  <c r="AF829" i="1"/>
  <c r="AH248" i="3"/>
  <c r="U507" i="2"/>
  <c r="AA507" i="2"/>
  <c r="AD507" i="2"/>
  <c r="AF507" i="2"/>
  <c r="AH981" i="3"/>
  <c r="AC583" i="2"/>
  <c r="AD831" i="3"/>
  <c r="V831" i="3"/>
  <c r="AB831" i="3"/>
  <c r="AE831" i="3"/>
  <c r="AH562" i="3"/>
  <c r="AD35" i="3"/>
  <c r="AC958" i="2"/>
  <c r="AC812" i="1"/>
  <c r="U584" i="2"/>
  <c r="AA584" i="2"/>
  <c r="AD584" i="2"/>
  <c r="AF584" i="2"/>
  <c r="U479" i="2"/>
  <c r="AA479" i="2"/>
  <c r="AD479" i="2"/>
  <c r="AF479" i="2"/>
  <c r="AA669" i="3"/>
  <c r="AA59" i="3"/>
  <c r="V911" i="3"/>
  <c r="AB911" i="3"/>
  <c r="AE911" i="3"/>
  <c r="AG911" i="3"/>
  <c r="V737" i="3"/>
  <c r="AB737" i="3"/>
  <c r="AE737" i="3"/>
  <c r="AG737" i="3"/>
  <c r="AF487" i="2"/>
  <c r="AD847" i="3"/>
  <c r="AH152" i="3"/>
  <c r="Z714" i="2"/>
  <c r="AC752" i="1"/>
  <c r="X1009" i="1"/>
  <c r="AD1009" i="1"/>
  <c r="AG1009" i="1"/>
  <c r="AI1009" i="1"/>
  <c r="U666" i="2"/>
  <c r="AA666" i="2"/>
  <c r="AD666" i="2"/>
  <c r="AF666" i="2"/>
  <c r="AC487" i="2"/>
  <c r="U487" i="2"/>
  <c r="AA487" i="2"/>
  <c r="AD487" i="2"/>
  <c r="AF727" i="1"/>
  <c r="Z671" i="2"/>
  <c r="AC554" i="2"/>
  <c r="V532" i="2"/>
  <c r="AB532" i="2"/>
  <c r="AE532" i="2"/>
  <c r="AG532" i="2"/>
  <c r="AC323" i="2"/>
  <c r="AG211" i="3"/>
  <c r="AH183" i="3"/>
  <c r="W697" i="3"/>
  <c r="AC697" i="3"/>
  <c r="AF697" i="3"/>
  <c r="AA33" i="3"/>
  <c r="AF738" i="1"/>
  <c r="AD256" i="3"/>
  <c r="AD268" i="3"/>
  <c r="AD445" i="3"/>
  <c r="T893" i="3"/>
  <c r="U893" i="3"/>
  <c r="AD695" i="3"/>
  <c r="AD414" i="3"/>
  <c r="AC717" i="2"/>
  <c r="X925" i="1"/>
  <c r="AD925" i="1"/>
  <c r="AG925" i="1"/>
  <c r="AI925" i="1"/>
  <c r="AD759" i="3"/>
  <c r="AH577" i="3"/>
  <c r="AG819" i="2"/>
  <c r="AD456" i="3"/>
  <c r="M751" i="1"/>
  <c r="V772" i="3"/>
  <c r="AB772" i="3"/>
  <c r="AE772" i="3"/>
  <c r="AG772" i="3"/>
  <c r="AC713" i="1"/>
  <c r="X836" i="1"/>
  <c r="AD836" i="1"/>
  <c r="AG836" i="1"/>
  <c r="AI836" i="1"/>
  <c r="V351" i="3"/>
  <c r="AB351" i="3"/>
  <c r="AE351" i="3"/>
  <c r="AG351" i="3"/>
  <c r="AD501" i="3"/>
  <c r="AJ932" i="1"/>
  <c r="Z787" i="2"/>
  <c r="AC892" i="2"/>
  <c r="V175" i="3"/>
  <c r="AB175" i="3"/>
  <c r="AE175" i="3"/>
  <c r="AG175" i="3"/>
  <c r="AC203" i="2"/>
  <c r="V320" i="3"/>
  <c r="AB320" i="3"/>
  <c r="AE320" i="3"/>
  <c r="AG320" i="3"/>
  <c r="M752" i="1"/>
  <c r="AG499" i="2"/>
  <c r="Z838" i="2"/>
  <c r="AA43" i="3"/>
  <c r="AA815" i="3"/>
  <c r="AH686" i="3"/>
  <c r="AD688" i="3"/>
  <c r="AH374" i="3"/>
  <c r="M692" i="1"/>
  <c r="V740" i="2"/>
  <c r="AB740" i="2"/>
  <c r="AE740" i="2"/>
  <c r="AD582" i="3"/>
  <c r="V293" i="3"/>
  <c r="AB293" i="3"/>
  <c r="AE293" i="3"/>
  <c r="AG293" i="3"/>
  <c r="AC677" i="2"/>
  <c r="M974" i="1"/>
  <c r="Z712" i="2"/>
  <c r="U838" i="2"/>
  <c r="AA838" i="2"/>
  <c r="AD838" i="2"/>
  <c r="AF838" i="2"/>
  <c r="V517" i="2"/>
  <c r="AB517" i="2"/>
  <c r="AE517" i="2"/>
  <c r="AG875" i="2"/>
  <c r="AG230" i="2"/>
  <c r="AF981" i="1"/>
  <c r="Z272" i="2"/>
  <c r="AA62" i="3"/>
  <c r="M811" i="1"/>
  <c r="T811" i="1"/>
  <c r="Z391" i="2"/>
  <c r="M701" i="1"/>
  <c r="U551" i="2"/>
  <c r="AA551" i="2"/>
  <c r="AD551" i="2"/>
  <c r="AF551" i="2"/>
  <c r="AC782" i="2"/>
  <c r="AD328" i="3"/>
  <c r="AA558" i="3"/>
  <c r="M891" i="1"/>
  <c r="Z806" i="2"/>
  <c r="AA134" i="3"/>
  <c r="AC550" i="2"/>
  <c r="AC306" i="2"/>
  <c r="M805" i="1"/>
  <c r="AG576" i="2"/>
  <c r="M964" i="1"/>
  <c r="AH269" i="3"/>
  <c r="AJ706" i="1"/>
  <c r="AC924" i="2"/>
  <c r="Z878" i="2"/>
  <c r="V878" i="2"/>
  <c r="AB878" i="2"/>
  <c r="AH137" i="3"/>
  <c r="AA83" i="3"/>
  <c r="AH796" i="3"/>
  <c r="AD329" i="2"/>
  <c r="U329" i="2"/>
  <c r="AA329" i="2"/>
  <c r="AC329" i="2"/>
  <c r="AD808" i="3"/>
  <c r="AA194" i="3"/>
  <c r="AA64" i="3"/>
  <c r="U707" i="2"/>
  <c r="AA707" i="2"/>
  <c r="AD707" i="2"/>
  <c r="AF707" i="2"/>
  <c r="Z459" i="2"/>
  <c r="AH636" i="3"/>
  <c r="X1005" i="2"/>
  <c r="Y1005" i="2"/>
  <c r="U1005" i="2"/>
  <c r="AA1005" i="2"/>
  <c r="AH624" i="3"/>
  <c r="U914" i="2"/>
  <c r="AA914" i="2"/>
  <c r="AD914" i="2"/>
  <c r="AF914" i="2"/>
  <c r="AC608" i="2"/>
  <c r="AC965" i="2"/>
  <c r="U965" i="2"/>
  <c r="AA965" i="2"/>
  <c r="AD965" i="2"/>
  <c r="AH411" i="3"/>
  <c r="AA438" i="3"/>
  <c r="Z826" i="2"/>
  <c r="AG549" i="2"/>
  <c r="U222" i="2"/>
  <c r="AA222" i="2"/>
  <c r="AD222" i="2"/>
  <c r="AF222" i="2"/>
  <c r="AD532" i="3"/>
  <c r="AA190" i="3"/>
  <c r="V99" i="3"/>
  <c r="AB99" i="3"/>
  <c r="AE99" i="3"/>
  <c r="AG99" i="3"/>
  <c r="V579" i="3"/>
  <c r="AB579" i="3"/>
  <c r="AE579" i="3"/>
  <c r="AG579" i="3"/>
  <c r="M952" i="1"/>
  <c r="AA890" i="3"/>
  <c r="AG464" i="2"/>
  <c r="Z732" i="2"/>
  <c r="AG478" i="2"/>
  <c r="U659" i="2"/>
  <c r="AA659" i="2"/>
  <c r="AD659" i="2"/>
  <c r="AF659" i="2"/>
  <c r="AC386" i="2"/>
  <c r="AJ983" i="1"/>
  <c r="V634" i="3"/>
  <c r="AB634" i="3"/>
  <c r="AE634" i="3"/>
  <c r="AG634" i="3"/>
  <c r="AC488" i="2"/>
  <c r="V256" i="3"/>
  <c r="AB256" i="3"/>
  <c r="AE256" i="3"/>
  <c r="AG256" i="3"/>
  <c r="AG458" i="3"/>
  <c r="V620" i="3"/>
  <c r="AB620" i="3"/>
  <c r="AE620" i="3"/>
  <c r="AG620" i="3"/>
  <c r="AA210" i="3"/>
  <c r="AH101" i="3"/>
  <c r="AA643" i="3"/>
  <c r="AH559" i="3"/>
  <c r="Z958" i="2"/>
  <c r="AH462" i="3"/>
  <c r="AC314" i="2"/>
  <c r="Z957" i="2"/>
  <c r="AD769" i="3"/>
  <c r="AG181" i="2"/>
  <c r="V314" i="3"/>
  <c r="AB314" i="3"/>
  <c r="AE314" i="3"/>
  <c r="AG314" i="3"/>
  <c r="AC795" i="2"/>
  <c r="AA734" i="3"/>
  <c r="X870" i="1"/>
  <c r="AD870" i="1"/>
  <c r="AG870" i="1"/>
  <c r="AI870" i="1"/>
  <c r="AA993" i="3"/>
  <c r="M708" i="1"/>
  <c r="AG431" i="2"/>
  <c r="AF887" i="1"/>
  <c r="V304" i="3"/>
  <c r="AB304" i="3"/>
  <c r="AE304" i="3"/>
  <c r="AG304" i="3"/>
  <c r="AC1001" i="1"/>
  <c r="X855" i="1"/>
  <c r="AD855" i="1"/>
  <c r="AG855" i="1"/>
  <c r="AI855" i="1"/>
  <c r="U554" i="2"/>
  <c r="AA554" i="2"/>
  <c r="AD554" i="2"/>
  <c r="AF554" i="2"/>
  <c r="T939" i="1"/>
  <c r="Y939" i="1"/>
  <c r="AE939" i="1"/>
  <c r="AH939" i="1"/>
  <c r="AJ939" i="1"/>
  <c r="AH903" i="3"/>
  <c r="AF420" i="2"/>
  <c r="AG601" i="2"/>
  <c r="Z777" i="2"/>
  <c r="U899" i="2"/>
  <c r="AA899" i="2"/>
  <c r="AD899" i="2"/>
  <c r="AF899" i="2"/>
  <c r="AC605" i="2"/>
  <c r="AJ881" i="1"/>
  <c r="AD513" i="3"/>
  <c r="AD600" i="3"/>
  <c r="M901" i="1"/>
  <c r="AG880" i="2"/>
  <c r="AC723" i="2"/>
  <c r="U586" i="2"/>
  <c r="AA586" i="2"/>
  <c r="AD586" i="2"/>
  <c r="AF586" i="2"/>
  <c r="AG777" i="2"/>
  <c r="AD437" i="3"/>
  <c r="AD642" i="3"/>
  <c r="AF803" i="1"/>
  <c r="AG424" i="2"/>
  <c r="AC997" i="2"/>
  <c r="AJ823" i="1"/>
  <c r="Z737" i="2"/>
  <c r="Z921" i="2"/>
  <c r="X798" i="1"/>
  <c r="AD798" i="1"/>
  <c r="AG798" i="1"/>
  <c r="AI798" i="1"/>
  <c r="U643" i="2"/>
  <c r="AA643" i="2"/>
  <c r="AD643" i="2"/>
  <c r="AF643" i="2"/>
  <c r="AA584" i="3"/>
  <c r="Z703" i="2"/>
  <c r="Z245" i="2"/>
  <c r="AD893" i="3"/>
  <c r="AF987" i="1"/>
  <c r="V246" i="3"/>
  <c r="AB246" i="3"/>
  <c r="AE246" i="3"/>
  <c r="AG246" i="3"/>
  <c r="AC730" i="1"/>
  <c r="AG454" i="3"/>
  <c r="M802" i="1"/>
  <c r="W194" i="3"/>
  <c r="AC194" i="3"/>
  <c r="AF194" i="3"/>
  <c r="AC913" i="2"/>
  <c r="AH96" i="3"/>
  <c r="AA695" i="3"/>
  <c r="V174" i="3"/>
  <c r="AB174" i="3"/>
  <c r="AE174" i="3"/>
  <c r="AG174" i="3"/>
  <c r="AC490" i="2"/>
  <c r="U738" i="2"/>
  <c r="AA738" i="2"/>
  <c r="AD738" i="2"/>
  <c r="AF738" i="2"/>
  <c r="Z199" i="2"/>
  <c r="V234" i="3"/>
  <c r="AB234" i="3"/>
  <c r="AE234" i="3"/>
  <c r="AG234" i="3"/>
  <c r="U701" i="2"/>
  <c r="AA701" i="2"/>
  <c r="AD701" i="2"/>
  <c r="AF701" i="2"/>
  <c r="AC802" i="1"/>
  <c r="Z304" i="2"/>
  <c r="AG689" i="1"/>
  <c r="X689" i="1"/>
  <c r="AD689" i="1"/>
  <c r="AF689" i="1"/>
  <c r="M820" i="1"/>
  <c r="M910" i="1"/>
  <c r="AH353" i="3"/>
  <c r="AA68" i="3"/>
  <c r="M979" i="1"/>
  <c r="V490" i="3"/>
  <c r="AB490" i="3"/>
  <c r="AE490" i="3"/>
  <c r="AG490" i="3"/>
  <c r="AH78" i="3"/>
  <c r="U689" i="2"/>
  <c r="AA689" i="2"/>
  <c r="AD689" i="2"/>
  <c r="AF689" i="2"/>
  <c r="AD702" i="3"/>
  <c r="AA437" i="3"/>
  <c r="V60" i="3"/>
  <c r="AB60" i="3"/>
  <c r="AE60" i="3"/>
  <c r="AG60" i="3"/>
  <c r="AA121" i="3"/>
  <c r="Z951" i="2"/>
  <c r="AA186" i="3"/>
  <c r="AJ696" i="1"/>
  <c r="AD762" i="3"/>
  <c r="Y792" i="3"/>
  <c r="Z792" i="3"/>
  <c r="U383" i="2"/>
  <c r="AA383" i="2"/>
  <c r="AD383" i="2"/>
  <c r="AF383" i="2"/>
  <c r="U906" i="2"/>
  <c r="AA906" i="2"/>
  <c r="AD906" i="2"/>
  <c r="AF906" i="2"/>
  <c r="Z210" i="2"/>
  <c r="AA32" i="3"/>
  <c r="AC906" i="1"/>
  <c r="W893" i="3"/>
  <c r="AC893" i="3"/>
  <c r="AF893" i="3"/>
  <c r="AG526" i="2"/>
  <c r="AH448" i="3"/>
  <c r="U661" i="2"/>
  <c r="AA661" i="2"/>
  <c r="AD661" i="2"/>
  <c r="AF661" i="2"/>
  <c r="AH485" i="3"/>
  <c r="AA985" i="3"/>
  <c r="Z965" i="2"/>
  <c r="AC935" i="1"/>
  <c r="AD56" i="3"/>
  <c r="AA774" i="3"/>
  <c r="V769" i="3"/>
  <c r="AB769" i="3"/>
  <c r="AE769" i="3"/>
  <c r="AG769" i="3"/>
  <c r="AD690" i="3"/>
  <c r="AF973" i="1"/>
  <c r="AC909" i="2"/>
  <c r="AA198" i="3"/>
  <c r="AH259" i="3"/>
  <c r="AC430" i="2"/>
  <c r="AA970" i="3"/>
  <c r="Z815" i="2"/>
  <c r="AC457" i="2"/>
  <c r="AF1016" i="1"/>
  <c r="M839" i="1"/>
  <c r="AH216" i="3"/>
  <c r="AA395" i="3"/>
  <c r="Z765" i="2"/>
  <c r="AA457" i="3"/>
  <c r="W249" i="3"/>
  <c r="AC249" i="3"/>
  <c r="AF249" i="3"/>
  <c r="AG317" i="2"/>
  <c r="V513" i="3"/>
  <c r="AB513" i="3"/>
  <c r="AE513" i="3"/>
  <c r="AG513" i="3"/>
  <c r="Z919" i="2"/>
  <c r="V392" i="3"/>
  <c r="AB392" i="3"/>
  <c r="AE392" i="3"/>
  <c r="AG392" i="3"/>
  <c r="AD736" i="3"/>
  <c r="AG793" i="2"/>
  <c r="AA934" i="3"/>
  <c r="U604" i="2"/>
  <c r="AA604" i="2"/>
  <c r="AD604" i="2"/>
  <c r="AF604" i="2"/>
  <c r="AG981" i="2"/>
  <c r="U504" i="2"/>
  <c r="AA504" i="2"/>
  <c r="AD504" i="2"/>
  <c r="AF504" i="2"/>
  <c r="AG257" i="2"/>
  <c r="M842" i="1"/>
  <c r="AE111" i="3"/>
  <c r="V111" i="3"/>
  <c r="AB111" i="3"/>
  <c r="AD111" i="3"/>
  <c r="AG293" i="2"/>
  <c r="AD279" i="3"/>
  <c r="W400" i="3"/>
  <c r="AC400" i="3"/>
  <c r="AF400" i="3"/>
  <c r="Y969" i="1"/>
  <c r="AE969" i="1"/>
  <c r="AH969" i="1"/>
  <c r="AH708" i="1"/>
  <c r="AA135" i="3"/>
  <c r="AC494" i="2"/>
  <c r="V367" i="2"/>
  <c r="AB367" i="2"/>
  <c r="AE367" i="2"/>
  <c r="AG367" i="2"/>
  <c r="AC358" i="2"/>
  <c r="AA243" i="3"/>
  <c r="AC772" i="2"/>
  <c r="U512" i="2"/>
  <c r="AA512" i="2"/>
  <c r="AD512" i="2"/>
  <c r="AF512" i="2"/>
  <c r="AD124" i="3"/>
  <c r="AC665" i="2"/>
  <c r="Z248" i="2"/>
  <c r="AA380" i="3"/>
  <c r="U215" i="2"/>
  <c r="AA215" i="2"/>
  <c r="AD215" i="2"/>
  <c r="AF215" i="2"/>
  <c r="AF732" i="1"/>
  <c r="AD411" i="3"/>
  <c r="AD598" i="3"/>
  <c r="V598" i="3"/>
  <c r="AB598" i="3"/>
  <c r="AE598" i="3"/>
  <c r="V449" i="3"/>
  <c r="AB449" i="3"/>
  <c r="AE449" i="3"/>
  <c r="AG449" i="3"/>
  <c r="AC569" i="2"/>
  <c r="W246" i="3"/>
  <c r="AC246" i="3"/>
  <c r="AF246" i="3"/>
  <c r="AH246" i="3"/>
  <c r="AF754" i="1"/>
  <c r="AH65" i="3"/>
  <c r="M1002" i="1"/>
  <c r="AD806" i="3"/>
  <c r="Z997" i="2"/>
  <c r="AG475" i="2"/>
  <c r="Z890" i="2"/>
  <c r="M1012" i="1"/>
  <c r="AC650" i="2"/>
  <c r="AH966" i="3"/>
  <c r="U862" i="2"/>
  <c r="AA862" i="2"/>
  <c r="AD862" i="2"/>
  <c r="AF862" i="2"/>
  <c r="AC723" i="1"/>
  <c r="AC603" i="2"/>
  <c r="U603" i="2"/>
  <c r="AA603" i="2"/>
  <c r="AD603" i="2"/>
  <c r="AJ933" i="1"/>
  <c r="AD379" i="3"/>
  <c r="AC435" i="2"/>
  <c r="AC884" i="1"/>
  <c r="AD739" i="3"/>
  <c r="AA589" i="3"/>
  <c r="V762" i="3"/>
  <c r="AB762" i="3"/>
  <c r="AE762" i="3"/>
  <c r="AG762" i="3"/>
  <c r="AC889" i="2"/>
  <c r="U191" i="2"/>
  <c r="AA191" i="2"/>
  <c r="AD191" i="2"/>
  <c r="AF191" i="2"/>
  <c r="X779" i="1"/>
  <c r="AD779" i="1"/>
  <c r="AG779" i="1"/>
  <c r="AI779" i="1"/>
  <c r="Z828" i="2"/>
  <c r="AH858" i="3"/>
  <c r="Z795" i="2"/>
  <c r="AF815" i="1"/>
  <c r="AH518" i="3"/>
  <c r="V865" i="3"/>
  <c r="AB865" i="3"/>
  <c r="AE865" i="3"/>
  <c r="AG865" i="3"/>
  <c r="AG543" i="2"/>
  <c r="Z956" i="2"/>
  <c r="M690" i="1"/>
  <c r="V747" i="2"/>
  <c r="AB747" i="2"/>
  <c r="AE747" i="2"/>
  <c r="AH444" i="3"/>
  <c r="AH563" i="3"/>
  <c r="AA337" i="3"/>
  <c r="V522" i="3"/>
  <c r="AB522" i="3"/>
  <c r="AE522" i="3"/>
  <c r="AG522" i="3"/>
  <c r="V523" i="2"/>
  <c r="AB523" i="2"/>
  <c r="AE523" i="2"/>
  <c r="AG1007" i="2"/>
  <c r="AA229" i="3"/>
  <c r="X668" i="1"/>
  <c r="AD668" i="1"/>
  <c r="AG668" i="1"/>
  <c r="AI668" i="1"/>
  <c r="V289" i="2"/>
  <c r="AB289" i="2"/>
  <c r="AE289" i="2"/>
  <c r="AC378" i="2"/>
  <c r="V280" i="3"/>
  <c r="AB280" i="3"/>
  <c r="AE280" i="3"/>
  <c r="AG280" i="3"/>
  <c r="U470" i="2"/>
  <c r="AA470" i="2"/>
  <c r="AD470" i="2"/>
  <c r="AF470" i="2"/>
  <c r="AD167" i="3"/>
  <c r="Z519" i="2"/>
  <c r="AD248" i="3"/>
  <c r="Z780" i="2"/>
  <c r="Y711" i="1"/>
  <c r="AE711" i="1"/>
  <c r="AH711" i="1"/>
  <c r="AC850" i="2"/>
  <c r="AJ798" i="1"/>
  <c r="AD742" i="3"/>
  <c r="AD932" i="3"/>
  <c r="Z901" i="2"/>
  <c r="U712" i="2"/>
  <c r="AA712" i="2"/>
  <c r="AD712" i="2"/>
  <c r="AF712" i="2"/>
  <c r="AD952" i="3"/>
  <c r="AD706" i="2"/>
  <c r="U706" i="2"/>
  <c r="AA706" i="2"/>
  <c r="AC706" i="2"/>
  <c r="AG575" i="2"/>
  <c r="AC453" i="2"/>
  <c r="X852" i="1"/>
  <c r="AD852" i="1"/>
  <c r="AG852" i="1"/>
  <c r="AI852" i="1"/>
  <c r="AH806" i="3"/>
  <c r="AD371" i="3"/>
  <c r="W105" i="3"/>
  <c r="AC105" i="3"/>
  <c r="AF105" i="3"/>
  <c r="AH105" i="3"/>
  <c r="U782" i="2"/>
  <c r="AA782" i="2"/>
  <c r="AD782" i="2"/>
  <c r="AF782" i="2"/>
  <c r="AF892" i="1"/>
  <c r="AD200" i="3"/>
  <c r="AH158" i="3"/>
  <c r="AG534" i="2"/>
  <c r="AF698" i="1"/>
  <c r="AA193" i="3"/>
  <c r="AH40" i="3"/>
  <c r="AA821" i="3"/>
  <c r="W328" i="3"/>
  <c r="AC328" i="3"/>
  <c r="AF328" i="3"/>
  <c r="AG449" i="2"/>
  <c r="AA511" i="3"/>
  <c r="AC79" i="1"/>
  <c r="Z718" i="2"/>
  <c r="AC414" i="2"/>
  <c r="X671" i="1"/>
  <c r="AD671" i="1"/>
  <c r="AG671" i="1"/>
  <c r="AI671" i="1"/>
  <c r="AD804" i="3"/>
  <c r="AC484" i="2"/>
  <c r="AC944" i="2"/>
  <c r="AJ830" i="1"/>
  <c r="AG299" i="2"/>
  <c r="AD257" i="3"/>
  <c r="V257" i="3"/>
  <c r="AB257" i="3"/>
  <c r="AE257" i="3"/>
  <c r="U524" i="2"/>
  <c r="AA524" i="2"/>
  <c r="AD524" i="2"/>
  <c r="AF524" i="2"/>
  <c r="AF687" i="1"/>
  <c r="AH936" i="3"/>
  <c r="AC195" i="2"/>
  <c r="AD588" i="3"/>
  <c r="X813" i="1"/>
  <c r="AD813" i="1"/>
  <c r="AG813" i="1"/>
  <c r="AI813" i="1"/>
  <c r="AD523" i="3"/>
  <c r="AC762" i="1"/>
  <c r="M696" i="1"/>
  <c r="AC817" i="1"/>
  <c r="AC407" i="2"/>
  <c r="AH885" i="3"/>
  <c r="AC977" i="1"/>
  <c r="U777" i="2"/>
  <c r="AA777" i="2"/>
  <c r="AD777" i="2"/>
  <c r="AF777" i="2"/>
  <c r="V720" i="3"/>
  <c r="AB720" i="3"/>
  <c r="AE720" i="3"/>
  <c r="AG720" i="3"/>
  <c r="X1017" i="1"/>
  <c r="AD1017" i="1"/>
  <c r="AG1017" i="1"/>
  <c r="AI1017" i="1"/>
  <c r="AA656" i="3"/>
  <c r="AF731" i="1"/>
  <c r="M813" i="1"/>
  <c r="V892" i="3"/>
  <c r="AB892" i="3"/>
  <c r="AE892" i="3"/>
  <c r="AG892" i="3"/>
  <c r="AJ989" i="1"/>
  <c r="AC893" i="1"/>
  <c r="U711" i="2"/>
  <c r="AA711" i="2"/>
  <c r="AD711" i="2"/>
  <c r="AF711" i="2"/>
  <c r="Z481" i="2"/>
  <c r="AC696" i="2"/>
  <c r="AC915" i="2"/>
  <c r="V670" i="3"/>
  <c r="AB670" i="3"/>
  <c r="AE670" i="3"/>
  <c r="AG670" i="3"/>
  <c r="AC831" i="1"/>
  <c r="Z273" i="2"/>
  <c r="X823" i="1"/>
  <c r="AD823" i="1"/>
  <c r="AG823" i="1"/>
  <c r="AI823" i="1"/>
  <c r="AD666" i="3"/>
  <c r="AA778" i="3"/>
  <c r="Z242" i="2"/>
  <c r="AH689" i="3"/>
  <c r="U889" i="2"/>
  <c r="AA889" i="2"/>
  <c r="AD889" i="2"/>
  <c r="AF889" i="2"/>
  <c r="AC859" i="2"/>
  <c r="AF996" i="1"/>
  <c r="X913" i="1"/>
  <c r="AD913" i="1"/>
  <c r="AG913" i="1"/>
  <c r="AI913" i="1"/>
  <c r="AC242" i="2"/>
  <c r="AC273" i="2"/>
  <c r="AA417" i="3"/>
  <c r="X815" i="1"/>
  <c r="AD815" i="1"/>
  <c r="AG815" i="1"/>
  <c r="AI815" i="1"/>
  <c r="U989" i="2"/>
  <c r="AA989" i="2"/>
  <c r="AD989" i="2"/>
  <c r="AF989" i="2"/>
  <c r="M670" i="1"/>
  <c r="AG539" i="2"/>
  <c r="AC881" i="1"/>
  <c r="AC959" i="2"/>
  <c r="AC863" i="1"/>
  <c r="Z371" i="2"/>
  <c r="AA913" i="3"/>
  <c r="AA779" i="3"/>
  <c r="AG362" i="2"/>
  <c r="AH490" i="3"/>
  <c r="AD258" i="3"/>
  <c r="AG369" i="2"/>
  <c r="V833" i="3"/>
  <c r="AB833" i="3"/>
  <c r="AE833" i="3"/>
  <c r="AG833" i="3"/>
  <c r="X963" i="1"/>
  <c r="AD963" i="1"/>
  <c r="AG963" i="1"/>
  <c r="AI963" i="1"/>
  <c r="AG623" i="2"/>
  <c r="U652" i="2"/>
  <c r="AA652" i="2"/>
  <c r="AD652" i="2"/>
  <c r="AF652" i="2"/>
  <c r="V416" i="3"/>
  <c r="AB416" i="3"/>
  <c r="AE416" i="3"/>
  <c r="AG416" i="3"/>
  <c r="AJ683" i="1"/>
  <c r="V665" i="3"/>
  <c r="AB665" i="3"/>
  <c r="AE665" i="3"/>
  <c r="AG665" i="3"/>
  <c r="AH112" i="3"/>
  <c r="AH708" i="3"/>
  <c r="AA351" i="3"/>
  <c r="U902" i="2"/>
  <c r="AA902" i="2"/>
  <c r="AD902" i="2"/>
  <c r="AF902" i="2"/>
  <c r="AF228" i="3"/>
  <c r="Z675" i="2"/>
  <c r="AJ870" i="1"/>
  <c r="AH680" i="3"/>
  <c r="U300" i="2"/>
  <c r="AA300" i="2"/>
  <c r="AD300" i="2"/>
  <c r="AF300" i="2"/>
  <c r="AD896" i="3"/>
  <c r="AG818" i="2"/>
  <c r="X670" i="1"/>
  <c r="AD670" i="1"/>
  <c r="AG670" i="1"/>
  <c r="AI670" i="1"/>
  <c r="AC194" i="2"/>
  <c r="V160" i="3"/>
  <c r="AB160" i="3"/>
  <c r="AE160" i="3"/>
  <c r="AG160" i="3"/>
  <c r="M879" i="1"/>
  <c r="AG548" i="2"/>
  <c r="Z998" i="2"/>
  <c r="AA354" i="3"/>
  <c r="AC1004" i="1"/>
  <c r="AH692" i="3"/>
  <c r="AJ979" i="1"/>
  <c r="AF903" i="1"/>
  <c r="AC231" i="2"/>
  <c r="AG219" i="2"/>
  <c r="Z194" i="2"/>
  <c r="U343" i="2"/>
  <c r="AA343" i="2"/>
  <c r="AD343" i="2"/>
  <c r="AF343" i="2"/>
  <c r="AD228" i="3"/>
  <c r="Z572" i="2"/>
  <c r="AJ975" i="1"/>
  <c r="AH412" i="3"/>
  <c r="AA768" i="3"/>
  <c r="X781" i="1"/>
  <c r="AD781" i="1"/>
  <c r="AG781" i="1"/>
  <c r="AI781" i="1"/>
  <c r="AA624" i="3"/>
  <c r="AG522" i="2"/>
  <c r="AD721" i="3"/>
  <c r="Z247" i="2"/>
  <c r="Z393" i="2"/>
  <c r="V274" i="3"/>
  <c r="AB274" i="3"/>
  <c r="AE274" i="3"/>
  <c r="AG274" i="3"/>
  <c r="V593" i="3"/>
  <c r="AB593" i="3"/>
  <c r="AE593" i="3"/>
  <c r="AG593" i="3"/>
  <c r="AC848" i="1"/>
  <c r="AH275" i="3"/>
  <c r="M714" i="1"/>
  <c r="AG282" i="2"/>
  <c r="V295" i="3"/>
  <c r="AB295" i="3"/>
  <c r="AE295" i="3"/>
  <c r="AG295" i="3"/>
  <c r="AC463" i="2"/>
  <c r="V895" i="3"/>
  <c r="AB895" i="3"/>
  <c r="AE895" i="3"/>
  <c r="AG895" i="3"/>
  <c r="Z946" i="2"/>
  <c r="AG927" i="3"/>
  <c r="AE454" i="3"/>
  <c r="V454" i="3"/>
  <c r="AB454" i="3"/>
  <c r="AD454" i="3"/>
  <c r="V556" i="3"/>
  <c r="AB556" i="3"/>
  <c r="AE556" i="3"/>
  <c r="AG556" i="3"/>
  <c r="AD204" i="3"/>
  <c r="AJ888" i="1"/>
  <c r="U401" i="2"/>
  <c r="AA401" i="2"/>
  <c r="AD401" i="2"/>
  <c r="AF401" i="2"/>
  <c r="M991" i="1"/>
  <c r="Z213" i="2"/>
  <c r="M918" i="1"/>
  <c r="AJ782" i="1"/>
  <c r="W211" i="3"/>
  <c r="AC211" i="3"/>
  <c r="AF211" i="3"/>
  <c r="AH211" i="3"/>
  <c r="M737" i="1"/>
  <c r="AC284" i="2"/>
  <c r="U284" i="2"/>
  <c r="AA284" i="2"/>
  <c r="AD284" i="2"/>
  <c r="AG504" i="2"/>
  <c r="AG947" i="2"/>
  <c r="Y625" i="3"/>
  <c r="Z625" i="3"/>
  <c r="M782" i="1"/>
  <c r="Z506" i="2"/>
  <c r="Z582" i="2"/>
  <c r="AC842" i="2"/>
  <c r="AH69" i="3"/>
  <c r="AG966" i="2"/>
  <c r="U886" i="2"/>
  <c r="AA886" i="2"/>
  <c r="AD886" i="2"/>
  <c r="AF886" i="2"/>
  <c r="AH772" i="3"/>
  <c r="AD712" i="3"/>
  <c r="AH593" i="3"/>
  <c r="AH557" i="3"/>
  <c r="AA371" i="3"/>
  <c r="AH555" i="3"/>
  <c r="AC719" i="1"/>
  <c r="AH516" i="3"/>
  <c r="Z445" i="2"/>
  <c r="AD649" i="3"/>
  <c r="Z813" i="2"/>
  <c r="AA848" i="3"/>
  <c r="AD336" i="3"/>
  <c r="AG683" i="2"/>
  <c r="AH871" i="3"/>
  <c r="AD81" i="3"/>
  <c r="AA110" i="3"/>
  <c r="AH758" i="3"/>
  <c r="AC835" i="1"/>
  <c r="AI733" i="1"/>
  <c r="AA278" i="3"/>
  <c r="AA167" i="3"/>
  <c r="AH252" i="3"/>
  <c r="AD885" i="3"/>
  <c r="Z642" i="2"/>
  <c r="V206" i="3"/>
  <c r="AB206" i="3"/>
  <c r="AE206" i="3"/>
  <c r="AG206" i="3"/>
  <c r="AC793" i="1"/>
  <c r="AC735" i="1"/>
  <c r="AC266" i="2"/>
  <c r="AH33" i="3"/>
  <c r="AD491" i="3"/>
  <c r="AC780" i="1"/>
  <c r="AD919" i="3"/>
  <c r="V919" i="3"/>
  <c r="AB919" i="3"/>
  <c r="AE919" i="3"/>
  <c r="U182" i="2"/>
  <c r="AA182" i="2"/>
  <c r="AD182" i="2"/>
  <c r="AF182" i="2"/>
  <c r="AJ937" i="1"/>
  <c r="AA443" i="3"/>
  <c r="Z414" i="2"/>
  <c r="AD451" i="3"/>
  <c r="AG767" i="2"/>
  <c r="W641" i="3"/>
  <c r="AC641" i="3"/>
  <c r="AF641" i="3"/>
  <c r="AH31" i="3"/>
  <c r="U194" i="2"/>
  <c r="AA194" i="2"/>
  <c r="AD194" i="2"/>
  <c r="AF194" i="2"/>
  <c r="AC631" i="2"/>
  <c r="U939" i="2"/>
  <c r="AA939" i="2"/>
  <c r="AD939" i="2"/>
  <c r="AF939" i="2"/>
  <c r="Z749" i="2"/>
  <c r="AA283" i="3"/>
  <c r="AG429" i="2"/>
  <c r="AF682" i="1"/>
  <c r="AA859" i="3"/>
  <c r="V832" i="3"/>
  <c r="AB832" i="3"/>
  <c r="AE832" i="3"/>
  <c r="AG832" i="3"/>
  <c r="M899" i="1"/>
  <c r="X903" i="1"/>
  <c r="AD903" i="1"/>
  <c r="AG903" i="1"/>
  <c r="AI903" i="1"/>
  <c r="U231" i="2"/>
  <c r="AA231" i="2"/>
  <c r="AD231" i="2"/>
  <c r="AF231" i="2"/>
  <c r="AH305" i="3"/>
  <c r="AJ774" i="1"/>
  <c r="V337" i="3"/>
  <c r="AB337" i="3"/>
  <c r="AE337" i="3"/>
  <c r="AG337" i="3"/>
  <c r="U935" i="2"/>
  <c r="AA935" i="2"/>
  <c r="AD935" i="2"/>
  <c r="AF935" i="2"/>
  <c r="AD224" i="3"/>
  <c r="AA115" i="3"/>
  <c r="AG353" i="3"/>
  <c r="AD570" i="3"/>
  <c r="AG702" i="2"/>
  <c r="U682" i="2"/>
  <c r="AA682" i="2"/>
  <c r="AD682" i="2"/>
  <c r="AF682" i="2"/>
  <c r="AA349" i="3"/>
  <c r="AA683" i="3"/>
  <c r="AA281" i="3"/>
  <c r="AD990" i="3"/>
  <c r="AA464" i="3"/>
  <c r="AG215" i="2"/>
  <c r="V602" i="2"/>
  <c r="AB602" i="2"/>
  <c r="AE602" i="2"/>
  <c r="AG602" i="2"/>
  <c r="U326" i="2"/>
  <c r="AA326" i="2"/>
  <c r="AD326" i="2"/>
  <c r="AF326" i="2"/>
  <c r="AA708" i="3"/>
  <c r="AH884" i="3"/>
  <c r="AA716" i="3"/>
  <c r="V546" i="3"/>
  <c r="AB546" i="3"/>
  <c r="AE546" i="3"/>
  <c r="AG546" i="3"/>
  <c r="AA865" i="3"/>
  <c r="T171" i="3"/>
  <c r="U171" i="3"/>
  <c r="U735" i="2"/>
  <c r="AA735" i="2"/>
  <c r="AD735" i="2"/>
  <c r="AF735" i="2"/>
  <c r="AG225" i="2"/>
  <c r="V218" i="2"/>
  <c r="AB218" i="2"/>
  <c r="AE218" i="2"/>
  <c r="AG218" i="2"/>
  <c r="AH628" i="3"/>
  <c r="AD760" i="3"/>
  <c r="AA798" i="3"/>
  <c r="AD545" i="3"/>
  <c r="V65" i="3"/>
  <c r="AB65" i="3"/>
  <c r="AE65" i="3"/>
  <c r="AG65" i="3"/>
  <c r="AG676" i="2"/>
  <c r="AA896" i="3"/>
  <c r="AJ925" i="1"/>
  <c r="M882" i="1"/>
  <c r="AD235" i="3"/>
  <c r="AA678" i="3"/>
  <c r="AD412" i="3"/>
  <c r="AC974" i="1"/>
  <c r="U629" i="2"/>
  <c r="AA629" i="2"/>
  <c r="AD629" i="2"/>
  <c r="AF629" i="2"/>
  <c r="Z488" i="2"/>
  <c r="AJ693" i="1"/>
  <c r="AD33" i="3"/>
  <c r="AD139" i="3"/>
  <c r="AA397" i="3"/>
  <c r="Z563" i="2"/>
  <c r="V73" i="3"/>
  <c r="AB73" i="3"/>
  <c r="AE73" i="3"/>
  <c r="AG73" i="3"/>
  <c r="M794" i="1"/>
  <c r="Z318" i="2"/>
  <c r="Z466" i="2"/>
  <c r="AH30" i="3"/>
  <c r="M931" i="1"/>
  <c r="AD430" i="3"/>
  <c r="Z634" i="2"/>
  <c r="AC626" i="2"/>
  <c r="M950" i="1"/>
  <c r="V161" i="3"/>
  <c r="AB161" i="3"/>
  <c r="AE161" i="3"/>
  <c r="AG161" i="3"/>
  <c r="AJ968" i="1"/>
  <c r="AG827" i="2"/>
  <c r="AD609" i="3"/>
  <c r="AH620" i="3"/>
  <c r="AD549" i="3"/>
  <c r="AD858" i="3"/>
  <c r="AD967" i="3"/>
  <c r="U386" i="2"/>
  <c r="AA386" i="2"/>
  <c r="AD386" i="2"/>
  <c r="AF386" i="2"/>
  <c r="AC656" i="2"/>
  <c r="AD401" i="3"/>
  <c r="AD894" i="3"/>
  <c r="AD310" i="3"/>
  <c r="AF807" i="1"/>
  <c r="Z676" i="2"/>
  <c r="V885" i="3"/>
  <c r="AB885" i="3"/>
  <c r="AE885" i="3"/>
  <c r="AG885" i="3"/>
  <c r="AC384" i="2"/>
  <c r="AA82" i="3"/>
  <c r="AG413" i="2"/>
  <c r="AC878" i="1"/>
  <c r="AC720" i="2"/>
  <c r="Z514" i="2"/>
  <c r="AG830" i="2"/>
  <c r="AJ988" i="1"/>
  <c r="Z500" i="2"/>
  <c r="AF707" i="1"/>
  <c r="AC911" i="2"/>
  <c r="AD526" i="3"/>
  <c r="AC791" i="1"/>
  <c r="AJ672" i="1"/>
  <c r="Z621" i="2"/>
  <c r="Z767" i="2"/>
  <c r="U909" i="2"/>
  <c r="AA909" i="2"/>
  <c r="AD909" i="2"/>
  <c r="AF909" i="2"/>
  <c r="AD505" i="3"/>
  <c r="Z402" i="2"/>
  <c r="X757" i="1"/>
  <c r="AD757" i="1"/>
  <c r="AG757" i="1"/>
  <c r="AI757" i="1"/>
  <c r="AA372" i="3"/>
  <c r="AE404" i="3"/>
  <c r="V404" i="3"/>
  <c r="AB404" i="3"/>
  <c r="AD404" i="3"/>
  <c r="AD420" i="2"/>
  <c r="U420" i="2"/>
  <c r="AA420" i="2"/>
  <c r="AC420" i="2"/>
  <c r="AH241" i="3"/>
  <c r="U357" i="2"/>
  <c r="AA357" i="2"/>
  <c r="AD357" i="2"/>
  <c r="AF357" i="2"/>
  <c r="AC190" i="2"/>
  <c r="AC642" i="2"/>
  <c r="Z744" i="2"/>
  <c r="Z971" i="2"/>
  <c r="Z424" i="2"/>
  <c r="AC230" i="2"/>
  <c r="AA799" i="3"/>
  <c r="W853" i="3"/>
  <c r="AC853" i="3"/>
  <c r="AF853" i="3"/>
  <c r="X899" i="1"/>
  <c r="AD899" i="1"/>
  <c r="AG899" i="1"/>
  <c r="AI899" i="1"/>
  <c r="AF744" i="1"/>
  <c r="Z805" i="2"/>
  <c r="AC1006" i="2"/>
  <c r="AC895" i="1"/>
  <c r="AF794" i="1"/>
  <c r="Z710" i="2"/>
  <c r="U585" i="2"/>
  <c r="AA585" i="2"/>
  <c r="AD585" i="2"/>
  <c r="AF585" i="2"/>
  <c r="V898" i="2"/>
  <c r="AB898" i="2"/>
  <c r="AE898" i="2"/>
  <c r="AJ886" i="1"/>
  <c r="AG728" i="2"/>
  <c r="U759" i="2"/>
  <c r="AA759" i="2"/>
  <c r="AD759" i="2"/>
  <c r="AF759" i="2"/>
  <c r="AH601" i="3"/>
  <c r="AH715" i="3"/>
  <c r="U562" i="2"/>
  <c r="AA562" i="2"/>
  <c r="AD562" i="2"/>
  <c r="AF562" i="2"/>
  <c r="AC350" i="2"/>
  <c r="AA84" i="3"/>
  <c r="AD876" i="3"/>
  <c r="AA152" i="3"/>
  <c r="V910" i="3"/>
  <c r="AB910" i="3"/>
  <c r="AE910" i="3"/>
  <c r="AG910" i="3"/>
  <c r="X713" i="1"/>
  <c r="AD713" i="1"/>
  <c r="AG713" i="1"/>
  <c r="AI713" i="1"/>
  <c r="Z325" i="2"/>
  <c r="AG801" i="2"/>
  <c r="W500" i="3"/>
  <c r="AC500" i="3"/>
  <c r="AF500" i="3"/>
  <c r="Z388" i="2"/>
  <c r="Z914" i="2"/>
  <c r="AH814" i="3"/>
  <c r="AG469" i="2"/>
  <c r="AG280" i="2"/>
  <c r="AA929" i="3"/>
  <c r="AC497" i="2"/>
  <c r="AA485" i="3"/>
  <c r="AC872" i="1"/>
  <c r="U576" i="2"/>
  <c r="S576" i="2"/>
  <c r="T576" i="2"/>
  <c r="AG861" i="2"/>
  <c r="W435" i="3"/>
  <c r="AC435" i="3"/>
  <c r="AF435" i="3"/>
  <c r="AH435" i="3"/>
  <c r="AB284" i="2"/>
  <c r="V284" i="2"/>
  <c r="Z284" i="2"/>
  <c r="X923" i="1"/>
  <c r="AD923" i="1"/>
  <c r="AG923" i="1"/>
  <c r="AI923" i="1"/>
  <c r="AA253" i="3"/>
  <c r="AD886" i="3"/>
  <c r="M660" i="1"/>
  <c r="AD290" i="3"/>
  <c r="AD691" i="3"/>
  <c r="AF345" i="2"/>
  <c r="Z335" i="2"/>
  <c r="AA53" i="3"/>
  <c r="AH497" i="3"/>
  <c r="X834" i="1"/>
  <c r="AD834" i="1"/>
  <c r="AG834" i="1"/>
  <c r="AI834" i="1"/>
  <c r="Z656" i="2"/>
  <c r="AC993" i="1"/>
  <c r="AD117" i="3"/>
  <c r="AA431" i="3"/>
  <c r="AG849" i="2"/>
  <c r="U613" i="2"/>
  <c r="AA613" i="2"/>
  <c r="AD613" i="2"/>
  <c r="AF613" i="2"/>
  <c r="AC838" i="1"/>
  <c r="AG375" i="2"/>
  <c r="AG492" i="2"/>
  <c r="AH56" i="3"/>
  <c r="AH907" i="3"/>
  <c r="AC567" i="2"/>
  <c r="AC854" i="2"/>
  <c r="X808" i="1"/>
  <c r="AD808" i="1"/>
  <c r="AG808" i="1"/>
  <c r="AI808" i="1"/>
  <c r="Z720" i="2"/>
  <c r="Z629" i="2"/>
  <c r="AD363" i="3"/>
  <c r="AA299" i="3"/>
  <c r="Z499" i="2"/>
  <c r="AC1015" i="1"/>
  <c r="AA393" i="3"/>
  <c r="AG374" i="2"/>
  <c r="T781" i="1"/>
  <c r="Y781" i="1"/>
  <c r="AE781" i="1"/>
  <c r="AH781" i="1"/>
  <c r="AD684" i="3"/>
  <c r="U384" i="2"/>
  <c r="AA384" i="2"/>
  <c r="AD384" i="2"/>
  <c r="AF384" i="2"/>
  <c r="V632" i="3"/>
  <c r="AB632" i="3"/>
  <c r="AE632" i="3"/>
  <c r="AG632" i="3"/>
  <c r="AA502" i="3"/>
  <c r="M764" i="1"/>
  <c r="X776" i="1"/>
  <c r="AD776" i="1"/>
  <c r="AG776" i="1"/>
  <c r="AI776" i="1"/>
  <c r="AA658" i="3"/>
  <c r="AC345" i="2"/>
  <c r="U345" i="2"/>
  <c r="AA345" i="2"/>
  <c r="AD345" i="2"/>
  <c r="AC431" i="2"/>
  <c r="U431" i="2"/>
  <c r="AA431" i="2"/>
  <c r="AD431" i="2"/>
  <c r="AD478" i="3"/>
  <c r="AA515" i="3"/>
  <c r="W403" i="3"/>
  <c r="AC403" i="3"/>
  <c r="AF403" i="3"/>
  <c r="AD211" i="3"/>
  <c r="V211" i="3"/>
  <c r="AB211" i="3"/>
  <c r="AE211" i="3"/>
  <c r="AF860" i="1"/>
  <c r="AD991" i="3"/>
  <c r="T709" i="1"/>
  <c r="Y709" i="1"/>
  <c r="AE709" i="1"/>
  <c r="AH709" i="1"/>
  <c r="AJ709" i="1"/>
  <c r="Z991" i="2"/>
  <c r="AA742" i="3"/>
  <c r="Z942" i="2"/>
  <c r="AG500" i="3"/>
  <c r="W289" i="3"/>
  <c r="AC289" i="3"/>
  <c r="AF289" i="3"/>
  <c r="AI864" i="1"/>
  <c r="AJ938" i="1"/>
  <c r="AC994" i="1"/>
  <c r="AH663" i="1"/>
  <c r="AH921" i="3"/>
  <c r="AC712" i="1"/>
  <c r="AG851" i="2"/>
  <c r="Z507" i="2"/>
  <c r="AG631" i="2"/>
  <c r="W73" i="3"/>
  <c r="AC73" i="3"/>
  <c r="AF73" i="3"/>
  <c r="AH73" i="3"/>
  <c r="AD348" i="3"/>
  <c r="AH255" i="3"/>
  <c r="W385" i="3"/>
  <c r="AC385" i="3"/>
  <c r="AF385" i="3"/>
  <c r="Z286" i="2"/>
  <c r="M875" i="1"/>
  <c r="V979" i="2"/>
  <c r="AB979" i="2"/>
  <c r="AE979" i="2"/>
  <c r="AH840" i="3"/>
  <c r="AA795" i="3"/>
  <c r="AA70" i="3"/>
  <c r="AA968" i="3"/>
  <c r="AC828" i="1"/>
  <c r="AD177" i="3"/>
  <c r="M816" i="1"/>
  <c r="AC748" i="2"/>
  <c r="AF691" i="1"/>
  <c r="AC837" i="2"/>
  <c r="AA811" i="3"/>
  <c r="V728" i="3"/>
  <c r="AB728" i="3"/>
  <c r="AE728" i="3"/>
  <c r="AG728" i="3"/>
  <c r="AD166" i="3"/>
  <c r="AC744" i="1"/>
  <c r="AD349" i="3"/>
  <c r="V640" i="3"/>
  <c r="AB640" i="3"/>
  <c r="AE640" i="3"/>
  <c r="AG640" i="3"/>
  <c r="V785" i="3"/>
  <c r="AB785" i="3"/>
  <c r="AE785" i="3"/>
  <c r="AG785" i="3"/>
  <c r="AA739" i="3"/>
  <c r="W993" i="3"/>
  <c r="AC993" i="3"/>
  <c r="AF993" i="3"/>
  <c r="Z857" i="2"/>
  <c r="AH309" i="3"/>
  <c r="M969" i="1"/>
  <c r="T969" i="1"/>
  <c r="AG295" i="2"/>
  <c r="AG815" i="2"/>
  <c r="AA452" i="3"/>
  <c r="AA839" i="3"/>
  <c r="M725" i="1"/>
  <c r="AD298" i="3"/>
  <c r="M832" i="1"/>
  <c r="Z775" i="2"/>
  <c r="X920" i="1"/>
  <c r="AD920" i="1"/>
  <c r="AG920" i="1"/>
  <c r="AI920" i="1"/>
  <c r="V808" i="3"/>
  <c r="AB808" i="3"/>
  <c r="AE808" i="3"/>
  <c r="AG808" i="3"/>
  <c r="U320" i="2"/>
  <c r="AA320" i="2"/>
  <c r="AD320" i="2"/>
  <c r="AF320" i="2"/>
  <c r="Z871" i="2"/>
  <c r="V961" i="3"/>
  <c r="AB961" i="3"/>
  <c r="AE961" i="3"/>
  <c r="AG961" i="3"/>
  <c r="AA940" i="3"/>
  <c r="AA106" i="3"/>
  <c r="AH83" i="3"/>
  <c r="U246" i="2"/>
  <c r="AA246" i="2"/>
  <c r="AD246" i="2"/>
  <c r="AF246" i="2"/>
  <c r="AH967" i="3"/>
  <c r="AA762" i="3"/>
  <c r="AG187" i="2"/>
  <c r="AA984" i="3"/>
  <c r="AA179" i="3"/>
  <c r="AG672" i="2"/>
  <c r="W882" i="3"/>
  <c r="AC882" i="3"/>
  <c r="AF882" i="3"/>
  <c r="AH882" i="3"/>
  <c r="W79" i="3"/>
  <c r="AC79" i="3"/>
  <c r="AF79" i="3"/>
  <c r="AH447" i="3"/>
  <c r="AC663" i="2"/>
  <c r="V650" i="3"/>
  <c r="AB650" i="3"/>
  <c r="AE650" i="3"/>
  <c r="AG650" i="3"/>
  <c r="V54" i="3"/>
  <c r="AB54" i="3"/>
  <c r="AE54" i="3"/>
  <c r="AG54" i="3"/>
  <c r="AC245" i="2"/>
  <c r="V745" i="3"/>
  <c r="AB745" i="3"/>
  <c r="AE745" i="3"/>
  <c r="AG745" i="3"/>
  <c r="Z583" i="2"/>
  <c r="AC779" i="1"/>
  <c r="V262" i="3"/>
  <c r="AB262" i="3"/>
  <c r="AE262" i="3"/>
  <c r="AG262" i="3"/>
  <c r="Z264" i="2"/>
  <c r="Y783" i="3"/>
  <c r="Z783" i="3"/>
  <c r="Z882" i="2"/>
  <c r="Z42" i="3"/>
  <c r="Y42" i="3"/>
  <c r="AD949" i="3"/>
  <c r="V432" i="2"/>
  <c r="AB432" i="2"/>
  <c r="AE432" i="2"/>
  <c r="AD369" i="3"/>
  <c r="V973" i="2"/>
  <c r="AB973" i="2"/>
  <c r="AE973" i="2"/>
  <c r="AG973" i="2"/>
  <c r="V506" i="3"/>
  <c r="AB506" i="3"/>
  <c r="AE506" i="3"/>
  <c r="AG506" i="3"/>
  <c r="AC658" i="2"/>
  <c r="AG496" i="2"/>
  <c r="V386" i="3"/>
  <c r="AB386" i="3"/>
  <c r="AE386" i="3"/>
  <c r="AG386" i="3"/>
  <c r="AH483" i="3"/>
  <c r="AC919" i="1"/>
  <c r="AC688" i="2"/>
  <c r="AA448" i="3"/>
  <c r="M900" i="1"/>
  <c r="AA234" i="3"/>
  <c r="AH827" i="3"/>
  <c r="AD291" i="3"/>
  <c r="Z739" i="2"/>
  <c r="U239" i="2"/>
  <c r="AA239" i="2"/>
  <c r="AD239" i="2"/>
  <c r="AF239" i="2"/>
  <c r="AA370" i="3"/>
  <c r="AD791" i="3"/>
  <c r="V893" i="3"/>
  <c r="AB893" i="3"/>
  <c r="AE893" i="3"/>
  <c r="AG893" i="3"/>
  <c r="Z578" i="2"/>
  <c r="Z328" i="2"/>
  <c r="AA241" i="3"/>
  <c r="V969" i="2"/>
  <c r="AB969" i="2"/>
  <c r="AE969" i="2"/>
  <c r="X742" i="1"/>
  <c r="AD742" i="1"/>
  <c r="AG742" i="1"/>
  <c r="AI742" i="1"/>
  <c r="U294" i="2"/>
  <c r="AA294" i="2"/>
  <c r="AD294" i="2"/>
  <c r="AF294" i="2"/>
  <c r="AA718" i="3"/>
  <c r="AJ896" i="1"/>
  <c r="AF842" i="1"/>
  <c r="W715" i="3"/>
  <c r="AC715" i="3"/>
  <c r="AF715" i="3"/>
  <c r="Z835" i="2"/>
  <c r="AC984" i="2"/>
  <c r="Z960" i="2"/>
  <c r="AD947" i="3"/>
  <c r="AA668" i="3"/>
  <c r="AC495" i="2"/>
  <c r="AG734" i="2"/>
  <c r="AA840" i="3"/>
  <c r="AA172" i="3"/>
  <c r="AD519" i="3"/>
  <c r="M792" i="1"/>
  <c r="AC268" i="2"/>
  <c r="M1011" i="1"/>
  <c r="AA664" i="3"/>
  <c r="V348" i="3"/>
  <c r="AB348" i="3"/>
  <c r="AE348" i="3"/>
  <c r="AG348" i="3"/>
  <c r="U335" i="2"/>
  <c r="AA335" i="2"/>
  <c r="AD335" i="2"/>
  <c r="AF335" i="2"/>
  <c r="Z457" i="2"/>
  <c r="Z970" i="2"/>
  <c r="AC729" i="2"/>
  <c r="AA462" i="3"/>
  <c r="V115" i="3"/>
  <c r="AB115" i="3"/>
  <c r="AE115" i="3"/>
  <c r="AG115" i="3"/>
  <c r="AA807" i="3"/>
  <c r="Z287" i="2"/>
  <c r="V782" i="3"/>
  <c r="AB782" i="3"/>
  <c r="AE782" i="3"/>
  <c r="AG782" i="3"/>
  <c r="Z631" i="2"/>
  <c r="Z624" i="2"/>
  <c r="W50" i="3"/>
  <c r="AC50" i="3"/>
  <c r="AF50" i="3"/>
  <c r="AH50" i="3"/>
  <c r="AG761" i="2"/>
  <c r="AD942" i="3"/>
  <c r="AA684" i="3"/>
  <c r="W633" i="3"/>
  <c r="AC633" i="3"/>
  <c r="AF633" i="3"/>
  <c r="AH633" i="3"/>
  <c r="AG976" i="2"/>
  <c r="AA125" i="3"/>
  <c r="Z940" i="2"/>
  <c r="AH730" i="3"/>
  <c r="Z922" i="2"/>
  <c r="AJ794" i="1"/>
  <c r="AC477" i="2"/>
  <c r="AC276" i="2"/>
  <c r="AC941" i="1"/>
  <c r="AA908" i="3"/>
  <c r="M993" i="1"/>
  <c r="AH658" i="3"/>
  <c r="AJ790" i="1"/>
  <c r="AD636" i="3"/>
  <c r="X755" i="1"/>
  <c r="AD755" i="1"/>
  <c r="AG755" i="1"/>
  <c r="AI755" i="1"/>
  <c r="AC681" i="2"/>
  <c r="T788" i="1"/>
  <c r="Y788" i="1"/>
  <c r="AE788" i="1"/>
  <c r="AH788" i="1"/>
  <c r="AJ788" i="1"/>
  <c r="U272" i="2"/>
  <c r="AA272" i="2"/>
  <c r="AD272" i="2"/>
  <c r="AF272" i="2"/>
  <c r="M818" i="1"/>
  <c r="AA608" i="3"/>
  <c r="AJ851" i="1"/>
  <c r="AC990" i="2"/>
  <c r="Z370" i="2"/>
  <c r="V191" i="2"/>
  <c r="AB191" i="2"/>
  <c r="AE191" i="2"/>
  <c r="AG662" i="2"/>
  <c r="M933" i="1"/>
  <c r="AA676" i="3"/>
  <c r="AC672" i="1"/>
  <c r="AD614" i="3"/>
  <c r="AD674" i="3"/>
  <c r="U913" i="2"/>
  <c r="AA913" i="2"/>
  <c r="AD913" i="2"/>
  <c r="AF913" i="2"/>
  <c r="AG518" i="2"/>
  <c r="W43" i="3"/>
  <c r="AC43" i="3"/>
  <c r="AF43" i="3"/>
  <c r="AH43" i="3"/>
  <c r="AC496" i="2"/>
  <c r="AC362" i="2"/>
  <c r="AF882" i="1"/>
  <c r="U938" i="2"/>
  <c r="AA938" i="2"/>
  <c r="AD938" i="2"/>
  <c r="AF938" i="2"/>
  <c r="AC766" i="2"/>
  <c r="V587" i="3"/>
  <c r="AB587" i="3"/>
  <c r="AE587" i="3"/>
  <c r="AG587" i="3"/>
  <c r="V860" i="3"/>
  <c r="AB860" i="3"/>
  <c r="AE860" i="3"/>
  <c r="AG860" i="3"/>
  <c r="M1005" i="1"/>
  <c r="AC389" i="2"/>
  <c r="AG349" i="2"/>
  <c r="AD538" i="3"/>
  <c r="AA158" i="3"/>
  <c r="AG622" i="2"/>
  <c r="U792" i="2"/>
  <c r="AA792" i="2"/>
  <c r="AD792" i="2"/>
  <c r="AF792" i="2"/>
  <c r="M845" i="1"/>
  <c r="AD325" i="3"/>
  <c r="V209" i="2"/>
  <c r="AB209" i="2"/>
  <c r="AE209" i="2"/>
  <c r="AG528" i="2"/>
  <c r="AC953" i="2"/>
  <c r="AJ757" i="1"/>
  <c r="V791" i="3"/>
  <c r="AB791" i="3"/>
  <c r="AE791" i="3"/>
  <c r="AG791" i="3"/>
  <c r="AA468" i="3"/>
  <c r="AG720" i="2"/>
  <c r="AH155" i="3"/>
  <c r="AH818" i="3"/>
  <c r="AA426" i="3"/>
  <c r="AC1016" i="1"/>
  <c r="AC732" i="2"/>
  <c r="AH939" i="3"/>
  <c r="Z252" i="2"/>
  <c r="AD301" i="3"/>
  <c r="V328" i="2"/>
  <c r="AB328" i="2"/>
  <c r="AE328" i="2"/>
  <c r="U525" i="2"/>
  <c r="AA525" i="2"/>
  <c r="AD525" i="2"/>
  <c r="AF525" i="2"/>
  <c r="AF847" i="1"/>
  <c r="Z705" i="2"/>
  <c r="AC428" i="2"/>
  <c r="AC946" i="2"/>
  <c r="AC267" i="2"/>
  <c r="AG557" i="2"/>
  <c r="AD508" i="3"/>
  <c r="AA842" i="3"/>
  <c r="W971" i="3"/>
  <c r="AC971" i="3"/>
  <c r="AF971" i="3"/>
  <c r="AD241" i="3"/>
  <c r="AC855" i="1"/>
  <c r="AC876" i="2"/>
  <c r="AJ764" i="1"/>
  <c r="AF735" i="1"/>
  <c r="U727" i="2"/>
  <c r="AA727" i="2"/>
  <c r="AD727" i="2"/>
  <c r="AF727" i="2"/>
  <c r="AH414" i="3"/>
  <c r="AA482" i="3"/>
  <c r="V302" i="3"/>
  <c r="AB302" i="3"/>
  <c r="AE302" i="3"/>
  <c r="AG302" i="3"/>
  <c r="Z423" i="2"/>
  <c r="Z915" i="2"/>
  <c r="W288" i="3"/>
  <c r="AC288" i="3"/>
  <c r="AF288" i="3"/>
  <c r="AD924" i="3"/>
  <c r="AC805" i="1"/>
  <c r="AG220" i="2"/>
  <c r="AH503" i="3"/>
  <c r="AA404" i="3"/>
  <c r="U806" i="2"/>
  <c r="AA806" i="2"/>
  <c r="AD806" i="2"/>
  <c r="AF806" i="2"/>
  <c r="AH446" i="3"/>
  <c r="AH292" i="3"/>
  <c r="AA952" i="3"/>
  <c r="AH924" i="3"/>
  <c r="X860" i="1"/>
  <c r="AD860" i="1"/>
  <c r="AG860" i="1"/>
  <c r="AI860" i="1"/>
  <c r="Z216" i="2"/>
  <c r="Z872" i="2"/>
  <c r="Z910" i="2"/>
  <c r="Z580" i="2"/>
  <c r="V617" i="3"/>
  <c r="AB617" i="3"/>
  <c r="AE617" i="3"/>
  <c r="AG617" i="3"/>
  <c r="AA568" i="3"/>
  <c r="AG935" i="2"/>
  <c r="AD358" i="3"/>
  <c r="AD49" i="3"/>
  <c r="W357" i="3"/>
  <c r="AC357" i="3"/>
  <c r="AF357" i="3"/>
  <c r="M846" i="1"/>
  <c r="AA783" i="3"/>
  <c r="V385" i="3"/>
  <c r="AB385" i="3"/>
  <c r="AE385" i="3"/>
  <c r="AG385" i="3"/>
  <c r="AG308" i="2"/>
  <c r="AC861" i="1"/>
  <c r="Z948" i="2"/>
  <c r="AD715" i="3"/>
  <c r="U960" i="2"/>
  <c r="AA960" i="2"/>
  <c r="AD960" i="2"/>
  <c r="AF960" i="2"/>
  <c r="M914" i="1"/>
  <c r="AD646" i="3"/>
  <c r="W140" i="3"/>
  <c r="AC140" i="3"/>
  <c r="AF140" i="3"/>
  <c r="AH140" i="3"/>
  <c r="AA936" i="3"/>
  <c r="AG626" i="2"/>
  <c r="AC857" i="2"/>
  <c r="AD778" i="3"/>
  <c r="Z819" i="2"/>
  <c r="AC910" i="2"/>
  <c r="AD476" i="3"/>
  <c r="AA838" i="3"/>
  <c r="X768" i="1"/>
  <c r="AD768" i="1"/>
  <c r="AG768" i="1"/>
  <c r="AI768" i="1"/>
  <c r="AD904" i="3"/>
  <c r="V288" i="3"/>
  <c r="AB288" i="3"/>
  <c r="AE288" i="3"/>
  <c r="AG288" i="3"/>
  <c r="Z571" i="2"/>
  <c r="W398" i="3"/>
  <c r="AC398" i="3"/>
  <c r="AF398" i="3"/>
  <c r="AH398" i="3"/>
  <c r="U668" i="2"/>
  <c r="AA668" i="2"/>
  <c r="AD668" i="2"/>
  <c r="AF668" i="2"/>
  <c r="V484" i="3"/>
  <c r="AB484" i="3"/>
  <c r="AE484" i="3"/>
  <c r="AG484" i="3"/>
  <c r="AG319" i="2"/>
  <c r="AD236" i="3"/>
  <c r="AA601" i="3"/>
  <c r="AF686" i="1"/>
  <c r="AH586" i="3"/>
  <c r="AG208" i="2"/>
  <c r="Z186" i="2"/>
  <c r="AA816" i="3"/>
  <c r="Z694" i="2"/>
  <c r="AH602" i="3"/>
  <c r="AA951" i="3"/>
  <c r="M760" i="1"/>
  <c r="AF898" i="1"/>
  <c r="AJ734" i="1"/>
  <c r="AA538" i="3"/>
  <c r="AH897" i="3"/>
  <c r="AH666" i="3"/>
  <c r="AD561" i="3"/>
  <c r="AA660" i="3"/>
  <c r="U534" i="2"/>
  <c r="AA534" i="2"/>
  <c r="AD534" i="2"/>
  <c r="AF534" i="2"/>
  <c r="AC916" i="1"/>
  <c r="U349" i="2"/>
  <c r="AA349" i="2"/>
  <c r="AD349" i="2"/>
  <c r="AF349" i="2"/>
  <c r="M705" i="1"/>
  <c r="AH630" i="3"/>
  <c r="AF902" i="1"/>
  <c r="AD141" i="3"/>
  <c r="AD813" i="3"/>
  <c r="AD79" i="3"/>
  <c r="V284" i="3"/>
  <c r="AB284" i="3"/>
  <c r="AE284" i="3"/>
  <c r="AG284" i="3"/>
  <c r="Z230" i="2"/>
  <c r="AA917" i="3"/>
  <c r="X847" i="1"/>
  <c r="AD847" i="1"/>
  <c r="AG847" i="1"/>
  <c r="AI847" i="1"/>
  <c r="AC879" i="2"/>
  <c r="M693" i="1"/>
  <c r="AC847" i="1"/>
  <c r="M921" i="1"/>
  <c r="AA990" i="3"/>
  <c r="AD644" i="3"/>
  <c r="AC778" i="2"/>
  <c r="AG1006" i="2"/>
  <c r="AF680" i="3"/>
  <c r="M831" i="1"/>
  <c r="AA927" i="3"/>
  <c r="AH926" i="3"/>
  <c r="AH271" i="3"/>
  <c r="AA671" i="3"/>
  <c r="W671" i="3"/>
  <c r="AC671" i="3"/>
  <c r="V336" i="3"/>
  <c r="AB336" i="3"/>
  <c r="AE336" i="3"/>
  <c r="AG336" i="3"/>
  <c r="AF889" i="1"/>
  <c r="AG412" i="2"/>
  <c r="AC509" i="2"/>
  <c r="AD431" i="3"/>
  <c r="Z726" i="2"/>
  <c r="V726" i="2"/>
  <c r="AB726" i="2"/>
  <c r="AD172" i="3"/>
  <c r="V172" i="3"/>
  <c r="AB172" i="3"/>
  <c r="AE172" i="3"/>
  <c r="M677" i="1"/>
  <c r="AC379" i="2"/>
  <c r="AF952" i="1"/>
  <c r="U497" i="2"/>
  <c r="AA497" i="2"/>
  <c r="AD497" i="2"/>
  <c r="AF497" i="2"/>
  <c r="AC535" i="2"/>
  <c r="U429" i="2"/>
  <c r="AA429" i="2"/>
  <c r="AD429" i="2"/>
  <c r="AF429" i="2"/>
  <c r="AJ807" i="1"/>
  <c r="Z251" i="2"/>
  <c r="V221" i="3"/>
  <c r="AB221" i="3"/>
  <c r="AE221" i="3"/>
  <c r="AG221" i="3"/>
  <c r="AD972" i="3"/>
  <c r="Z226" i="2"/>
  <c r="AG803" i="2"/>
  <c r="AH626" i="3"/>
  <c r="AC933" i="2"/>
  <c r="AD600" i="2"/>
  <c r="U600" i="2"/>
  <c r="AA600" i="2"/>
  <c r="AC600" i="2"/>
  <c r="AD848" i="3"/>
  <c r="AH918" i="3"/>
  <c r="AD792" i="3"/>
  <c r="AG997" i="2"/>
  <c r="AA856" i="3"/>
  <c r="AE446" i="2"/>
  <c r="AD663" i="3"/>
  <c r="Z497" i="2"/>
  <c r="AA377" i="3"/>
  <c r="M983" i="1"/>
  <c r="Z853" i="2"/>
  <c r="AG773" i="2"/>
  <c r="S716" i="2"/>
  <c r="T716" i="2"/>
  <c r="Z880" i="2"/>
  <c r="AG253" i="2"/>
  <c r="AC775" i="2"/>
  <c r="U435" i="2"/>
  <c r="AA435" i="2"/>
  <c r="AD435" i="2"/>
  <c r="AF435" i="2"/>
  <c r="AJ685" i="1"/>
  <c r="V944" i="3"/>
  <c r="AB944" i="3"/>
  <c r="AE944" i="3"/>
  <c r="AG944" i="3"/>
  <c r="W642" i="3"/>
  <c r="AC642" i="3"/>
  <c r="AF642" i="3"/>
  <c r="AC971" i="2"/>
  <c r="M786" i="1"/>
  <c r="AC813" i="2"/>
  <c r="AH904" i="3"/>
  <c r="AJ894" i="1"/>
  <c r="AA887" i="3"/>
  <c r="AD436" i="3"/>
  <c r="U287" i="2"/>
  <c r="AA287" i="2"/>
  <c r="AD287" i="2"/>
  <c r="AF287" i="2"/>
  <c r="AH752" i="3"/>
  <c r="U242" i="2"/>
  <c r="AA242" i="2"/>
  <c r="AD242" i="2"/>
  <c r="AF242" i="2"/>
  <c r="AG226" i="2"/>
  <c r="AA128" i="3"/>
  <c r="AF819" i="1"/>
  <c r="AJ847" i="1"/>
  <c r="V964" i="2"/>
  <c r="AB964" i="2"/>
  <c r="AE964" i="2"/>
  <c r="AE685" i="3"/>
  <c r="V685" i="3"/>
  <c r="AB685" i="3"/>
  <c r="AD685" i="3"/>
  <c r="M1010" i="1"/>
  <c r="V508" i="3"/>
  <c r="AB508" i="3"/>
  <c r="AE508" i="3"/>
  <c r="AG508" i="3"/>
  <c r="U630" i="2"/>
  <c r="AA630" i="2"/>
  <c r="AD630" i="2"/>
  <c r="AF630" i="2"/>
  <c r="AA527" i="3"/>
  <c r="AF988" i="1"/>
  <c r="V664" i="3"/>
  <c r="AB664" i="3"/>
  <c r="AE664" i="3"/>
  <c r="AG664" i="3"/>
  <c r="AH253" i="3"/>
  <c r="V861" i="3"/>
  <c r="AB861" i="3"/>
  <c r="AE861" i="3"/>
  <c r="AG861" i="3"/>
  <c r="AG588" i="2"/>
  <c r="AH127" i="3"/>
  <c r="Z932" i="2"/>
  <c r="AA814" i="3"/>
  <c r="W85" i="3"/>
  <c r="AC85" i="3"/>
  <c r="AF85" i="3"/>
  <c r="AH85" i="3"/>
  <c r="AC1014" i="1"/>
  <c r="AC623" i="2"/>
  <c r="AC883" i="2"/>
  <c r="M793" i="1"/>
  <c r="V213" i="3"/>
  <c r="AB213" i="3"/>
  <c r="AE213" i="3"/>
  <c r="AG213" i="3"/>
  <c r="AC363" i="2"/>
  <c r="AC881" i="2"/>
  <c r="AC644" i="2"/>
  <c r="V848" i="3"/>
  <c r="AB848" i="3"/>
  <c r="AE848" i="3"/>
  <c r="AG848" i="3"/>
  <c r="AD877" i="3"/>
  <c r="Z972" i="2"/>
  <c r="AG330" i="2"/>
  <c r="Z534" i="2"/>
  <c r="AA872" i="3"/>
  <c r="V677" i="3"/>
  <c r="AB677" i="3"/>
  <c r="AE677" i="3"/>
  <c r="AG677" i="3"/>
  <c r="AA409" i="3"/>
  <c r="AA453" i="3"/>
  <c r="AH413" i="3"/>
  <c r="AD380" i="3"/>
  <c r="V255" i="2"/>
  <c r="AB255" i="2"/>
  <c r="AE255" i="2"/>
  <c r="AH589" i="3"/>
  <c r="AA153" i="3"/>
  <c r="AD725" i="3"/>
  <c r="W377" i="3"/>
  <c r="AC377" i="3"/>
  <c r="AF377" i="3"/>
  <c r="AH377" i="3"/>
  <c r="AG682" i="2"/>
  <c r="AD458" i="3"/>
  <c r="V458" i="3"/>
  <c r="AB458" i="3"/>
  <c r="AE458" i="3"/>
  <c r="W734" i="3"/>
  <c r="AC734" i="3"/>
  <c r="AF734" i="3"/>
  <c r="X888" i="1"/>
  <c r="AD888" i="1"/>
  <c r="AG888" i="1"/>
  <c r="AI888" i="1"/>
  <c r="AD152" i="3"/>
  <c r="U453" i="2"/>
  <c r="AA453" i="2"/>
  <c r="AD453" i="2"/>
  <c r="AF453" i="2"/>
  <c r="V436" i="3"/>
  <c r="AB436" i="3"/>
  <c r="AE436" i="3"/>
  <c r="AG436" i="3"/>
  <c r="Z622" i="2"/>
  <c r="V560" i="3"/>
  <c r="AB560" i="3"/>
  <c r="AE560" i="3"/>
  <c r="AG560" i="3"/>
  <c r="Y672" i="1"/>
  <c r="AE672" i="1"/>
  <c r="AH672" i="1"/>
  <c r="AF876" i="1"/>
  <c r="V317" i="2"/>
  <c r="AB317" i="2"/>
  <c r="AE317" i="2"/>
  <c r="U681" i="2"/>
  <c r="AA681" i="2"/>
  <c r="AD681" i="2"/>
  <c r="AF681" i="2"/>
  <c r="AC708" i="2"/>
  <c r="AC578" i="2"/>
  <c r="U631" i="2"/>
  <c r="AA631" i="2"/>
  <c r="AD631" i="2"/>
  <c r="AF631" i="2"/>
  <c r="U1008" i="2"/>
  <c r="AA1008" i="2"/>
  <c r="AD1008" i="2"/>
  <c r="AF1008" i="2"/>
  <c r="V945" i="3"/>
  <c r="AB945" i="3"/>
  <c r="AE945" i="3"/>
  <c r="AG945" i="3"/>
  <c r="AH277" i="3"/>
  <c r="AD374" i="3"/>
  <c r="V756" i="3"/>
  <c r="AB756" i="3"/>
  <c r="AE756" i="3"/>
  <c r="AG756" i="3"/>
  <c r="AF890" i="1"/>
  <c r="M992" i="1"/>
  <c r="X994" i="1"/>
  <c r="AD994" i="1"/>
  <c r="AG994" i="1"/>
  <c r="AI994" i="1"/>
  <c r="AC919" i="2"/>
  <c r="AC669" i="1"/>
  <c r="AD170" i="3"/>
  <c r="AA822" i="3"/>
  <c r="M706" i="1"/>
  <c r="Y888" i="1"/>
  <c r="AE888" i="1"/>
  <c r="AH888" i="1"/>
  <c r="AD631" i="3"/>
  <c r="V358" i="3"/>
  <c r="AB358" i="3"/>
  <c r="AE358" i="3"/>
  <c r="AG358" i="3"/>
  <c r="AA942" i="3"/>
  <c r="AC577" i="2"/>
  <c r="Z407" i="2"/>
  <c r="AH743" i="3"/>
  <c r="AC313" i="2"/>
  <c r="W700" i="3"/>
  <c r="AC700" i="3"/>
  <c r="AF700" i="3"/>
  <c r="AD134" i="3"/>
  <c r="AA40" i="3"/>
  <c r="V967" i="3"/>
  <c r="AB967" i="3"/>
  <c r="AE967" i="3"/>
  <c r="AG967" i="3"/>
  <c r="M912" i="1"/>
  <c r="AH769" i="3"/>
  <c r="AG605" i="2"/>
  <c r="AD577" i="3"/>
  <c r="AG946" i="2"/>
  <c r="M978" i="1"/>
  <c r="AG792" i="2"/>
  <c r="AF922" i="1"/>
  <c r="AG419" i="2"/>
  <c r="AG516" i="2"/>
  <c r="Z219" i="2"/>
  <c r="Z699" i="2"/>
  <c r="U378" i="2"/>
  <c r="AA378" i="2"/>
  <c r="AD378" i="2"/>
  <c r="AF378" i="2"/>
  <c r="AG982" i="2"/>
  <c r="AC257" i="2"/>
  <c r="V391" i="2"/>
  <c r="AB391" i="2"/>
  <c r="AE391" i="2"/>
  <c r="AC197" i="2"/>
  <c r="V325" i="3"/>
  <c r="AB325" i="3"/>
  <c r="AE325" i="3"/>
  <c r="AG325" i="3"/>
  <c r="AJ997" i="1"/>
  <c r="AC317" i="2"/>
  <c r="Z389" i="2"/>
  <c r="AC234" i="2"/>
  <c r="V656" i="3"/>
  <c r="AB656" i="3"/>
  <c r="AE656" i="3"/>
  <c r="AG656" i="3"/>
  <c r="M778" i="1"/>
  <c r="U253" i="2"/>
  <c r="AA253" i="2"/>
  <c r="AD253" i="2"/>
  <c r="AF253" i="2"/>
  <c r="AC202" i="2"/>
  <c r="AF862" i="1"/>
  <c r="M1014" i="1"/>
  <c r="X957" i="1"/>
  <c r="AD957" i="1"/>
  <c r="AG957" i="1"/>
  <c r="AI957" i="1"/>
  <c r="U798" i="2"/>
  <c r="AA798" i="2"/>
  <c r="AD798" i="2"/>
  <c r="AF798" i="2"/>
  <c r="Z463" i="2"/>
  <c r="Z900" i="2"/>
  <c r="AA322" i="3"/>
  <c r="AH964" i="3"/>
  <c r="AD986" i="3"/>
  <c r="AC749" i="1"/>
  <c r="AC964" i="1"/>
  <c r="AA983" i="3"/>
  <c r="AH108" i="3"/>
  <c r="V828" i="3"/>
  <c r="AB828" i="3"/>
  <c r="AE828" i="3"/>
  <c r="AG828" i="3"/>
  <c r="AG262" i="2"/>
  <c r="AH910" i="3"/>
  <c r="AH454" i="3"/>
  <c r="U478" i="2"/>
  <c r="AA478" i="2"/>
  <c r="AD478" i="2"/>
  <c r="AF478" i="2"/>
  <c r="AG735" i="2"/>
  <c r="X694" i="1"/>
  <c r="AD694" i="1"/>
  <c r="AG694" i="1"/>
  <c r="AI694" i="1"/>
  <c r="AA551" i="3"/>
  <c r="AF893" i="1"/>
  <c r="V152" i="3"/>
  <c r="AB152" i="3"/>
  <c r="AE152" i="3"/>
  <c r="AG152" i="3"/>
  <c r="AC316" i="2"/>
  <c r="AG529" i="2"/>
  <c r="AF912" i="1"/>
  <c r="V112" i="3"/>
  <c r="AB112" i="3"/>
  <c r="AE112" i="3"/>
  <c r="AG112" i="3"/>
  <c r="Z476" i="2"/>
  <c r="U708" i="2"/>
  <c r="AA708" i="2"/>
  <c r="AD708" i="2"/>
  <c r="AF708" i="2"/>
  <c r="AC803" i="2"/>
  <c r="V473" i="3"/>
  <c r="AB473" i="3"/>
  <c r="AE473" i="3"/>
  <c r="AG473" i="3"/>
  <c r="T671" i="1"/>
  <c r="Y671" i="1"/>
  <c r="AE671" i="1"/>
  <c r="AH671" i="1"/>
  <c r="AG427" i="2"/>
  <c r="AC533" i="2"/>
  <c r="U533" i="2"/>
  <c r="AA533" i="2"/>
  <c r="AD533" i="2"/>
  <c r="AA537" i="3"/>
  <c r="AA743" i="3"/>
  <c r="V703" i="3"/>
  <c r="AB703" i="3"/>
  <c r="AE703" i="3"/>
  <c r="AG703" i="3"/>
  <c r="AH899" i="3"/>
  <c r="W313" i="3"/>
  <c r="AC313" i="3"/>
  <c r="AF313" i="3"/>
  <c r="U578" i="2"/>
  <c r="AA578" i="2"/>
  <c r="AD578" i="2"/>
  <c r="AF578" i="2"/>
  <c r="Z462" i="2"/>
  <c r="AA522" i="3"/>
  <c r="AA659" i="3"/>
  <c r="V905" i="2"/>
  <c r="AB905" i="2"/>
  <c r="AE905" i="2"/>
  <c r="AJ765" i="1"/>
  <c r="Z849" i="2"/>
  <c r="V444" i="2"/>
  <c r="AB444" i="2"/>
  <c r="AE444" i="2"/>
  <c r="AJ775" i="1"/>
  <c r="AA472" i="3"/>
  <c r="V371" i="2"/>
  <c r="AB371" i="2"/>
  <c r="AE371" i="2"/>
  <c r="AC859" i="1"/>
  <c r="Z406" i="2"/>
  <c r="M79" i="1"/>
  <c r="AA191" i="3"/>
  <c r="V264" i="3"/>
  <c r="AB264" i="3"/>
  <c r="AE264" i="3"/>
  <c r="AG264" i="3"/>
  <c r="AD548" i="3"/>
  <c r="M749" i="1"/>
  <c r="AD245" i="3"/>
  <c r="AH930" i="3"/>
  <c r="AH958" i="3"/>
  <c r="Z508" i="2"/>
  <c r="AA294" i="3"/>
  <c r="AF800" i="1"/>
  <c r="U424" i="2"/>
  <c r="AA424" i="2"/>
  <c r="AD424" i="2"/>
  <c r="AF424" i="2"/>
  <c r="AD673" i="3"/>
  <c r="AH223" i="3"/>
  <c r="V350" i="3"/>
  <c r="AB350" i="3"/>
  <c r="AE350" i="3"/>
  <c r="AG350" i="3"/>
  <c r="U665" i="2"/>
  <c r="AA665" i="2"/>
  <c r="AD665" i="2"/>
  <c r="AF665" i="2"/>
  <c r="M843" i="1"/>
  <c r="AF940" i="1"/>
  <c r="M797" i="1"/>
  <c r="Z451" i="2"/>
  <c r="Z556" i="2"/>
  <c r="AH106" i="3"/>
  <c r="AH53" i="3"/>
  <c r="V243" i="3"/>
  <c r="AB243" i="3"/>
  <c r="AE243" i="3"/>
  <c r="AG243" i="3"/>
  <c r="AA548" i="3"/>
  <c r="V902" i="3"/>
  <c r="AB902" i="3"/>
  <c r="AE902" i="3"/>
  <c r="AG902" i="3"/>
  <c r="AG741" i="2"/>
  <c r="AC986" i="1"/>
  <c r="AC1006" i="1"/>
  <c r="AC544" i="2"/>
  <c r="Z339" i="2"/>
  <c r="V838" i="2"/>
  <c r="AB838" i="2"/>
  <c r="AE838" i="2"/>
  <c r="AG838" i="2"/>
  <c r="V545" i="3"/>
  <c r="AB545" i="3"/>
  <c r="AE545" i="3"/>
  <c r="AG545" i="3"/>
  <c r="AA498" i="3"/>
  <c r="U355" i="2"/>
  <c r="AA355" i="2"/>
  <c r="AD355" i="2"/>
  <c r="AF355" i="2"/>
  <c r="W322" i="3"/>
  <c r="AC322" i="3"/>
  <c r="AF322" i="3"/>
  <c r="V990" i="2"/>
  <c r="AB990" i="2"/>
  <c r="AE990" i="2"/>
  <c r="AC693" i="2"/>
  <c r="AA772" i="3"/>
  <c r="AA788" i="3"/>
  <c r="AG292" i="2"/>
  <c r="AA298" i="3"/>
  <c r="AC921" i="1"/>
  <c r="AA461" i="3"/>
  <c r="U575" i="2"/>
  <c r="AA575" i="2"/>
  <c r="AD575" i="2"/>
  <c r="AF575" i="2"/>
  <c r="AA65" i="3"/>
  <c r="U972" i="2"/>
  <c r="AA972" i="2"/>
  <c r="AD972" i="2"/>
  <c r="AF972" i="2"/>
  <c r="AG334" i="2"/>
  <c r="AC953" i="1"/>
  <c r="AA36" i="3"/>
  <c r="V233" i="3"/>
  <c r="AB233" i="3"/>
  <c r="AE233" i="3"/>
  <c r="AG233" i="3"/>
  <c r="M783" i="1"/>
  <c r="AG835" i="2"/>
  <c r="AA440" i="3"/>
  <c r="AC1004" i="2"/>
  <c r="AC991" i="1"/>
  <c r="AG459" i="2"/>
  <c r="AG938" i="2"/>
  <c r="V573" i="3"/>
  <c r="AB573" i="3"/>
  <c r="AE573" i="3"/>
  <c r="AG573" i="3"/>
  <c r="Z266" i="2"/>
  <c r="AA161" i="3"/>
  <c r="W74" i="3"/>
  <c r="AC74" i="3"/>
  <c r="AF74" i="3"/>
  <c r="AH74" i="3"/>
  <c r="Z700" i="2"/>
  <c r="AA830" i="3"/>
  <c r="Z683" i="2"/>
  <c r="Z978" i="2"/>
  <c r="V345" i="3"/>
  <c r="AB345" i="3"/>
  <c r="AE345" i="3"/>
  <c r="AG345" i="3"/>
  <c r="AH709" i="3"/>
  <c r="V492" i="2"/>
  <c r="AB492" i="2"/>
  <c r="AE492" i="2"/>
  <c r="AC676" i="2"/>
  <c r="V698" i="3"/>
  <c r="AB698" i="3"/>
  <c r="AE698" i="3"/>
  <c r="AG698" i="3"/>
  <c r="AC549" i="2"/>
  <c r="AG775" i="2"/>
  <c r="AA260" i="3"/>
  <c r="M984" i="1"/>
  <c r="AC823" i="1"/>
  <c r="AG628" i="2"/>
  <c r="AH331" i="3"/>
  <c r="U199" i="2"/>
  <c r="AA199" i="2"/>
  <c r="AD199" i="2"/>
  <c r="AF199" i="2"/>
  <c r="V422" i="3"/>
  <c r="AB422" i="3"/>
  <c r="AE422" i="3"/>
  <c r="AG422" i="3"/>
  <c r="AG669" i="2"/>
  <c r="AC894" i="2"/>
  <c r="AA905" i="3"/>
  <c r="AC970" i="1"/>
  <c r="M777" i="1"/>
  <c r="U488" i="2"/>
  <c r="AA488" i="2"/>
  <c r="AD488" i="2"/>
  <c r="AF488" i="2"/>
  <c r="V245" i="3"/>
  <c r="AB245" i="3"/>
  <c r="AE245" i="3"/>
  <c r="AG245" i="3"/>
  <c r="AA54" i="3"/>
  <c r="AC450" i="2"/>
  <c r="Z945" i="2"/>
  <c r="X126" i="1"/>
  <c r="AD126" i="1"/>
  <c r="AG126" i="1"/>
  <c r="AI126" i="1"/>
  <c r="AG609" i="2"/>
  <c r="V267" i="3"/>
  <c r="AB267" i="3"/>
  <c r="AE267" i="3"/>
  <c r="AG267" i="3"/>
  <c r="V228" i="3"/>
  <c r="AB228" i="3"/>
  <c r="AE228" i="3"/>
  <c r="AG228" i="3"/>
  <c r="AD309" i="3"/>
  <c r="AA381" i="3"/>
  <c r="Z814" i="2"/>
  <c r="AA636" i="3"/>
  <c r="AD603" i="3"/>
  <c r="U396" i="2"/>
  <c r="AA396" i="2"/>
  <c r="AD396" i="2"/>
  <c r="AF396" i="2"/>
  <c r="AC843" i="2"/>
  <c r="Z955" i="2"/>
  <c r="AC987" i="1"/>
  <c r="AG211" i="2"/>
  <c r="Y779" i="1"/>
  <c r="AE779" i="1"/>
  <c r="AH779" i="1"/>
  <c r="U290" i="2"/>
  <c r="AA290" i="2"/>
  <c r="AD290" i="2"/>
  <c r="AF290" i="2"/>
  <c r="AC742" i="1"/>
  <c r="AC926" i="2"/>
  <c r="Z446" i="2"/>
  <c r="V446" i="2"/>
  <c r="AB446" i="2"/>
  <c r="AA662" i="3"/>
  <c r="X921" i="1"/>
  <c r="AD921" i="1"/>
  <c r="AG921" i="1"/>
  <c r="AI921" i="1"/>
  <c r="U465" i="2"/>
  <c r="AA465" i="2"/>
  <c r="AD465" i="2"/>
  <c r="AF465" i="2"/>
  <c r="U697" i="2"/>
  <c r="AA697" i="2"/>
  <c r="AD697" i="2"/>
  <c r="AF697" i="2"/>
  <c r="V77" i="3"/>
  <c r="AB77" i="3"/>
  <c r="AE77" i="3"/>
  <c r="AG77" i="3"/>
  <c r="V464" i="2"/>
  <c r="AB464" i="2"/>
  <c r="AE464" i="2"/>
  <c r="AC685" i="2"/>
  <c r="AA505" i="3"/>
  <c r="AC698" i="2"/>
  <c r="AC1008" i="1"/>
  <c r="AC937" i="2"/>
  <c r="Z667" i="2"/>
  <c r="AH834" i="3"/>
  <c r="U213" i="2"/>
  <c r="AA213" i="2"/>
  <c r="AD213" i="2"/>
  <c r="AF213" i="2"/>
  <c r="AF931" i="1"/>
  <c r="V726" i="3"/>
  <c r="AB726" i="3"/>
  <c r="AE726" i="3"/>
  <c r="AG726" i="3"/>
  <c r="U637" i="2"/>
  <c r="AA637" i="2"/>
  <c r="AD637" i="2"/>
  <c r="AF637" i="2"/>
  <c r="V809" i="2"/>
  <c r="AB809" i="2"/>
  <c r="AE809" i="2"/>
  <c r="AG809" i="2"/>
  <c r="Y669" i="1"/>
  <c r="AE669" i="1"/>
  <c r="AH669" i="1"/>
  <c r="AJ669" i="1"/>
  <c r="V735" i="3"/>
  <c r="AB735" i="3"/>
  <c r="AE735" i="3"/>
  <c r="AG735" i="3"/>
  <c r="R915" i="3"/>
  <c r="U894" i="2"/>
  <c r="AA894" i="2"/>
  <c r="AD894" i="2"/>
  <c r="AF894" i="2"/>
  <c r="AD528" i="3"/>
  <c r="U1006" i="2"/>
  <c r="AA1006" i="2"/>
  <c r="AD1006" i="2"/>
  <c r="AF1006" i="2"/>
  <c r="V970" i="3"/>
  <c r="AB970" i="3"/>
  <c r="AE970" i="3"/>
  <c r="AG970" i="3"/>
  <c r="AC864" i="1"/>
  <c r="AJ908" i="1"/>
  <c r="AA595" i="3"/>
  <c r="AA972" i="3"/>
  <c r="W814" i="3"/>
  <c r="AC814" i="3"/>
  <c r="AF814" i="3"/>
  <c r="AG439" i="2"/>
  <c r="AG746" i="2"/>
  <c r="U212" i="2"/>
  <c r="AA212" i="2"/>
  <c r="AD212" i="2"/>
  <c r="AF212" i="2"/>
  <c r="AA221" i="3"/>
  <c r="AG314" i="2"/>
  <c r="AA900" i="3"/>
  <c r="AC988" i="1"/>
  <c r="AA433" i="3"/>
  <c r="AG614" i="2"/>
  <c r="AA812" i="3"/>
  <c r="M676" i="1"/>
  <c r="M865" i="1"/>
  <c r="W522" i="3"/>
  <c r="AC522" i="3"/>
  <c r="AF522" i="3"/>
  <c r="AH522" i="3"/>
  <c r="AG743" i="2"/>
  <c r="W862" i="3"/>
  <c r="AC862" i="3"/>
  <c r="AF862" i="3"/>
  <c r="AC205" i="2"/>
  <c r="AF785" i="1"/>
  <c r="W955" i="3"/>
  <c r="AC955" i="3"/>
  <c r="AF955" i="3"/>
  <c r="AH955" i="3"/>
  <c r="AA903" i="3"/>
  <c r="Z384" i="2"/>
  <c r="AH731" i="3"/>
  <c r="U428" i="2"/>
  <c r="AA428" i="2"/>
  <c r="AD428" i="2"/>
  <c r="AF428" i="2"/>
  <c r="AA138" i="3"/>
  <c r="X700" i="1"/>
  <c r="AD700" i="1"/>
  <c r="AG700" i="1"/>
  <c r="AI700" i="1"/>
  <c r="AG633" i="2"/>
  <c r="M699" i="1"/>
  <c r="AD459" i="3"/>
  <c r="W283" i="3"/>
  <c r="AC283" i="3"/>
  <c r="AF283" i="3"/>
  <c r="AA907" i="3"/>
  <c r="X725" i="1"/>
  <c r="AD725" i="1"/>
  <c r="AG725" i="1"/>
  <c r="AI725" i="1"/>
  <c r="U450" i="2"/>
  <c r="AA450" i="2"/>
  <c r="AD450" i="2"/>
  <c r="AF450" i="2"/>
  <c r="Z588" i="2"/>
  <c r="AH468" i="3"/>
  <c r="AD368" i="3"/>
  <c r="AD717" i="3"/>
  <c r="V33" i="3"/>
  <c r="AB33" i="3"/>
  <c r="AE33" i="3"/>
  <c r="AG33" i="3"/>
  <c r="AF988" i="2"/>
  <c r="AG968" i="2"/>
  <c r="Z376" i="2"/>
  <c r="V398" i="3"/>
  <c r="AB398" i="3"/>
  <c r="AE398" i="3"/>
  <c r="AG398" i="3"/>
  <c r="V117" i="3"/>
  <c r="AB117" i="3"/>
  <c r="AE117" i="3"/>
  <c r="AG117" i="3"/>
  <c r="W628" i="3"/>
  <c r="AC628" i="3"/>
  <c r="AF628" i="3"/>
  <c r="AH365" i="3"/>
  <c r="AH621" i="3"/>
  <c r="AG351" i="2"/>
  <c r="AJ1014" i="1"/>
  <c r="AA510" i="3"/>
  <c r="AA496" i="3"/>
  <c r="Z504" i="2"/>
  <c r="AD740" i="3"/>
  <c r="AD536" i="3"/>
  <c r="AD415" i="3"/>
  <c r="X933" i="1"/>
  <c r="AD933" i="1"/>
  <c r="AG933" i="1"/>
  <c r="AI933" i="1"/>
  <c r="M976" i="1"/>
  <c r="AD109" i="3"/>
  <c r="V109" i="3"/>
  <c r="AB109" i="3"/>
  <c r="AE109" i="3"/>
  <c r="X996" i="1"/>
  <c r="AD996" i="1"/>
  <c r="AG996" i="1"/>
  <c r="AI996" i="1"/>
  <c r="Z256" i="2"/>
  <c r="AA987" i="3"/>
  <c r="Y959" i="1"/>
  <c r="AE959" i="1"/>
  <c r="AH959" i="1"/>
  <c r="Z717" i="2"/>
  <c r="AC728" i="2"/>
  <c r="U422" i="2"/>
  <c r="AA422" i="2"/>
  <c r="AD422" i="2"/>
  <c r="AF422" i="2"/>
  <c r="W93" i="3"/>
  <c r="AC93" i="3"/>
  <c r="AF93" i="3"/>
  <c r="AH93" i="3"/>
  <c r="T701" i="1"/>
  <c r="Y701" i="1"/>
  <c r="AE701" i="1"/>
  <c r="AH701" i="1"/>
  <c r="Z821" i="2"/>
  <c r="M688" i="1"/>
  <c r="AC297" i="2"/>
  <c r="AH300" i="3"/>
  <c r="AD215" i="3"/>
  <c r="AG577" i="2"/>
  <c r="X826" i="1"/>
  <c r="AD826" i="1"/>
  <c r="AG826" i="1"/>
  <c r="AI826" i="1"/>
  <c r="Z728" i="2"/>
  <c r="AC833" i="1"/>
  <c r="AA78" i="3"/>
  <c r="AA655" i="3"/>
  <c r="AD138" i="3"/>
  <c r="AD994" i="3"/>
  <c r="AG379" i="2"/>
  <c r="X687" i="1"/>
  <c r="AD687" i="1"/>
  <c r="AG687" i="1"/>
  <c r="AI687" i="1"/>
  <c r="AJ872" i="1"/>
  <c r="AH144" i="3"/>
  <c r="T824" i="1"/>
  <c r="Y824" i="1"/>
  <c r="AE824" i="1"/>
  <c r="AH824" i="1"/>
  <c r="AJ824" i="1"/>
  <c r="AA861" i="3"/>
  <c r="Z612" i="2"/>
  <c r="U745" i="2"/>
  <c r="AA745" i="2"/>
  <c r="AD745" i="2"/>
  <c r="AF745" i="2"/>
  <c r="AH278" i="3"/>
  <c r="AA107" i="3"/>
  <c r="AC295" i="2"/>
  <c r="AA988" i="3"/>
  <c r="V576" i="3"/>
  <c r="AB576" i="3"/>
  <c r="AE576" i="3"/>
  <c r="AG576" i="3"/>
  <c r="U850" i="2"/>
  <c r="AA850" i="2"/>
  <c r="AD850" i="2"/>
  <c r="AF850" i="2"/>
  <c r="AH753" i="3"/>
  <c r="AD554" i="3"/>
  <c r="AD492" i="3"/>
  <c r="V193" i="3"/>
  <c r="AB193" i="3"/>
  <c r="AE193" i="3"/>
  <c r="AG193" i="3"/>
  <c r="X846" i="1"/>
  <c r="AD846" i="1"/>
  <c r="AG846" i="1"/>
  <c r="AI846" i="1"/>
  <c r="AH397" i="3"/>
  <c r="Z496" i="2"/>
  <c r="AA315" i="3"/>
  <c r="V992" i="3"/>
  <c r="AB992" i="3"/>
  <c r="AE992" i="3"/>
  <c r="AG992" i="3"/>
  <c r="V323" i="2"/>
  <c r="AB323" i="2"/>
  <c r="AE323" i="2"/>
  <c r="AC593" i="2"/>
  <c r="AF1013" i="1"/>
  <c r="AA446" i="3"/>
  <c r="W44" i="3"/>
  <c r="AC44" i="3"/>
  <c r="AF44" i="3"/>
  <c r="AH44" i="3"/>
  <c r="Y988" i="1"/>
  <c r="AE988" i="1"/>
  <c r="AH988" i="1"/>
  <c r="AD927" i="3"/>
  <c r="V927" i="3"/>
  <c r="AB927" i="3"/>
  <c r="AE927" i="3"/>
  <c r="AA126" i="3"/>
  <c r="V430" i="3"/>
  <c r="AB430" i="3"/>
  <c r="AE430" i="3"/>
  <c r="AG430" i="3"/>
  <c r="Z542" i="2"/>
  <c r="AC755" i="1"/>
  <c r="AD615" i="3"/>
  <c r="V511" i="3"/>
  <c r="AB511" i="3"/>
  <c r="AE511" i="3"/>
  <c r="AG511" i="3"/>
  <c r="M999" i="1"/>
  <c r="AG653" i="2"/>
  <c r="V384" i="2"/>
  <c r="AB384" i="2"/>
  <c r="AE384" i="2"/>
  <c r="AF678" i="1"/>
  <c r="AG466" i="2"/>
  <c r="AD606" i="3"/>
  <c r="R289" i="3"/>
  <c r="V289" i="3"/>
  <c r="AB289" i="3"/>
  <c r="AE289" i="3"/>
  <c r="AG289" i="3"/>
  <c r="AA567" i="3"/>
  <c r="AA612" i="3"/>
  <c r="V424" i="2"/>
  <c r="AB424" i="2"/>
  <c r="AE424" i="2"/>
  <c r="Z935" i="2"/>
  <c r="AA599" i="3"/>
  <c r="AJ1003" i="1"/>
  <c r="AC782" i="1"/>
  <c r="AD232" i="3"/>
  <c r="Z855" i="2"/>
  <c r="X750" i="1"/>
  <c r="AD750" i="1"/>
  <c r="AG750" i="1"/>
  <c r="AI750" i="1"/>
  <c r="M872" i="1"/>
  <c r="Z599" i="2"/>
  <c r="AC753" i="1"/>
  <c r="AC889" i="1"/>
  <c r="W603" i="3"/>
  <c r="AC603" i="3"/>
  <c r="AF603" i="3"/>
  <c r="AH603" i="3"/>
  <c r="AC878" i="2"/>
  <c r="AJ861" i="1"/>
  <c r="AA870" i="3"/>
  <c r="AH794" i="3"/>
  <c r="M860" i="1"/>
  <c r="AA956" i="3"/>
  <c r="AA740" i="3"/>
  <c r="AD616" i="3"/>
  <c r="U605" i="2"/>
  <c r="AA605" i="2"/>
  <c r="AD605" i="2"/>
  <c r="AF605" i="2"/>
  <c r="U567" i="2"/>
  <c r="AA567" i="2"/>
  <c r="AD567" i="2"/>
  <c r="AF567" i="2"/>
  <c r="AA30" i="3"/>
  <c r="AC754" i="2"/>
  <c r="Z257" i="2"/>
  <c r="AG716" i="2"/>
  <c r="AG440" i="2"/>
  <c r="V207" i="2"/>
  <c r="AB207" i="2"/>
  <c r="AE207" i="2"/>
  <c r="V846" i="3"/>
  <c r="AB846" i="3"/>
  <c r="AE846" i="3"/>
  <c r="AG846" i="3"/>
  <c r="U797" i="2"/>
  <c r="AA797" i="2"/>
  <c r="AD797" i="2"/>
  <c r="AF797" i="2"/>
  <c r="V702" i="3"/>
  <c r="AB702" i="3"/>
  <c r="AE702" i="3"/>
  <c r="AG702" i="3"/>
  <c r="T768" i="1"/>
  <c r="Y768" i="1"/>
  <c r="AE768" i="1"/>
  <c r="AH768" i="1"/>
  <c r="AA506" i="3"/>
  <c r="AH782" i="3"/>
  <c r="AF844" i="3"/>
  <c r="M953" i="1"/>
  <c r="Z223" i="2"/>
  <c r="AC612" i="2"/>
  <c r="V608" i="3"/>
  <c r="AB608" i="3"/>
  <c r="AE608" i="3"/>
  <c r="AG608" i="3"/>
  <c r="U297" i="2"/>
  <c r="AA297" i="2"/>
  <c r="AD297" i="2"/>
  <c r="AF297" i="2"/>
  <c r="U543" i="2"/>
  <c r="AA543" i="2"/>
  <c r="AD543" i="2"/>
  <c r="AF543" i="2"/>
  <c r="AH716" i="3"/>
  <c r="AA954" i="3"/>
  <c r="AJ882" i="1"/>
  <c r="L709" i="1"/>
  <c r="K709" i="1"/>
  <c r="AC811" i="2"/>
  <c r="AC837" i="1"/>
  <c r="U526" i="2"/>
  <c r="AA526" i="2"/>
  <c r="AD526" i="2"/>
  <c r="AF526" i="2"/>
  <c r="M955" i="1"/>
  <c r="AA735" i="3"/>
  <c r="AG200" i="2"/>
  <c r="Z439" i="2"/>
  <c r="V56" i="3"/>
  <c r="AB56" i="3"/>
  <c r="AE56" i="3"/>
  <c r="AG56" i="3"/>
  <c r="Z633" i="2"/>
  <c r="R828" i="3"/>
  <c r="AH284" i="3"/>
  <c r="AH923" i="1"/>
  <c r="Z316" i="2"/>
  <c r="Z758" i="2"/>
  <c r="V588" i="2"/>
  <c r="AB588" i="2"/>
  <c r="AE588" i="2"/>
  <c r="AG199" i="2"/>
  <c r="V694" i="3"/>
  <c r="AB694" i="3"/>
  <c r="AE694" i="3"/>
  <c r="AG694" i="3"/>
  <c r="AA767" i="3"/>
  <c r="V554" i="3"/>
  <c r="AB554" i="3"/>
  <c r="AE554" i="3"/>
  <c r="AG554" i="3"/>
  <c r="U837" i="2"/>
  <c r="AA837" i="2"/>
  <c r="AD837" i="2"/>
  <c r="AF837" i="2"/>
  <c r="AG899" i="2"/>
  <c r="V279" i="3"/>
  <c r="AB279" i="3"/>
  <c r="AE279" i="3"/>
  <c r="AG279" i="3"/>
  <c r="Z324" i="2"/>
  <c r="AH170" i="3"/>
  <c r="AC753" i="2"/>
  <c r="AA994" i="3"/>
  <c r="AC639" i="2"/>
  <c r="U803" i="2"/>
  <c r="AA803" i="2"/>
  <c r="AD803" i="2"/>
  <c r="AF803" i="2"/>
  <c r="AG696" i="2"/>
  <c r="W704" i="3"/>
  <c r="AC704" i="3"/>
  <c r="AF704" i="3"/>
  <c r="AH779" i="3"/>
  <c r="W668" i="3"/>
  <c r="AC668" i="3"/>
  <c r="AF668" i="3"/>
  <c r="AD364" i="3"/>
  <c r="W107" i="3"/>
  <c r="AC107" i="3"/>
  <c r="AF107" i="3"/>
  <c r="AJ1016" i="1"/>
  <c r="AH553" i="3"/>
  <c r="Z647" i="2"/>
  <c r="AG233" i="2"/>
  <c r="AC794" i="1"/>
  <c r="Z944" i="2"/>
  <c r="U601" i="2"/>
  <c r="AA601" i="2"/>
  <c r="AD601" i="2"/>
  <c r="AF601" i="2"/>
  <c r="V170" i="3"/>
  <c r="AB170" i="3"/>
  <c r="AE170" i="3"/>
  <c r="AG170" i="3"/>
  <c r="AJ1006" i="1"/>
  <c r="AA598" i="3"/>
  <c r="T782" i="1"/>
  <c r="Y782" i="1"/>
  <c r="AE782" i="1"/>
  <c r="AH782" i="1"/>
  <c r="AD327" i="3"/>
  <c r="W701" i="3"/>
  <c r="AC701" i="3"/>
  <c r="AF701" i="3"/>
  <c r="AH877" i="3"/>
  <c r="AD936" i="3"/>
  <c r="AA732" i="3"/>
  <c r="AC353" i="2"/>
  <c r="AH917" i="3"/>
  <c r="X837" i="1"/>
  <c r="AD837" i="1"/>
  <c r="AG837" i="1"/>
  <c r="AI837" i="1"/>
  <c r="AF866" i="1"/>
  <c r="AJ992" i="1"/>
  <c r="X859" i="1"/>
  <c r="AD859" i="1"/>
  <c r="AG859" i="1"/>
  <c r="AI859" i="1"/>
  <c r="AD891" i="3"/>
  <c r="AA565" i="3"/>
  <c r="AA921" i="3"/>
  <c r="AF956" i="1"/>
  <c r="X956" i="1"/>
  <c r="AD956" i="1"/>
  <c r="AG956" i="1"/>
  <c r="V678" i="3"/>
  <c r="AB678" i="3"/>
  <c r="AE678" i="3"/>
  <c r="AG678" i="3"/>
  <c r="M859" i="1"/>
  <c r="AD126" i="3"/>
  <c r="Z498" i="2"/>
  <c r="AD353" i="3"/>
  <c r="V353" i="3"/>
  <c r="AB353" i="3"/>
  <c r="AE353" i="3"/>
  <c r="Z299" i="2"/>
  <c r="U672" i="2"/>
  <c r="AA672" i="2"/>
  <c r="AD672" i="2"/>
  <c r="AF672" i="2"/>
  <c r="AH501" i="3"/>
  <c r="W183" i="3"/>
  <c r="AC183" i="3"/>
  <c r="AF183" i="3"/>
  <c r="U785" i="2"/>
  <c r="AA785" i="2"/>
  <c r="AD785" i="2"/>
  <c r="AF785" i="2"/>
  <c r="V716" i="3"/>
  <c r="AB716" i="3"/>
  <c r="AE716" i="3"/>
  <c r="AG716" i="3"/>
  <c r="AJ867" i="1"/>
  <c r="AA254" i="3"/>
  <c r="AD502" i="3"/>
  <c r="U660" i="2"/>
  <c r="AA660" i="2"/>
  <c r="AD660" i="2"/>
  <c r="AF660" i="2"/>
  <c r="AA906" i="3"/>
  <c r="AC770" i="1"/>
  <c r="AH906" i="3"/>
  <c r="AA854" i="3"/>
  <c r="AG264" i="2"/>
  <c r="AC849" i="1"/>
  <c r="AH695" i="3"/>
  <c r="AC851" i="1"/>
  <c r="V675" i="3"/>
  <c r="AB675" i="3"/>
  <c r="AE675" i="3"/>
  <c r="AG675" i="3"/>
  <c r="AC816" i="1"/>
  <c r="AH333" i="3"/>
  <c r="AC201" i="2"/>
  <c r="AH301" i="3"/>
  <c r="U915" i="2"/>
  <c r="AA915" i="2"/>
  <c r="AD915" i="2"/>
  <c r="AF915" i="2"/>
  <c r="AC894" i="1"/>
  <c r="V506" i="2"/>
  <c r="AB506" i="2"/>
  <c r="AE506" i="2"/>
  <c r="U904" i="2"/>
  <c r="AA904" i="2"/>
  <c r="AD904" i="2"/>
  <c r="AF904" i="2"/>
  <c r="AD879" i="3"/>
  <c r="AC461" i="2"/>
  <c r="Z839" i="2"/>
  <c r="U432" i="2"/>
  <c r="AA432" i="2"/>
  <c r="AD432" i="2"/>
  <c r="AF432" i="2"/>
  <c r="AG897" i="2"/>
  <c r="U807" i="2"/>
  <c r="AA807" i="2"/>
  <c r="AD807" i="2"/>
  <c r="AF807" i="2"/>
  <c r="X1018" i="1"/>
  <c r="AD1018" i="1"/>
  <c r="AG1018" i="1"/>
  <c r="AI1018" i="1"/>
  <c r="M721" i="1"/>
  <c r="AC489" i="2"/>
  <c r="AH467" i="3"/>
  <c r="AF683" i="1"/>
  <c r="AA184" i="3"/>
  <c r="V104" i="3"/>
  <c r="AB104" i="3"/>
  <c r="AE104" i="3"/>
  <c r="AG104" i="3"/>
  <c r="U221" i="2"/>
  <c r="AA221" i="2"/>
  <c r="AD221" i="2"/>
  <c r="AF221" i="2"/>
  <c r="U372" i="2"/>
  <c r="AA372" i="2"/>
  <c r="AD372" i="2"/>
  <c r="AF372" i="2"/>
  <c r="AC438" i="2"/>
  <c r="V135" i="3"/>
  <c r="AB135" i="3"/>
  <c r="AE135" i="3"/>
  <c r="AG135" i="3"/>
  <c r="Z755" i="2"/>
  <c r="U322" i="2"/>
  <c r="AA322" i="2"/>
  <c r="AD322" i="2"/>
  <c r="AF322" i="2"/>
  <c r="U639" i="2"/>
  <c r="AA639" i="2"/>
  <c r="AD639" i="2"/>
  <c r="AF639" i="2"/>
  <c r="X993" i="1"/>
  <c r="AD993" i="1"/>
  <c r="AG993" i="1"/>
  <c r="AI993" i="1"/>
  <c r="AD722" i="3"/>
  <c r="Z568" i="2"/>
  <c r="M925" i="1"/>
  <c r="AH386" i="3"/>
  <c r="V131" i="3"/>
  <c r="AB131" i="3"/>
  <c r="AE131" i="3"/>
  <c r="AG131" i="3"/>
  <c r="X732" i="1"/>
  <c r="AD732" i="1"/>
  <c r="AG732" i="1"/>
  <c r="AI732" i="1"/>
  <c r="AG765" i="2"/>
  <c r="V395" i="3"/>
  <c r="AB395" i="3"/>
  <c r="AE395" i="3"/>
  <c r="AG395" i="3"/>
  <c r="W544" i="3"/>
  <c r="AC544" i="3"/>
  <c r="AF544" i="3"/>
  <c r="Z913" i="2"/>
  <c r="Z702" i="2"/>
  <c r="Z491" i="2"/>
  <c r="AG823" i="2"/>
  <c r="Z679" i="2"/>
  <c r="AH618" i="3"/>
  <c r="V364" i="3"/>
  <c r="AB364" i="3"/>
  <c r="AE364" i="3"/>
  <c r="AG364" i="3"/>
  <c r="AF458" i="2"/>
  <c r="AH384" i="3"/>
  <c r="V35" i="3"/>
  <c r="AB35" i="3"/>
  <c r="AE35" i="3"/>
  <c r="AG35" i="3"/>
  <c r="V824" i="3"/>
  <c r="AB824" i="3"/>
  <c r="AE824" i="3"/>
  <c r="AG824" i="3"/>
  <c r="AH792" i="3"/>
  <c r="U353" i="2"/>
  <c r="AA353" i="2"/>
  <c r="AD353" i="2"/>
  <c r="AF353" i="2"/>
  <c r="U762" i="2"/>
  <c r="AA762" i="2"/>
  <c r="AD762" i="2"/>
  <c r="AF762" i="2"/>
  <c r="AD989" i="3"/>
  <c r="AA533" i="3"/>
  <c r="AD155" i="3"/>
  <c r="AC853" i="1"/>
  <c r="AG811" i="2"/>
  <c r="V451" i="3"/>
  <c r="AB451" i="3"/>
  <c r="AE451" i="3"/>
  <c r="AG451" i="3"/>
  <c r="AG870" i="2"/>
  <c r="AA679" i="3"/>
  <c r="V841" i="3"/>
  <c r="AB841" i="3"/>
  <c r="AE841" i="3"/>
  <c r="AG841" i="3"/>
  <c r="AC951" i="2"/>
  <c r="V237" i="2"/>
  <c r="AB237" i="2"/>
  <c r="AE237" i="2"/>
  <c r="AF347" i="2"/>
  <c r="AJ816" i="1"/>
  <c r="AG780" i="2"/>
  <c r="AC703" i="1"/>
  <c r="AF559" i="3"/>
  <c r="W265" i="3"/>
  <c r="AC265" i="3"/>
  <c r="AF265" i="3"/>
  <c r="AJ950" i="1"/>
  <c r="AC595" i="2"/>
  <c r="U273" i="2"/>
  <c r="AA273" i="2"/>
  <c r="AD273" i="2"/>
  <c r="AF273" i="2"/>
  <c r="V236" i="3"/>
  <c r="AB236" i="3"/>
  <c r="AE236" i="3"/>
  <c r="AG236" i="3"/>
  <c r="AA405" i="3"/>
  <c r="AD468" i="3"/>
  <c r="AF983" i="1"/>
  <c r="AC947" i="1"/>
  <c r="U480" i="2"/>
  <c r="AA480" i="2"/>
  <c r="AD480" i="2"/>
  <c r="AF480" i="2"/>
  <c r="AH804" i="3"/>
  <c r="Z601" i="2"/>
  <c r="AC368" i="2"/>
  <c r="AA56" i="3"/>
  <c r="AG613" i="2"/>
  <c r="AJ917" i="1"/>
  <c r="M917" i="1"/>
  <c r="Z681" i="2"/>
  <c r="V282" i="2"/>
  <c r="AB282" i="2"/>
  <c r="AE282" i="2"/>
  <c r="T789" i="1"/>
  <c r="Y789" i="1"/>
  <c r="AE789" i="1"/>
  <c r="AH789" i="1"/>
  <c r="AH274" i="3"/>
  <c r="Z939" i="2"/>
  <c r="AJ890" i="1"/>
  <c r="AG1001" i="2"/>
  <c r="AG673" i="2"/>
  <c r="X1013" i="1"/>
  <c r="AD1013" i="1"/>
  <c r="AG1013" i="1"/>
  <c r="AI1013" i="1"/>
  <c r="AH214" i="3"/>
  <c r="AA333" i="3"/>
  <c r="U451" i="2"/>
  <c r="AA451" i="2"/>
  <c r="AD451" i="2"/>
  <c r="AF451" i="2"/>
  <c r="AD98" i="3"/>
  <c r="M1003" i="1"/>
  <c r="AA350" i="3"/>
  <c r="X721" i="1"/>
  <c r="AD721" i="1"/>
  <c r="AG721" i="1"/>
  <c r="AI721" i="1"/>
  <c r="AH811" i="3"/>
  <c r="AG193" i="2"/>
  <c r="V621" i="2"/>
  <c r="AB621" i="2"/>
  <c r="AE621" i="2"/>
  <c r="AG621" i="2"/>
  <c r="X736" i="1"/>
  <c r="AD736" i="1"/>
  <c r="AG736" i="1"/>
  <c r="AI736" i="1"/>
  <c r="U358" i="2"/>
  <c r="AA358" i="2"/>
  <c r="AD358" i="2"/>
  <c r="AF358" i="2"/>
  <c r="AG586" i="2"/>
  <c r="AH575" i="3"/>
  <c r="AA615" i="3"/>
  <c r="W783" i="3"/>
  <c r="AC783" i="3"/>
  <c r="AF783" i="3"/>
  <c r="AH783" i="3"/>
  <c r="AC653" i="2"/>
  <c r="AA488" i="3"/>
  <c r="AA55" i="3"/>
  <c r="U254" i="2"/>
  <c r="AA254" i="2"/>
  <c r="AD254" i="2"/>
  <c r="AF254" i="2"/>
  <c r="Z359" i="2"/>
  <c r="AH733" i="3"/>
  <c r="L939" i="1"/>
  <c r="K939" i="1"/>
  <c r="AA471" i="3"/>
  <c r="T1011" i="1"/>
  <c r="Y1011" i="1"/>
  <c r="AE1011" i="1"/>
  <c r="AH1011" i="1"/>
  <c r="AJ1011" i="1"/>
  <c r="Y881" i="1"/>
  <c r="AE881" i="1"/>
  <c r="AH881" i="1"/>
  <c r="AC200" i="2"/>
  <c r="AF828" i="1"/>
  <c r="Z456" i="2"/>
  <c r="AA228" i="3"/>
  <c r="W228" i="3"/>
  <c r="AC228" i="3"/>
  <c r="V447" i="2"/>
  <c r="AB447" i="2"/>
  <c r="AE447" i="2"/>
  <c r="AG239" i="2"/>
  <c r="AA98" i="3"/>
  <c r="U247" i="2"/>
  <c r="AA247" i="2"/>
  <c r="AD247" i="2"/>
  <c r="AF247" i="2"/>
  <c r="V347" i="3"/>
  <c r="AB347" i="3"/>
  <c r="AE347" i="3"/>
  <c r="AG347" i="3"/>
  <c r="U557" i="2"/>
  <c r="AA557" i="2"/>
  <c r="AD557" i="2"/>
  <c r="AF557" i="2"/>
  <c r="V497" i="3"/>
  <c r="AB497" i="3"/>
  <c r="AE497" i="3"/>
  <c r="AG497" i="3"/>
  <c r="W567" i="3"/>
  <c r="AC567" i="3"/>
  <c r="AF567" i="3"/>
  <c r="V526" i="2"/>
  <c r="AB526" i="2"/>
  <c r="AE526" i="2"/>
  <c r="AG559" i="2"/>
  <c r="V989" i="3"/>
  <c r="AB989" i="3"/>
  <c r="AE989" i="3"/>
  <c r="AG989" i="3"/>
  <c r="AC528" i="2"/>
  <c r="U626" i="2"/>
  <c r="AA626" i="2"/>
  <c r="AD626" i="2"/>
  <c r="AF626" i="2"/>
  <c r="AC674" i="2"/>
  <c r="U921" i="2"/>
  <c r="AA921" i="2"/>
  <c r="AD921" i="2"/>
  <c r="AF921" i="2"/>
  <c r="AC725" i="1"/>
  <c r="V339" i="2"/>
  <c r="AB339" i="2"/>
  <c r="AE339" i="2"/>
  <c r="V444" i="3"/>
  <c r="AB444" i="3"/>
  <c r="AE444" i="3"/>
  <c r="AG444" i="3"/>
  <c r="Z690" i="2"/>
  <c r="AC776" i="2"/>
  <c r="AA523" i="3"/>
  <c r="Z489" i="2"/>
  <c r="V412" i="3"/>
  <c r="AB412" i="3"/>
  <c r="AE412" i="3"/>
  <c r="AG412" i="3"/>
  <c r="AC817" i="2"/>
  <c r="AC968" i="2"/>
  <c r="AD212" i="3"/>
  <c r="AB538" i="2"/>
  <c r="V538" i="2"/>
  <c r="Z538" i="2"/>
  <c r="V216" i="2"/>
  <c r="AB216" i="2"/>
  <c r="AE216" i="2"/>
  <c r="AG216" i="2"/>
  <c r="AC446" i="2"/>
  <c r="V573" i="2"/>
  <c r="AB573" i="2"/>
  <c r="AE573" i="2"/>
  <c r="AG573" i="2"/>
  <c r="AH826" i="3"/>
  <c r="AA66" i="3"/>
  <c r="V369" i="3"/>
  <c r="AB369" i="3"/>
  <c r="AE369" i="3"/>
  <c r="AG369" i="3"/>
  <c r="V731" i="2"/>
  <c r="AB731" i="2"/>
  <c r="AE731" i="2"/>
  <c r="AA258" i="3"/>
  <c r="V880" i="3"/>
  <c r="AB880" i="3"/>
  <c r="AE880" i="3"/>
  <c r="AG880" i="3"/>
  <c r="W662" i="3"/>
  <c r="AC662" i="3"/>
  <c r="AF662" i="3"/>
  <c r="AH662" i="3"/>
  <c r="AG279" i="2"/>
  <c r="AA447" i="3"/>
  <c r="V710" i="2"/>
  <c r="AB710" i="2"/>
  <c r="AE710" i="2"/>
  <c r="AG710" i="2"/>
  <c r="M871" i="1"/>
  <c r="AG574" i="2"/>
  <c r="AG355" i="2"/>
  <c r="AD805" i="3"/>
  <c r="AG382" i="2"/>
  <c r="X712" i="1"/>
  <c r="AD712" i="1"/>
  <c r="AG712" i="1"/>
  <c r="AI712" i="1"/>
  <c r="X706" i="1"/>
  <c r="AD706" i="1"/>
  <c r="AG706" i="1"/>
  <c r="AI706" i="1"/>
  <c r="AH690" i="3"/>
  <c r="W220" i="3"/>
  <c r="AC220" i="3"/>
  <c r="AF220" i="3"/>
  <c r="V434" i="3"/>
  <c r="AB434" i="3"/>
  <c r="AE434" i="3"/>
  <c r="AG434" i="3"/>
  <c r="AA117" i="3"/>
  <c r="Z204" i="2"/>
  <c r="AF880" i="1"/>
  <c r="Z545" i="2"/>
  <c r="AF688" i="1"/>
  <c r="AH329" i="3"/>
  <c r="X680" i="1"/>
  <c r="AD680" i="1"/>
  <c r="AG680" i="1"/>
  <c r="AI680" i="1"/>
  <c r="X990" i="1"/>
  <c r="AD990" i="1"/>
  <c r="AG990" i="1"/>
  <c r="AI990" i="1"/>
  <c r="U608" i="2"/>
  <c r="AA608" i="2"/>
  <c r="AD608" i="2"/>
  <c r="AF608" i="2"/>
  <c r="V129" i="3"/>
  <c r="AB129" i="3"/>
  <c r="AE129" i="3"/>
  <c r="AG129" i="3"/>
  <c r="V665" i="2"/>
  <c r="AB665" i="2"/>
  <c r="AE665" i="2"/>
  <c r="AD79" i="1"/>
  <c r="AG79" i="1"/>
  <c r="AI79" i="1"/>
  <c r="AC702" i="2"/>
  <c r="U990" i="2"/>
  <c r="AA990" i="2"/>
  <c r="AD990" i="2"/>
  <c r="AF990" i="2"/>
  <c r="Z623" i="2"/>
  <c r="V49" i="3"/>
  <c r="AB49" i="3"/>
  <c r="AE49" i="3"/>
  <c r="AG49" i="3"/>
  <c r="AG742" i="2"/>
  <c r="AA693" i="3"/>
  <c r="U202" i="2"/>
  <c r="AA202" i="2"/>
  <c r="AD202" i="2"/>
  <c r="AF202" i="2"/>
  <c r="AC183" i="2"/>
  <c r="Z305" i="2"/>
  <c r="AD749" i="3"/>
  <c r="R945" i="3"/>
  <c r="AA867" i="3"/>
  <c r="AF726" i="1"/>
  <c r="AH293" i="3"/>
  <c r="V196" i="3"/>
  <c r="AB196" i="3"/>
  <c r="AE196" i="3"/>
  <c r="AG196" i="3"/>
  <c r="Z639" i="2"/>
  <c r="W601" i="3"/>
  <c r="AC601" i="3"/>
  <c r="AF601" i="3"/>
  <c r="AD469" i="3"/>
  <c r="AC717" i="1"/>
  <c r="AD222" i="3"/>
  <c r="AD276" i="3"/>
  <c r="V388" i="3"/>
  <c r="AB388" i="3"/>
  <c r="AE388" i="3"/>
  <c r="AG388" i="3"/>
  <c r="AF966" i="1"/>
  <c r="Z208" i="2"/>
  <c r="AD153" i="3"/>
  <c r="U795" i="2"/>
  <c r="AA795" i="2"/>
  <c r="AD795" i="2"/>
  <c r="AF795" i="2"/>
  <c r="W365" i="3"/>
  <c r="AC365" i="3"/>
  <c r="AF365" i="3"/>
  <c r="U443" i="2"/>
  <c r="AA443" i="2"/>
  <c r="AD443" i="2"/>
  <c r="AF443" i="2"/>
  <c r="V962" i="3"/>
  <c r="AB962" i="3"/>
  <c r="AE962" i="3"/>
  <c r="AG962" i="3"/>
  <c r="AJ793" i="1"/>
  <c r="AA146" i="3"/>
  <c r="U848" i="2"/>
  <c r="AA848" i="2"/>
  <c r="AD848" i="2"/>
  <c r="AF848" i="2"/>
  <c r="AD384" i="3"/>
  <c r="Y972" i="1"/>
  <c r="AE972" i="1"/>
  <c r="AH972" i="1"/>
  <c r="M836" i="1"/>
  <c r="AG923" i="2"/>
  <c r="AH570" i="3"/>
  <c r="AH545" i="3"/>
  <c r="V814" i="3"/>
  <c r="AB814" i="3"/>
  <c r="AE814" i="3"/>
  <c r="AG814" i="3"/>
  <c r="Z756" i="2"/>
  <c r="AH830" i="3"/>
  <c r="AC830" i="2"/>
  <c r="AH616" i="3"/>
  <c r="AC764" i="1"/>
  <c r="V437" i="3"/>
  <c r="AB437" i="3"/>
  <c r="AE437" i="3"/>
  <c r="AG437" i="3"/>
  <c r="Z678" i="2"/>
  <c r="AH887" i="3"/>
  <c r="AC684" i="1"/>
  <c r="AJ766" i="1"/>
  <c r="AG724" i="2"/>
  <c r="AH280" i="3"/>
  <c r="M669" i="1"/>
  <c r="V406" i="3"/>
  <c r="AB406" i="3"/>
  <c r="AE406" i="3"/>
  <c r="AG406" i="3"/>
  <c r="Z920" i="2"/>
  <c r="Z995" i="2"/>
  <c r="V855" i="3"/>
  <c r="AB855" i="3"/>
  <c r="AE855" i="3"/>
  <c r="AG855" i="3"/>
  <c r="U462" i="2"/>
  <c r="AA462" i="2"/>
  <c r="AD462" i="2"/>
  <c r="AF462" i="2"/>
  <c r="U932" i="2"/>
  <c r="AA932" i="2"/>
  <c r="AD932" i="2"/>
  <c r="AF932" i="2"/>
  <c r="U328" i="2"/>
  <c r="AA328" i="2"/>
  <c r="AD328" i="2"/>
  <c r="AF328" i="2"/>
  <c r="AH488" i="3"/>
  <c r="W918" i="3"/>
  <c r="AC918" i="3"/>
  <c r="AF918" i="3"/>
  <c r="AD928" i="3"/>
  <c r="AG437" i="2"/>
  <c r="AG1005" i="2"/>
  <c r="AJ829" i="1"/>
  <c r="Z715" i="2"/>
  <c r="X997" i="1"/>
  <c r="AD997" i="1"/>
  <c r="AG997" i="1"/>
  <c r="AI997" i="1"/>
  <c r="Z682" i="2"/>
  <c r="W267" i="3"/>
  <c r="AC267" i="3"/>
  <c r="AF267" i="3"/>
  <c r="V821" i="3"/>
  <c r="AB821" i="3"/>
  <c r="AE821" i="3"/>
  <c r="AG821" i="3"/>
  <c r="AG986" i="2"/>
  <c r="AF693" i="1"/>
  <c r="AD946" i="3"/>
  <c r="AG184" i="2"/>
  <c r="V376" i="3"/>
  <c r="AB376" i="3"/>
  <c r="AE376" i="3"/>
  <c r="AG376" i="3"/>
  <c r="AC950" i="1"/>
  <c r="V611" i="3"/>
  <c r="AB611" i="3"/>
  <c r="AE611" i="3"/>
  <c r="AG611" i="3"/>
  <c r="AA57" i="3"/>
  <c r="AG536" i="2"/>
  <c r="V199" i="3"/>
  <c r="AB199" i="3"/>
  <c r="AE199" i="3"/>
  <c r="AG199" i="3"/>
  <c r="AF832" i="1"/>
  <c r="AG376" i="2"/>
  <c r="AF689" i="3"/>
  <c r="AA148" i="3"/>
  <c r="AG383" i="2"/>
  <c r="AJ750" i="1"/>
  <c r="M970" i="1"/>
  <c r="AF708" i="1"/>
  <c r="AJ725" i="1"/>
  <c r="AG297" i="2"/>
  <c r="AG644" i="2"/>
  <c r="V447" i="3"/>
  <c r="AB447" i="3"/>
  <c r="AE447" i="3"/>
  <c r="AG447" i="3"/>
  <c r="V95" i="3"/>
  <c r="AB95" i="3"/>
  <c r="AE95" i="3"/>
  <c r="AG95" i="3"/>
  <c r="W762" i="3"/>
  <c r="AC762" i="3"/>
  <c r="AF762" i="3"/>
  <c r="V857" i="3"/>
  <c r="AB857" i="3"/>
  <c r="AE857" i="3"/>
  <c r="AG857" i="3"/>
  <c r="AC606" i="2"/>
  <c r="Z907" i="2"/>
  <c r="V847" i="3"/>
  <c r="AB847" i="3"/>
  <c r="AE847" i="3"/>
  <c r="AG847" i="3"/>
  <c r="AG768" i="2"/>
  <c r="Z848" i="2"/>
  <c r="AA803" i="3"/>
  <c r="Z847" i="2"/>
  <c r="W800" i="3"/>
  <c r="AC800" i="3"/>
  <c r="AF800" i="3"/>
  <c r="V445" i="2"/>
  <c r="AB445" i="2"/>
  <c r="AE445" i="2"/>
  <c r="M728" i="1"/>
  <c r="W699" i="3"/>
  <c r="AC699" i="3"/>
  <c r="AF699" i="3"/>
  <c r="Z260" i="2"/>
  <c r="AC757" i="1"/>
  <c r="AC620" i="2"/>
  <c r="AC990" i="1"/>
  <c r="Z296" i="2"/>
  <c r="AD156" i="3"/>
  <c r="AH89" i="3"/>
  <c r="AF797" i="1"/>
  <c r="AD474" i="3"/>
  <c r="AD984" i="3"/>
  <c r="AF829" i="2"/>
  <c r="W836" i="3"/>
  <c r="AC836" i="3"/>
  <c r="AF836" i="3"/>
  <c r="M858" i="1"/>
  <c r="Z908" i="2"/>
  <c r="AH512" i="3"/>
  <c r="AG490" i="2"/>
  <c r="AG864" i="3"/>
  <c r="U621" i="2"/>
  <c r="AA621" i="2"/>
  <c r="AD621" i="2"/>
  <c r="AF621" i="2"/>
  <c r="V886" i="3"/>
  <c r="AB886" i="3"/>
  <c r="AE886" i="3"/>
  <c r="AG886" i="3"/>
  <c r="Z349" i="2"/>
  <c r="V972" i="3"/>
  <c r="AB972" i="3"/>
  <c r="AE972" i="3"/>
  <c r="AG972" i="3"/>
  <c r="W152" i="3"/>
  <c r="AC152" i="3"/>
  <c r="AF152" i="3"/>
  <c r="V609" i="3"/>
  <c r="AB609" i="3"/>
  <c r="AE609" i="3"/>
  <c r="AG609" i="3"/>
  <c r="Z818" i="2"/>
  <c r="AA837" i="3"/>
  <c r="AC957" i="1"/>
  <c r="X975" i="1"/>
  <c r="AD975" i="1"/>
  <c r="AG975" i="1"/>
  <c r="AI975" i="1"/>
  <c r="V875" i="2"/>
  <c r="AB875" i="2"/>
  <c r="AE875" i="2"/>
  <c r="M766" i="1"/>
  <c r="AG286" i="2"/>
  <c r="U448" i="2"/>
  <c r="AA448" i="2"/>
  <c r="AD448" i="2"/>
  <c r="AF448" i="2"/>
  <c r="AC822" i="1"/>
  <c r="M719" i="1"/>
  <c r="AA707" i="3"/>
  <c r="X1004" i="1"/>
  <c r="AD1004" i="1"/>
  <c r="AG1004" i="1"/>
  <c r="AI1004" i="1"/>
  <c r="U402" i="2"/>
  <c r="AA402" i="2"/>
  <c r="AD402" i="2"/>
  <c r="AF402" i="2"/>
  <c r="AC774" i="2"/>
  <c r="V110" i="3"/>
  <c r="AB110" i="3"/>
  <c r="AE110" i="3"/>
  <c r="AG110" i="3"/>
  <c r="U276" i="2"/>
  <c r="AA276" i="2"/>
  <c r="AD276" i="2"/>
  <c r="AF276" i="2"/>
  <c r="M877" i="1"/>
  <c r="AG908" i="2"/>
  <c r="V453" i="3"/>
  <c r="AB453" i="3"/>
  <c r="AE453" i="3"/>
  <c r="AG453" i="3"/>
  <c r="Z764" i="2"/>
  <c r="AA559" i="3"/>
  <c r="W559" i="3"/>
  <c r="AC559" i="3"/>
  <c r="AG759" i="2"/>
  <c r="Z543" i="2"/>
  <c r="V265" i="3"/>
  <c r="AB265" i="3"/>
  <c r="AE265" i="3"/>
  <c r="AG265" i="3"/>
  <c r="V548" i="3"/>
  <c r="AB548" i="3"/>
  <c r="AE548" i="3"/>
  <c r="AG548" i="3"/>
  <c r="V795" i="2"/>
  <c r="AB795" i="2"/>
  <c r="AE795" i="2"/>
  <c r="Z259" i="2"/>
  <c r="AH266" i="3"/>
  <c r="AG841" i="1"/>
  <c r="X841" i="1"/>
  <c r="AD841" i="1"/>
  <c r="AF841" i="1"/>
  <c r="AA667" i="3"/>
  <c r="AH205" i="3"/>
  <c r="AC410" i="2"/>
  <c r="AC547" i="2"/>
  <c r="AA103" i="3"/>
  <c r="AH852" i="3"/>
  <c r="AA101" i="3"/>
  <c r="AA776" i="3"/>
  <c r="AH549" i="3"/>
  <c r="M747" i="1"/>
  <c r="AA458" i="3"/>
  <c r="AD122" i="3"/>
  <c r="AD330" i="3"/>
  <c r="Z1009" i="2"/>
  <c r="Z196" i="2"/>
  <c r="W690" i="3"/>
  <c r="AC690" i="3"/>
  <c r="AF690" i="3"/>
  <c r="V949" i="3"/>
  <c r="AB949" i="3"/>
  <c r="AE949" i="3"/>
  <c r="AG949" i="3"/>
  <c r="V340" i="3"/>
  <c r="AB340" i="3"/>
  <c r="AE340" i="3"/>
  <c r="AG340" i="3"/>
  <c r="AH476" i="3"/>
  <c r="Z704" i="2"/>
  <c r="AJ818" i="1"/>
  <c r="AC619" i="2"/>
  <c r="AI932" i="1"/>
  <c r="AH669" i="3"/>
  <c r="AD266" i="3"/>
  <c r="W514" i="3"/>
  <c r="AC514" i="3"/>
  <c r="AF514" i="3"/>
  <c r="AA280" i="3"/>
  <c r="AC539" i="2"/>
  <c r="AA521" i="3"/>
  <c r="W846" i="3"/>
  <c r="AC846" i="3"/>
  <c r="AF846" i="3"/>
  <c r="AJ964" i="1"/>
  <c r="M935" i="1"/>
  <c r="X796" i="1"/>
  <c r="AD796" i="1"/>
  <c r="AG796" i="1"/>
  <c r="AI796" i="1"/>
  <c r="AA818" i="3"/>
  <c r="AH307" i="3"/>
  <c r="AA224" i="3"/>
  <c r="U456" i="2"/>
  <c r="AA456" i="2"/>
  <c r="AD456" i="2"/>
  <c r="AF456" i="2"/>
  <c r="AH180" i="3"/>
  <c r="AA114" i="3"/>
  <c r="AG321" i="3"/>
  <c r="AG632" i="2"/>
  <c r="AA824" i="3"/>
  <c r="X693" i="1"/>
  <c r="AD693" i="1"/>
  <c r="AG693" i="1"/>
  <c r="AI693" i="1"/>
  <c r="R853" i="3"/>
  <c r="AH359" i="3"/>
  <c r="M732" i="1"/>
  <c r="AG906" i="3"/>
  <c r="V273" i="3"/>
  <c r="AB273" i="3"/>
  <c r="AE273" i="3"/>
  <c r="AG273" i="3"/>
  <c r="AH360" i="3"/>
  <c r="AG811" i="3"/>
  <c r="AH206" i="3"/>
  <c r="AA518" i="3"/>
  <c r="AD687" i="3"/>
  <c r="W979" i="3"/>
  <c r="AC979" i="3"/>
  <c r="AF979" i="3"/>
  <c r="AD954" i="3"/>
  <c r="AA973" i="3"/>
  <c r="T752" i="1"/>
  <c r="Y752" i="1"/>
  <c r="AE752" i="1"/>
  <c r="AH752" i="1"/>
  <c r="AJ752" i="1"/>
  <c r="AA470" i="3"/>
  <c r="AH517" i="3"/>
  <c r="V219" i="3"/>
  <c r="AB219" i="3"/>
  <c r="AE219" i="3"/>
  <c r="AG219" i="3"/>
  <c r="AH306" i="3"/>
  <c r="AG463" i="2"/>
  <c r="X731" i="1"/>
  <c r="AD731" i="1"/>
  <c r="AG731" i="1"/>
  <c r="AI731" i="1"/>
  <c r="U723" i="2"/>
  <c r="AA723" i="2"/>
  <c r="AD723" i="2"/>
  <c r="AF723" i="2"/>
  <c r="U459" i="2"/>
  <c r="AA459" i="2"/>
  <c r="AD459" i="2"/>
  <c r="AF459" i="2"/>
  <c r="AH64" i="3"/>
  <c r="AG503" i="2"/>
  <c r="U774" i="2"/>
  <c r="AA774" i="2"/>
  <c r="AD774" i="2"/>
  <c r="AF774" i="2"/>
  <c r="V445" i="3"/>
  <c r="AB445" i="3"/>
  <c r="AE445" i="3"/>
  <c r="AG445" i="3"/>
  <c r="AH923" i="3"/>
  <c r="AG760" i="2"/>
  <c r="Z274" i="2"/>
  <c r="V430" i="2"/>
  <c r="AB430" i="2"/>
  <c r="AE430" i="2"/>
  <c r="AG430" i="2"/>
  <c r="AH128" i="3"/>
  <c r="AC411" i="2"/>
  <c r="AC988" i="2"/>
  <c r="U988" i="2"/>
  <c r="AA988" i="2"/>
  <c r="AD988" i="2"/>
  <c r="AG353" i="2"/>
  <c r="Z520" i="2"/>
  <c r="Z560" i="2"/>
  <c r="V315" i="3"/>
  <c r="AB315" i="3"/>
  <c r="AE315" i="3"/>
  <c r="AG315" i="3"/>
  <c r="U855" i="2"/>
  <c r="AA855" i="2"/>
  <c r="AD855" i="2"/>
  <c r="AF855" i="2"/>
  <c r="AA564" i="3"/>
  <c r="AF777" i="1"/>
  <c r="AG859" i="2"/>
  <c r="AG481" i="2"/>
  <c r="W666" i="3"/>
  <c r="AC666" i="3"/>
  <c r="AF666" i="3"/>
  <c r="U352" i="2"/>
  <c r="AA352" i="2"/>
  <c r="AD352" i="2"/>
  <c r="AF352" i="2"/>
  <c r="AC682" i="1"/>
  <c r="AA525" i="3"/>
  <c r="V223" i="2"/>
  <c r="AB223" i="2"/>
  <c r="AE223" i="2"/>
  <c r="AG223" i="2"/>
  <c r="AH276" i="3"/>
  <c r="AC678" i="2"/>
  <c r="V910" i="2"/>
  <c r="AB910" i="2"/>
  <c r="AE910" i="2"/>
  <c r="V600" i="3"/>
  <c r="AB600" i="3"/>
  <c r="AE600" i="3"/>
  <c r="AG600" i="3"/>
  <c r="Z484" i="2"/>
  <c r="AG332" i="2"/>
  <c r="AA833" i="3"/>
  <c r="AH561" i="3"/>
  <c r="V266" i="3"/>
  <c r="AB266" i="3"/>
  <c r="AE266" i="3"/>
  <c r="AG266" i="3"/>
  <c r="AG558" i="2"/>
  <c r="W280" i="3"/>
  <c r="AC280" i="3"/>
  <c r="AF280" i="3"/>
  <c r="AJ863" i="1"/>
  <c r="AC223" i="2"/>
  <c r="V855" i="2"/>
  <c r="AB855" i="2"/>
  <c r="AE855" i="2"/>
  <c r="AG855" i="2"/>
  <c r="V704" i="2"/>
  <c r="AB704" i="2"/>
  <c r="AE704" i="2"/>
  <c r="AG704" i="2"/>
  <c r="AG637" i="2"/>
  <c r="AA886" i="3"/>
  <c r="X989" i="1"/>
  <c r="AD989" i="1"/>
  <c r="AG989" i="1"/>
  <c r="AI989" i="1"/>
  <c r="AH735" i="3"/>
  <c r="V380" i="3"/>
  <c r="AB380" i="3"/>
  <c r="AE380" i="3"/>
  <c r="AG380" i="3"/>
  <c r="AG329" i="2"/>
  <c r="AD197" i="3"/>
  <c r="AG359" i="2"/>
  <c r="U484" i="2"/>
  <c r="AA484" i="2"/>
  <c r="AD484" i="2"/>
  <c r="AF484" i="2"/>
  <c r="X866" i="1"/>
  <c r="AD866" i="1"/>
  <c r="AG866" i="1"/>
  <c r="AI866" i="1"/>
  <c r="V413" i="2"/>
  <c r="AB413" i="2"/>
  <c r="AE413" i="2"/>
  <c r="U764" i="2"/>
  <c r="AA764" i="2"/>
  <c r="AD764" i="2"/>
  <c r="AF764" i="2"/>
  <c r="AD671" i="3"/>
  <c r="V542" i="2"/>
  <c r="AB542" i="2"/>
  <c r="AE542" i="2"/>
  <c r="M685" i="1"/>
  <c r="U471" i="2"/>
  <c r="AA471" i="2"/>
  <c r="AD471" i="2"/>
  <c r="AF471" i="2"/>
  <c r="AG524" i="2"/>
  <c r="AD829" i="3"/>
  <c r="V978" i="2"/>
  <c r="AB978" i="2"/>
  <c r="AE978" i="2"/>
  <c r="AG978" i="2"/>
  <c r="V694" i="2"/>
  <c r="AB694" i="2"/>
  <c r="AE694" i="2"/>
  <c r="AG694" i="2"/>
  <c r="AG571" i="2"/>
  <c r="W887" i="3"/>
  <c r="AC887" i="3"/>
  <c r="AF887" i="3"/>
  <c r="AD114" i="3"/>
  <c r="W702" i="3"/>
  <c r="AC702" i="3"/>
  <c r="AF702" i="3"/>
  <c r="AH702" i="3"/>
  <c r="V38" i="3"/>
  <c r="AB38" i="3"/>
  <c r="AE38" i="3"/>
  <c r="AG38" i="3"/>
  <c r="AH449" i="3"/>
  <c r="M945" i="1"/>
  <c r="AA58" i="3"/>
  <c r="AG949" i="2"/>
  <c r="M963" i="1"/>
  <c r="Z342" i="2"/>
  <c r="AH430" i="3"/>
  <c r="U464" i="2"/>
  <c r="AA464" i="2"/>
  <c r="AD464" i="2"/>
  <c r="AF464" i="2"/>
  <c r="W736" i="3"/>
  <c r="AC736" i="3"/>
  <c r="AF736" i="3"/>
  <c r="M944" i="1"/>
  <c r="W809" i="3"/>
  <c r="AC809" i="3"/>
  <c r="AF809" i="3"/>
  <c r="Y912" i="1"/>
  <c r="AE912" i="1"/>
  <c r="AH912" i="1"/>
  <c r="T776" i="1"/>
  <c r="Y776" i="1"/>
  <c r="AE776" i="1"/>
  <c r="AH776" i="1"/>
  <c r="Z435" i="2"/>
  <c r="V298" i="2"/>
  <c r="AB298" i="2"/>
  <c r="AE298" i="2"/>
  <c r="AF353" i="3"/>
  <c r="AD567" i="3"/>
  <c r="V590" i="3"/>
  <c r="AB590" i="3"/>
  <c r="AE590" i="3"/>
  <c r="AG590" i="3"/>
  <c r="Z796" i="2"/>
  <c r="V891" i="3"/>
  <c r="AB891" i="3"/>
  <c r="AE891" i="3"/>
  <c r="AG891" i="3"/>
  <c r="AA334" i="3"/>
  <c r="X803" i="1"/>
  <c r="AD803" i="1"/>
  <c r="AG803" i="1"/>
  <c r="AI803" i="1"/>
  <c r="M1013" i="1"/>
  <c r="AA276" i="3"/>
  <c r="V321" i="2"/>
  <c r="AB321" i="2"/>
  <c r="AE321" i="2"/>
  <c r="AC180" i="2"/>
  <c r="AC756" i="1"/>
  <c r="AA428" i="3"/>
  <c r="AA487" i="3"/>
  <c r="U574" i="2"/>
  <c r="AA574" i="2"/>
  <c r="AD574" i="2"/>
  <c r="AF574" i="2"/>
  <c r="U729" i="2"/>
  <c r="AA729" i="2"/>
  <c r="AD729" i="2"/>
  <c r="AF729" i="2"/>
  <c r="AJ868" i="1"/>
  <c r="Z379" i="2"/>
  <c r="AA483" i="3"/>
  <c r="AG783" i="2"/>
  <c r="W485" i="3"/>
  <c r="AC485" i="3"/>
  <c r="AF485" i="3"/>
  <c r="U236" i="2"/>
  <c r="AA236" i="2"/>
  <c r="AD236" i="2"/>
  <c r="AF236" i="2"/>
  <c r="U761" i="2"/>
  <c r="AA761" i="2"/>
  <c r="AD761" i="2"/>
  <c r="AF761" i="2"/>
  <c r="M738" i="1"/>
  <c r="V401" i="3"/>
  <c r="AB401" i="3"/>
  <c r="AE401" i="3"/>
  <c r="AG401" i="3"/>
  <c r="V731" i="3"/>
  <c r="AB731" i="3"/>
  <c r="AE731" i="3"/>
  <c r="AG731" i="3"/>
  <c r="AA118" i="3"/>
  <c r="AH574" i="3"/>
  <c r="AJ994" i="1"/>
  <c r="AC832" i="2"/>
  <c r="V502" i="3"/>
  <c r="AB502" i="3"/>
  <c r="AE502" i="3"/>
  <c r="AG502" i="3"/>
  <c r="AG515" i="2"/>
  <c r="U223" i="2"/>
  <c r="AA223" i="2"/>
  <c r="AD223" i="2"/>
  <c r="AF223" i="2"/>
  <c r="W728" i="3"/>
  <c r="AC728" i="3"/>
  <c r="AF728" i="3"/>
  <c r="U931" i="2"/>
  <c r="AA931" i="2"/>
  <c r="AD931" i="2"/>
  <c r="AF931" i="2"/>
  <c r="U830" i="2"/>
  <c r="AA830" i="2"/>
  <c r="AD830" i="2"/>
  <c r="AF830" i="2"/>
  <c r="AC514" i="2"/>
  <c r="AA293" i="3"/>
  <c r="AE864" i="3"/>
  <c r="V864" i="3"/>
  <c r="AB864" i="3"/>
  <c r="AD864" i="3"/>
  <c r="AE500" i="3"/>
  <c r="V500" i="3"/>
  <c r="AB500" i="3"/>
  <c r="AD500" i="3"/>
  <c r="AA268" i="3"/>
  <c r="Y762" i="1"/>
  <c r="AE762" i="1"/>
  <c r="AH762" i="1"/>
  <c r="AJ762" i="1"/>
  <c r="AC907" i="1"/>
  <c r="W695" i="3"/>
  <c r="AC695" i="3"/>
  <c r="AF695" i="3"/>
  <c r="AG821" i="2"/>
  <c r="AG977" i="2"/>
  <c r="U395" i="2"/>
  <c r="AA395" i="2"/>
  <c r="AD395" i="2"/>
  <c r="AF395" i="2"/>
  <c r="AC784" i="2"/>
  <c r="Y896" i="1"/>
  <c r="AE896" i="1"/>
  <c r="AH896" i="1"/>
  <c r="U898" i="2"/>
  <c r="AA898" i="2"/>
  <c r="AD898" i="2"/>
  <c r="AF898" i="2"/>
  <c r="X951" i="1"/>
  <c r="AD951" i="1"/>
  <c r="AG951" i="1"/>
  <c r="AI951" i="1"/>
  <c r="W63" i="3"/>
  <c r="AC63" i="3"/>
  <c r="AF63" i="3"/>
  <c r="V532" i="3"/>
  <c r="AB532" i="3"/>
  <c r="AE532" i="3"/>
  <c r="AG532" i="3"/>
  <c r="AC897" i="1"/>
  <c r="V829" i="3"/>
  <c r="AB829" i="3"/>
  <c r="AE829" i="3"/>
  <c r="AG829" i="3"/>
  <c r="V389" i="2"/>
  <c r="AB389" i="2"/>
  <c r="AE389" i="2"/>
  <c r="U373" i="2"/>
  <c r="AA373" i="2"/>
  <c r="AD373" i="2"/>
  <c r="AF373" i="2"/>
  <c r="AH775" i="3"/>
  <c r="V990" i="3"/>
  <c r="AB990" i="3"/>
  <c r="AE990" i="3"/>
  <c r="AG990" i="3"/>
  <c r="U957" i="2"/>
  <c r="AA957" i="2"/>
  <c r="AD957" i="2"/>
  <c r="AF957" i="2"/>
  <c r="U321" i="2"/>
  <c r="AA321" i="2"/>
  <c r="AD321" i="2"/>
  <c r="AF321" i="2"/>
  <c r="AG840" i="2"/>
  <c r="Z574" i="2"/>
  <c r="Z1002" i="2"/>
  <c r="Z380" i="2"/>
  <c r="AJ846" i="1"/>
  <c r="V491" i="3"/>
  <c r="AB491" i="3"/>
  <c r="AE491" i="3"/>
  <c r="AG491" i="3"/>
  <c r="Z999" i="2"/>
  <c r="AF998" i="1"/>
  <c r="V507" i="2"/>
  <c r="AB507" i="2"/>
  <c r="AE507" i="2"/>
  <c r="AG733" i="1"/>
  <c r="X733" i="1"/>
  <c r="AD733" i="1"/>
  <c r="AF733" i="1"/>
  <c r="U270" i="2"/>
  <c r="AA270" i="2"/>
  <c r="AD270" i="2"/>
  <c r="AF270" i="2"/>
  <c r="U598" i="2"/>
  <c r="AA598" i="2"/>
  <c r="AD598" i="2"/>
  <c r="AF598" i="2"/>
  <c r="M758" i="1"/>
  <c r="Z294" i="2"/>
  <c r="V882" i="3"/>
  <c r="AB882" i="3"/>
  <c r="AE882" i="3"/>
  <c r="AG882" i="3"/>
  <c r="AA170" i="3"/>
  <c r="V516" i="2"/>
  <c r="AB516" i="2"/>
  <c r="AE516" i="2"/>
  <c r="AJ1009" i="1"/>
  <c r="AG364" i="2"/>
  <c r="V569" i="3"/>
  <c r="AB569" i="3"/>
  <c r="AE569" i="3"/>
  <c r="AG569" i="3"/>
  <c r="V801" i="2"/>
  <c r="AB801" i="2"/>
  <c r="AE801" i="2"/>
  <c r="AA574" i="3"/>
  <c r="V339" i="3"/>
  <c r="AB339" i="3"/>
  <c r="AE339" i="3"/>
  <c r="AG339" i="3"/>
  <c r="AH935" i="3"/>
  <c r="W854" i="3"/>
  <c r="AC854" i="3"/>
  <c r="AF854" i="3"/>
  <c r="AD585" i="3"/>
  <c r="M762" i="1"/>
  <c r="AA441" i="3"/>
  <c r="V357" i="2"/>
  <c r="AB357" i="2"/>
  <c r="AE357" i="2"/>
  <c r="AG357" i="2"/>
  <c r="M878" i="1"/>
  <c r="M700" i="1"/>
  <c r="V744" i="3"/>
  <c r="AB744" i="3"/>
  <c r="AE744" i="3"/>
  <c r="AG744" i="3"/>
  <c r="AA252" i="3"/>
  <c r="AG817" i="2"/>
  <c r="AC975" i="2"/>
  <c r="V98" i="3"/>
  <c r="AB98" i="3"/>
  <c r="AE98" i="3"/>
  <c r="AG98" i="3"/>
  <c r="Z867" i="2"/>
  <c r="V835" i="2"/>
  <c r="AB835" i="2"/>
  <c r="AE835" i="2"/>
  <c r="AJ838" i="1"/>
  <c r="AC926" i="1"/>
  <c r="AC810" i="2"/>
  <c r="AJ953" i="1"/>
  <c r="U780" i="2"/>
  <c r="AA780" i="2"/>
  <c r="AD780" i="2"/>
  <c r="AF780" i="2"/>
  <c r="AA355" i="3"/>
  <c r="Z836" i="2"/>
  <c r="AH617" i="3"/>
  <c r="U883" i="2"/>
  <c r="AA883" i="2"/>
  <c r="AD883" i="2"/>
  <c r="AF883" i="2"/>
  <c r="W483" i="3"/>
  <c r="AC483" i="3"/>
  <c r="AF483" i="3"/>
  <c r="AJ681" i="1"/>
  <c r="AA898" i="3"/>
  <c r="V575" i="3"/>
  <c r="AB575" i="3"/>
  <c r="AE575" i="3"/>
  <c r="AG575" i="3"/>
  <c r="AA625" i="3"/>
  <c r="Y872" i="1"/>
  <c r="AE872" i="1"/>
  <c r="AH872" i="1"/>
  <c r="AG636" i="2"/>
  <c r="U832" i="2"/>
  <c r="AA832" i="2"/>
  <c r="AD832" i="2"/>
  <c r="AF832" i="2"/>
  <c r="AD370" i="3"/>
  <c r="AG267" i="2"/>
  <c r="AC796" i="1"/>
  <c r="V612" i="3"/>
  <c r="AB612" i="3"/>
  <c r="AE612" i="3"/>
  <c r="AG612" i="3"/>
  <c r="AC747" i="1"/>
  <c r="AG865" i="2"/>
  <c r="U784" i="2"/>
  <c r="AA784" i="2"/>
  <c r="AD784" i="2"/>
  <c r="AF784" i="2"/>
  <c r="V217" i="2"/>
  <c r="AB217" i="2"/>
  <c r="AE217" i="2"/>
  <c r="AG217" i="2"/>
  <c r="U721" i="2"/>
  <c r="AA721" i="2"/>
  <c r="AD721" i="2"/>
  <c r="AF721" i="2"/>
  <c r="AA753" i="3"/>
  <c r="AA245" i="3"/>
  <c r="AF891" i="1"/>
  <c r="AD185" i="3"/>
  <c r="U296" i="2"/>
  <c r="AA296" i="2"/>
  <c r="AD296" i="2"/>
  <c r="AF296" i="2"/>
  <c r="V932" i="3"/>
  <c r="AB932" i="3"/>
  <c r="AE932" i="3"/>
  <c r="AG932" i="3"/>
  <c r="AC777" i="1"/>
  <c r="AD481" i="3"/>
  <c r="AH445" i="3"/>
  <c r="V931" i="2"/>
  <c r="AB931" i="2"/>
  <c r="AE931" i="2"/>
  <c r="V303" i="2"/>
  <c r="AB303" i="2"/>
  <c r="AE303" i="2"/>
  <c r="W507" i="3"/>
  <c r="AC507" i="3"/>
  <c r="AF507" i="3"/>
  <c r="AH507" i="3"/>
  <c r="AA819" i="3"/>
  <c r="AD409" i="3"/>
  <c r="M923" i="1"/>
  <c r="AJ852" i="1"/>
  <c r="V848" i="2"/>
  <c r="AB848" i="2"/>
  <c r="AE848" i="2"/>
  <c r="W841" i="3"/>
  <c r="AC841" i="3"/>
  <c r="AF841" i="3"/>
  <c r="AH841" i="3"/>
  <c r="AA374" i="3"/>
  <c r="AH946" i="3"/>
  <c r="AA309" i="3"/>
  <c r="AD905" i="3"/>
  <c r="AD514" i="3"/>
  <c r="AG681" i="2"/>
  <c r="AA727" i="3"/>
  <c r="AH750" i="3"/>
  <c r="AA473" i="3"/>
  <c r="AG627" i="2"/>
  <c r="V232" i="3"/>
  <c r="AB232" i="3"/>
  <c r="AE232" i="3"/>
  <c r="AG232" i="3"/>
  <c r="X973" i="1"/>
  <c r="AD973" i="1"/>
  <c r="AG973" i="1"/>
  <c r="AI973" i="1"/>
  <c r="V980" i="3"/>
  <c r="AB980" i="3"/>
  <c r="AE980" i="3"/>
  <c r="AG980" i="3"/>
  <c r="AA389" i="3"/>
  <c r="AC902" i="1"/>
  <c r="AH652" i="3"/>
  <c r="R345" i="3"/>
  <c r="W345" i="3"/>
  <c r="AC345" i="3"/>
  <c r="AF345" i="3"/>
  <c r="V648" i="3"/>
  <c r="AB648" i="3"/>
  <c r="AE648" i="3"/>
  <c r="AG648" i="3"/>
  <c r="AA937" i="3"/>
  <c r="AA463" i="3"/>
  <c r="W966" i="3"/>
  <c r="AC966" i="3"/>
  <c r="AF966" i="3"/>
  <c r="W188" i="3"/>
  <c r="AC188" i="3"/>
  <c r="AF188" i="3"/>
  <c r="AH188" i="3"/>
  <c r="U566" i="2"/>
  <c r="AA566" i="2"/>
  <c r="AD566" i="2"/>
  <c r="AF566" i="2"/>
  <c r="X930" i="1"/>
  <c r="AD930" i="1"/>
  <c r="AG930" i="1"/>
  <c r="AI930" i="1"/>
  <c r="AH350" i="3"/>
  <c r="AC944" i="1"/>
  <c r="AA386" i="3"/>
  <c r="Z281" i="2"/>
  <c r="V154" i="3"/>
  <c r="AB154" i="3"/>
  <c r="AE154" i="3"/>
  <c r="AG154" i="3"/>
  <c r="U720" i="2"/>
  <c r="AA720" i="2"/>
  <c r="AD720" i="2"/>
  <c r="AF720" i="2"/>
  <c r="AG786" i="2"/>
  <c r="AJ738" i="1"/>
  <c r="V601" i="3"/>
  <c r="AB601" i="3"/>
  <c r="AE601" i="3"/>
  <c r="AG601" i="3"/>
  <c r="U281" i="2"/>
  <c r="AA281" i="2"/>
  <c r="AD281" i="2"/>
  <c r="AF281" i="2"/>
  <c r="W297" i="3"/>
  <c r="AC297" i="3"/>
  <c r="AF297" i="3"/>
  <c r="AH297" i="3"/>
  <c r="V768" i="2"/>
  <c r="AB768" i="2"/>
  <c r="AE768" i="2"/>
  <c r="M975" i="1"/>
  <c r="AG407" i="2"/>
  <c r="AF873" i="1"/>
  <c r="AC793" i="2"/>
  <c r="T925" i="1"/>
  <c r="Y925" i="1"/>
  <c r="AE925" i="1"/>
  <c r="AH925" i="1"/>
  <c r="AC743" i="1"/>
  <c r="AC393" i="2"/>
  <c r="U423" i="2"/>
  <c r="AA423" i="2"/>
  <c r="AD423" i="2"/>
  <c r="AF423" i="2"/>
  <c r="AG592" i="2"/>
  <c r="AC716" i="2"/>
  <c r="U849" i="2"/>
  <c r="AA849" i="2"/>
  <c r="AD849" i="2"/>
  <c r="AF849" i="2"/>
  <c r="V885" i="2"/>
  <c r="AB885" i="2"/>
  <c r="AE885" i="2"/>
  <c r="U810" i="2"/>
  <c r="AA810" i="2"/>
  <c r="AD810" i="2"/>
  <c r="AF810" i="2"/>
  <c r="W384" i="3"/>
  <c r="AC384" i="3"/>
  <c r="AF384" i="3"/>
  <c r="AG788" i="2"/>
  <c r="Z949" i="2"/>
  <c r="Z555" i="2"/>
  <c r="AC986" i="2"/>
  <c r="AA264" i="3"/>
  <c r="AG385" i="2"/>
  <c r="U559" i="2"/>
  <c r="AA559" i="2"/>
  <c r="AD559" i="2"/>
  <c r="AF559" i="2"/>
  <c r="AH746" i="3"/>
  <c r="AC746" i="1"/>
  <c r="AD899" i="3"/>
  <c r="AH759" i="3"/>
  <c r="W65" i="3"/>
  <c r="AC65" i="3"/>
  <c r="AF65" i="3"/>
  <c r="U835" i="2"/>
  <c r="AA835" i="2"/>
  <c r="AD835" i="2"/>
  <c r="AF835" i="2"/>
  <c r="U523" i="2"/>
  <c r="AA523" i="2"/>
  <c r="AD523" i="2"/>
  <c r="AF523" i="2"/>
  <c r="AA259" i="3"/>
  <c r="X931" i="1"/>
  <c r="AD931" i="1"/>
  <c r="AG931" i="1"/>
  <c r="AI931" i="1"/>
  <c r="AH864" i="3"/>
  <c r="AJ707" i="1"/>
  <c r="W548" i="3"/>
  <c r="AC548" i="3"/>
  <c r="AF548" i="3"/>
  <c r="AH719" i="3"/>
  <c r="M695" i="1"/>
  <c r="AH408" i="3"/>
  <c r="V789" i="2"/>
  <c r="AB789" i="2"/>
  <c r="AE789" i="2"/>
  <c r="AH694" i="3"/>
  <c r="W753" i="3"/>
  <c r="AC753" i="3"/>
  <c r="AF753" i="3"/>
  <c r="AH166" i="3"/>
  <c r="V781" i="3"/>
  <c r="AB781" i="3"/>
  <c r="AE781" i="3"/>
  <c r="AG781" i="3"/>
  <c r="X988" i="1"/>
  <c r="AD988" i="1"/>
  <c r="AG988" i="1"/>
  <c r="AI988" i="1"/>
  <c r="Z708" i="2"/>
  <c r="M1016" i="1"/>
  <c r="V242" i="3"/>
  <c r="AB242" i="3"/>
  <c r="AE242" i="3"/>
  <c r="AG242" i="3"/>
  <c r="Z730" i="2"/>
  <c r="AD417" i="3"/>
  <c r="AC181" i="2"/>
  <c r="X800" i="1"/>
  <c r="AD800" i="1"/>
  <c r="AG800" i="1"/>
  <c r="AI800" i="1"/>
  <c r="AC663" i="1"/>
  <c r="Y663" i="1"/>
  <c r="AE663" i="1"/>
  <c r="AD872" i="3"/>
  <c r="AA794" i="3"/>
  <c r="V760" i="3"/>
  <c r="AB760" i="3"/>
  <c r="AE760" i="3"/>
  <c r="AG760" i="3"/>
  <c r="M853" i="1"/>
  <c r="AH988" i="3"/>
  <c r="AH819" i="3"/>
  <c r="AD906" i="3"/>
  <c r="V906" i="3"/>
  <c r="AB906" i="3"/>
  <c r="AE906" i="3"/>
  <c r="AG975" i="2"/>
  <c r="AG932" i="2"/>
  <c r="AH451" i="3"/>
  <c r="AG510" i="2"/>
  <c r="V91" i="3"/>
  <c r="AB91" i="3"/>
  <c r="AE91" i="3"/>
  <c r="AG91" i="3"/>
  <c r="X818" i="1"/>
  <c r="AD818" i="1"/>
  <c r="AG818" i="1"/>
  <c r="AI818" i="1"/>
  <c r="X893" i="1"/>
  <c r="AD893" i="1"/>
  <c r="AG893" i="1"/>
  <c r="AI893" i="1"/>
  <c r="AF804" i="1"/>
  <c r="X682" i="1"/>
  <c r="AD682" i="1"/>
  <c r="AG682" i="1"/>
  <c r="AI682" i="1"/>
  <c r="V348" i="2"/>
  <c r="AB348" i="2"/>
  <c r="AE348" i="2"/>
  <c r="V522" i="2"/>
  <c r="AB522" i="2"/>
  <c r="AE522" i="2"/>
  <c r="AC472" i="2"/>
  <c r="U728" i="2"/>
  <c r="AA728" i="2"/>
  <c r="AD728" i="2"/>
  <c r="AF728" i="2"/>
  <c r="W832" i="3"/>
  <c r="AC832" i="3"/>
  <c r="AF832" i="3"/>
  <c r="AD226" i="3"/>
  <c r="V562" i="2"/>
  <c r="AB562" i="2"/>
  <c r="AE562" i="2"/>
  <c r="W822" i="3"/>
  <c r="AC822" i="3"/>
  <c r="AF822" i="3"/>
  <c r="Z770" i="2"/>
  <c r="V538" i="3"/>
  <c r="AB538" i="3"/>
  <c r="AE538" i="3"/>
  <c r="AG538" i="3"/>
  <c r="AC882" i="1"/>
  <c r="W708" i="3"/>
  <c r="AC708" i="3"/>
  <c r="AF708" i="3"/>
  <c r="Z539" i="2"/>
  <c r="AC492" i="2"/>
  <c r="AJ801" i="1"/>
  <c r="AF900" i="1"/>
  <c r="Z881" i="2"/>
  <c r="AG902" i="2"/>
  <c r="Z638" i="2"/>
  <c r="V956" i="2"/>
  <c r="AB956" i="2"/>
  <c r="AE956" i="2"/>
  <c r="AG956" i="2"/>
  <c r="AG92" i="3"/>
  <c r="V712" i="3"/>
  <c r="AB712" i="3"/>
  <c r="AE712" i="3"/>
  <c r="AG712" i="3"/>
  <c r="Q428" i="2"/>
  <c r="AC808" i="1"/>
  <c r="V537" i="2"/>
  <c r="AB537" i="2"/>
  <c r="AE537" i="2"/>
  <c r="AA777" i="3"/>
  <c r="AA307" i="3"/>
  <c r="AC248" i="2"/>
  <c r="V942" i="3"/>
  <c r="AB942" i="3"/>
  <c r="AE942" i="3"/>
  <c r="AG942" i="3"/>
  <c r="AH873" i="3"/>
  <c r="AC766" i="1"/>
  <c r="AG390" i="2"/>
  <c r="AF662" i="1"/>
  <c r="Z644" i="2"/>
  <c r="AH867" i="3"/>
  <c r="V893" i="2"/>
  <c r="AB893" i="2"/>
  <c r="AE893" i="2"/>
  <c r="AG893" i="2"/>
  <c r="AH327" i="3"/>
  <c r="AH67" i="3"/>
  <c r="V958" i="3"/>
  <c r="AB958" i="3"/>
  <c r="AE958" i="3"/>
  <c r="AG958" i="3"/>
  <c r="M672" i="1"/>
  <c r="V258" i="3"/>
  <c r="AB258" i="3"/>
  <c r="AE258" i="3"/>
  <c r="AG258" i="3"/>
  <c r="AC949" i="2"/>
  <c r="AD366" i="3"/>
  <c r="W259" i="3"/>
  <c r="AC259" i="3"/>
  <c r="AF259" i="3"/>
  <c r="V549" i="2"/>
  <c r="AB549" i="2"/>
  <c r="AE549" i="2"/>
  <c r="AC517" i="2"/>
  <c r="U493" i="2"/>
  <c r="AA493" i="2"/>
  <c r="AD493" i="2"/>
  <c r="AF493" i="2"/>
  <c r="AC508" i="2"/>
  <c r="M852" i="1"/>
  <c r="AC974" i="2"/>
  <c r="AH1013" i="1"/>
  <c r="Z427" i="2"/>
  <c r="AG497" i="2"/>
  <c r="U334" i="2"/>
  <c r="AA334" i="2"/>
  <c r="AD334" i="2"/>
  <c r="AF334" i="2"/>
  <c r="AD32" i="3"/>
  <c r="AC520" i="2"/>
  <c r="V618" i="3"/>
  <c r="AB618" i="3"/>
  <c r="AE618" i="3"/>
  <c r="AG618" i="3"/>
  <c r="AA310" i="3"/>
  <c r="Z200" i="2"/>
  <c r="M980" i="1"/>
  <c r="V667" i="3"/>
  <c r="AB667" i="3"/>
  <c r="AE667" i="3"/>
  <c r="AG667" i="3"/>
  <c r="T663" i="1"/>
  <c r="M663" i="1"/>
  <c r="AA619" i="3"/>
  <c r="V709" i="3"/>
  <c r="AB709" i="3"/>
  <c r="AE709" i="3"/>
  <c r="AG709" i="3"/>
  <c r="AH859" i="3"/>
  <c r="Z617" i="2"/>
  <c r="AD321" i="3"/>
  <c r="V321" i="3"/>
  <c r="AB321" i="3"/>
  <c r="AE321" i="3"/>
  <c r="X1007" i="1"/>
  <c r="AD1007" i="1"/>
  <c r="AG1007" i="1"/>
  <c r="AI1007" i="1"/>
  <c r="AH953" i="3"/>
  <c r="AD50" i="3"/>
  <c r="U827" i="2"/>
  <c r="AA827" i="2"/>
  <c r="AD827" i="2"/>
  <c r="AF827" i="2"/>
  <c r="V248" i="2"/>
  <c r="AB248" i="2"/>
  <c r="AE248" i="2"/>
  <c r="AG248" i="2"/>
  <c r="V577" i="3"/>
  <c r="AB577" i="3"/>
  <c r="AE577" i="3"/>
  <c r="AG577" i="3"/>
  <c r="X730" i="1"/>
  <c r="AD730" i="1"/>
  <c r="AG730" i="1"/>
  <c r="AI730" i="1"/>
  <c r="Y810" i="1"/>
  <c r="AE810" i="1"/>
  <c r="AH810" i="1"/>
  <c r="AJ976" i="1"/>
  <c r="AC788" i="2"/>
  <c r="U244" i="2"/>
  <c r="AA244" i="2"/>
  <c r="AD244" i="2"/>
  <c r="AF244" i="2"/>
  <c r="AA451" i="3"/>
  <c r="V849" i="2"/>
  <c r="AB849" i="2"/>
  <c r="AE849" i="2"/>
  <c r="AH521" i="3"/>
  <c r="U263" i="2"/>
  <c r="AA263" i="2"/>
  <c r="AD263" i="2"/>
  <c r="AF263" i="2"/>
  <c r="AH461" i="3"/>
  <c r="Z453" i="2"/>
  <c r="AC790" i="1"/>
  <c r="AJ827" i="1"/>
  <c r="V950" i="2"/>
  <c r="AB950" i="2"/>
  <c r="AE950" i="2"/>
  <c r="AG455" i="2"/>
  <c r="U364" i="2"/>
  <c r="AA364" i="2"/>
  <c r="AD364" i="2"/>
  <c r="AF364" i="2"/>
  <c r="AC734" i="1"/>
  <c r="X673" i="1"/>
  <c r="AD673" i="1"/>
  <c r="AG673" i="1"/>
  <c r="AI673" i="1"/>
  <c r="AA622" i="3"/>
  <c r="AD929" i="3"/>
  <c r="AD173" i="3"/>
  <c r="AA230" i="3"/>
  <c r="U851" i="2"/>
  <c r="AA851" i="2"/>
  <c r="AD851" i="2"/>
  <c r="AF851" i="2"/>
  <c r="M973" i="1"/>
  <c r="AG483" i="2"/>
  <c r="W395" i="3"/>
  <c r="AC395" i="3"/>
  <c r="AF395" i="3"/>
  <c r="AH395" i="3"/>
  <c r="AG992" i="2"/>
  <c r="AH665" i="3"/>
  <c r="AA257" i="3"/>
  <c r="AC891" i="2"/>
  <c r="AJ795" i="1"/>
  <c r="Z668" i="2"/>
  <c r="AC440" i="2"/>
  <c r="V622" i="2"/>
  <c r="AB622" i="2"/>
  <c r="AE622" i="2"/>
  <c r="V897" i="3"/>
  <c r="AB897" i="3"/>
  <c r="AE897" i="3"/>
  <c r="AG897" i="3"/>
  <c r="V717" i="2"/>
  <c r="AB717" i="2"/>
  <c r="AE717" i="2"/>
  <c r="V779" i="2"/>
  <c r="AB779" i="2"/>
  <c r="AE779" i="2"/>
  <c r="U925" i="2"/>
  <c r="AA925" i="2"/>
  <c r="AD925" i="2"/>
  <c r="AF925" i="2"/>
  <c r="AC747" i="2"/>
  <c r="Y766" i="1"/>
  <c r="AE766" i="1"/>
  <c r="AH766" i="1"/>
  <c r="Z843" i="2"/>
  <c r="V717" i="3"/>
  <c r="AB717" i="3"/>
  <c r="AE717" i="3"/>
  <c r="AG717" i="3"/>
  <c r="V52" i="3"/>
  <c r="AB52" i="3"/>
  <c r="AE52" i="3"/>
  <c r="AG52" i="3"/>
  <c r="AF972" i="1"/>
  <c r="AA303" i="3"/>
  <c r="M977" i="1"/>
  <c r="AG398" i="2"/>
  <c r="AH789" i="3"/>
  <c r="AD287" i="3"/>
  <c r="V876" i="3"/>
  <c r="AB876" i="3"/>
  <c r="AE876" i="3"/>
  <c r="AG876" i="3"/>
  <c r="AH232" i="3"/>
  <c r="AD413" i="3"/>
  <c r="Z448" i="2"/>
  <c r="AA390" i="3"/>
  <c r="AA412" i="3"/>
  <c r="V503" i="3"/>
  <c r="AB503" i="3"/>
  <c r="AE503" i="3"/>
  <c r="AG503" i="3"/>
  <c r="X853" i="1"/>
  <c r="AD853" i="1"/>
  <c r="AG853" i="1"/>
  <c r="AI853" i="1"/>
  <c r="AG808" i="2"/>
  <c r="AC903" i="2"/>
  <c r="V427" i="2"/>
  <c r="AB427" i="2"/>
  <c r="AE427" i="2"/>
  <c r="U317" i="2"/>
  <c r="AA317" i="2"/>
  <c r="AD317" i="2"/>
  <c r="AF317" i="2"/>
  <c r="AH282" i="3"/>
  <c r="R800" i="3"/>
  <c r="V836" i="2"/>
  <c r="AB836" i="2"/>
  <c r="AE836" i="2"/>
  <c r="Z438" i="2"/>
  <c r="W314" i="3"/>
  <c r="AC314" i="3"/>
  <c r="AF314" i="3"/>
  <c r="V200" i="2"/>
  <c r="AB200" i="2"/>
  <c r="AE200" i="2"/>
  <c r="AC404" i="2"/>
  <c r="X891" i="1"/>
  <c r="AD891" i="1"/>
  <c r="AG891" i="1"/>
  <c r="AI891" i="1"/>
  <c r="AC917" i="2"/>
  <c r="AH805" i="3"/>
  <c r="U582" i="2"/>
  <c r="AA582" i="2"/>
  <c r="AD582" i="2"/>
  <c r="AF582" i="2"/>
  <c r="AC966" i="2"/>
  <c r="U540" i="2"/>
  <c r="AA540" i="2"/>
  <c r="AD540" i="2"/>
  <c r="AF540" i="2"/>
  <c r="AH37" i="3"/>
  <c r="V755" i="3"/>
  <c r="AB755" i="3"/>
  <c r="AE755" i="3"/>
  <c r="AG755" i="3"/>
  <c r="Z575" i="2"/>
  <c r="AA434" i="3"/>
  <c r="Q777" i="2"/>
  <c r="V777" i="2"/>
  <c r="AB777" i="2"/>
  <c r="AE777" i="2"/>
  <c r="AD752" i="3"/>
  <c r="AA789" i="3"/>
  <c r="AC741" i="2"/>
  <c r="AA864" i="3"/>
  <c r="U312" i="2"/>
  <c r="AA312" i="2"/>
  <c r="AD312" i="2"/>
  <c r="AF312" i="2"/>
  <c r="AH881" i="3"/>
  <c r="AG594" i="2"/>
  <c r="T718" i="1"/>
  <c r="Y718" i="1"/>
  <c r="AE718" i="1"/>
  <c r="AH718" i="1"/>
  <c r="AH986" i="3"/>
  <c r="AA611" i="3"/>
  <c r="U339" i="2"/>
  <c r="AA339" i="2"/>
  <c r="AD339" i="2"/>
  <c r="AF339" i="2"/>
  <c r="Z772" i="2"/>
  <c r="V529" i="3"/>
  <c r="AB529" i="3"/>
  <c r="AE529" i="3"/>
  <c r="AG529" i="3"/>
  <c r="U736" i="2"/>
  <c r="AA736" i="2"/>
  <c r="AD736" i="2"/>
  <c r="AF736" i="2"/>
  <c r="AH810" i="3"/>
  <c r="AC871" i="2"/>
  <c r="AJ722" i="1"/>
  <c r="Z480" i="2"/>
  <c r="AD599" i="3"/>
  <c r="AA959" i="3"/>
  <c r="AC800" i="2"/>
  <c r="M949" i="1"/>
  <c r="AA60" i="3"/>
  <c r="W217" i="3"/>
  <c r="AC217" i="3"/>
  <c r="AF217" i="3"/>
  <c r="U474" i="2"/>
  <c r="AA474" i="2"/>
  <c r="AD474" i="2"/>
  <c r="AF474" i="2"/>
  <c r="V688" i="3"/>
  <c r="AB688" i="3"/>
  <c r="AE688" i="3"/>
  <c r="AG688" i="3"/>
  <c r="M703" i="1"/>
  <c r="AC473" i="2"/>
  <c r="AA81" i="3"/>
  <c r="AJ898" i="1"/>
  <c r="AC989" i="1"/>
  <c r="M967" i="1"/>
  <c r="W230" i="3"/>
  <c r="AC230" i="3"/>
  <c r="AF230" i="3"/>
  <c r="AD240" i="3"/>
  <c r="AC441" i="2"/>
  <c r="AG342" i="2"/>
  <c r="AD51" i="3"/>
  <c r="AA646" i="3"/>
  <c r="AA311" i="3"/>
  <c r="AA883" i="3"/>
  <c r="V652" i="2"/>
  <c r="AB652" i="2"/>
  <c r="AE652" i="2"/>
  <c r="AF932" i="1"/>
  <c r="X932" i="1"/>
  <c r="AD932" i="1"/>
  <c r="AG932" i="1"/>
  <c r="Z974" i="2"/>
  <c r="V594" i="2"/>
  <c r="AB594" i="2"/>
  <c r="AE594" i="2"/>
  <c r="AA580" i="3"/>
  <c r="AC820" i="1"/>
  <c r="AA665" i="3"/>
  <c r="AC680" i="2"/>
  <c r="AD746" i="3"/>
  <c r="AA291" i="3"/>
  <c r="AG913" i="2"/>
  <c r="M886" i="1"/>
  <c r="V287" i="3"/>
  <c r="AB287" i="3"/>
  <c r="AE287" i="3"/>
  <c r="AG287" i="3"/>
  <c r="T870" i="1"/>
  <c r="Y870" i="1"/>
  <c r="AE870" i="1"/>
  <c r="AH870" i="1"/>
  <c r="AC967" i="1"/>
  <c r="T888" i="1"/>
  <c r="M888" i="1"/>
  <c r="T779" i="1"/>
  <c r="M779" i="1"/>
  <c r="M909" i="1"/>
  <c r="AG685" i="2"/>
  <c r="AJ843" i="1"/>
  <c r="V412" i="2"/>
  <c r="AB412" i="2"/>
  <c r="AE412" i="2"/>
  <c r="AA90" i="3"/>
  <c r="AD467" i="3"/>
  <c r="AG787" i="2"/>
  <c r="U887" i="2"/>
  <c r="AA887" i="2"/>
  <c r="AD887" i="2"/>
  <c r="AF887" i="2"/>
  <c r="AA383" i="3"/>
  <c r="V870" i="3"/>
  <c r="AB870" i="3"/>
  <c r="AE870" i="3"/>
  <c r="AG870" i="3"/>
  <c r="V166" i="3"/>
  <c r="AB166" i="3"/>
  <c r="AE166" i="3"/>
  <c r="AG166" i="3"/>
  <c r="X833" i="1"/>
  <c r="AD833" i="1"/>
  <c r="AG833" i="1"/>
  <c r="AI833" i="1"/>
  <c r="W444" i="3"/>
  <c r="AC444" i="3"/>
  <c r="AF444" i="3"/>
  <c r="W331" i="3"/>
  <c r="AC331" i="3"/>
  <c r="AF331" i="3"/>
  <c r="AD811" i="3"/>
  <c r="V811" i="3"/>
  <c r="AB811" i="3"/>
  <c r="AE811" i="3"/>
  <c r="AH798" i="3"/>
  <c r="Z485" i="2"/>
  <c r="AF763" i="1"/>
  <c r="U404" i="2"/>
  <c r="AA404" i="2"/>
  <c r="AD404" i="2"/>
  <c r="AF404" i="2"/>
  <c r="Y794" i="1"/>
  <c r="AE794" i="1"/>
  <c r="AH794" i="1"/>
  <c r="W449" i="3"/>
  <c r="AC449" i="3"/>
  <c r="AF449" i="3"/>
  <c r="U917" i="2"/>
  <c r="AA917" i="2"/>
  <c r="AD917" i="2"/>
  <c r="AF917" i="2"/>
  <c r="AF814" i="1"/>
  <c r="AF980" i="1"/>
  <c r="W52" i="3"/>
  <c r="AC52" i="3"/>
  <c r="AF52" i="3"/>
  <c r="AH52" i="3"/>
  <c r="M827" i="1"/>
  <c r="U572" i="2"/>
  <c r="AA572" i="2"/>
  <c r="AD572" i="2"/>
  <c r="AF572" i="2"/>
  <c r="U201" i="2"/>
  <c r="AA201" i="2"/>
  <c r="AD201" i="2"/>
  <c r="AF201" i="2"/>
  <c r="V51" i="3"/>
  <c r="AB51" i="3"/>
  <c r="AE51" i="3"/>
  <c r="AG51" i="3"/>
  <c r="AA766" i="3"/>
  <c r="Y1016" i="1"/>
  <c r="AE1016" i="1"/>
  <c r="AH1016" i="1"/>
  <c r="AC418" i="2"/>
  <c r="AH795" i="3"/>
  <c r="Z774" i="2"/>
  <c r="AA920" i="3"/>
  <c r="AJ1012" i="1"/>
  <c r="W505" i="3"/>
  <c r="AC505" i="3"/>
  <c r="AF505" i="3"/>
  <c r="AH812" i="3"/>
  <c r="U657" i="2"/>
  <c r="AA657" i="2"/>
  <c r="AD657" i="2"/>
  <c r="AF657" i="2"/>
  <c r="AC963" i="1"/>
  <c r="U573" i="2"/>
  <c r="AA573" i="2"/>
  <c r="AD573" i="2"/>
  <c r="AF573" i="2"/>
  <c r="AH539" i="3"/>
  <c r="U224" i="2"/>
  <c r="AA224" i="2"/>
  <c r="AD224" i="2"/>
  <c r="AF224" i="2"/>
  <c r="AA691" i="3"/>
  <c r="V955" i="3"/>
  <c r="AB955" i="3"/>
  <c r="AE955" i="3"/>
  <c r="AG955" i="3"/>
  <c r="V739" i="3"/>
  <c r="AB739" i="3"/>
  <c r="AE739" i="3"/>
  <c r="AG739" i="3"/>
  <c r="W299" i="3"/>
  <c r="AC299" i="3"/>
  <c r="AF299" i="3"/>
  <c r="AH272" i="3"/>
  <c r="X707" i="1"/>
  <c r="AD707" i="1"/>
  <c r="AG707" i="1"/>
  <c r="AI707" i="1"/>
  <c r="V599" i="3"/>
  <c r="AB599" i="3"/>
  <c r="AE599" i="3"/>
  <c r="AG599" i="3"/>
  <c r="W76" i="3"/>
  <c r="AC76" i="3"/>
  <c r="AF76" i="3"/>
  <c r="AH76" i="3"/>
  <c r="W389" i="3"/>
  <c r="AC389" i="3"/>
  <c r="AF389" i="3"/>
  <c r="AH389" i="3"/>
  <c r="Q326" i="2"/>
  <c r="V326" i="2"/>
  <c r="AB326" i="2"/>
  <c r="AE326" i="2"/>
  <c r="AH239" i="3"/>
  <c r="AD706" i="3"/>
  <c r="AD69" i="3"/>
  <c r="AC452" i="2"/>
  <c r="AH168" i="3"/>
  <c r="V743" i="3"/>
  <c r="AB743" i="3"/>
  <c r="AE743" i="3"/>
  <c r="AG743" i="3"/>
  <c r="W378" i="3"/>
  <c r="AC378" i="3"/>
  <c r="AF378" i="3"/>
  <c r="AH378" i="3"/>
  <c r="Z762" i="2"/>
  <c r="AA792" i="3"/>
  <c r="X708" i="1"/>
  <c r="AD708" i="1"/>
  <c r="AG708" i="1"/>
  <c r="AI708" i="1"/>
  <c r="W649" i="3"/>
  <c r="AC649" i="3"/>
  <c r="AF649" i="3"/>
  <c r="AH649" i="3"/>
  <c r="AJ742" i="1"/>
  <c r="AJ887" i="1"/>
  <c r="AC346" i="2"/>
  <c r="U338" i="2"/>
  <c r="AA338" i="2"/>
  <c r="AD338" i="2"/>
  <c r="AF338" i="2"/>
  <c r="AG436" i="2"/>
  <c r="AA604" i="3"/>
  <c r="Z442" i="2"/>
  <c r="AC767" i="1"/>
  <c r="V214" i="3"/>
  <c r="AB214" i="3"/>
  <c r="AE214" i="3"/>
  <c r="AG214" i="3"/>
  <c r="M711" i="1"/>
  <c r="Z383" i="2"/>
  <c r="AA904" i="3"/>
  <c r="AA759" i="3"/>
  <c r="U197" i="2"/>
  <c r="AA197" i="2"/>
  <c r="AD197" i="2"/>
  <c r="AF197" i="2"/>
  <c r="AH698" i="3"/>
  <c r="W665" i="3"/>
  <c r="AC665" i="3"/>
  <c r="AF665" i="3"/>
  <c r="AG916" i="2"/>
  <c r="V313" i="3"/>
  <c r="AB313" i="3"/>
  <c r="AE313" i="3"/>
  <c r="AG313" i="3"/>
  <c r="Z343" i="2"/>
  <c r="AG434" i="2"/>
  <c r="AG701" i="2"/>
  <c r="AG983" i="2"/>
  <c r="AA570" i="3"/>
  <c r="V678" i="2"/>
  <c r="AB678" i="2"/>
  <c r="AE678" i="2"/>
  <c r="W973" i="3"/>
  <c r="AC973" i="3"/>
  <c r="AF973" i="3"/>
  <c r="AC896" i="2"/>
  <c r="U871" i="2"/>
  <c r="AA871" i="2"/>
  <c r="AD871" i="2"/>
  <c r="AF871" i="2"/>
  <c r="AH944" i="3"/>
  <c r="AG502" i="2"/>
  <c r="M951" i="1"/>
  <c r="Z356" i="2"/>
  <c r="AC923" i="1"/>
  <c r="L923" i="1"/>
  <c r="K923" i="1"/>
  <c r="T923" i="1"/>
  <c r="Y923" i="1"/>
  <c r="AE923" i="1"/>
  <c r="X666" i="1"/>
  <c r="AD666" i="1"/>
  <c r="AG666" i="1"/>
  <c r="AI666" i="1"/>
  <c r="AF746" i="1"/>
  <c r="AF872" i="2"/>
  <c r="Z258" i="2"/>
  <c r="AA722" i="3"/>
  <c r="W843" i="3"/>
  <c r="AC843" i="3"/>
  <c r="AF843" i="3"/>
  <c r="M1004" i="1"/>
  <c r="AA663" i="3"/>
  <c r="AD790" i="3"/>
  <c r="X897" i="1"/>
  <c r="AD897" i="1"/>
  <c r="AG897" i="1"/>
  <c r="AI897" i="1"/>
  <c r="AA415" i="3"/>
  <c r="V425" i="3"/>
  <c r="AB425" i="3"/>
  <c r="AE425" i="3"/>
  <c r="AG425" i="3"/>
  <c r="AH90" i="3"/>
  <c r="Z877" i="2"/>
  <c r="AA731" i="3"/>
  <c r="AA654" i="3"/>
  <c r="V301" i="3"/>
  <c r="AB301" i="3"/>
  <c r="AE301" i="3"/>
  <c r="AG301" i="3"/>
  <c r="U818" i="2"/>
  <c r="AA818" i="2"/>
  <c r="AD818" i="2"/>
  <c r="AF818" i="2"/>
  <c r="V148" i="3"/>
  <c r="AB148" i="3"/>
  <c r="AE148" i="3"/>
  <c r="AG148" i="3"/>
  <c r="V408" i="3"/>
  <c r="AB408" i="3"/>
  <c r="AE408" i="3"/>
  <c r="AG408" i="3"/>
  <c r="U755" i="2"/>
  <c r="AA755" i="2"/>
  <c r="AD755" i="2"/>
  <c r="AF755" i="2"/>
  <c r="U794" i="2"/>
  <c r="AA794" i="2"/>
  <c r="AD794" i="2"/>
  <c r="AF794" i="2"/>
  <c r="M759" i="1"/>
  <c r="U624" i="2"/>
  <c r="AA624" i="2"/>
  <c r="AD624" i="2"/>
  <c r="AF624" i="2"/>
  <c r="V602" i="3"/>
  <c r="AB602" i="3"/>
  <c r="AE602" i="3"/>
  <c r="AG602" i="3"/>
  <c r="AA237" i="3"/>
  <c r="V414" i="3"/>
  <c r="AB414" i="3"/>
  <c r="AE414" i="3"/>
  <c r="AG414" i="3"/>
  <c r="Z261" i="2"/>
  <c r="V421" i="3"/>
  <c r="AB421" i="3"/>
  <c r="AE421" i="3"/>
  <c r="AG421" i="3"/>
  <c r="M897" i="1"/>
  <c r="AC705" i="2"/>
  <c r="AF821" i="1"/>
  <c r="X783" i="1"/>
  <c r="AD783" i="1"/>
  <c r="AG783" i="1"/>
  <c r="AI783" i="1"/>
  <c r="T926" i="1"/>
  <c r="Y926" i="1"/>
  <c r="AE926" i="1"/>
  <c r="AH926" i="1"/>
  <c r="AJ926" i="1"/>
  <c r="AH364" i="3"/>
  <c r="AA958" i="3"/>
  <c r="W470" i="3"/>
  <c r="AC470" i="3"/>
  <c r="AF470" i="3"/>
  <c r="AH470" i="3"/>
  <c r="AC795" i="1"/>
  <c r="AD58" i="3"/>
  <c r="Z354" i="2"/>
  <c r="AD553" i="3"/>
  <c r="V982" i="2"/>
  <c r="AB982" i="2"/>
  <c r="AE982" i="2"/>
  <c r="AC787" i="1"/>
  <c r="Z933" i="2"/>
  <c r="X937" i="1"/>
  <c r="AD937" i="1"/>
  <c r="AG937" i="1"/>
  <c r="AI937" i="1"/>
  <c r="AA771" i="3"/>
  <c r="AH732" i="3"/>
  <c r="Z923" i="2"/>
  <c r="Z597" i="2"/>
  <c r="AG912" i="2"/>
  <c r="U583" i="2"/>
  <c r="AA583" i="2"/>
  <c r="AD583" i="2"/>
  <c r="AF583" i="2"/>
  <c r="AC880" i="1"/>
  <c r="AH494" i="3"/>
  <c r="AG718" i="2"/>
  <c r="AG798" i="2"/>
  <c r="U546" i="2"/>
  <c r="AA546" i="2"/>
  <c r="AD546" i="2"/>
  <c r="AF546" i="2"/>
  <c r="V704" i="3"/>
  <c r="AB704" i="3"/>
  <c r="AE704" i="3"/>
  <c r="AG704" i="3"/>
  <c r="AH393" i="3"/>
  <c r="Z967" i="2"/>
  <c r="AJ716" i="1"/>
  <c r="V813" i="3"/>
  <c r="AB813" i="3"/>
  <c r="AE813" i="3"/>
  <c r="AG813" i="3"/>
  <c r="Z663" i="2"/>
  <c r="AC483" i="2"/>
  <c r="L1018" i="1"/>
  <c r="K1018" i="1"/>
  <c r="T1018" i="1"/>
  <c r="Y1018" i="1"/>
  <c r="AE1018" i="1"/>
  <c r="AH1018" i="1"/>
  <c r="Z947" i="2"/>
  <c r="V343" i="2"/>
  <c r="AB343" i="2"/>
  <c r="AE343" i="2"/>
  <c r="V397" i="3"/>
  <c r="AB397" i="3"/>
  <c r="AE397" i="3"/>
  <c r="AG397" i="3"/>
  <c r="AC748" i="1"/>
  <c r="AJ688" i="1"/>
  <c r="AH207" i="3"/>
  <c r="W570" i="3"/>
  <c r="AC570" i="3"/>
  <c r="AF570" i="3"/>
  <c r="AA877" i="3"/>
  <c r="V298" i="3"/>
  <c r="AB298" i="3"/>
  <c r="AE298" i="3"/>
  <c r="AG298" i="3"/>
  <c r="AG800" i="2"/>
  <c r="AH780" i="3"/>
  <c r="V768" i="3"/>
  <c r="AB768" i="3"/>
  <c r="AE768" i="3"/>
  <c r="AG768" i="3"/>
  <c r="AA680" i="3"/>
  <c r="W680" i="3"/>
  <c r="AC680" i="3"/>
  <c r="AG320" i="2"/>
  <c r="W718" i="3"/>
  <c r="AC718" i="3"/>
  <c r="AF718" i="3"/>
  <c r="AH718" i="3"/>
  <c r="AA720" i="3"/>
  <c r="W102" i="3"/>
  <c r="AC102" i="3"/>
  <c r="AF102" i="3"/>
  <c r="AH102" i="3"/>
  <c r="Z858" i="2"/>
  <c r="AC318" i="2"/>
  <c r="U550" i="2"/>
  <c r="AA550" i="2"/>
  <c r="AD550" i="2"/>
  <c r="AF550" i="2"/>
  <c r="AA206" i="3"/>
  <c r="Z595" i="2"/>
  <c r="AH688" i="3"/>
  <c r="AA130" i="3"/>
  <c r="V749" i="2"/>
  <c r="AB749" i="2"/>
  <c r="AE749" i="2"/>
  <c r="AD102" i="3"/>
  <c r="AG212" i="2"/>
  <c r="W98" i="3"/>
  <c r="AC98" i="3"/>
  <c r="AF98" i="3"/>
  <c r="AH98" i="3"/>
  <c r="R875" i="3"/>
  <c r="W875" i="3"/>
  <c r="AC875" i="3"/>
  <c r="AF875" i="3"/>
  <c r="AH875" i="3"/>
  <c r="V427" i="3"/>
  <c r="AB427" i="3"/>
  <c r="AE427" i="3"/>
  <c r="AG427" i="3"/>
  <c r="AG484" i="2"/>
  <c r="AC783" i="2"/>
  <c r="V724" i="2"/>
  <c r="AB724" i="2"/>
  <c r="AE724" i="2"/>
  <c r="U447" i="2"/>
  <c r="AA447" i="2"/>
  <c r="AD447" i="2"/>
  <c r="AF447" i="2"/>
  <c r="Y880" i="1"/>
  <c r="AE880" i="1"/>
  <c r="AH880" i="1"/>
  <c r="AC978" i="1"/>
  <c r="AD604" i="3"/>
  <c r="R354" i="3"/>
  <c r="W354" i="3"/>
  <c r="AC354" i="3"/>
  <c r="AF354" i="3"/>
  <c r="V690" i="3"/>
  <c r="AB690" i="3"/>
  <c r="AE690" i="3"/>
  <c r="AG690" i="3"/>
  <c r="AF480" i="3"/>
  <c r="AH480" i="3"/>
  <c r="AJ982" i="1"/>
  <c r="AG567" i="2"/>
  <c r="AA579" i="3"/>
  <c r="X902" i="1"/>
  <c r="AD902" i="1"/>
  <c r="AG902" i="1"/>
  <c r="AI902" i="1"/>
  <c r="AC820" i="2"/>
  <c r="V564" i="2"/>
  <c r="AB564" i="2"/>
  <c r="AE564" i="2"/>
  <c r="AG564" i="2"/>
  <c r="V746" i="3"/>
  <c r="AB746" i="3"/>
  <c r="AE746" i="3"/>
  <c r="AG746" i="3"/>
  <c r="AC922" i="1"/>
  <c r="X960" i="1"/>
  <c r="AD960" i="1"/>
  <c r="AG960" i="1"/>
  <c r="AI960" i="1"/>
  <c r="AC834" i="1"/>
  <c r="AH554" i="3"/>
  <c r="Z222" i="2"/>
  <c r="AH747" i="3"/>
  <c r="AH742" i="3"/>
  <c r="W428" i="3"/>
  <c r="AC428" i="3"/>
  <c r="AF428" i="3"/>
  <c r="AH428" i="3"/>
  <c r="AA578" i="3"/>
  <c r="AA108" i="3"/>
  <c r="Z452" i="2"/>
  <c r="V874" i="3"/>
  <c r="AB874" i="3"/>
  <c r="AE874" i="3"/>
  <c r="AG874" i="3"/>
  <c r="AG309" i="2"/>
  <c r="W685" i="3"/>
  <c r="AC685" i="3"/>
  <c r="AF685" i="3"/>
  <c r="AH685" i="3"/>
  <c r="Z337" i="2"/>
  <c r="AC843" i="1"/>
  <c r="M904" i="1"/>
  <c r="AG705" i="2"/>
  <c r="AF787" i="1"/>
  <c r="AC961" i="2"/>
  <c r="V224" i="3"/>
  <c r="AB224" i="3"/>
  <c r="AE224" i="3"/>
  <c r="AG224" i="3"/>
  <c r="V459" i="3"/>
  <c r="AB459" i="3"/>
  <c r="AE459" i="3"/>
  <c r="AG459" i="3"/>
  <c r="U713" i="2"/>
  <c r="AA713" i="2"/>
  <c r="AD713" i="2"/>
  <c r="AF713" i="2"/>
  <c r="V244" i="2"/>
  <c r="AB244" i="2"/>
  <c r="AE244" i="2"/>
  <c r="AG244" i="2"/>
  <c r="Z495" i="2"/>
  <c r="AA616" i="3"/>
  <c r="AA513" i="3"/>
  <c r="AA416" i="3"/>
  <c r="U500" i="2"/>
  <c r="AA500" i="2"/>
  <c r="AD500" i="2"/>
  <c r="AF500" i="2"/>
  <c r="AG888" i="2"/>
  <c r="AJ866" i="1"/>
  <c r="AH202" i="3"/>
  <c r="T762" i="1"/>
  <c r="X762" i="1"/>
  <c r="AD762" i="1"/>
  <c r="AG762" i="1"/>
  <c r="AI762" i="1"/>
  <c r="AJ761" i="1"/>
  <c r="Y995" i="1"/>
  <c r="AE995" i="1"/>
  <c r="AH995" i="1"/>
  <c r="AA982" i="3"/>
  <c r="AF861" i="1"/>
  <c r="U662" i="2"/>
  <c r="AA662" i="2"/>
  <c r="AD662" i="2"/>
  <c r="AF662" i="2"/>
  <c r="AG551" i="2"/>
  <c r="AH829" i="3"/>
  <c r="Z224" i="2"/>
  <c r="AC325" i="2"/>
  <c r="V363" i="3"/>
  <c r="AB363" i="3"/>
  <c r="AE363" i="3"/>
  <c r="AG363" i="3"/>
  <c r="AC885" i="1"/>
  <c r="AC976" i="1"/>
  <c r="T872" i="1"/>
  <c r="X872" i="1"/>
  <c r="AD872" i="1"/>
  <c r="AG872" i="1"/>
  <c r="AI872" i="1"/>
  <c r="AG868" i="2"/>
  <c r="Z320" i="2"/>
  <c r="U982" i="2"/>
  <c r="AA982" i="2"/>
  <c r="AD982" i="2"/>
  <c r="AF982" i="2"/>
  <c r="W411" i="3"/>
  <c r="AC411" i="3"/>
  <c r="AF411" i="3"/>
  <c r="AA504" i="3"/>
  <c r="AD496" i="3"/>
  <c r="AG232" i="2"/>
  <c r="AA897" i="3"/>
  <c r="AA323" i="3"/>
  <c r="AG790" i="2"/>
  <c r="AH957" i="3"/>
  <c r="V947" i="2"/>
  <c r="AB947" i="2"/>
  <c r="AE947" i="2"/>
  <c r="U461" i="2"/>
  <c r="AA461" i="2"/>
  <c r="AD461" i="2"/>
  <c r="AF461" i="2"/>
  <c r="M958" i="1"/>
  <c r="U859" i="2"/>
  <c r="AA859" i="2"/>
  <c r="AD859" i="2"/>
  <c r="AF859" i="2"/>
  <c r="X982" i="1"/>
  <c r="AD982" i="1"/>
  <c r="AG982" i="1"/>
  <c r="AI982" i="1"/>
  <c r="Y938" i="1"/>
  <c r="AE938" i="1"/>
  <c r="AH938" i="1"/>
  <c r="AA187" i="3"/>
  <c r="AA593" i="3"/>
  <c r="AA585" i="3"/>
  <c r="V264" i="2"/>
  <c r="AB264" i="2"/>
  <c r="AE264" i="2"/>
  <c r="X664" i="1"/>
  <c r="AD664" i="1"/>
  <c r="AG664" i="1"/>
  <c r="AI664" i="1"/>
  <c r="Z468" i="2"/>
  <c r="AF883" i="1"/>
  <c r="Z475" i="2"/>
  <c r="V431" i="3"/>
  <c r="AB431" i="3"/>
  <c r="AE431" i="3"/>
  <c r="AG431" i="3"/>
  <c r="AF720" i="1"/>
  <c r="V741" i="3"/>
  <c r="AB741" i="3"/>
  <c r="AE741" i="3"/>
  <c r="AG741" i="3"/>
  <c r="X722" i="1"/>
  <c r="AD722" i="1"/>
  <c r="AG722" i="1"/>
  <c r="AI722" i="1"/>
  <c r="AA989" i="3"/>
  <c r="AD789" i="3"/>
  <c r="V863" i="2"/>
  <c r="AB863" i="2"/>
  <c r="AE863" i="2"/>
  <c r="AC730" i="2"/>
  <c r="Y989" i="1"/>
  <c r="AE989" i="1"/>
  <c r="AH989" i="1"/>
  <c r="T802" i="1"/>
  <c r="Y802" i="1"/>
  <c r="AE802" i="1"/>
  <c r="AH802" i="1"/>
  <c r="AD625" i="3"/>
  <c r="AC324" i="2"/>
  <c r="M822" i="1"/>
  <c r="U219" i="2"/>
  <c r="AA219" i="2"/>
  <c r="AD219" i="2"/>
  <c r="AF219" i="2"/>
  <c r="X740" i="1"/>
  <c r="AD740" i="1"/>
  <c r="AG740" i="1"/>
  <c r="AI740" i="1"/>
  <c r="X677" i="1"/>
  <c r="AD677" i="1"/>
  <c r="AG677" i="1"/>
  <c r="AI677" i="1"/>
  <c r="AG751" i="2"/>
  <c r="W169" i="3"/>
  <c r="AC169" i="3"/>
  <c r="AF169" i="3"/>
  <c r="AA418" i="3"/>
  <c r="Z425" i="2"/>
  <c r="AJ860" i="1"/>
  <c r="U581" i="2"/>
  <c r="AA581" i="2"/>
  <c r="AD581" i="2"/>
  <c r="AF581" i="2"/>
  <c r="AD30" i="3"/>
  <c r="AF831" i="1"/>
  <c r="M734" i="1"/>
  <c r="U766" i="2"/>
  <c r="AA766" i="2"/>
  <c r="AD766" i="2"/>
  <c r="AF766" i="2"/>
  <c r="W852" i="3"/>
  <c r="AC852" i="3"/>
  <c r="AF852" i="3"/>
  <c r="V118" i="3"/>
  <c r="AB118" i="3"/>
  <c r="AE118" i="3"/>
  <c r="AG118" i="3"/>
  <c r="Y790" i="1"/>
  <c r="AE790" i="1"/>
  <c r="AH790" i="1"/>
  <c r="W549" i="3"/>
  <c r="AC549" i="3"/>
  <c r="AF549" i="3"/>
  <c r="AA306" i="3"/>
  <c r="AC760" i="1"/>
  <c r="W51" i="3"/>
  <c r="AC51" i="3"/>
  <c r="AF51" i="3"/>
  <c r="V543" i="2"/>
  <c r="AB543" i="2"/>
  <c r="AE543" i="2"/>
  <c r="AC674" i="1"/>
  <c r="AD798" i="3"/>
  <c r="V199" i="2"/>
  <c r="AB199" i="2"/>
  <c r="AE199" i="2"/>
  <c r="AG417" i="2"/>
  <c r="AG781" i="2"/>
  <c r="W476" i="3"/>
  <c r="AC476" i="3"/>
  <c r="AF476" i="3"/>
  <c r="AH460" i="3"/>
  <c r="X807" i="1"/>
  <c r="AD807" i="1"/>
  <c r="AG807" i="1"/>
  <c r="AI807" i="1"/>
  <c r="AC886" i="1"/>
  <c r="Z426" i="2"/>
  <c r="Q284" i="2"/>
  <c r="J284" i="2"/>
  <c r="L284" i="2"/>
  <c r="K284" i="2"/>
  <c r="V509" i="3"/>
  <c r="AB509" i="3"/>
  <c r="AE509" i="3"/>
  <c r="AG509" i="3"/>
  <c r="AH147" i="3"/>
  <c r="AH458" i="3"/>
  <c r="AC409" i="2"/>
  <c r="V880" i="2"/>
  <c r="AB880" i="2"/>
  <c r="AE880" i="2"/>
  <c r="Z411" i="2"/>
  <c r="V130" i="3"/>
  <c r="AB130" i="3"/>
  <c r="AE130" i="3"/>
  <c r="AG130" i="3"/>
  <c r="V773" i="2"/>
  <c r="AB773" i="2"/>
  <c r="AE773" i="2"/>
  <c r="AH802" i="3"/>
  <c r="W307" i="3"/>
  <c r="AC307" i="3"/>
  <c r="AF307" i="3"/>
  <c r="AC768" i="2"/>
  <c r="AA329" i="3"/>
  <c r="Z725" i="2"/>
  <c r="V429" i="3"/>
  <c r="AB429" i="3"/>
  <c r="AE429" i="3"/>
  <c r="AG429" i="3"/>
  <c r="X753" i="1"/>
  <c r="AD753" i="1"/>
  <c r="AG753" i="1"/>
  <c r="AI753" i="1"/>
  <c r="V644" i="3"/>
  <c r="AB644" i="3"/>
  <c r="AE644" i="3"/>
  <c r="AG644" i="3"/>
  <c r="AG874" i="2"/>
  <c r="AA953" i="3"/>
  <c r="AG970" i="2"/>
  <c r="AH45" i="3"/>
  <c r="Z833" i="2"/>
  <c r="X863" i="1"/>
  <c r="AD863" i="1"/>
  <c r="AG863" i="1"/>
  <c r="AI863" i="1"/>
  <c r="M830" i="1"/>
  <c r="V586" i="3"/>
  <c r="AB586" i="3"/>
  <c r="AE586" i="3"/>
  <c r="AG586" i="3"/>
  <c r="AH498" i="3"/>
  <c r="Z415" i="2"/>
  <c r="X986" i="1"/>
  <c r="AD986" i="1"/>
  <c r="AG986" i="1"/>
  <c r="AI986" i="1"/>
  <c r="AH273" i="3"/>
  <c r="V702" i="2"/>
  <c r="AB702" i="2"/>
  <c r="AE702" i="2"/>
  <c r="AH138" i="3"/>
  <c r="T810" i="1"/>
  <c r="X810" i="1"/>
  <c r="AD810" i="1"/>
  <c r="AG810" i="1"/>
  <c r="AI810" i="1"/>
  <c r="V571" i="2"/>
  <c r="AB571" i="2"/>
  <c r="AE571" i="2"/>
  <c r="M795" i="1"/>
  <c r="Y962" i="1"/>
  <c r="AE962" i="1"/>
  <c r="AH962" i="1"/>
  <c r="X780" i="1"/>
  <c r="AD780" i="1"/>
  <c r="AG780" i="1"/>
  <c r="AI780" i="1"/>
  <c r="M887" i="1"/>
  <c r="AH436" i="3"/>
  <c r="X763" i="1"/>
  <c r="AD763" i="1"/>
  <c r="AG763" i="1"/>
  <c r="AI763" i="1"/>
  <c r="W516" i="3"/>
  <c r="AC516" i="3"/>
  <c r="AF516" i="3"/>
  <c r="U535" i="2"/>
  <c r="AA535" i="2"/>
  <c r="AD535" i="2"/>
  <c r="AF535" i="2"/>
  <c r="Z292" i="2"/>
  <c r="AC1001" i="2"/>
  <c r="AH182" i="3"/>
  <c r="V330" i="2"/>
  <c r="AB330" i="2"/>
  <c r="AE330" i="2"/>
  <c r="U860" i="2"/>
  <c r="AA860" i="2"/>
  <c r="AD860" i="2"/>
  <c r="AF860" i="2"/>
  <c r="W686" i="3"/>
  <c r="AC686" i="3"/>
  <c r="AF686" i="3"/>
  <c r="AG638" i="2"/>
  <c r="Q621" i="2"/>
  <c r="X979" i="1"/>
  <c r="AD979" i="1"/>
  <c r="AG979" i="1"/>
  <c r="AI979" i="1"/>
  <c r="AH242" i="3"/>
  <c r="AA640" i="3"/>
  <c r="AA486" i="3"/>
  <c r="Z722" i="2"/>
  <c r="AH611" i="3"/>
  <c r="V993" i="3"/>
  <c r="AB993" i="3"/>
  <c r="AE993" i="3"/>
  <c r="AG993" i="3"/>
  <c r="AA122" i="3"/>
  <c r="AH890" i="3"/>
  <c r="V1007" i="2"/>
  <c r="AB1007" i="2"/>
  <c r="AE1007" i="2"/>
  <c r="V691" i="3"/>
  <c r="AB691" i="3"/>
  <c r="AE691" i="3"/>
  <c r="AG691" i="3"/>
  <c r="AG561" i="2"/>
  <c r="AC616" i="2"/>
  <c r="Z203" i="2"/>
  <c r="AH727" i="3"/>
  <c r="V672" i="2"/>
  <c r="AB672" i="2"/>
  <c r="AE672" i="2"/>
  <c r="U579" i="2"/>
  <c r="AA579" i="2"/>
  <c r="AD579" i="2"/>
  <c r="AF579" i="2"/>
  <c r="AH943" i="3"/>
  <c r="AG281" i="2"/>
  <c r="V724" i="3"/>
  <c r="AB724" i="3"/>
  <c r="AE724" i="3"/>
  <c r="AG724" i="3"/>
  <c r="W790" i="3"/>
  <c r="AC790" i="3"/>
  <c r="AF790" i="3"/>
  <c r="M743" i="1"/>
  <c r="U593" i="2"/>
  <c r="AA593" i="2"/>
  <c r="AD593" i="2"/>
  <c r="AF593" i="2"/>
  <c r="AC696" i="1"/>
  <c r="L762" i="1"/>
  <c r="K762" i="1"/>
  <c r="AA911" i="3"/>
  <c r="Z797" i="2"/>
  <c r="V792" i="3"/>
  <c r="AB792" i="3"/>
  <c r="AE792" i="3"/>
  <c r="AG792" i="3"/>
  <c r="AG692" i="2"/>
  <c r="AH208" i="3"/>
  <c r="AH651" i="3"/>
  <c r="AH644" i="3"/>
  <c r="AC679" i="2"/>
  <c r="R728" i="3"/>
  <c r="V302" i="2"/>
  <c r="AB302" i="2"/>
  <c r="AE302" i="2"/>
  <c r="AA817" i="3"/>
  <c r="T989" i="1"/>
  <c r="M989" i="1"/>
  <c r="AA834" i="3"/>
  <c r="AG985" i="2"/>
  <c r="AG585" i="2"/>
  <c r="Z788" i="2"/>
  <c r="W739" i="3"/>
  <c r="AC739" i="3"/>
  <c r="AF739" i="3"/>
  <c r="AC518" i="2"/>
  <c r="W383" i="3"/>
  <c r="AC383" i="3"/>
  <c r="AF383" i="3"/>
  <c r="V553" i="3"/>
  <c r="AB553" i="3"/>
  <c r="AE553" i="3"/>
  <c r="AG553" i="3"/>
  <c r="AC527" i="2"/>
  <c r="Z554" i="2"/>
  <c r="V256" i="2"/>
  <c r="AB256" i="2"/>
  <c r="AE256" i="2"/>
  <c r="AH236" i="3"/>
  <c r="AE332" i="2"/>
  <c r="V948" i="2"/>
  <c r="AB948" i="2"/>
  <c r="AE948" i="2"/>
  <c r="AA261" i="3"/>
  <c r="U325" i="2"/>
  <c r="AA325" i="2"/>
  <c r="AD325" i="2"/>
  <c r="AF325" i="2"/>
  <c r="AA914" i="3"/>
  <c r="M885" i="1"/>
  <c r="U389" i="2"/>
  <c r="AA389" i="2"/>
  <c r="AD389" i="2"/>
  <c r="AF389" i="2"/>
  <c r="M954" i="1"/>
  <c r="AD692" i="3"/>
  <c r="U680" i="2"/>
  <c r="AA680" i="2"/>
  <c r="AD680" i="2"/>
  <c r="AF680" i="2"/>
  <c r="Z669" i="2"/>
  <c r="V259" i="3"/>
  <c r="AB259" i="3"/>
  <c r="AE259" i="3"/>
  <c r="AG259" i="3"/>
  <c r="AA925" i="3"/>
  <c r="AH473" i="3"/>
  <c r="T793" i="1"/>
  <c r="Y793" i="1"/>
  <c r="AE793" i="1"/>
  <c r="AH793" i="1"/>
  <c r="U368" i="2"/>
  <c r="AA368" i="2"/>
  <c r="AD368" i="2"/>
  <c r="AF368" i="2"/>
  <c r="AC347" i="2"/>
  <c r="U347" i="2"/>
  <c r="AA347" i="2"/>
  <c r="AD347" i="2"/>
  <c r="AC892" i="1"/>
  <c r="Z460" i="2"/>
  <c r="V366" i="3"/>
  <c r="AB366" i="3"/>
  <c r="AE366" i="3"/>
  <c r="AG366" i="3"/>
  <c r="X869" i="1"/>
  <c r="AD869" i="1"/>
  <c r="AG869" i="1"/>
  <c r="AI869" i="1"/>
  <c r="AD485" i="3"/>
  <c r="M938" i="1"/>
  <c r="V679" i="3"/>
  <c r="AB679" i="3"/>
  <c r="AE679" i="3"/>
  <c r="AG679" i="3"/>
  <c r="Y807" i="1"/>
  <c r="AE807" i="1"/>
  <c r="AH807" i="1"/>
  <c r="AG392" i="2"/>
  <c r="AD658" i="3"/>
  <c r="AH785" i="1"/>
  <c r="AJ785" i="1"/>
  <c r="AA154" i="3"/>
  <c r="V780" i="2"/>
  <c r="AB780" i="2"/>
  <c r="AE780" i="2"/>
  <c r="AJ963" i="1"/>
  <c r="AA703" i="3"/>
  <c r="V962" i="2"/>
  <c r="AB962" i="2"/>
  <c r="AE962" i="2"/>
  <c r="W346" i="3"/>
  <c r="AC346" i="3"/>
  <c r="AF346" i="3"/>
  <c r="U876" i="2"/>
  <c r="AA876" i="2"/>
  <c r="AD876" i="2"/>
  <c r="AF876" i="2"/>
  <c r="U414" i="2"/>
  <c r="AA414" i="2"/>
  <c r="AD414" i="2"/>
  <c r="AF414" i="2"/>
  <c r="AA408" i="3"/>
  <c r="AC828" i="2"/>
  <c r="AA946" i="3"/>
  <c r="AJ729" i="1"/>
  <c r="AG456" i="2"/>
  <c r="M674" i="1"/>
  <c r="V375" i="2"/>
  <c r="AB375" i="2"/>
  <c r="AE375" i="2"/>
  <c r="AA863" i="3"/>
  <c r="V816" i="3"/>
  <c r="AB816" i="3"/>
  <c r="AE816" i="3"/>
  <c r="AG816" i="3"/>
  <c r="Z918" i="2"/>
  <c r="AG474" i="2"/>
  <c r="AJ981" i="1"/>
  <c r="AJ1002" i="1"/>
  <c r="V712" i="2"/>
  <c r="AB712" i="2"/>
  <c r="AE712" i="2"/>
  <c r="AD407" i="3"/>
  <c r="AC856" i="1"/>
  <c r="AH863" i="3"/>
  <c r="V295" i="2"/>
  <c r="AB295" i="2"/>
  <c r="AE295" i="2"/>
  <c r="Z759" i="2"/>
  <c r="AC749" i="2"/>
  <c r="U205" i="2"/>
  <c r="AA205" i="2"/>
  <c r="AD205" i="2"/>
  <c r="AF205" i="2"/>
  <c r="M1015" i="1"/>
  <c r="AG634" i="2"/>
  <c r="V233" i="2"/>
  <c r="AB233" i="2"/>
  <c r="AE233" i="2"/>
  <c r="V715" i="3"/>
  <c r="AB715" i="3"/>
  <c r="AE715" i="3"/>
  <c r="AG715" i="3"/>
  <c r="AH714" i="3"/>
  <c r="AA232" i="3"/>
  <c r="AH683" i="3"/>
  <c r="X849" i="1"/>
  <c r="AD849" i="1"/>
  <c r="AG849" i="1"/>
  <c r="AI849" i="1"/>
  <c r="AC738" i="1"/>
  <c r="U812" i="2"/>
  <c r="AA812" i="2"/>
  <c r="AD812" i="2"/>
  <c r="AF812" i="2"/>
  <c r="M733" i="1"/>
  <c r="AG695" i="2"/>
  <c r="AC840" i="1"/>
  <c r="U725" i="2"/>
  <c r="AA725" i="2"/>
  <c r="AD725" i="2"/>
  <c r="AF725" i="2"/>
  <c r="R304" i="3"/>
  <c r="AJ928" i="1"/>
  <c r="Z825" i="2"/>
  <c r="AG378" i="3"/>
  <c r="W562" i="3"/>
  <c r="AC562" i="3"/>
  <c r="AF562" i="3"/>
  <c r="V788" i="2"/>
  <c r="AB788" i="2"/>
  <c r="AE788" i="2"/>
  <c r="Y816" i="1"/>
  <c r="AE816" i="1"/>
  <c r="AH816" i="1"/>
  <c r="W538" i="3"/>
  <c r="AC538" i="3"/>
  <c r="AF538" i="3"/>
  <c r="V460" i="2"/>
  <c r="AB460" i="2"/>
  <c r="AE460" i="2"/>
  <c r="AG460" i="2"/>
  <c r="M995" i="1"/>
  <c r="AG651" i="2"/>
  <c r="W273" i="3"/>
  <c r="AC273" i="3"/>
  <c r="AF273" i="3"/>
  <c r="AH558" i="3"/>
  <c r="AI992" i="1"/>
  <c r="AH902" i="3"/>
  <c r="T933" i="1"/>
  <c r="Y933" i="1"/>
  <c r="AE933" i="1"/>
  <c r="AH933" i="1"/>
  <c r="AJ796" i="1"/>
  <c r="AJ891" i="1"/>
  <c r="U544" i="2"/>
  <c r="AA544" i="2"/>
  <c r="AD544" i="2"/>
  <c r="AF544" i="2"/>
  <c r="U744" i="2"/>
  <c r="AA744" i="2"/>
  <c r="AD744" i="2"/>
  <c r="AF744" i="2"/>
  <c r="V900" i="3"/>
  <c r="AB900" i="3"/>
  <c r="AE900" i="3"/>
  <c r="AG900" i="3"/>
  <c r="V692" i="3"/>
  <c r="AB692" i="3"/>
  <c r="AE692" i="3"/>
  <c r="AG692" i="3"/>
  <c r="Z887" i="2"/>
  <c r="AA855" i="3"/>
  <c r="AG204" i="2"/>
  <c r="AG738" i="2"/>
  <c r="AG206" i="2"/>
  <c r="V258" i="2"/>
  <c r="AB258" i="2"/>
  <c r="AE258" i="2"/>
  <c r="AG258" i="2"/>
  <c r="AC942" i="1"/>
  <c r="AC687" i="1"/>
  <c r="V583" i="2"/>
  <c r="AB583" i="2"/>
  <c r="AE583" i="2"/>
  <c r="T938" i="1"/>
  <c r="X938" i="1"/>
  <c r="AD938" i="1"/>
  <c r="AG938" i="1"/>
  <c r="AI938" i="1"/>
  <c r="Y890" i="1"/>
  <c r="AE890" i="1"/>
  <c r="AH890" i="1"/>
  <c r="Z1005" i="2"/>
  <c r="AC841" i="2"/>
  <c r="AA632" i="3"/>
  <c r="Z661" i="2"/>
  <c r="V805" i="3"/>
  <c r="AB805" i="3"/>
  <c r="AE805" i="3"/>
  <c r="AG805" i="3"/>
  <c r="AC229" i="2"/>
  <c r="M796" i="1"/>
  <c r="AF977" i="1"/>
  <c r="X977" i="1"/>
  <c r="AD977" i="1"/>
  <c r="AG977" i="1"/>
  <c r="AJ744" i="1"/>
  <c r="AA421" i="3"/>
  <c r="AC883" i="1"/>
  <c r="V633" i="3"/>
  <c r="AB633" i="3"/>
  <c r="AE633" i="3"/>
  <c r="AG633" i="3"/>
  <c r="U930" i="2"/>
  <c r="AA930" i="2"/>
  <c r="AD930" i="2"/>
  <c r="AF930" i="2"/>
  <c r="AD764" i="3"/>
  <c r="Q665" i="2"/>
  <c r="X748" i="1"/>
  <c r="AD748" i="1"/>
  <c r="AG748" i="1"/>
  <c r="AI748" i="1"/>
  <c r="AA214" i="3"/>
  <c r="Y804" i="1"/>
  <c r="AE804" i="1"/>
  <c r="AH804" i="1"/>
  <c r="AJ804" i="1"/>
  <c r="W926" i="3"/>
  <c r="AC926" i="3"/>
  <c r="AF926" i="3"/>
  <c r="AG1004" i="2"/>
  <c r="V114" i="3"/>
  <c r="AB114" i="3"/>
  <c r="AE114" i="3"/>
  <c r="AG114" i="3"/>
  <c r="AC830" i="1"/>
  <c r="AA873" i="3"/>
  <c r="AH165" i="3"/>
  <c r="AA874" i="3"/>
  <c r="V474" i="3"/>
  <c r="AB474" i="3"/>
  <c r="AE474" i="3"/>
  <c r="AG474" i="3"/>
  <c r="AA751" i="3"/>
  <c r="Y916" i="1"/>
  <c r="AE916" i="1"/>
  <c r="AH916" i="1"/>
  <c r="AJ916" i="1"/>
  <c r="AA773" i="3"/>
  <c r="T912" i="1"/>
  <c r="X912" i="1"/>
  <c r="AD912" i="1"/>
  <c r="AG912" i="1"/>
  <c r="AI912" i="1"/>
  <c r="AG723" i="2"/>
  <c r="AC869" i="1"/>
  <c r="T869" i="1"/>
  <c r="Y869" i="1"/>
  <c r="AE869" i="1"/>
  <c r="AH525" i="3"/>
  <c r="AA717" i="3"/>
  <c r="AA922" i="3"/>
  <c r="AH139" i="3"/>
  <c r="W801" i="3"/>
  <c r="AC801" i="3"/>
  <c r="AF801" i="3"/>
  <c r="AH969" i="3"/>
  <c r="X773" i="1"/>
  <c r="AD773" i="1"/>
  <c r="AG773" i="1"/>
  <c r="AI773" i="1"/>
  <c r="X882" i="1"/>
  <c r="AD882" i="1"/>
  <c r="AG882" i="1"/>
  <c r="AI882" i="1"/>
  <c r="V524" i="3"/>
  <c r="AB524" i="3"/>
  <c r="AE524" i="3"/>
  <c r="AG524" i="3"/>
  <c r="U679" i="2"/>
  <c r="AA679" i="2"/>
  <c r="AD679" i="2"/>
  <c r="AF679" i="2"/>
  <c r="W161" i="3"/>
  <c r="AC161" i="3"/>
  <c r="AF161" i="3"/>
  <c r="V825" i="2"/>
  <c r="AB825" i="2"/>
  <c r="AE825" i="2"/>
  <c r="V985" i="3"/>
  <c r="AB985" i="3"/>
  <c r="AE985" i="3"/>
  <c r="AG985" i="3"/>
  <c r="AC968" i="1"/>
  <c r="AD324" i="3"/>
  <c r="AG453" i="2"/>
  <c r="AF812" i="1"/>
  <c r="V70" i="3"/>
  <c r="AB70" i="3"/>
  <c r="AE70" i="3"/>
  <c r="AG70" i="3"/>
  <c r="AG959" i="2"/>
  <c r="U769" i="2"/>
  <c r="AA769" i="2"/>
  <c r="AD769" i="2"/>
  <c r="AF769" i="2"/>
  <c r="AG703" i="2"/>
  <c r="AH956" i="3"/>
  <c r="Z429" i="2"/>
  <c r="V254" i="3"/>
  <c r="AB254" i="3"/>
  <c r="AE254" i="3"/>
  <c r="AG254" i="3"/>
  <c r="AA182" i="3"/>
  <c r="AD521" i="3"/>
  <c r="M881" i="1"/>
  <c r="Z987" i="2"/>
  <c r="Q931" i="2"/>
  <c r="V757" i="2"/>
  <c r="AB757" i="2"/>
  <c r="AE757" i="2"/>
  <c r="U771" i="2"/>
  <c r="AA771" i="2"/>
  <c r="AD771" i="2"/>
  <c r="AF771" i="2"/>
  <c r="AC594" i="2"/>
  <c r="U683" i="2"/>
  <c r="AA683" i="2"/>
  <c r="AD683" i="2"/>
  <c r="AF683" i="2"/>
  <c r="W855" i="3"/>
  <c r="AC855" i="3"/>
  <c r="AF855" i="3"/>
  <c r="AH927" i="3"/>
  <c r="Z478" i="2"/>
  <c r="R271" i="3"/>
  <c r="W271" i="3"/>
  <c r="AC271" i="3"/>
  <c r="AF271" i="3"/>
  <c r="V309" i="2"/>
  <c r="AB309" i="2"/>
  <c r="AE309" i="2"/>
  <c r="AA977" i="3"/>
  <c r="V842" i="3"/>
  <c r="AB842" i="3"/>
  <c r="AE842" i="3"/>
  <c r="AG842" i="3"/>
  <c r="V984" i="3"/>
  <c r="AB984" i="3"/>
  <c r="AE984" i="3"/>
  <c r="AG984" i="3"/>
  <c r="U200" i="2"/>
  <c r="AA200" i="2"/>
  <c r="AD200" i="2"/>
  <c r="AF200" i="2"/>
  <c r="V368" i="3"/>
  <c r="AB368" i="3"/>
  <c r="AE368" i="3"/>
  <c r="AG368" i="3"/>
  <c r="U640" i="2"/>
  <c r="AA640" i="2"/>
  <c r="AD640" i="2"/>
  <c r="AF640" i="2"/>
  <c r="AH952" i="3"/>
  <c r="AA606" i="3"/>
  <c r="AJ832" i="1"/>
  <c r="R736" i="3"/>
  <c r="V736" i="3"/>
  <c r="AB736" i="3"/>
  <c r="AE736" i="3"/>
  <c r="AG736" i="3"/>
  <c r="V917" i="3"/>
  <c r="AB917" i="3"/>
  <c r="AE917" i="3"/>
  <c r="AG917" i="3"/>
  <c r="Z585" i="2"/>
  <c r="Z641" i="2"/>
  <c r="Q863" i="2"/>
  <c r="Z589" i="2"/>
  <c r="AA670" i="3"/>
  <c r="Z377" i="2"/>
  <c r="AG763" i="2"/>
  <c r="Z677" i="2"/>
  <c r="U817" i="2"/>
  <c r="AA817" i="2"/>
  <c r="AD817" i="2"/>
  <c r="AF817" i="2"/>
  <c r="AJ941" i="1"/>
  <c r="AD566" i="3"/>
  <c r="Z660" i="2"/>
  <c r="AC513" i="2"/>
  <c r="AH355" i="3"/>
  <c r="AJ797" i="1"/>
  <c r="U267" i="2"/>
  <c r="AA267" i="2"/>
  <c r="AD267" i="2"/>
  <c r="AF267" i="2"/>
  <c r="U590" i="2"/>
  <c r="AA590" i="2"/>
  <c r="AD590" i="2"/>
  <c r="AF590" i="2"/>
  <c r="Q838" i="2"/>
  <c r="AA180" i="3"/>
  <c r="W170" i="3"/>
  <c r="AC170" i="3"/>
  <c r="AF170" i="3"/>
  <c r="V476" i="3"/>
  <c r="AB476" i="3"/>
  <c r="AE476" i="3"/>
  <c r="AG476" i="3"/>
  <c r="AH710" i="3"/>
  <c r="AH426" i="3"/>
  <c r="Z306" i="2"/>
  <c r="Z238" i="2"/>
  <c r="U516" i="2"/>
  <c r="AA516" i="2"/>
  <c r="AD516" i="2"/>
  <c r="AF516" i="2"/>
  <c r="AG531" i="2"/>
  <c r="AA688" i="3"/>
  <c r="U677" i="2"/>
  <c r="AA677" i="2"/>
  <c r="AD677" i="2"/>
  <c r="AF677" i="2"/>
  <c r="AJ686" i="1"/>
  <c r="W469" i="3"/>
  <c r="AC469" i="3"/>
  <c r="AF469" i="3"/>
  <c r="Z482" i="2"/>
  <c r="AA919" i="3"/>
  <c r="R897" i="3"/>
  <c r="W897" i="3"/>
  <c r="AC897" i="3"/>
  <c r="AF897" i="3"/>
  <c r="AG443" i="2"/>
  <c r="X79" i="1"/>
  <c r="AC761" i="1"/>
  <c r="U717" i="2"/>
  <c r="AA717" i="2"/>
  <c r="AD717" i="2"/>
  <c r="AF717" i="2"/>
  <c r="V105" i="3"/>
  <c r="AB105" i="3"/>
  <c r="AE105" i="3"/>
  <c r="AG105" i="3"/>
  <c r="AA845" i="3"/>
  <c r="V310" i="2"/>
  <c r="AB310" i="2"/>
  <c r="AE310" i="2"/>
  <c r="V578" i="2"/>
  <c r="AB578" i="2"/>
  <c r="AE578" i="2"/>
  <c r="AG578" i="2"/>
  <c r="U763" i="2"/>
  <c r="AA763" i="2"/>
  <c r="AD763" i="2"/>
  <c r="AF763" i="2"/>
  <c r="AD113" i="3"/>
  <c r="V986" i="2"/>
  <c r="AB986" i="2"/>
  <c r="AE986" i="2"/>
  <c r="W618" i="3"/>
  <c r="AC618" i="3"/>
  <c r="AF618" i="3"/>
  <c r="Y884" i="1"/>
  <c r="AE884" i="1"/>
  <c r="AH884" i="1"/>
  <c r="U439" i="2"/>
  <c r="AA439" i="2"/>
  <c r="AD439" i="2"/>
  <c r="AF439" i="2"/>
  <c r="Z262" i="2"/>
  <c r="AG772" i="2"/>
  <c r="AA197" i="3"/>
  <c r="U299" i="2"/>
  <c r="AA299" i="2"/>
  <c r="AD299" i="2"/>
  <c r="AF299" i="2"/>
  <c r="W960" i="3"/>
  <c r="AC960" i="3"/>
  <c r="AF960" i="3"/>
  <c r="V225" i="2"/>
  <c r="AB225" i="2"/>
  <c r="AE225" i="2"/>
  <c r="Z662" i="2"/>
  <c r="AG732" i="2"/>
  <c r="AC206" i="2"/>
  <c r="AJ914" i="1"/>
  <c r="AC839" i="1"/>
  <c r="AC966" i="1"/>
  <c r="T963" i="1"/>
  <c r="Y963" i="1"/>
  <c r="AE963" i="1"/>
  <c r="AH963" i="1"/>
  <c r="U248" i="2"/>
  <c r="AA248" i="2"/>
  <c r="AD248" i="2"/>
  <c r="AF248" i="2"/>
  <c r="U503" i="2"/>
  <c r="AA503" i="2"/>
  <c r="AD503" i="2"/>
  <c r="AF503" i="2"/>
  <c r="AD834" i="3"/>
  <c r="AA902" i="3"/>
  <c r="AC1002" i="1"/>
  <c r="U370" i="2"/>
  <c r="AA370" i="2"/>
  <c r="AD370" i="2"/>
  <c r="AF370" i="2"/>
  <c r="M803" i="1"/>
  <c r="AD367" i="3"/>
  <c r="W301" i="3"/>
  <c r="AC301" i="3"/>
  <c r="AF301" i="3"/>
  <c r="AD66" i="3"/>
  <c r="AH286" i="3"/>
  <c r="V684" i="2"/>
  <c r="AB684" i="2"/>
  <c r="AE684" i="2"/>
  <c r="AG192" i="2"/>
  <c r="U805" i="2"/>
  <c r="AA805" i="2"/>
  <c r="AD805" i="2"/>
  <c r="AF805" i="2"/>
  <c r="AD396" i="3"/>
  <c r="AD708" i="3"/>
  <c r="W561" i="3"/>
  <c r="AC561" i="3"/>
  <c r="AF561" i="3"/>
  <c r="AH425" i="3"/>
  <c r="AD128" i="3"/>
  <c r="X665" i="1"/>
  <c r="AD665" i="1"/>
  <c r="AG665" i="1"/>
  <c r="AI665" i="1"/>
  <c r="AA827" i="3"/>
  <c r="U754" i="2"/>
  <c r="AA754" i="2"/>
  <c r="AD754" i="2"/>
  <c r="AF754" i="2"/>
  <c r="AC668" i="1"/>
  <c r="W533" i="3"/>
  <c r="AC533" i="3"/>
  <c r="AF533" i="3"/>
  <c r="AG876" i="2"/>
  <c r="Z729" i="2"/>
  <c r="M825" i="1"/>
  <c r="AA347" i="3"/>
  <c r="AG494" i="2"/>
  <c r="AH103" i="3"/>
  <c r="AC1012" i="1"/>
  <c r="V248" i="3"/>
  <c r="AB248" i="3"/>
  <c r="AE248" i="3"/>
  <c r="AG248" i="3"/>
  <c r="AG265" i="2"/>
  <c r="AC301" i="2"/>
  <c r="AA369" i="3"/>
  <c r="V239" i="2"/>
  <c r="AB239" i="2"/>
  <c r="AE239" i="2"/>
  <c r="M894" i="1"/>
  <c r="AC649" i="2"/>
  <c r="AG337" i="2"/>
  <c r="V417" i="3"/>
  <c r="AB417" i="3"/>
  <c r="AE417" i="3"/>
  <c r="AG417" i="3"/>
  <c r="X799" i="1"/>
  <c r="AD799" i="1"/>
  <c r="AG799" i="1"/>
  <c r="AI799" i="1"/>
  <c r="AA149" i="3"/>
  <c r="AA582" i="3"/>
  <c r="AC1007" i="1"/>
  <c r="V224" i="2"/>
  <c r="AB224" i="2"/>
  <c r="AE224" i="2"/>
  <c r="AH88" i="3"/>
  <c r="AG354" i="2"/>
  <c r="U961" i="2"/>
  <c r="AA961" i="2"/>
  <c r="AD961" i="2"/>
  <c r="AF961" i="2"/>
  <c r="Z417" i="2"/>
  <c r="AG409" i="2"/>
  <c r="AG658" i="2"/>
  <c r="AC992" i="2"/>
  <c r="Q444" i="2"/>
  <c r="AG944" i="2"/>
  <c r="AH613" i="3"/>
  <c r="V466" i="2"/>
  <c r="AB466" i="2"/>
  <c r="AE466" i="2"/>
  <c r="Z689" i="2"/>
  <c r="V711" i="3"/>
  <c r="AB711" i="3"/>
  <c r="AE711" i="3"/>
  <c r="AG711" i="3"/>
  <c r="U555" i="2"/>
  <c r="AA555" i="2"/>
  <c r="AD555" i="2"/>
  <c r="AF555" i="2"/>
  <c r="V920" i="3"/>
  <c r="AB920" i="3"/>
  <c r="AE920" i="3"/>
  <c r="AG920" i="3"/>
  <c r="T799" i="1"/>
  <c r="Y799" i="1"/>
  <c r="AE799" i="1"/>
  <c r="AH799" i="1"/>
  <c r="AA597" i="3"/>
  <c r="AA360" i="3"/>
  <c r="V387" i="3"/>
  <c r="AB387" i="3"/>
  <c r="AE387" i="3"/>
  <c r="AG387" i="3"/>
  <c r="Z752" i="2"/>
  <c r="X1010" i="1"/>
  <c r="AD1010" i="1"/>
  <c r="AG1010" i="1"/>
  <c r="AI1010" i="1"/>
  <c r="W336" i="3"/>
  <c r="AC336" i="3"/>
  <c r="AF336" i="3"/>
  <c r="V323" i="3"/>
  <c r="AB323" i="3"/>
  <c r="AE323" i="3"/>
  <c r="AG323" i="3"/>
  <c r="V686" i="2"/>
  <c r="AB686" i="2"/>
  <c r="AE686" i="2"/>
  <c r="AG677" i="2"/>
  <c r="AC952" i="2"/>
  <c r="W226" i="3"/>
  <c r="AC226" i="3"/>
  <c r="AF226" i="3"/>
  <c r="AH226" i="3"/>
  <c r="W195" i="3"/>
  <c r="AC195" i="3"/>
  <c r="AF195" i="3"/>
  <c r="T847" i="1"/>
  <c r="Y847" i="1"/>
  <c r="AE847" i="1"/>
  <c r="AH847" i="1"/>
  <c r="X908" i="1"/>
  <c r="AD908" i="1"/>
  <c r="AG908" i="1"/>
  <c r="AI908" i="1"/>
  <c r="AC700" i="2"/>
  <c r="Z988" i="2"/>
  <c r="X683" i="1"/>
  <c r="AD683" i="1"/>
  <c r="AG683" i="1"/>
  <c r="AI683" i="1"/>
  <c r="V473" i="2"/>
  <c r="AB473" i="2"/>
  <c r="AE473" i="2"/>
  <c r="AA947" i="3"/>
  <c r="L1016" i="1"/>
  <c r="K1016" i="1"/>
  <c r="T1016" i="1"/>
  <c r="X1016" i="1"/>
  <c r="AD1016" i="1"/>
  <c r="AG1016" i="1"/>
  <c r="AI1016" i="1"/>
  <c r="V182" i="3"/>
  <c r="AB182" i="3"/>
  <c r="AE182" i="3"/>
  <c r="AG182" i="3"/>
  <c r="AC962" i="2"/>
  <c r="AG214" i="2"/>
  <c r="T725" i="1"/>
  <c r="Y725" i="1"/>
  <c r="AE725" i="1"/>
  <c r="AH725" i="1"/>
  <c r="AC1000" i="1"/>
  <c r="W598" i="3"/>
  <c r="AC598" i="3"/>
  <c r="AF598" i="3"/>
  <c r="V844" i="3"/>
  <c r="AB844" i="3"/>
  <c r="AE844" i="3"/>
  <c r="AG844" i="3"/>
  <c r="V825" i="3"/>
  <c r="AB825" i="3"/>
  <c r="AE825" i="3"/>
  <c r="AG825" i="3"/>
  <c r="AA305" i="3"/>
  <c r="V600" i="2"/>
  <c r="AB600" i="2"/>
  <c r="AE600" i="2"/>
  <c r="AG600" i="2"/>
  <c r="T1005" i="1"/>
  <c r="X1005" i="1"/>
  <c r="AD1005" i="1"/>
  <c r="AG1005" i="1"/>
  <c r="AI1005" i="1"/>
  <c r="AC482" i="2"/>
  <c r="X865" i="1"/>
  <c r="AD865" i="1"/>
  <c r="AG865" i="1"/>
  <c r="AI865" i="1"/>
  <c r="AH860" i="3"/>
  <c r="X738" i="1"/>
  <c r="AD738" i="1"/>
  <c r="AG738" i="1"/>
  <c r="AI738" i="1"/>
  <c r="AH366" i="3"/>
  <c r="AA901" i="3"/>
  <c r="W35" i="3"/>
  <c r="AC35" i="3"/>
  <c r="AF35" i="3"/>
  <c r="AH151" i="3"/>
  <c r="M691" i="1"/>
  <c r="R347" i="3"/>
  <c r="W347" i="3"/>
  <c r="AC347" i="3"/>
  <c r="AF347" i="3"/>
  <c r="T672" i="1"/>
  <c r="X672" i="1"/>
  <c r="AD672" i="1"/>
  <c r="AG672" i="1"/>
  <c r="AI672" i="1"/>
  <c r="AH261" i="3"/>
  <c r="V928" i="3"/>
  <c r="AB928" i="3"/>
  <c r="AE928" i="3"/>
  <c r="AG928" i="3"/>
  <c r="AH224" i="3"/>
  <c r="M990" i="1"/>
  <c r="T742" i="1"/>
  <c r="Y742" i="1"/>
  <c r="AE742" i="1"/>
  <c r="AH742" i="1"/>
  <c r="AC530" i="2"/>
  <c r="AG461" i="2"/>
  <c r="Z243" i="2"/>
  <c r="X704" i="1"/>
  <c r="AD704" i="1"/>
  <c r="AG704" i="1"/>
  <c r="AI704" i="1"/>
  <c r="AG183" i="2"/>
  <c r="V943" i="3"/>
  <c r="AB943" i="3"/>
  <c r="AE943" i="3"/>
  <c r="AG943" i="3"/>
  <c r="AJ878" i="1"/>
  <c r="V438" i="3"/>
  <c r="AB438" i="3"/>
  <c r="AE438" i="3"/>
  <c r="AG438" i="3"/>
  <c r="W158" i="3"/>
  <c r="AC158" i="3"/>
  <c r="AF158" i="3"/>
  <c r="AG996" i="2"/>
  <c r="U936" i="2"/>
  <c r="AA936" i="2"/>
  <c r="AD936" i="2"/>
  <c r="AF936" i="2"/>
  <c r="AA555" i="3"/>
  <c r="U183" i="2"/>
  <c r="AA183" i="2"/>
  <c r="AD183" i="2"/>
  <c r="AF183" i="2"/>
  <c r="Z327" i="2"/>
  <c r="AA802" i="3"/>
  <c r="AF519" i="2"/>
  <c r="M835" i="1"/>
  <c r="AD458" i="2"/>
  <c r="U458" i="2"/>
  <c r="AA458" i="2"/>
  <c r="AC458" i="2"/>
  <c r="M668" i="1"/>
  <c r="Y952" i="1"/>
  <c r="AE952" i="1"/>
  <c r="AH952" i="1"/>
  <c r="AJ952" i="1"/>
  <c r="Y1001" i="1"/>
  <c r="AE1001" i="1"/>
  <c r="AH1001" i="1"/>
  <c r="Y828" i="1"/>
  <c r="AE828" i="1"/>
  <c r="AH828" i="1"/>
  <c r="AH199" i="3"/>
  <c r="U619" i="2"/>
  <c r="AA619" i="2"/>
  <c r="AD619" i="2"/>
  <c r="AF619" i="2"/>
  <c r="AH254" i="3"/>
  <c r="AD43" i="3"/>
  <c r="AA204" i="3"/>
  <c r="Z846" i="2"/>
  <c r="U529" i="2"/>
  <c r="AA529" i="2"/>
  <c r="AD529" i="2"/>
  <c r="AF529" i="2"/>
  <c r="Z344" i="2"/>
  <c r="AC733" i="1"/>
  <c r="AD495" i="3"/>
  <c r="U791" i="2"/>
  <c r="AA791" i="2"/>
  <c r="AD791" i="2"/>
  <c r="AF791" i="2"/>
  <c r="AJ739" i="1"/>
  <c r="Z434" i="2"/>
  <c r="Y746" i="1"/>
  <c r="AE746" i="1"/>
  <c r="AH746" i="1"/>
  <c r="Z614" i="2"/>
  <c r="U663" i="2"/>
  <c r="AA663" i="2"/>
  <c r="AD663" i="2"/>
  <c r="AF663" i="2"/>
  <c r="V778" i="3"/>
  <c r="AB778" i="3"/>
  <c r="AE778" i="3"/>
  <c r="AG778" i="3"/>
  <c r="AH566" i="3"/>
  <c r="W947" i="3"/>
  <c r="AC947" i="3"/>
  <c r="AF947" i="3"/>
  <c r="U495" i="2"/>
  <c r="AA495" i="2"/>
  <c r="AD495" i="2"/>
  <c r="AF495" i="2"/>
  <c r="AG301" i="2"/>
  <c r="AH725" i="3"/>
  <c r="V1000" i="2"/>
  <c r="AB1000" i="2"/>
  <c r="AE1000" i="2"/>
  <c r="AG1000" i="2"/>
  <c r="AG834" i="2"/>
  <c r="W218" i="3"/>
  <c r="AC218" i="3"/>
  <c r="AF218" i="3"/>
  <c r="AH218" i="3"/>
  <c r="W305" i="3"/>
  <c r="AC305" i="3"/>
  <c r="AF305" i="3"/>
  <c r="AH951" i="3"/>
  <c r="AC1013" i="1"/>
  <c r="T1013" i="1"/>
  <c r="Y1013" i="1"/>
  <c r="AE1013" i="1"/>
  <c r="X814" i="1"/>
  <c r="AD814" i="1"/>
  <c r="AG814" i="1"/>
  <c r="AI814" i="1"/>
  <c r="W582" i="3"/>
  <c r="AC582" i="3"/>
  <c r="AF582" i="3"/>
  <c r="V251" i="3"/>
  <c r="AB251" i="3"/>
  <c r="AE251" i="3"/>
  <c r="AG251" i="3"/>
  <c r="AA784" i="3"/>
  <c r="V913" i="2"/>
  <c r="AB913" i="2"/>
  <c r="AE913" i="2"/>
  <c r="AH963" i="3"/>
  <c r="X832" i="1"/>
  <c r="AD832" i="1"/>
  <c r="AG832" i="1"/>
  <c r="AI832" i="1"/>
  <c r="AD399" i="3"/>
  <c r="X703" i="1"/>
  <c r="AD703" i="1"/>
  <c r="AG703" i="1"/>
  <c r="AI703" i="1"/>
  <c r="V456" i="3"/>
  <c r="AB456" i="3"/>
  <c r="AE456" i="3"/>
  <c r="AG456" i="3"/>
  <c r="AH835" i="3"/>
  <c r="T881" i="1"/>
  <c r="X881" i="1"/>
  <c r="AD881" i="1"/>
  <c r="AG881" i="1"/>
  <c r="AI881" i="1"/>
  <c r="W315" i="3"/>
  <c r="AC315" i="3"/>
  <c r="AF315" i="3"/>
  <c r="AH315" i="3"/>
  <c r="M959" i="1"/>
  <c r="M739" i="1"/>
  <c r="V933" i="3"/>
  <c r="AB933" i="3"/>
  <c r="AE933" i="3"/>
  <c r="AG933" i="3"/>
  <c r="AC419" i="2"/>
  <c r="AG213" i="2"/>
  <c r="W126" i="3"/>
  <c r="AC126" i="3"/>
  <c r="AF126" i="3"/>
  <c r="V606" i="3"/>
  <c r="AB606" i="3"/>
  <c r="AE606" i="3"/>
  <c r="AG606" i="3"/>
  <c r="W761" i="3"/>
  <c r="AC761" i="3"/>
  <c r="AF761" i="3"/>
  <c r="Z363" i="2"/>
  <c r="W663" i="3"/>
  <c r="AC663" i="3"/>
  <c r="AF663" i="3"/>
  <c r="W238" i="3"/>
  <c r="AC238" i="3"/>
  <c r="AF238" i="3"/>
  <c r="AH238" i="3"/>
  <c r="AC689" i="3"/>
  <c r="W689" i="3"/>
  <c r="AA689" i="3"/>
  <c r="L888" i="1"/>
  <c r="K888" i="1"/>
  <c r="V982" i="3"/>
  <c r="AB982" i="3"/>
  <c r="AE982" i="3"/>
  <c r="AG982" i="3"/>
  <c r="U490" i="2"/>
  <c r="AA490" i="2"/>
  <c r="AD490" i="2"/>
  <c r="AF490" i="2"/>
  <c r="M673" i="1"/>
  <c r="U206" i="2"/>
  <c r="AA206" i="2"/>
  <c r="AD206" i="2"/>
  <c r="AF206" i="2"/>
  <c r="X820" i="1"/>
  <c r="AD820" i="1"/>
  <c r="AG820" i="1"/>
  <c r="AI820" i="1"/>
  <c r="M1001" i="1"/>
  <c r="AA168" i="3"/>
  <c r="X690" i="1"/>
  <c r="AD690" i="1"/>
  <c r="AG690" i="1"/>
  <c r="AI690" i="1"/>
  <c r="V362" i="3"/>
  <c r="AB362" i="3"/>
  <c r="AE362" i="3"/>
  <c r="AG362" i="3"/>
  <c r="M773" i="1"/>
  <c r="AH991" i="3"/>
  <c r="AA185" i="3"/>
  <c r="AF864" i="1"/>
  <c r="X864" i="1"/>
  <c r="AD864" i="1"/>
  <c r="AG864" i="1"/>
  <c r="V162" i="3"/>
  <c r="AB162" i="3"/>
  <c r="AE162" i="3"/>
  <c r="AG162" i="3"/>
  <c r="AC737" i="1"/>
  <c r="M744" i="1"/>
  <c r="Y829" i="1"/>
  <c r="AE829" i="1"/>
  <c r="AH829" i="1"/>
  <c r="M981" i="1"/>
  <c r="U892" i="2"/>
  <c r="AA892" i="2"/>
  <c r="AD892" i="2"/>
  <c r="AF892" i="2"/>
  <c r="AH908" i="3"/>
  <c r="Z227" i="2"/>
  <c r="AC381" i="2"/>
  <c r="AG195" i="2"/>
  <c r="AH193" i="3"/>
  <c r="AG365" i="2"/>
  <c r="V338" i="2"/>
  <c r="AB338" i="2"/>
  <c r="AE338" i="2"/>
  <c r="R618" i="3"/>
  <c r="M702" i="1"/>
  <c r="AA284" i="3"/>
  <c r="V464" i="3"/>
  <c r="AB464" i="3"/>
  <c r="AE464" i="3"/>
  <c r="AG464" i="3"/>
  <c r="V354" i="2"/>
  <c r="AB354" i="2"/>
  <c r="AE354" i="2"/>
  <c r="Q471" i="2"/>
  <c r="U984" i="2"/>
  <c r="AA984" i="2"/>
  <c r="AD984" i="2"/>
  <c r="AF984" i="2"/>
  <c r="Z746" i="2"/>
  <c r="U313" i="2"/>
  <c r="AA313" i="2"/>
  <c r="AD313" i="2"/>
  <c r="AF313" i="2"/>
  <c r="AD470" i="3"/>
  <c r="V196" i="2"/>
  <c r="AB196" i="2"/>
  <c r="AE196" i="2"/>
  <c r="V393" i="2"/>
  <c r="AB393" i="2"/>
  <c r="AE393" i="2"/>
  <c r="U268" i="2"/>
  <c r="AA268" i="2"/>
  <c r="AD268" i="2"/>
  <c r="AF268" i="2"/>
  <c r="U997" i="2"/>
  <c r="AA997" i="2"/>
  <c r="AD997" i="2"/>
  <c r="AF997" i="2"/>
  <c r="W154" i="3"/>
  <c r="AC154" i="3"/>
  <c r="AF154" i="3"/>
  <c r="U966" i="2"/>
  <c r="AA966" i="2"/>
  <c r="AD966" i="2"/>
  <c r="AF966" i="2"/>
  <c r="W932" i="3"/>
  <c r="AC932" i="3"/>
  <c r="AF932" i="3"/>
  <c r="V634" i="2"/>
  <c r="AB634" i="2"/>
  <c r="AE634" i="2"/>
  <c r="AA100" i="3"/>
  <c r="W202" i="3"/>
  <c r="AC202" i="3"/>
  <c r="AF202" i="3"/>
  <c r="U257" i="2"/>
  <c r="AA257" i="2"/>
  <c r="AD257" i="2"/>
  <c r="AF257" i="2"/>
  <c r="U999" i="2"/>
  <c r="AA999" i="2"/>
  <c r="AD999" i="2"/>
  <c r="AF999" i="2"/>
  <c r="AC277" i="2"/>
  <c r="U452" i="2"/>
  <c r="AA452" i="2"/>
  <c r="AD452" i="2"/>
  <c r="AF452" i="2"/>
  <c r="AG591" i="2"/>
  <c r="V545" i="2"/>
  <c r="AB545" i="2"/>
  <c r="AE545" i="2"/>
  <c r="AG545" i="2"/>
  <c r="W513" i="3"/>
  <c r="AC513" i="3"/>
  <c r="AF513" i="3"/>
  <c r="V439" i="2"/>
  <c r="AB439" i="2"/>
  <c r="AE439" i="2"/>
  <c r="R140" i="3"/>
  <c r="V779" i="3"/>
  <c r="AB779" i="3"/>
  <c r="AE779" i="3"/>
  <c r="AG779" i="3"/>
  <c r="AH817" i="3"/>
  <c r="AA325" i="3"/>
  <c r="U951" i="2"/>
  <c r="AA951" i="2"/>
  <c r="AD951" i="2"/>
  <c r="AF951" i="2"/>
  <c r="AH506" i="3"/>
  <c r="W740" i="3"/>
  <c r="AC740" i="3"/>
  <c r="AF740" i="3"/>
  <c r="AH740" i="3"/>
  <c r="AC950" i="2"/>
  <c r="W635" i="3"/>
  <c r="AC635" i="3"/>
  <c r="AF635" i="3"/>
  <c r="V411" i="3"/>
  <c r="AB411" i="3"/>
  <c r="AE411" i="3"/>
  <c r="AG411" i="3"/>
  <c r="AH870" i="3"/>
  <c r="AJ840" i="1"/>
  <c r="V410" i="2"/>
  <c r="AB410" i="2"/>
  <c r="AE410" i="2"/>
  <c r="V147" i="3"/>
  <c r="AB147" i="3"/>
  <c r="AE147" i="3"/>
  <c r="AG147" i="3"/>
  <c r="Z487" i="2"/>
  <c r="AD872" i="2"/>
  <c r="U872" i="2"/>
  <c r="AA872" i="2"/>
  <c r="AC872" i="2"/>
  <c r="V426" i="2"/>
  <c r="AB426" i="2"/>
  <c r="AE426" i="2"/>
  <c r="AF978" i="1"/>
  <c r="W137" i="3"/>
  <c r="AC137" i="3"/>
  <c r="AF137" i="3"/>
  <c r="AC662" i="1"/>
  <c r="AJ930" i="1"/>
  <c r="X739" i="1"/>
  <c r="AD739" i="1"/>
  <c r="AG739" i="1"/>
  <c r="AI739" i="1"/>
  <c r="W780" i="3"/>
  <c r="AC780" i="3"/>
  <c r="AF780" i="3"/>
  <c r="AA46" i="3"/>
  <c r="AC385" i="2"/>
  <c r="V241" i="2"/>
  <c r="AB241" i="2"/>
  <c r="AE241" i="2"/>
  <c r="W905" i="3"/>
  <c r="AC905" i="3"/>
  <c r="AF905" i="3"/>
  <c r="AH905" i="3"/>
  <c r="W921" i="3"/>
  <c r="AC921" i="3"/>
  <c r="AF921" i="3"/>
  <c r="V164" i="3"/>
  <c r="AB164" i="3"/>
  <c r="AE164" i="3"/>
  <c r="AG164" i="3"/>
  <c r="AA174" i="3"/>
  <c r="X878" i="1"/>
  <c r="AD878" i="1"/>
  <c r="AG878" i="1"/>
  <c r="AI878" i="1"/>
  <c r="V955" i="2"/>
  <c r="AB955" i="2"/>
  <c r="AE955" i="2"/>
  <c r="AG955" i="2"/>
  <c r="AG756" i="2"/>
  <c r="U354" i="2"/>
  <c r="AA354" i="2"/>
  <c r="AD354" i="2"/>
  <c r="AF354" i="2"/>
  <c r="X685" i="1"/>
  <c r="AD685" i="1"/>
  <c r="AG685" i="1"/>
  <c r="AI685" i="1"/>
  <c r="AH119" i="3"/>
  <c r="AA61" i="3"/>
  <c r="U565" i="2"/>
  <c r="AA565" i="2"/>
  <c r="AD565" i="2"/>
  <c r="AF565" i="2"/>
  <c r="AD88" i="3"/>
  <c r="AH464" i="3"/>
  <c r="U1001" i="2"/>
  <c r="AA1001" i="2"/>
  <c r="AD1001" i="2"/>
  <c r="AF1001" i="2"/>
  <c r="U455" i="2"/>
  <c r="AA455" i="2"/>
  <c r="AD455" i="2"/>
  <c r="AF455" i="2"/>
  <c r="V528" i="3"/>
  <c r="AB528" i="3"/>
  <c r="AE528" i="3"/>
  <c r="AG528" i="3"/>
  <c r="X727" i="1"/>
  <c r="AD727" i="1"/>
  <c r="AG727" i="1"/>
  <c r="AI727" i="1"/>
  <c r="AA321" i="3"/>
  <c r="AC728" i="1"/>
  <c r="Z706" i="2"/>
  <c r="Y691" i="1"/>
  <c r="AE691" i="1"/>
  <c r="AH691" i="1"/>
  <c r="AJ691" i="1"/>
  <c r="AA796" i="3"/>
  <c r="V871" i="2"/>
  <c r="AB871" i="2"/>
  <c r="AE871" i="2"/>
  <c r="T882" i="1"/>
  <c r="Y882" i="1"/>
  <c r="AE882" i="1"/>
  <c r="AH882" i="1"/>
  <c r="V455" i="2"/>
  <c r="AB455" i="2"/>
  <c r="AE455" i="2"/>
  <c r="AA540" i="3"/>
  <c r="V928" i="2"/>
  <c r="AB928" i="2"/>
  <c r="AE928" i="2"/>
  <c r="W303" i="3"/>
  <c r="AC303" i="3"/>
  <c r="AF303" i="3"/>
  <c r="AH303" i="3"/>
  <c r="AA274" i="3"/>
  <c r="AA503" i="3"/>
  <c r="AA150" i="3"/>
  <c r="V762" i="2"/>
  <c r="AB762" i="2"/>
  <c r="AE762" i="2"/>
  <c r="AG762" i="2"/>
  <c r="AH57" i="3"/>
  <c r="AC192" i="2"/>
  <c r="AD389" i="3"/>
  <c r="AC736" i="1"/>
  <c r="W667" i="3"/>
  <c r="AC667" i="3"/>
  <c r="AF667" i="3"/>
  <c r="AA480" i="3"/>
  <c r="W480" i="3"/>
  <c r="AC480" i="3"/>
  <c r="V371" i="3"/>
  <c r="AB371" i="3"/>
  <c r="AE371" i="3"/>
  <c r="AG371" i="3"/>
  <c r="W658" i="3"/>
  <c r="AC658" i="3"/>
  <c r="AF658" i="3"/>
  <c r="V489" i="3"/>
  <c r="AB489" i="3"/>
  <c r="AE489" i="3"/>
  <c r="AG489" i="3"/>
  <c r="U816" i="2"/>
  <c r="AA816" i="2"/>
  <c r="AD816" i="2"/>
  <c r="AF816" i="2"/>
  <c r="T691" i="1"/>
  <c r="X691" i="1"/>
  <c r="AD691" i="1"/>
  <c r="AG691" i="1"/>
  <c r="AI691" i="1"/>
  <c r="AF946" i="1"/>
  <c r="AH583" i="3"/>
  <c r="U758" i="2"/>
  <c r="AA758" i="2"/>
  <c r="AD758" i="2"/>
  <c r="AF758" i="2"/>
  <c r="V481" i="3"/>
  <c r="AB481" i="3"/>
  <c r="AE481" i="3"/>
  <c r="AG481" i="3"/>
  <c r="AG458" i="2"/>
  <c r="Z879" i="2"/>
  <c r="Q389" i="2"/>
  <c r="AA509" i="3"/>
  <c r="Z536" i="2"/>
  <c r="AA208" i="3"/>
  <c r="R690" i="3"/>
  <c r="V382" i="2"/>
  <c r="AB382" i="2"/>
  <c r="AE382" i="2"/>
  <c r="AJ813" i="1"/>
  <c r="AH268" i="3"/>
  <c r="W281" i="3"/>
  <c r="AC281" i="3"/>
  <c r="AF281" i="3"/>
  <c r="AC975" i="1"/>
  <c r="AC977" i="2"/>
  <c r="AH70" i="3"/>
  <c r="U823" i="2"/>
  <c r="AA823" i="2"/>
  <c r="AD823" i="2"/>
  <c r="AF823" i="2"/>
  <c r="W870" i="3"/>
  <c r="AC870" i="3"/>
  <c r="AF870" i="3"/>
  <c r="AC785" i="1"/>
  <c r="Y785" i="1"/>
  <c r="AE785" i="1"/>
  <c r="V840" i="2"/>
  <c r="AB840" i="2"/>
  <c r="AE840" i="2"/>
  <c r="V803" i="2"/>
  <c r="AB803" i="2"/>
  <c r="AE803" i="2"/>
  <c r="AH754" i="3"/>
  <c r="V153" i="3"/>
  <c r="AB153" i="3"/>
  <c r="AE153" i="3"/>
  <c r="AG153" i="3"/>
  <c r="M915" i="1"/>
  <c r="V201" i="2"/>
  <c r="AB201" i="2"/>
  <c r="AE201" i="2"/>
  <c r="V510" i="3"/>
  <c r="AB510" i="3"/>
  <c r="AE510" i="3"/>
  <c r="AG510" i="3"/>
  <c r="AG402" i="2"/>
  <c r="AH455" i="3"/>
  <c r="AC907" i="2"/>
  <c r="V902" i="2"/>
  <c r="AB902" i="2"/>
  <c r="AE902" i="2"/>
  <c r="M694" i="1"/>
  <c r="W168" i="3"/>
  <c r="AC168" i="3"/>
  <c r="AF168" i="3"/>
  <c r="Z314" i="2"/>
  <c r="AD283" i="3"/>
  <c r="AC841" i="1"/>
  <c r="AJ954" i="1"/>
  <c r="AC771" i="1"/>
  <c r="Q890" i="2"/>
  <c r="V890" i="2"/>
  <c r="AB890" i="2"/>
  <c r="AE890" i="2"/>
  <c r="V205" i="2"/>
  <c r="AB205" i="2"/>
  <c r="AE205" i="2"/>
  <c r="AG205" i="2"/>
  <c r="W631" i="3"/>
  <c r="AC631" i="3"/>
  <c r="AF631" i="3"/>
  <c r="AH631" i="3"/>
  <c r="AA353" i="3"/>
  <c r="W353" i="3"/>
  <c r="AC353" i="3"/>
  <c r="U757" i="2"/>
  <c r="AA757" i="2"/>
  <c r="AD757" i="2"/>
  <c r="AF757" i="2"/>
  <c r="Z707" i="2"/>
  <c r="W145" i="3"/>
  <c r="AC145" i="3"/>
  <c r="AF145" i="3"/>
  <c r="AC918" i="1"/>
  <c r="AC819" i="1"/>
  <c r="U748" i="2"/>
  <c r="AA748" i="2"/>
  <c r="AD748" i="2"/>
  <c r="AF748" i="2"/>
  <c r="V443" i="2"/>
  <c r="AB443" i="2"/>
  <c r="AE443" i="2"/>
  <c r="V940" i="2"/>
  <c r="AB940" i="2"/>
  <c r="AE940" i="2"/>
  <c r="V410" i="3"/>
  <c r="AB410" i="3"/>
  <c r="AE410" i="3"/>
  <c r="AG410" i="3"/>
  <c r="AC924" i="1"/>
  <c r="AH729" i="3"/>
  <c r="Q835" i="2"/>
  <c r="V466" i="3"/>
  <c r="AB466" i="3"/>
  <c r="AE466" i="3"/>
  <c r="AG466" i="3"/>
  <c r="AC342" i="2"/>
  <c r="AG656" i="2"/>
  <c r="AG879" i="2"/>
  <c r="U958" i="2"/>
  <c r="AA958" i="2"/>
  <c r="AD958" i="2"/>
  <c r="AF958" i="2"/>
  <c r="AA430" i="3"/>
  <c r="Q955" i="2"/>
  <c r="U190" i="2"/>
  <c r="AA190" i="2"/>
  <c r="AD190" i="2"/>
  <c r="AF190" i="2"/>
  <c r="Z861" i="2"/>
  <c r="Z332" i="2"/>
  <c r="V332" i="2"/>
  <c r="AB332" i="2"/>
  <c r="Q836" i="2"/>
  <c r="U417" i="2"/>
  <c r="AA417" i="2"/>
  <c r="AD417" i="2"/>
  <c r="AF417" i="2"/>
  <c r="W877" i="3"/>
  <c r="AC877" i="3"/>
  <c r="AF877" i="3"/>
  <c r="U454" i="2"/>
  <c r="AA454" i="2"/>
  <c r="AD454" i="2"/>
  <c r="AF454" i="2"/>
  <c r="M812" i="1"/>
  <c r="U916" i="2"/>
  <c r="AA916" i="2"/>
  <c r="AD916" i="2"/>
  <c r="AF916" i="2"/>
  <c r="V526" i="3"/>
  <c r="AB526" i="3"/>
  <c r="AE526" i="3"/>
  <c r="AG526" i="3"/>
  <c r="AD39" i="3"/>
  <c r="V389" i="3"/>
  <c r="AB389" i="3"/>
  <c r="AE389" i="3"/>
  <c r="AG389" i="3"/>
  <c r="T722" i="1"/>
  <c r="Y722" i="1"/>
  <c r="AE722" i="1"/>
  <c r="AH722" i="1"/>
  <c r="W46" i="3"/>
  <c r="AC46" i="3"/>
  <c r="AF46" i="3"/>
  <c r="AD255" i="3"/>
  <c r="AG363" i="2"/>
  <c r="W177" i="3"/>
  <c r="AC177" i="3"/>
  <c r="AF177" i="3"/>
  <c r="AH177" i="3"/>
  <c r="T974" i="1"/>
  <c r="Y974" i="1"/>
  <c r="AE974" i="1"/>
  <c r="AH974" i="1"/>
  <c r="AJ974" i="1"/>
  <c r="W953" i="3"/>
  <c r="AC953" i="3"/>
  <c r="AF953" i="3"/>
  <c r="W750" i="3"/>
  <c r="AC750" i="3"/>
  <c r="AF750" i="3"/>
  <c r="W933" i="3"/>
  <c r="AC933" i="3"/>
  <c r="AF933" i="3"/>
  <c r="AA765" i="3"/>
  <c r="Q532" i="2"/>
  <c r="V761" i="2"/>
  <c r="AB761" i="2"/>
  <c r="AE761" i="2"/>
  <c r="AA481" i="3"/>
  <c r="AJ970" i="1"/>
  <c r="AH770" i="3"/>
  <c r="W408" i="3"/>
  <c r="AC408" i="3"/>
  <c r="AF408" i="3"/>
  <c r="AA630" i="3"/>
  <c r="R301" i="3"/>
  <c r="U820" i="2"/>
  <c r="AA820" i="2"/>
  <c r="AD820" i="2"/>
  <c r="AF820" i="2"/>
  <c r="U638" i="2"/>
  <c r="AA638" i="2"/>
  <c r="AD638" i="2"/>
  <c r="AF638" i="2"/>
  <c r="V858" i="3"/>
  <c r="AB858" i="3"/>
  <c r="AE858" i="3"/>
  <c r="AG858" i="3"/>
  <c r="AG857" i="2"/>
  <c r="AC739" i="1"/>
  <c r="W118" i="3"/>
  <c r="AC118" i="3"/>
  <c r="AF118" i="3"/>
  <c r="U280" i="2"/>
  <c r="AA280" i="2"/>
  <c r="AD280" i="2"/>
  <c r="AF280" i="2"/>
  <c r="AG552" i="2"/>
  <c r="V578" i="3"/>
  <c r="AB578" i="3"/>
  <c r="AE578" i="3"/>
  <c r="AG578" i="3"/>
  <c r="AF816" i="1"/>
  <c r="AG598" i="2"/>
  <c r="AD795" i="3"/>
  <c r="R372" i="3"/>
  <c r="W372" i="3"/>
  <c r="AC372" i="3"/>
  <c r="AF372" i="3"/>
  <c r="V451" i="2"/>
  <c r="AB451" i="2"/>
  <c r="AE451" i="2"/>
  <c r="AG451" i="2"/>
  <c r="AC751" i="1"/>
  <c r="W720" i="3"/>
  <c r="AC720" i="3"/>
  <c r="AF720" i="3"/>
  <c r="AH720" i="3"/>
  <c r="V212" i="3"/>
  <c r="AB212" i="3"/>
  <c r="AE212" i="3"/>
  <c r="AG212" i="3"/>
  <c r="AD205" i="3"/>
  <c r="AH215" i="3"/>
  <c r="U815" i="2"/>
  <c r="AA815" i="2"/>
  <c r="AD815" i="2"/>
  <c r="AF815" i="2"/>
  <c r="AD930" i="3"/>
  <c r="R270" i="3"/>
  <c r="W270" i="3"/>
  <c r="AC270" i="3"/>
  <c r="AF270" i="3"/>
  <c r="AH270" i="3"/>
  <c r="V462" i="3"/>
  <c r="AB462" i="3"/>
  <c r="AE462" i="3"/>
  <c r="AG462" i="3"/>
  <c r="U691" i="2"/>
  <c r="AA691" i="2"/>
  <c r="AD691" i="2"/>
  <c r="AF691" i="2"/>
  <c r="M947" i="1"/>
  <c r="AD488" i="3"/>
  <c r="W182" i="3"/>
  <c r="AC182" i="3"/>
  <c r="AF182" i="3"/>
  <c r="AC860" i="1"/>
  <c r="AA878" i="3"/>
  <c r="AG519" i="2"/>
  <c r="AH163" i="3"/>
  <c r="AC331" i="2"/>
  <c r="V759" i="3"/>
  <c r="AB759" i="3"/>
  <c r="AE759" i="3"/>
  <c r="AG759" i="3"/>
  <c r="W611" i="3"/>
  <c r="AC611" i="3"/>
  <c r="AF611" i="3"/>
  <c r="V209" i="3"/>
  <c r="AB209" i="3"/>
  <c r="AE209" i="3"/>
  <c r="AG209" i="3"/>
  <c r="U971" i="2"/>
  <c r="AA971" i="2"/>
  <c r="AD971" i="2"/>
  <c r="AF971" i="2"/>
  <c r="AH568" i="3"/>
  <c r="AC685" i="1"/>
  <c r="AF850" i="1"/>
  <c r="V642" i="3"/>
  <c r="AB642" i="3"/>
  <c r="AE642" i="3"/>
  <c r="AG642" i="3"/>
  <c r="AD107" i="3"/>
  <c r="AH848" i="3"/>
  <c r="W382" i="3"/>
  <c r="AC382" i="3"/>
  <c r="AF382" i="3"/>
  <c r="W812" i="3"/>
  <c r="AC812" i="3"/>
  <c r="AF812" i="3"/>
  <c r="AE329" i="2"/>
  <c r="V753" i="2"/>
  <c r="AB753" i="2"/>
  <c r="AE753" i="2"/>
  <c r="AH71" i="3"/>
  <c r="AA124" i="3"/>
  <c r="AG504" i="3"/>
  <c r="AH94" i="3"/>
  <c r="V849" i="3"/>
  <c r="AB849" i="3"/>
  <c r="AE849" i="3"/>
  <c r="AG849" i="3"/>
  <c r="M769" i="1"/>
  <c r="V155" i="3"/>
  <c r="AB155" i="3"/>
  <c r="AE155" i="3"/>
  <c r="AG155" i="3"/>
  <c r="U696" i="2"/>
  <c r="AA696" i="2"/>
  <c r="AD696" i="2"/>
  <c r="AF696" i="2"/>
  <c r="V877" i="3"/>
  <c r="AB877" i="3"/>
  <c r="AE877" i="3"/>
  <c r="AG877" i="3"/>
  <c r="AH992" i="3"/>
  <c r="W644" i="3"/>
  <c r="AC644" i="3"/>
  <c r="AF644" i="3"/>
  <c r="AJ961" i="1"/>
  <c r="U870" i="2"/>
  <c r="AA870" i="2"/>
  <c r="AD870" i="2"/>
  <c r="AF870" i="2"/>
  <c r="X980" i="1"/>
  <c r="AD980" i="1"/>
  <c r="AG980" i="1"/>
  <c r="AI980" i="1"/>
  <c r="W577" i="3"/>
  <c r="AC577" i="3"/>
  <c r="AF577" i="3"/>
  <c r="Z645" i="2"/>
  <c r="AA763" i="3"/>
  <c r="R882" i="3"/>
  <c r="V212" i="2"/>
  <c r="AB212" i="2"/>
  <c r="AE212" i="2"/>
  <c r="X879" i="1"/>
  <c r="AD879" i="1"/>
  <c r="AG879" i="1"/>
  <c r="AI879" i="1"/>
  <c r="AA132" i="3"/>
  <c r="V585" i="2"/>
  <c r="AB585" i="2"/>
  <c r="AE585" i="2"/>
  <c r="U494" i="2"/>
  <c r="AA494" i="2"/>
  <c r="AD494" i="2"/>
  <c r="AF494" i="2"/>
  <c r="V226" i="3"/>
  <c r="AB226" i="3"/>
  <c r="AE226" i="3"/>
  <c r="AG226" i="3"/>
  <c r="AA974" i="3"/>
  <c r="V519" i="2"/>
  <c r="AB519" i="2"/>
  <c r="AE519" i="2"/>
  <c r="U307" i="2"/>
  <c r="AA307" i="2"/>
  <c r="AD307" i="2"/>
  <c r="AF307" i="2"/>
  <c r="Q371" i="2"/>
  <c r="AJ673" i="1"/>
  <c r="U531" i="2"/>
  <c r="AA531" i="2"/>
  <c r="AD531" i="2"/>
  <c r="AF531" i="2"/>
  <c r="V188" i="3"/>
  <c r="AB188" i="3"/>
  <c r="AE188" i="3"/>
  <c r="AG188" i="3"/>
  <c r="AA373" i="3"/>
  <c r="AA99" i="3"/>
  <c r="V535" i="2"/>
  <c r="AB535" i="2"/>
  <c r="AE535" i="2"/>
  <c r="R766" i="3"/>
  <c r="W766" i="3"/>
  <c r="AC766" i="3"/>
  <c r="AF766" i="3"/>
  <c r="W563" i="3"/>
  <c r="AC563" i="3"/>
  <c r="AF563" i="3"/>
  <c r="W31" i="3"/>
  <c r="AC31" i="3"/>
  <c r="AF31" i="3"/>
  <c r="AA590" i="3"/>
  <c r="U430" i="2"/>
  <c r="AA430" i="2"/>
  <c r="AD430" i="2"/>
  <c r="AF430" i="2"/>
  <c r="U457" i="2"/>
  <c r="AA457" i="2"/>
  <c r="AD457" i="2"/>
  <c r="AF457" i="2"/>
  <c r="V929" i="3"/>
  <c r="AB929" i="3"/>
  <c r="AE929" i="3"/>
  <c r="AG929" i="3"/>
  <c r="U676" i="2"/>
  <c r="AA676" i="2"/>
  <c r="AD676" i="2"/>
  <c r="AF676" i="2"/>
  <c r="AG190" i="2"/>
  <c r="W163" i="3"/>
  <c r="AC163" i="3"/>
  <c r="AF163" i="3"/>
  <c r="AG699" i="2"/>
  <c r="U510" i="2"/>
  <c r="AA510" i="2"/>
  <c r="AD510" i="2"/>
  <c r="AF510" i="2"/>
  <c r="L969" i="1"/>
  <c r="K969" i="1"/>
  <c r="R562" i="3"/>
  <c r="V789" i="3"/>
  <c r="AB789" i="3"/>
  <c r="AE789" i="3"/>
  <c r="AG789" i="3"/>
  <c r="U709" i="2"/>
  <c r="AA709" i="2"/>
  <c r="AD709" i="2"/>
  <c r="AF709" i="2"/>
  <c r="W586" i="3"/>
  <c r="AC586" i="3"/>
  <c r="AF586" i="3"/>
  <c r="M922" i="1"/>
  <c r="AH330" i="3"/>
  <c r="V491" i="2"/>
  <c r="AB491" i="2"/>
  <c r="AE491" i="2"/>
  <c r="AG953" i="2"/>
  <c r="T754" i="1"/>
  <c r="X754" i="1"/>
  <c r="AD754" i="1"/>
  <c r="AG754" i="1"/>
  <c r="AI754" i="1"/>
  <c r="U314" i="2"/>
  <c r="AA314" i="2"/>
  <c r="AD314" i="2"/>
  <c r="AF314" i="2"/>
  <c r="X842" i="1"/>
  <c r="AD842" i="1"/>
  <c r="AG842" i="1"/>
  <c r="AI842" i="1"/>
  <c r="AG802" i="2"/>
  <c r="AH576" i="3"/>
  <c r="M808" i="1"/>
  <c r="R702" i="3"/>
  <c r="AA639" i="3"/>
  <c r="V375" i="3"/>
  <c r="AB375" i="3"/>
  <c r="AE375" i="3"/>
  <c r="AG375" i="3"/>
  <c r="V604" i="3"/>
  <c r="AB604" i="3"/>
  <c r="AE604" i="3"/>
  <c r="AG604" i="3"/>
  <c r="AH564" i="3"/>
  <c r="AG468" i="2"/>
  <c r="W355" i="3"/>
  <c r="AC355" i="3"/>
  <c r="AF355" i="3"/>
  <c r="W148" i="3"/>
  <c r="AC148" i="3"/>
  <c r="AF148" i="3"/>
  <c r="R395" i="3"/>
  <c r="V481" i="2"/>
  <c r="AB481" i="2"/>
  <c r="AE481" i="2"/>
  <c r="L752" i="1"/>
  <c r="K752" i="1"/>
  <c r="AC934" i="1"/>
  <c r="AJ713" i="1"/>
  <c r="V69" i="3"/>
  <c r="AB69" i="3"/>
  <c r="AE69" i="3"/>
  <c r="AG69" i="3"/>
  <c r="V178" i="3"/>
  <c r="AB178" i="3"/>
  <c r="AE178" i="3"/>
  <c r="AG178" i="3"/>
  <c r="V204" i="2"/>
  <c r="AB204" i="2"/>
  <c r="AE204" i="2"/>
  <c r="AC442" i="2"/>
  <c r="AF187" i="2"/>
  <c r="X744" i="1"/>
  <c r="AD744" i="1"/>
  <c r="AG744" i="1"/>
  <c r="AI744" i="1"/>
  <c r="V585" i="3"/>
  <c r="AB585" i="3"/>
  <c r="AE585" i="3"/>
  <c r="AG585" i="3"/>
  <c r="AD42" i="3"/>
  <c r="R259" i="3"/>
  <c r="AC901" i="1"/>
  <c r="AC847" i="2"/>
  <c r="V64" i="3"/>
  <c r="AB64" i="3"/>
  <c r="AE64" i="3"/>
  <c r="AG64" i="3"/>
  <c r="U856" i="2"/>
  <c r="AA856" i="2"/>
  <c r="AD856" i="2"/>
  <c r="AF856" i="2"/>
  <c r="AF425" i="2"/>
  <c r="AA786" i="3"/>
  <c r="W525" i="3"/>
  <c r="AC525" i="3"/>
  <c r="AF525" i="3"/>
  <c r="Z479" i="2"/>
  <c r="AF364" i="3"/>
  <c r="U693" i="2"/>
  <c r="AA693" i="2"/>
  <c r="AD693" i="2"/>
  <c r="AF693" i="2"/>
  <c r="U499" i="2"/>
  <c r="AA499" i="2"/>
  <c r="AD499" i="2"/>
  <c r="AF499" i="2"/>
  <c r="AH326" i="3"/>
  <c r="W910" i="3"/>
  <c r="AC910" i="3"/>
  <c r="AF910" i="3"/>
  <c r="X1002" i="1"/>
  <c r="AD1002" i="1"/>
  <c r="AG1002" i="1"/>
  <c r="AI1002" i="1"/>
  <c r="Z850" i="2"/>
  <c r="U911" i="2"/>
  <c r="AA911" i="2"/>
  <c r="AD911" i="2"/>
  <c r="AF911" i="2"/>
  <c r="Z1004" i="2"/>
  <c r="V904" i="3"/>
  <c r="AB904" i="3"/>
  <c r="AE904" i="3"/>
  <c r="AG904" i="3"/>
  <c r="V374" i="2"/>
  <c r="AB374" i="2"/>
  <c r="AE374" i="2"/>
  <c r="R524" i="3"/>
  <c r="AH325" i="3"/>
  <c r="W374" i="3"/>
  <c r="AC374" i="3"/>
  <c r="AF374" i="3"/>
  <c r="X743" i="1"/>
  <c r="AD743" i="1"/>
  <c r="AG743" i="1"/>
  <c r="AI743" i="1"/>
  <c r="AA455" i="3"/>
  <c r="W448" i="3"/>
  <c r="AC448" i="3"/>
  <c r="AF448" i="3"/>
  <c r="Z829" i="2"/>
  <c r="V798" i="3"/>
  <c r="AB798" i="3"/>
  <c r="AE798" i="3"/>
  <c r="AG798" i="3"/>
  <c r="AG274" i="2"/>
  <c r="AA849" i="3"/>
  <c r="AA769" i="3"/>
  <c r="M940" i="1"/>
  <c r="V324" i="3"/>
  <c r="AB324" i="3"/>
  <c r="AE324" i="3"/>
  <c r="AG324" i="3"/>
  <c r="Z559" i="2"/>
  <c r="U778" i="2"/>
  <c r="AA778" i="2"/>
  <c r="AD778" i="2"/>
  <c r="AF778" i="2"/>
  <c r="W851" i="3"/>
  <c r="AC851" i="3"/>
  <c r="AF851" i="3"/>
  <c r="AH851" i="3"/>
  <c r="T1012" i="1"/>
  <c r="Y1012" i="1"/>
  <c r="AE1012" i="1"/>
  <c r="AH1012" i="1"/>
  <c r="AH756" i="3"/>
  <c r="V518" i="2"/>
  <c r="AB518" i="2"/>
  <c r="AE518" i="2"/>
  <c r="AC264" i="2"/>
  <c r="V343" i="3"/>
  <c r="AB343" i="3"/>
  <c r="AE343" i="3"/>
  <c r="AG343" i="3"/>
  <c r="V453" i="2"/>
  <c r="AB453" i="2"/>
  <c r="AE453" i="2"/>
  <c r="AH115" i="3"/>
  <c r="AC377" i="2"/>
  <c r="AG917" i="2"/>
  <c r="AJ1017" i="1"/>
  <c r="AJ980" i="1"/>
  <c r="V159" i="3"/>
  <c r="AB159" i="3"/>
  <c r="AE159" i="3"/>
  <c r="AG159" i="3"/>
  <c r="AJ735" i="1"/>
  <c r="AH434" i="3"/>
  <c r="AH130" i="3"/>
  <c r="M997" i="1"/>
  <c r="V310" i="3"/>
  <c r="AB310" i="3"/>
  <c r="AE310" i="3"/>
  <c r="AG310" i="3"/>
  <c r="Y987" i="1"/>
  <c r="AE987" i="1"/>
  <c r="AH987" i="1"/>
  <c r="U527" i="2"/>
  <c r="AA527" i="2"/>
  <c r="AD527" i="2"/>
  <c r="AF527" i="2"/>
  <c r="AA113" i="3"/>
  <c r="V695" i="2"/>
  <c r="AB695" i="2"/>
  <c r="AE695" i="2"/>
  <c r="V948" i="3"/>
  <c r="AB948" i="3"/>
  <c r="AE948" i="3"/>
  <c r="AG948" i="3"/>
  <c r="AH990" i="3"/>
  <c r="V379" i="2"/>
  <c r="AB379" i="2"/>
  <c r="AE379" i="2"/>
  <c r="AG425" i="2"/>
  <c r="V614" i="2"/>
  <c r="AB614" i="2"/>
  <c r="AE614" i="2"/>
  <c r="V905" i="3"/>
  <c r="AB905" i="3"/>
  <c r="AE905" i="3"/>
  <c r="AG905" i="3"/>
  <c r="AA653" i="3"/>
  <c r="T995" i="1"/>
  <c r="X995" i="1"/>
  <c r="AD995" i="1"/>
  <c r="AG995" i="1"/>
  <c r="AI995" i="1"/>
  <c r="AC904" i="1"/>
  <c r="U442" i="2"/>
  <c r="AA442" i="2"/>
  <c r="AD442" i="2"/>
  <c r="AF442" i="2"/>
  <c r="AC699" i="2"/>
  <c r="V139" i="3"/>
  <c r="AB139" i="3"/>
  <c r="AE139" i="3"/>
  <c r="AG139" i="3"/>
  <c r="U678" i="2"/>
  <c r="AA678" i="2"/>
  <c r="AD678" i="2"/>
  <c r="AF678" i="2"/>
  <c r="AG521" i="2"/>
  <c r="AG312" i="2"/>
  <c r="W172" i="3"/>
  <c r="AC172" i="3"/>
  <c r="AF172" i="3"/>
  <c r="V657" i="2"/>
  <c r="AB657" i="2"/>
  <c r="AE657" i="2"/>
  <c r="AG657" i="2"/>
  <c r="AH153" i="3"/>
  <c r="U847" i="2"/>
  <c r="AA847" i="2"/>
  <c r="AD847" i="2"/>
  <c r="AF847" i="2"/>
  <c r="Z361" i="2"/>
  <c r="Q354" i="2"/>
  <c r="AC519" i="2"/>
  <c r="U519" i="2"/>
  <c r="AA519" i="2"/>
  <c r="AD519" i="2"/>
  <c r="AJ859" i="1"/>
  <c r="V268" i="3"/>
  <c r="AB268" i="3"/>
  <c r="AE268" i="3"/>
  <c r="AG268" i="3"/>
  <c r="AA831" i="3"/>
  <c r="W936" i="3"/>
  <c r="AC936" i="3"/>
  <c r="AF936" i="3"/>
  <c r="AA978" i="3"/>
  <c r="V575" i="2"/>
  <c r="AB575" i="2"/>
  <c r="AE575" i="2"/>
  <c r="W316" i="3"/>
  <c r="AC316" i="3"/>
  <c r="AF316" i="3"/>
  <c r="AC686" i="2"/>
  <c r="V572" i="2"/>
  <c r="AB572" i="2"/>
  <c r="AE572" i="2"/>
  <c r="AC315" i="2"/>
  <c r="Z711" i="2"/>
  <c r="U813" i="2"/>
  <c r="AA813" i="2"/>
  <c r="AD813" i="2"/>
  <c r="AF813" i="2"/>
  <c r="U301" i="2"/>
  <c r="AA301" i="2"/>
  <c r="AD301" i="2"/>
  <c r="AF301" i="2"/>
  <c r="V480" i="2"/>
  <c r="AB480" i="2"/>
  <c r="AE480" i="2"/>
  <c r="U561" i="2"/>
  <c r="AA561" i="2"/>
  <c r="AD561" i="2"/>
  <c r="AF561" i="2"/>
  <c r="AG485" i="2"/>
  <c r="U278" i="2"/>
  <c r="AA278" i="2"/>
  <c r="AD278" i="2"/>
  <c r="AF278" i="2"/>
  <c r="AJ915" i="1"/>
  <c r="W579" i="3"/>
  <c r="AC579" i="3"/>
  <c r="AF579" i="3"/>
  <c r="AH579" i="3"/>
  <c r="AA37" i="3"/>
  <c r="AA348" i="3"/>
  <c r="AD976" i="3"/>
  <c r="T833" i="1"/>
  <c r="Y833" i="1"/>
  <c r="AE833" i="1"/>
  <c r="AH833" i="1"/>
  <c r="M911" i="1"/>
  <c r="Z916" i="2"/>
  <c r="AA123" i="3"/>
  <c r="M807" i="1"/>
  <c r="T807" i="1"/>
  <c r="W239" i="3"/>
  <c r="AC239" i="3"/>
  <c r="AF239" i="3"/>
  <c r="Z799" i="2"/>
  <c r="AF840" i="1"/>
  <c r="U949" i="2"/>
  <c r="AA949" i="2"/>
  <c r="AD949" i="2"/>
  <c r="AF949" i="2"/>
  <c r="W278" i="3"/>
  <c r="AC278" i="3"/>
  <c r="AF278" i="3"/>
  <c r="AH774" i="3"/>
  <c r="AG525" i="2"/>
  <c r="W110" i="3"/>
  <c r="AC110" i="3"/>
  <c r="AF110" i="3"/>
  <c r="AH110" i="3"/>
  <c r="U398" i="2"/>
  <c r="AA398" i="2"/>
  <c r="AD398" i="2"/>
  <c r="AF398" i="2"/>
  <c r="V202" i="3"/>
  <c r="AB202" i="3"/>
  <c r="AE202" i="3"/>
  <c r="AG202" i="3"/>
  <c r="M787" i="1"/>
  <c r="AA791" i="3"/>
  <c r="X924" i="1"/>
  <c r="AD924" i="1"/>
  <c r="AG924" i="1"/>
  <c r="AI924" i="1"/>
  <c r="V500" i="2"/>
  <c r="AB500" i="2"/>
  <c r="AE500" i="2"/>
  <c r="AG500" i="2"/>
  <c r="U891" i="2"/>
  <c r="AA891" i="2"/>
  <c r="AD891" i="2"/>
  <c r="AF891" i="2"/>
  <c r="AA491" i="3"/>
  <c r="W794" i="3"/>
  <c r="AC794" i="3"/>
  <c r="AF794" i="3"/>
  <c r="AH113" i="3"/>
  <c r="AH380" i="3"/>
  <c r="T818" i="1"/>
  <c r="Y818" i="1"/>
  <c r="AE818" i="1"/>
  <c r="AH818" i="1"/>
  <c r="Q201" i="2"/>
  <c r="V589" i="3"/>
  <c r="AB589" i="3"/>
  <c r="AE589" i="3"/>
  <c r="AG589" i="3"/>
  <c r="Z513" i="2"/>
  <c r="T716" i="1"/>
  <c r="Y716" i="1"/>
  <c r="AE716" i="1"/>
  <c r="AH716" i="1"/>
  <c r="AA199" i="3"/>
  <c r="V215" i="2"/>
  <c r="AB215" i="2"/>
  <c r="AE215" i="2"/>
  <c r="AA413" i="3"/>
  <c r="X958" i="1"/>
  <c r="AD958" i="1"/>
  <c r="AG958" i="1"/>
  <c r="AI958" i="1"/>
  <c r="R979" i="3"/>
  <c r="V36" i="3"/>
  <c r="AB36" i="3"/>
  <c r="AE36" i="3"/>
  <c r="AG36" i="3"/>
  <c r="W523" i="3"/>
  <c r="AC523" i="3"/>
  <c r="AF523" i="3"/>
  <c r="AH523" i="3"/>
  <c r="AA596" i="3"/>
  <c r="W294" i="3"/>
  <c r="AC294" i="3"/>
  <c r="AF294" i="3"/>
  <c r="Q990" i="2"/>
  <c r="Z605" i="2"/>
  <c r="W606" i="3"/>
  <c r="AC606" i="3"/>
  <c r="AF606" i="3"/>
  <c r="X679" i="1"/>
  <c r="AD679" i="1"/>
  <c r="AG679" i="1"/>
  <c r="AI679" i="1"/>
  <c r="V867" i="2"/>
  <c r="AB867" i="2"/>
  <c r="AE867" i="2"/>
  <c r="AG867" i="2"/>
  <c r="V889" i="3"/>
  <c r="AB889" i="3"/>
  <c r="AE889" i="3"/>
  <c r="AG889" i="3"/>
  <c r="U895" i="2"/>
  <c r="AA895" i="2"/>
  <c r="AD895" i="2"/>
  <c r="AF895" i="2"/>
  <c r="AA673" i="3"/>
  <c r="M961" i="1"/>
  <c r="V653" i="3"/>
  <c r="AB653" i="3"/>
  <c r="AE653" i="3"/>
  <c r="AG653" i="3"/>
  <c r="V520" i="3"/>
  <c r="AB520" i="3"/>
  <c r="AE520" i="3"/>
  <c r="AG520" i="3"/>
  <c r="AH370" i="3"/>
  <c r="AF914" i="1"/>
  <c r="AH184" i="3"/>
  <c r="AG647" i="2"/>
  <c r="V983" i="3"/>
  <c r="AB983" i="3"/>
  <c r="AE983" i="3"/>
  <c r="AG983" i="3"/>
  <c r="V992" i="2"/>
  <c r="AB992" i="2"/>
  <c r="AE992" i="2"/>
  <c r="V824" i="2"/>
  <c r="AB824" i="2"/>
  <c r="AE824" i="2"/>
  <c r="U881" i="2"/>
  <c r="AA881" i="2"/>
  <c r="AD881" i="2"/>
  <c r="AF881" i="2"/>
  <c r="Z884" i="2"/>
  <c r="V909" i="2"/>
  <c r="AB909" i="2"/>
  <c r="AE909" i="2"/>
  <c r="AC976" i="2"/>
  <c r="AD626" i="3"/>
  <c r="AA157" i="3"/>
  <c r="T895" i="1"/>
  <c r="Y895" i="1"/>
  <c r="AE895" i="1"/>
  <c r="AH895" i="1"/>
  <c r="Z968" i="2"/>
  <c r="AG568" i="2"/>
  <c r="W829" i="3"/>
  <c r="AC829" i="3"/>
  <c r="AF829" i="3"/>
  <c r="V163" i="3"/>
  <c r="AB163" i="3"/>
  <c r="AE163" i="3"/>
  <c r="AG163" i="3"/>
  <c r="V822" i="3"/>
  <c r="AB822" i="3"/>
  <c r="AE822" i="3"/>
  <c r="AG822" i="3"/>
  <c r="T822" i="1"/>
  <c r="Y822" i="1"/>
  <c r="AE822" i="1"/>
  <c r="AH822" i="1"/>
  <c r="AJ822" i="1"/>
  <c r="Q684" i="2"/>
  <c r="AE92" i="3"/>
  <c r="V92" i="3"/>
  <c r="AB92" i="3"/>
  <c r="AD92" i="3"/>
  <c r="W779" i="3"/>
  <c r="AC779" i="3"/>
  <c r="AF779" i="3"/>
  <c r="AG866" i="2"/>
  <c r="W37" i="3"/>
  <c r="AC37" i="3"/>
  <c r="AF37" i="3"/>
  <c r="V976" i="3"/>
  <c r="AB976" i="3"/>
  <c r="AE976" i="3"/>
  <c r="AG976" i="3"/>
  <c r="X861" i="1"/>
  <c r="AD861" i="1"/>
  <c r="AG861" i="1"/>
  <c r="AI861" i="1"/>
  <c r="M821" i="1"/>
  <c r="V478" i="2"/>
  <c r="AB478" i="2"/>
  <c r="AE478" i="2"/>
  <c r="V916" i="2"/>
  <c r="AB916" i="2"/>
  <c r="AE916" i="2"/>
  <c r="Q634" i="2"/>
  <c r="R170" i="3"/>
  <c r="V799" i="2"/>
  <c r="AB799" i="2"/>
  <c r="AE799" i="2"/>
  <c r="Z659" i="2"/>
  <c r="AA450" i="3"/>
  <c r="R545" i="3"/>
  <c r="W545" i="3"/>
  <c r="AC545" i="3"/>
  <c r="AF545" i="3"/>
  <c r="Z643" i="2"/>
  <c r="W468" i="3"/>
  <c r="AC468" i="3"/>
  <c r="AF468" i="3"/>
  <c r="W711" i="3"/>
  <c r="AC711" i="3"/>
  <c r="AF711" i="3"/>
  <c r="Y726" i="1"/>
  <c r="AE726" i="1"/>
  <c r="AH726" i="1"/>
  <c r="Q403" i="2"/>
  <c r="AD531" i="3"/>
  <c r="W144" i="3"/>
  <c r="AC144" i="3"/>
  <c r="AF144" i="3"/>
  <c r="V187" i="3"/>
  <c r="AB187" i="3"/>
  <c r="AE187" i="3"/>
  <c r="AG187" i="3"/>
  <c r="X747" i="1"/>
  <c r="AD747" i="1"/>
  <c r="AG747" i="1"/>
  <c r="AI747" i="1"/>
  <c r="Q328" i="2"/>
  <c r="T699" i="1"/>
  <c r="Y699" i="1"/>
  <c r="AE699" i="1"/>
  <c r="AH699" i="1"/>
  <c r="AJ1015" i="1"/>
  <c r="U549" i="2"/>
  <c r="AA549" i="2"/>
  <c r="AD549" i="2"/>
  <c r="AF549" i="2"/>
  <c r="T975" i="1"/>
  <c r="Y975" i="1"/>
  <c r="AE975" i="1"/>
  <c r="AH975" i="1"/>
  <c r="AH257" i="3"/>
  <c r="V766" i="2"/>
  <c r="AB766" i="2"/>
  <c r="AE766" i="2"/>
  <c r="AG766" i="2"/>
  <c r="W112" i="3"/>
  <c r="AC112" i="3"/>
  <c r="AF112" i="3"/>
  <c r="X968" i="1"/>
  <c r="AD968" i="1"/>
  <c r="AG968" i="1"/>
  <c r="AI968" i="1"/>
  <c r="AJ857" i="1"/>
  <c r="Z285" i="2"/>
  <c r="V561" i="2"/>
  <c r="AB561" i="2"/>
  <c r="AE561" i="2"/>
  <c r="T941" i="1"/>
  <c r="Y941" i="1"/>
  <c r="AE941" i="1"/>
  <c r="AH941" i="1"/>
  <c r="W231" i="3"/>
  <c r="AC231" i="3"/>
  <c r="AF231" i="3"/>
  <c r="AG441" i="3"/>
  <c r="L716" i="1"/>
  <c r="K716" i="1"/>
  <c r="AH80" i="3"/>
  <c r="AE504" i="3"/>
  <c r="V504" i="3"/>
  <c r="AB504" i="3"/>
  <c r="AD504" i="3"/>
  <c r="AC844" i="3"/>
  <c r="R844" i="3"/>
  <c r="W844" i="3"/>
  <c r="AA844" i="3"/>
  <c r="T673" i="1"/>
  <c r="Y673" i="1"/>
  <c r="AE673" i="1"/>
  <c r="AH673" i="1"/>
  <c r="Z735" i="2"/>
  <c r="AG659" i="2"/>
  <c r="AJ763" i="1"/>
  <c r="AH123" i="3"/>
  <c r="R832" i="3"/>
  <c r="AD931" i="3"/>
  <c r="AH757" i="3"/>
  <c r="U407" i="2"/>
  <c r="AA407" i="2"/>
  <c r="AD407" i="2"/>
  <c r="AF407" i="2"/>
  <c r="W830" i="3"/>
  <c r="AC830" i="3"/>
  <c r="AF830" i="3"/>
  <c r="V496" i="3"/>
  <c r="AB496" i="3"/>
  <c r="AE496" i="3"/>
  <c r="AG496" i="3"/>
  <c r="AD829" i="2"/>
  <c r="U829" i="2"/>
  <c r="AA829" i="2"/>
  <c r="AC829" i="2"/>
  <c r="AG260" i="2"/>
  <c r="Z981" i="2"/>
  <c r="T834" i="1"/>
  <c r="Y834" i="1"/>
  <c r="AE834" i="1"/>
  <c r="AH834" i="1"/>
  <c r="V625" i="3"/>
  <c r="AB625" i="3"/>
  <c r="AE625" i="3"/>
  <c r="AG625" i="3"/>
  <c r="AA326" i="3"/>
  <c r="V138" i="3"/>
  <c r="AB138" i="3"/>
  <c r="AE138" i="3"/>
  <c r="AG138" i="3"/>
  <c r="Y678" i="1"/>
  <c r="AE678" i="1"/>
  <c r="AH678" i="1"/>
  <c r="AJ678" i="1"/>
  <c r="AF391" i="3"/>
  <c r="AH391" i="3"/>
  <c r="V355" i="3"/>
  <c r="AB355" i="3"/>
  <c r="AE355" i="3"/>
  <c r="AG355" i="3"/>
  <c r="AH308" i="3"/>
  <c r="AJ921" i="1"/>
  <c r="Z894" i="2"/>
  <c r="V616" i="3"/>
  <c r="AB616" i="3"/>
  <c r="AE616" i="3"/>
  <c r="AG616" i="3"/>
  <c r="AJ949" i="1"/>
  <c r="AJ806" i="1"/>
  <c r="V167" i="3"/>
  <c r="AB167" i="3"/>
  <c r="AE167" i="3"/>
  <c r="AG167" i="3"/>
  <c r="L793" i="1"/>
  <c r="K793" i="1"/>
  <c r="Z315" i="2"/>
  <c r="U517" i="2"/>
  <c r="AA517" i="2"/>
  <c r="AD517" i="2"/>
  <c r="AF517" i="2"/>
  <c r="AJ855" i="1"/>
  <c r="AG618" i="2"/>
  <c r="V181" i="2"/>
  <c r="AB181" i="2"/>
  <c r="AE181" i="2"/>
  <c r="AA531" i="3"/>
  <c r="Z783" i="2"/>
  <c r="AA366" i="3"/>
  <c r="AG488" i="2"/>
  <c r="U670" i="2"/>
  <c r="AA670" i="2"/>
  <c r="AD670" i="2"/>
  <c r="AF670" i="2"/>
  <c r="AA96" i="3"/>
  <c r="AH421" i="3"/>
  <c r="AA250" i="3"/>
  <c r="U692" i="2"/>
  <c r="AA692" i="2"/>
  <c r="AD692" i="2"/>
  <c r="AF692" i="2"/>
  <c r="V478" i="3"/>
  <c r="AB478" i="3"/>
  <c r="AE478" i="3"/>
  <c r="AG478" i="3"/>
  <c r="U954" i="2"/>
  <c r="AA954" i="2"/>
  <c r="AD954" i="2"/>
  <c r="AF954" i="2"/>
  <c r="AC416" i="2"/>
  <c r="W97" i="3"/>
  <c r="AC97" i="3"/>
  <c r="AF97" i="3"/>
  <c r="AH97" i="3"/>
  <c r="U225" i="2"/>
  <c r="AA225" i="2"/>
  <c r="AD225" i="2"/>
  <c r="AF225" i="2"/>
  <c r="X771" i="1"/>
  <c r="AD771" i="1"/>
  <c r="AG771" i="1"/>
  <c r="AI771" i="1"/>
  <c r="AJ913" i="1"/>
  <c r="Q871" i="2"/>
  <c r="X984" i="1"/>
  <c r="AD984" i="1"/>
  <c r="AG984" i="1"/>
  <c r="AI984" i="1"/>
  <c r="W848" i="3"/>
  <c r="AC848" i="3"/>
  <c r="AF848" i="3"/>
  <c r="AA80" i="3"/>
  <c r="AG769" i="2"/>
  <c r="AJ845" i="1"/>
  <c r="X844" i="1"/>
  <c r="AD844" i="1"/>
  <c r="AG844" i="1"/>
  <c r="AI844" i="1"/>
  <c r="V815" i="2"/>
  <c r="AB815" i="2"/>
  <c r="AE815" i="2"/>
  <c r="Z557" i="2"/>
  <c r="AC425" i="2"/>
  <c r="U425" i="2"/>
  <c r="AA425" i="2"/>
  <c r="AD425" i="2"/>
  <c r="AG570" i="2"/>
  <c r="M814" i="1"/>
  <c r="Z862" i="2"/>
  <c r="W274" i="3"/>
  <c r="AC274" i="3"/>
  <c r="AF274" i="3"/>
  <c r="U556" i="2"/>
  <c r="AA556" i="2"/>
  <c r="AD556" i="2"/>
  <c r="AF556" i="2"/>
  <c r="W171" i="3"/>
  <c r="AC171" i="3"/>
  <c r="AF171" i="3"/>
  <c r="U434" i="2"/>
  <c r="AA434" i="2"/>
  <c r="AD434" i="2"/>
  <c r="AF434" i="2"/>
  <c r="Z515" i="2"/>
  <c r="AA754" i="3"/>
  <c r="W113" i="3"/>
  <c r="AC113" i="3"/>
  <c r="AF113" i="3"/>
  <c r="AH526" i="3"/>
  <c r="Y961" i="1"/>
  <c r="AE961" i="1"/>
  <c r="AH961" i="1"/>
  <c r="AH880" i="3"/>
  <c r="AG883" i="2"/>
  <c r="R428" i="3"/>
  <c r="T697" i="1"/>
  <c r="Y697" i="1"/>
  <c r="AE697" i="1"/>
  <c r="AH697" i="1"/>
  <c r="T952" i="1"/>
  <c r="X952" i="1"/>
  <c r="AD952" i="1"/>
  <c r="AG952" i="1"/>
  <c r="AI952" i="1"/>
  <c r="AG901" i="2"/>
  <c r="Y688" i="1"/>
  <c r="AE688" i="1"/>
  <c r="AH688" i="1"/>
  <c r="W503" i="3"/>
  <c r="AC503" i="3"/>
  <c r="AF503" i="3"/>
  <c r="AH638" i="3"/>
  <c r="AH219" i="3"/>
  <c r="AA338" i="3"/>
  <c r="R359" i="3"/>
  <c r="W359" i="3"/>
  <c r="AC359" i="3"/>
  <c r="AF359" i="3"/>
  <c r="V884" i="2"/>
  <c r="AB884" i="2"/>
  <c r="AE884" i="2"/>
  <c r="AG884" i="2"/>
  <c r="V276" i="3"/>
  <c r="AB276" i="3"/>
  <c r="AE276" i="3"/>
  <c r="AG276" i="3"/>
  <c r="V744" i="2"/>
  <c r="AB744" i="2"/>
  <c r="AE744" i="2"/>
  <c r="V241" i="3"/>
  <c r="AB241" i="3"/>
  <c r="AE241" i="3"/>
  <c r="AG241" i="3"/>
  <c r="R65" i="3"/>
  <c r="AC445" i="2"/>
  <c r="U977" i="2"/>
  <c r="AA977" i="2"/>
  <c r="AD977" i="2"/>
  <c r="AF977" i="2"/>
  <c r="AA343" i="3"/>
  <c r="W904" i="3"/>
  <c r="AC904" i="3"/>
  <c r="AF904" i="3"/>
  <c r="M862" i="1"/>
  <c r="AH204" i="3"/>
  <c r="Y735" i="1"/>
  <c r="AE735" i="1"/>
  <c r="AH735" i="1"/>
  <c r="Z808" i="2"/>
  <c r="AG709" i="2"/>
  <c r="AH721" i="3"/>
  <c r="K690" i="3"/>
  <c r="J690" i="3"/>
  <c r="L690" i="3"/>
  <c r="U741" i="2"/>
  <c r="AA741" i="2"/>
  <c r="AD741" i="2"/>
  <c r="AF741" i="2"/>
  <c r="Z792" i="2"/>
  <c r="R346" i="3"/>
  <c r="AG822" i="2"/>
  <c r="U690" i="2"/>
  <c r="AA690" i="2"/>
  <c r="AD690" i="2"/>
  <c r="AF690" i="2"/>
  <c r="AG682" i="3"/>
  <c r="V851" i="3"/>
  <c r="AB851" i="3"/>
  <c r="AE851" i="3"/>
  <c r="AG851" i="3"/>
  <c r="M936" i="1"/>
  <c r="U852" i="2"/>
  <c r="AA852" i="2"/>
  <c r="AD852" i="2"/>
  <c r="AF852" i="2"/>
  <c r="T746" i="1"/>
  <c r="X746" i="1"/>
  <c r="AD746" i="1"/>
  <c r="AG746" i="1"/>
  <c r="AI746" i="1"/>
  <c r="V409" i="2"/>
  <c r="AB409" i="2"/>
  <c r="AE409" i="2"/>
  <c r="X862" i="1"/>
  <c r="AD862" i="1"/>
  <c r="AG862" i="1"/>
  <c r="AI862" i="1"/>
  <c r="V965" i="2"/>
  <c r="AB965" i="2"/>
  <c r="AE965" i="2"/>
  <c r="AG965" i="2"/>
  <c r="V652" i="3"/>
  <c r="AB652" i="3"/>
  <c r="AE652" i="3"/>
  <c r="AG652" i="3"/>
  <c r="Q704" i="2"/>
  <c r="M906" i="1"/>
  <c r="AG620" i="2"/>
  <c r="Z670" i="2"/>
  <c r="V420" i="3"/>
  <c r="AB420" i="3"/>
  <c r="AE420" i="3"/>
  <c r="AG420" i="3"/>
  <c r="U880" i="2"/>
  <c r="AA880" i="2"/>
  <c r="AD880" i="2"/>
  <c r="AF880" i="2"/>
  <c r="AH27" i="3"/>
  <c r="Z584" i="2"/>
  <c r="AH229" i="3"/>
  <c r="AC704" i="1"/>
  <c r="AG945" i="2"/>
  <c r="Q427" i="2"/>
  <c r="V682" i="2"/>
  <c r="AB682" i="2"/>
  <c r="AE682" i="2"/>
  <c r="V180" i="3"/>
  <c r="AB180" i="3"/>
  <c r="AE180" i="3"/>
  <c r="AG180" i="3"/>
  <c r="V984" i="2"/>
  <c r="AB984" i="2"/>
  <c r="AE984" i="2"/>
  <c r="V863" i="3"/>
  <c r="AB863" i="3"/>
  <c r="AE863" i="3"/>
  <c r="AG863" i="3"/>
  <c r="AH164" i="3"/>
  <c r="AH243" i="3"/>
  <c r="V225" i="3"/>
  <c r="AB225" i="3"/>
  <c r="AE225" i="3"/>
  <c r="AG225" i="3"/>
  <c r="AH197" i="3"/>
  <c r="V515" i="2"/>
  <c r="AB515" i="2"/>
  <c r="AE515" i="2"/>
  <c r="V195" i="3"/>
  <c r="AB195" i="3"/>
  <c r="AE195" i="3"/>
  <c r="AG195" i="3"/>
  <c r="U570" i="2"/>
  <c r="AA570" i="2"/>
  <c r="AD570" i="2"/>
  <c r="AF570" i="2"/>
  <c r="AA607" i="3"/>
  <c r="V544" i="2"/>
  <c r="AB544" i="2"/>
  <c r="AE544" i="2"/>
  <c r="AD74" i="3"/>
  <c r="L943" i="1"/>
  <c r="K943" i="1"/>
  <c r="V501" i="3"/>
  <c r="AB501" i="3"/>
  <c r="AE501" i="3"/>
  <c r="AG501" i="3"/>
  <c r="AH258" i="3"/>
  <c r="AA227" i="3"/>
  <c r="AH371" i="3"/>
  <c r="V838" i="3"/>
  <c r="AB838" i="3"/>
  <c r="AE838" i="3"/>
  <c r="AG838" i="3"/>
  <c r="AE742" i="2"/>
  <c r="Z845" i="2"/>
  <c r="V998" i="2"/>
  <c r="AB998" i="2"/>
  <c r="AE998" i="2"/>
  <c r="W969" i="3"/>
  <c r="AC969" i="3"/>
  <c r="AF969" i="3"/>
  <c r="V363" i="2"/>
  <c r="AB363" i="2"/>
  <c r="AE363" i="2"/>
  <c r="W261" i="3"/>
  <c r="AC261" i="3"/>
  <c r="AF261" i="3"/>
  <c r="W282" i="3"/>
  <c r="AC282" i="3"/>
  <c r="AF282" i="3"/>
  <c r="AC741" i="1"/>
  <c r="AA981" i="3"/>
  <c r="AF330" i="3"/>
  <c r="U924" i="2"/>
  <c r="AA924" i="2"/>
  <c r="AD924" i="2"/>
  <c r="AF924" i="2"/>
  <c r="U846" i="2"/>
  <c r="AA846" i="2"/>
  <c r="AD846" i="2"/>
  <c r="AF846" i="2"/>
  <c r="W410" i="3"/>
  <c r="AC410" i="3"/>
  <c r="AF410" i="3"/>
  <c r="AA719" i="3"/>
  <c r="Q223" i="2"/>
  <c r="V661" i="2"/>
  <c r="AB661" i="2"/>
  <c r="AE661" i="2"/>
  <c r="V843" i="3"/>
  <c r="AB843" i="3"/>
  <c r="AE843" i="3"/>
  <c r="AG843" i="3"/>
  <c r="V761" i="3"/>
  <c r="AB761" i="3"/>
  <c r="AE761" i="3"/>
  <c r="AG761" i="3"/>
  <c r="AA219" i="3"/>
  <c r="M927" i="1"/>
  <c r="AD651" i="3"/>
  <c r="V467" i="3"/>
  <c r="AB467" i="3"/>
  <c r="AE467" i="3"/>
  <c r="AG467" i="3"/>
  <c r="X786" i="1"/>
  <c r="AD786" i="1"/>
  <c r="AG786" i="1"/>
  <c r="AI786" i="1"/>
  <c r="AG862" i="2"/>
  <c r="AA866" i="3"/>
  <c r="W537" i="3"/>
  <c r="AC537" i="3"/>
  <c r="AF537" i="3"/>
  <c r="AH537" i="3"/>
  <c r="AC721" i="1"/>
  <c r="V896" i="3"/>
  <c r="AB896" i="3"/>
  <c r="AE896" i="3"/>
  <c r="AG896" i="3"/>
  <c r="V419" i="2"/>
  <c r="AB419" i="2"/>
  <c r="AE419" i="2"/>
  <c r="V462" i="2"/>
  <c r="AB462" i="2"/>
  <c r="AE462" i="2"/>
  <c r="V792" i="2"/>
  <c r="AB792" i="2"/>
  <c r="AE792" i="2"/>
  <c r="AG764" i="2"/>
  <c r="AJ966" i="1"/>
  <c r="AJ773" i="1"/>
  <c r="AH337" i="3"/>
  <c r="V588" i="3"/>
  <c r="AB588" i="3"/>
  <c r="AE588" i="3"/>
  <c r="AG588" i="3"/>
  <c r="W527" i="3"/>
  <c r="AC527" i="3"/>
  <c r="AF527" i="3"/>
  <c r="AH527" i="3"/>
  <c r="V932" i="2"/>
  <c r="AB932" i="2"/>
  <c r="AE932" i="2"/>
  <c r="Z265" i="2"/>
  <c r="V184" i="3"/>
  <c r="AB184" i="3"/>
  <c r="AE184" i="3"/>
  <c r="AG184" i="3"/>
  <c r="R869" i="3"/>
  <c r="U438" i="2"/>
  <c r="AA438" i="2"/>
  <c r="AD438" i="2"/>
  <c r="AF438" i="2"/>
  <c r="V714" i="2"/>
  <c r="AB714" i="2"/>
  <c r="AE714" i="2"/>
  <c r="V102" i="3"/>
  <c r="AB102" i="3"/>
  <c r="AE102" i="3"/>
  <c r="AG102" i="3"/>
  <c r="V738" i="2"/>
  <c r="AB738" i="2"/>
  <c r="AE738" i="2"/>
  <c r="V938" i="2"/>
  <c r="AB938" i="2"/>
  <c r="AE938" i="2"/>
  <c r="W831" i="3"/>
  <c r="AC831" i="3"/>
  <c r="AF831" i="3"/>
  <c r="AH831" i="3"/>
  <c r="AA747" i="3"/>
  <c r="V238" i="3"/>
  <c r="AB238" i="3"/>
  <c r="AE238" i="3"/>
  <c r="AG238" i="3"/>
  <c r="Z876" i="2"/>
  <c r="AC765" i="1"/>
  <c r="W705" i="3"/>
  <c r="AC705" i="3"/>
  <c r="AF705" i="3"/>
  <c r="T1002" i="1"/>
  <c r="Y1002" i="1"/>
  <c r="AE1002" i="1"/>
  <c r="AH1002" i="1"/>
  <c r="AH287" i="3"/>
  <c r="AA613" i="3"/>
  <c r="Q1007" i="2"/>
  <c r="AG906" i="2"/>
  <c r="R217" i="3"/>
  <c r="Z654" i="2"/>
  <c r="T913" i="1"/>
  <c r="Y913" i="1"/>
  <c r="AE913" i="1"/>
  <c r="AH913" i="1"/>
  <c r="V106" i="3"/>
  <c r="AB106" i="3"/>
  <c r="AE106" i="3"/>
  <c r="AG106" i="3"/>
  <c r="AG687" i="2"/>
  <c r="AA949" i="3"/>
  <c r="X675" i="1"/>
  <c r="AD675" i="1"/>
  <c r="AG675" i="1"/>
  <c r="AI675" i="1"/>
  <c r="AD682" i="3"/>
  <c r="V682" i="3"/>
  <c r="AB682" i="3"/>
  <c r="AE682" i="3"/>
  <c r="V760" i="2"/>
  <c r="AB760" i="2"/>
  <c r="AE760" i="2"/>
  <c r="AH146" i="3"/>
  <c r="AC815" i="1"/>
  <c r="AA364" i="3"/>
  <c r="W364" i="3"/>
  <c r="AC364" i="3"/>
  <c r="AG812" i="2"/>
  <c r="Q562" i="2"/>
  <c r="AH637" i="3"/>
  <c r="Z333" i="2"/>
  <c r="AH196" i="3"/>
  <c r="AG569" i="2"/>
  <c r="AC765" i="2"/>
  <c r="V660" i="2"/>
  <c r="AB660" i="2"/>
  <c r="AE660" i="2"/>
  <c r="AG619" i="2"/>
  <c r="Y741" i="1"/>
  <c r="AE741" i="1"/>
  <c r="AH741" i="1"/>
  <c r="T740" i="1"/>
  <c r="Y740" i="1"/>
  <c r="AE740" i="1"/>
  <c r="AH740" i="1"/>
  <c r="W569" i="3"/>
  <c r="AC569" i="3"/>
  <c r="AF569" i="3"/>
  <c r="AH569" i="3"/>
  <c r="Z776" i="2"/>
  <c r="M841" i="1"/>
  <c r="AF919" i="1"/>
  <c r="AJ977" i="1"/>
  <c r="V674" i="3"/>
  <c r="AB674" i="3"/>
  <c r="AE674" i="3"/>
  <c r="AG674" i="3"/>
  <c r="AA770" i="3"/>
  <c r="V407" i="3"/>
  <c r="AB407" i="3"/>
  <c r="AE407" i="3"/>
  <c r="AG407" i="3"/>
  <c r="AA923" i="3"/>
  <c r="R430" i="3"/>
  <c r="W430" i="3"/>
  <c r="AC430" i="3"/>
  <c r="AF430" i="3"/>
  <c r="Z206" i="2"/>
  <c r="Y983" i="1"/>
  <c r="AE983" i="1"/>
  <c r="AH983" i="1"/>
  <c r="V923" i="3"/>
  <c r="AB923" i="3"/>
  <c r="AE923" i="3"/>
  <c r="AG923" i="3"/>
  <c r="V183" i="3"/>
  <c r="AB183" i="3"/>
  <c r="AE183" i="3"/>
  <c r="AG183" i="3"/>
  <c r="U878" i="2"/>
  <c r="AA878" i="2"/>
  <c r="AD878" i="2"/>
  <c r="AF878" i="2"/>
  <c r="V124" i="3"/>
  <c r="AB124" i="3"/>
  <c r="AE124" i="3"/>
  <c r="AG124" i="3"/>
  <c r="AC714" i="1"/>
  <c r="X898" i="1"/>
  <c r="AD898" i="1"/>
  <c r="AG898" i="1"/>
  <c r="AI898" i="1"/>
  <c r="AD516" i="3"/>
  <c r="V378" i="2"/>
  <c r="AB378" i="2"/>
  <c r="AE378" i="2"/>
  <c r="AJ906" i="1"/>
  <c r="X985" i="1"/>
  <c r="AD985" i="1"/>
  <c r="AG985" i="1"/>
  <c r="AI985" i="1"/>
  <c r="V621" i="3"/>
  <c r="AB621" i="3"/>
  <c r="AE621" i="3"/>
  <c r="AG621" i="3"/>
  <c r="AA429" i="3"/>
  <c r="Q795" i="2"/>
  <c r="U245" i="2"/>
  <c r="AA245" i="2"/>
  <c r="AD245" i="2"/>
  <c r="AF245" i="2"/>
  <c r="AH622" i="3"/>
  <c r="Z959" i="2"/>
  <c r="U808" i="2"/>
  <c r="AA808" i="2"/>
  <c r="AD808" i="2"/>
  <c r="AF808" i="2"/>
  <c r="W785" i="3"/>
  <c r="AC785" i="3"/>
  <c r="AF785" i="3"/>
  <c r="AH785" i="3"/>
  <c r="T723" i="1"/>
  <c r="Y723" i="1"/>
  <c r="AE723" i="1"/>
  <c r="AH723" i="1"/>
  <c r="AJ723" i="1"/>
  <c r="R350" i="3"/>
  <c r="W350" i="3"/>
  <c r="AC350" i="3"/>
  <c r="AF350" i="3"/>
  <c r="W948" i="3"/>
  <c r="AC948" i="3"/>
  <c r="AF948" i="3"/>
  <c r="AG415" i="2"/>
  <c r="AH895" i="3"/>
  <c r="V695" i="3"/>
  <c r="AB695" i="3"/>
  <c r="AE695" i="3"/>
  <c r="AG695" i="3"/>
  <c r="AC187" i="2"/>
  <c r="U187" i="2"/>
  <c r="AA187" i="2"/>
  <c r="AD187" i="2"/>
  <c r="V281" i="2"/>
  <c r="AB281" i="2"/>
  <c r="AE281" i="2"/>
  <c r="AE576" i="2"/>
  <c r="AG915" i="2"/>
  <c r="AA127" i="3"/>
  <c r="AC506" i="2"/>
  <c r="W727" i="3"/>
  <c r="AC727" i="3"/>
  <c r="AF727" i="3"/>
  <c r="AH703" i="3"/>
  <c r="AC850" i="1"/>
  <c r="AA269" i="3"/>
  <c r="AA556" i="3"/>
  <c r="R193" i="3"/>
  <c r="W193" i="3"/>
  <c r="AC193" i="3"/>
  <c r="AF193" i="3"/>
  <c r="M988" i="1"/>
  <c r="T988" i="1"/>
  <c r="AH263" i="3"/>
  <c r="W613" i="3"/>
  <c r="AC613" i="3"/>
  <c r="AF613" i="3"/>
  <c r="W33" i="3"/>
  <c r="AC33" i="3"/>
  <c r="AF33" i="3"/>
  <c r="AD75" i="3"/>
  <c r="U940" i="2"/>
  <c r="AA940" i="2"/>
  <c r="AD940" i="2"/>
  <c r="AF940" i="2"/>
  <c r="AG285" i="2"/>
  <c r="AF623" i="3"/>
  <c r="AA38" i="3"/>
  <c r="AG306" i="2"/>
  <c r="AG457" i="2"/>
  <c r="U920" i="2"/>
  <c r="AA920" i="2"/>
  <c r="AD920" i="2"/>
  <c r="AF920" i="2"/>
  <c r="V497" i="2"/>
  <c r="AB497" i="2"/>
  <c r="AE497" i="2"/>
  <c r="V833" i="2"/>
  <c r="AB833" i="2"/>
  <c r="AE833" i="2"/>
  <c r="AG833" i="2"/>
  <c r="U866" i="2"/>
  <c r="AA866" i="2"/>
  <c r="AD866" i="2"/>
  <c r="AF866" i="2"/>
  <c r="AH42" i="3"/>
  <c r="W461" i="3"/>
  <c r="AC461" i="3"/>
  <c r="AF461" i="3"/>
  <c r="AG275" i="2"/>
  <c r="W789" i="3"/>
  <c r="AC789" i="3"/>
  <c r="AF789" i="3"/>
  <c r="Q432" i="2"/>
  <c r="V379" i="3"/>
  <c r="AB379" i="3"/>
  <c r="AE379" i="3"/>
  <c r="AG379" i="3"/>
  <c r="X900" i="1"/>
  <c r="AD900" i="1"/>
  <c r="AG900" i="1"/>
  <c r="AI900" i="1"/>
  <c r="Z889" i="2"/>
  <c r="Z723" i="2"/>
  <c r="U695" i="2"/>
  <c r="AA695" i="2"/>
  <c r="AD695" i="2"/>
  <c r="AF695" i="2"/>
  <c r="X919" i="1"/>
  <c r="AD919" i="1"/>
  <c r="AG919" i="1"/>
  <c r="AI919" i="1"/>
  <c r="V599" i="2"/>
  <c r="AB599" i="2"/>
  <c r="AE599" i="2"/>
  <c r="AG599" i="2"/>
  <c r="X719" i="1"/>
  <c r="AD719" i="1"/>
  <c r="AG719" i="1"/>
  <c r="AI719" i="1"/>
  <c r="W575" i="3"/>
  <c r="AC575" i="3"/>
  <c r="AF575" i="3"/>
  <c r="Q600" i="2"/>
  <c r="AA986" i="3"/>
  <c r="AC669" i="2"/>
  <c r="T865" i="1"/>
  <c r="Y865" i="1"/>
  <c r="AE865" i="1"/>
  <c r="AH865" i="1"/>
  <c r="AJ865" i="1"/>
  <c r="R382" i="3"/>
  <c r="T726" i="1"/>
  <c r="X726" i="1"/>
  <c r="AD726" i="1"/>
  <c r="AG726" i="1"/>
  <c r="AI726" i="1"/>
  <c r="V220" i="2"/>
  <c r="AB220" i="2"/>
  <c r="AE220" i="2"/>
  <c r="Q936" i="2"/>
  <c r="AG263" i="2"/>
  <c r="Q830" i="2"/>
  <c r="V830" i="2"/>
  <c r="AB830" i="2"/>
  <c r="AE830" i="2"/>
  <c r="V495" i="2"/>
  <c r="AB495" i="2"/>
  <c r="AE495" i="2"/>
  <c r="Q779" i="2"/>
  <c r="U770" i="2"/>
  <c r="AA770" i="2"/>
  <c r="AD770" i="2"/>
  <c r="AF770" i="2"/>
  <c r="R516" i="3"/>
  <c r="V516" i="3"/>
  <c r="AB516" i="3"/>
  <c r="AE516" i="3"/>
  <c r="AG516" i="3"/>
  <c r="Z963" i="2"/>
  <c r="Q578" i="2"/>
  <c r="AA782" i="3"/>
  <c r="T958" i="1"/>
  <c r="Y958" i="1"/>
  <c r="AE958" i="1"/>
  <c r="AH958" i="1"/>
  <c r="T739" i="1"/>
  <c r="Y739" i="1"/>
  <c r="AE739" i="1"/>
  <c r="AH739" i="1"/>
  <c r="AH159" i="3"/>
  <c r="AD179" i="3"/>
  <c r="AC687" i="2"/>
  <c r="AH799" i="3"/>
  <c r="W712" i="3"/>
  <c r="AC712" i="3"/>
  <c r="AF712" i="3"/>
  <c r="T846" i="1"/>
  <c r="Y846" i="1"/>
  <c r="AE846" i="1"/>
  <c r="AH846" i="1"/>
  <c r="AH92" i="3"/>
  <c r="AJ717" i="1"/>
  <c r="Z611" i="2"/>
  <c r="V908" i="2"/>
  <c r="AB908" i="2"/>
  <c r="AE908" i="2"/>
  <c r="R365" i="3"/>
  <c r="Z395" i="2"/>
  <c r="U207" i="2"/>
  <c r="AA207" i="2"/>
  <c r="AD207" i="2"/>
  <c r="AF207" i="2"/>
  <c r="R960" i="3"/>
  <c r="AA820" i="3"/>
  <c r="X887" i="1"/>
  <c r="AD887" i="1"/>
  <c r="AG887" i="1"/>
  <c r="AI887" i="1"/>
  <c r="L829" i="1"/>
  <c r="K829" i="1"/>
  <c r="T829" i="1"/>
  <c r="X829" i="1"/>
  <c r="AD829" i="1"/>
  <c r="AG829" i="1"/>
  <c r="AI829" i="1"/>
  <c r="AD757" i="3"/>
  <c r="AD378" i="3"/>
  <c r="V378" i="3"/>
  <c r="AB378" i="3"/>
  <c r="AE378" i="3"/>
  <c r="V786" i="2"/>
  <c r="AB786" i="2"/>
  <c r="AE786" i="2"/>
  <c r="AC394" i="2"/>
  <c r="AF759" i="1"/>
  <c r="U645" i="2"/>
  <c r="AA645" i="2"/>
  <c r="AD645" i="2"/>
  <c r="AF645" i="2"/>
  <c r="W244" i="3"/>
  <c r="AC244" i="3"/>
  <c r="AF244" i="3"/>
  <c r="AC873" i="1"/>
  <c r="AD584" i="3"/>
  <c r="AF741" i="1"/>
  <c r="W138" i="3"/>
  <c r="AC138" i="3"/>
  <c r="AF138" i="3"/>
  <c r="AJ897" i="1"/>
  <c r="X819" i="1"/>
  <c r="AD819" i="1"/>
  <c r="AG819" i="1"/>
  <c r="AI819" i="1"/>
  <c r="W135" i="3"/>
  <c r="AC135" i="3"/>
  <c r="AF135" i="3"/>
  <c r="Z381" i="2"/>
  <c r="AH807" i="3"/>
  <c r="W838" i="3"/>
  <c r="AC838" i="3"/>
  <c r="AF838" i="3"/>
  <c r="V331" i="2"/>
  <c r="AB331" i="2"/>
  <c r="AE331" i="2"/>
  <c r="AG331" i="2"/>
  <c r="Q507" i="2"/>
  <c r="AC1003" i="1"/>
  <c r="V608" i="2"/>
  <c r="AB608" i="2"/>
  <c r="AE608" i="2"/>
  <c r="V882" i="2"/>
  <c r="AB882" i="2"/>
  <c r="AE882" i="2"/>
  <c r="AG882" i="2"/>
  <c r="W191" i="3"/>
  <c r="AC191" i="3"/>
  <c r="AF191" i="3"/>
  <c r="AH191" i="3"/>
  <c r="V539" i="2"/>
  <c r="AB539" i="2"/>
  <c r="AE539" i="2"/>
  <c r="W788" i="3"/>
  <c r="AC788" i="3"/>
  <c r="AF788" i="3"/>
  <c r="AH788" i="3"/>
  <c r="W67" i="3"/>
  <c r="AC67" i="3"/>
  <c r="AF67" i="3"/>
  <c r="AJ692" i="1"/>
  <c r="Z854" i="2"/>
  <c r="W543" i="3"/>
  <c r="AC543" i="3"/>
  <c r="AF543" i="3"/>
  <c r="T909" i="1"/>
  <c r="Y909" i="1"/>
  <c r="AE909" i="1"/>
  <c r="AH909" i="1"/>
  <c r="W738" i="3"/>
  <c r="AC738" i="3"/>
  <c r="AF738" i="3"/>
  <c r="V723" i="2"/>
  <c r="AB723" i="2"/>
  <c r="AE723" i="2"/>
  <c r="V514" i="3"/>
  <c r="AB514" i="3"/>
  <c r="AE514" i="3"/>
  <c r="AG514" i="3"/>
  <c r="AG408" i="2"/>
  <c r="AA775" i="3"/>
  <c r="AA361" i="3"/>
  <c r="AH399" i="3"/>
  <c r="W475" i="3"/>
  <c r="AC475" i="3"/>
  <c r="AF475" i="3"/>
  <c r="AH475" i="3"/>
  <c r="Q588" i="2"/>
  <c r="R904" i="3"/>
  <c r="T769" i="1"/>
  <c r="Y769" i="1"/>
  <c r="AE769" i="1"/>
  <c r="AH769" i="1"/>
  <c r="AJ769" i="1"/>
  <c r="Z591" i="2"/>
  <c r="AG235" i="2"/>
  <c r="T790" i="1"/>
  <c r="X790" i="1"/>
  <c r="AD790" i="1"/>
  <c r="AG790" i="1"/>
  <c r="AI790" i="1"/>
  <c r="V679" i="2"/>
  <c r="AB679" i="2"/>
  <c r="AE679" i="2"/>
  <c r="AG929" i="2"/>
  <c r="Z365" i="2"/>
  <c r="Y777" i="1"/>
  <c r="AE777" i="1"/>
  <c r="AH777" i="1"/>
  <c r="W147" i="3"/>
  <c r="AC147" i="3"/>
  <c r="AF147" i="3"/>
  <c r="AG941" i="2"/>
  <c r="T682" i="1"/>
  <c r="Y682" i="1"/>
  <c r="AE682" i="1"/>
  <c r="AH682" i="1"/>
  <c r="R634" i="3"/>
  <c r="W634" i="3"/>
  <c r="AC634" i="3"/>
  <c r="AF634" i="3"/>
  <c r="R314" i="3"/>
  <c r="AJ922" i="1"/>
  <c r="V953" i="3"/>
  <c r="AB953" i="3"/>
  <c r="AE953" i="3"/>
  <c r="AG953" i="3"/>
  <c r="X904" i="1"/>
  <c r="AD904" i="1"/>
  <c r="AG904" i="1"/>
  <c r="AI904" i="1"/>
  <c r="AG247" i="2"/>
  <c r="V873" i="3"/>
  <c r="AB873" i="3"/>
  <c r="AE873" i="3"/>
  <c r="AG873" i="3"/>
  <c r="V525" i="3"/>
  <c r="AB525" i="3"/>
  <c r="AE525" i="3"/>
  <c r="AG525" i="3"/>
  <c r="V693" i="3"/>
  <c r="AB693" i="3"/>
  <c r="AE693" i="3"/>
  <c r="AG693" i="3"/>
  <c r="V595" i="2"/>
  <c r="AB595" i="2"/>
  <c r="AE595" i="2"/>
  <c r="AG595" i="2"/>
  <c r="R808" i="3"/>
  <c r="W438" i="3"/>
  <c r="AC438" i="3"/>
  <c r="AF438" i="3"/>
  <c r="V309" i="3"/>
  <c r="AB309" i="3"/>
  <c r="AE309" i="3"/>
  <c r="AG309" i="3"/>
  <c r="AC767" i="2"/>
  <c r="AH776" i="3"/>
  <c r="W394" i="3"/>
  <c r="AC394" i="3"/>
  <c r="AF394" i="3"/>
  <c r="W864" i="3"/>
  <c r="AC864" i="3"/>
  <c r="AF864" i="3"/>
  <c r="AH901" i="3"/>
  <c r="U730" i="2"/>
  <c r="AA730" i="2"/>
  <c r="AD730" i="2"/>
  <c r="AF730" i="2"/>
  <c r="V749" i="3"/>
  <c r="AB749" i="3"/>
  <c r="AE749" i="3"/>
  <c r="AG749" i="3"/>
  <c r="Q491" i="2"/>
  <c r="U987" i="2"/>
  <c r="AA987" i="2"/>
  <c r="AD987" i="2"/>
  <c r="AF987" i="2"/>
  <c r="AH210" i="3"/>
  <c r="U188" i="2"/>
  <c r="AA188" i="2"/>
  <c r="AD188" i="2"/>
  <c r="AF188" i="2"/>
  <c r="AA623" i="3"/>
  <c r="W623" i="3"/>
  <c r="AC623" i="3"/>
  <c r="M678" i="1"/>
  <c r="Z509" i="2"/>
  <c r="AC949" i="1"/>
  <c r="AH379" i="3"/>
  <c r="W867" i="3"/>
  <c r="AC867" i="3"/>
  <c r="AF867" i="3"/>
  <c r="V484" i="2"/>
  <c r="AB484" i="2"/>
  <c r="AE484" i="2"/>
  <c r="AH134" i="3"/>
  <c r="U642" i="2"/>
  <c r="AA642" i="2"/>
  <c r="AD642" i="2"/>
  <c r="AF642" i="2"/>
  <c r="V641" i="2"/>
  <c r="AB641" i="2"/>
  <c r="AE641" i="2"/>
  <c r="AJ889" i="1"/>
  <c r="Q430" i="2"/>
  <c r="V975" i="2"/>
  <c r="AB975" i="2"/>
  <c r="AE975" i="2"/>
  <c r="R331" i="3"/>
  <c r="V954" i="2"/>
  <c r="AB954" i="2"/>
  <c r="AE954" i="2"/>
  <c r="V858" i="2"/>
  <c r="AB858" i="2"/>
  <c r="AE858" i="2"/>
  <c r="AG858" i="2"/>
  <c r="W286" i="3"/>
  <c r="AC286" i="3"/>
  <c r="AF286" i="3"/>
  <c r="AC981" i="1"/>
  <c r="W356" i="3"/>
  <c r="AC356" i="3"/>
  <c r="AF356" i="3"/>
  <c r="AH356" i="3"/>
  <c r="Z346" i="2"/>
  <c r="V658" i="3"/>
  <c r="AB658" i="3"/>
  <c r="AE658" i="3"/>
  <c r="AG658" i="3"/>
  <c r="V193" i="2"/>
  <c r="AB193" i="2"/>
  <c r="AE193" i="2"/>
  <c r="R727" i="3"/>
  <c r="Q397" i="2"/>
  <c r="V397" i="2"/>
  <c r="AB397" i="2"/>
  <c r="AE397" i="2"/>
  <c r="W463" i="3"/>
  <c r="AC463" i="3"/>
  <c r="AF463" i="3"/>
  <c r="X792" i="1"/>
  <c r="AD792" i="1"/>
  <c r="AG792" i="1"/>
  <c r="AI792" i="1"/>
  <c r="W775" i="3"/>
  <c r="AC775" i="3"/>
  <c r="AF775" i="3"/>
  <c r="L822" i="1"/>
  <c r="K822" i="1"/>
  <c r="AD125" i="3"/>
  <c r="W373" i="3"/>
  <c r="AC373" i="3"/>
  <c r="AF373" i="3"/>
  <c r="Y759" i="1"/>
  <c r="AE759" i="1"/>
  <c r="AH759" i="1"/>
  <c r="AJ759" i="1"/>
  <c r="AG396" i="2"/>
  <c r="Q374" i="2"/>
  <c r="V400" i="2"/>
  <c r="AB400" i="2"/>
  <c r="AE400" i="2"/>
  <c r="AG400" i="2"/>
  <c r="U919" i="2"/>
  <c r="AA919" i="2"/>
  <c r="AD919" i="2"/>
  <c r="AF919" i="2"/>
  <c r="V125" i="3"/>
  <c r="AB125" i="3"/>
  <c r="AE125" i="3"/>
  <c r="AG125" i="3"/>
  <c r="Y928" i="1"/>
  <c r="AE928" i="1"/>
  <c r="AH928" i="1"/>
  <c r="AD971" i="3"/>
  <c r="AH661" i="3"/>
  <c r="AH234" i="3"/>
  <c r="M713" i="1"/>
  <c r="T835" i="1"/>
  <c r="Y835" i="1"/>
  <c r="AE835" i="1"/>
  <c r="AH835" i="1"/>
  <c r="AJ835" i="1"/>
  <c r="R403" i="3"/>
  <c r="AG1003" i="2"/>
  <c r="W334" i="3"/>
  <c r="AC334" i="3"/>
  <c r="AF334" i="3"/>
  <c r="AH334" i="3"/>
  <c r="AE246" i="2"/>
  <c r="Q753" i="2"/>
  <c r="U753" i="2"/>
  <c r="AA753" i="2"/>
  <c r="AD753" i="2"/>
  <c r="AF753" i="2"/>
  <c r="Q522" i="2"/>
  <c r="V968" i="2"/>
  <c r="AB968" i="2"/>
  <c r="AE968" i="2"/>
  <c r="Z253" i="2"/>
  <c r="V219" i="2"/>
  <c r="AB219" i="2"/>
  <c r="AE219" i="2"/>
  <c r="V190" i="2"/>
  <c r="AB190" i="2"/>
  <c r="AE190" i="2"/>
  <c r="AG850" i="2"/>
  <c r="AH368" i="3"/>
  <c r="V986" i="3"/>
  <c r="AB986" i="3"/>
  <c r="AE986" i="3"/>
  <c r="AG986" i="3"/>
  <c r="V74" i="3"/>
  <c r="AB74" i="3"/>
  <c r="AE74" i="3"/>
  <c r="AG74" i="3"/>
  <c r="Q453" i="2"/>
  <c r="L818" i="1"/>
  <c r="K818" i="1"/>
  <c r="W898" i="3"/>
  <c r="AC898" i="3"/>
  <c r="AF898" i="3"/>
  <c r="AH898" i="3"/>
  <c r="T764" i="1"/>
  <c r="Y764" i="1"/>
  <c r="AE764" i="1"/>
  <c r="AH764" i="1"/>
  <c r="U828" i="2"/>
  <c r="AA828" i="2"/>
  <c r="AD828" i="2"/>
  <c r="AF828" i="2"/>
  <c r="V931" i="3"/>
  <c r="AB931" i="3"/>
  <c r="AE931" i="3"/>
  <c r="AG931" i="3"/>
  <c r="AF917" i="1"/>
  <c r="W343" i="3"/>
  <c r="AC343" i="3"/>
  <c r="AF343" i="3"/>
  <c r="AG839" i="3"/>
  <c r="AH994" i="3"/>
  <c r="Z619" i="2"/>
  <c r="Z941" i="2"/>
  <c r="W380" i="3"/>
  <c r="AC380" i="3"/>
  <c r="AF380" i="3"/>
  <c r="Z966" i="2"/>
  <c r="U788" i="2"/>
  <c r="AA788" i="2"/>
  <c r="AD788" i="2"/>
  <c r="AF788" i="2"/>
  <c r="W772" i="3"/>
  <c r="AC772" i="3"/>
  <c r="AF772" i="3"/>
  <c r="X873" i="1"/>
  <c r="AD873" i="1"/>
  <c r="AG873" i="1"/>
  <c r="AI873" i="1"/>
  <c r="AH687" i="3"/>
  <c r="V242" i="2"/>
  <c r="AB242" i="2"/>
  <c r="AE242" i="2"/>
  <c r="AH198" i="3"/>
  <c r="AD89" i="3"/>
  <c r="AC646" i="2"/>
  <c r="U900" i="2"/>
  <c r="AA900" i="2"/>
  <c r="AD900" i="2"/>
  <c r="AF900" i="2"/>
  <c r="AH450" i="3"/>
  <c r="V705" i="2"/>
  <c r="AB705" i="2"/>
  <c r="AE705" i="2"/>
  <c r="R598" i="3"/>
  <c r="W496" i="3"/>
  <c r="AC496" i="3"/>
  <c r="AF496" i="3"/>
  <c r="Z474" i="2"/>
  <c r="U180" i="2"/>
  <c r="AA180" i="2"/>
  <c r="AD180" i="2"/>
  <c r="AF180" i="2"/>
  <c r="AG316" i="2"/>
  <c r="U749" i="2"/>
  <c r="AA749" i="2"/>
  <c r="AD749" i="2"/>
  <c r="AF749" i="2"/>
  <c r="V673" i="3"/>
  <c r="AB673" i="3"/>
  <c r="AE673" i="3"/>
  <c r="AG673" i="3"/>
  <c r="AA895" i="3"/>
  <c r="X827" i="1"/>
  <c r="AD827" i="1"/>
  <c r="AG827" i="1"/>
  <c r="AI827" i="1"/>
  <c r="AH387" i="3"/>
  <c r="V176" i="3"/>
  <c r="AB176" i="3"/>
  <c r="AE176" i="3"/>
  <c r="AG176" i="3"/>
  <c r="T796" i="1"/>
  <c r="Y796" i="1"/>
  <c r="AE796" i="1"/>
  <c r="AH796" i="1"/>
  <c r="AH552" i="3"/>
  <c r="T719" i="1"/>
  <c r="Y719" i="1"/>
  <c r="AE719" i="1"/>
  <c r="AH719" i="1"/>
  <c r="AJ719" i="1"/>
  <c r="X698" i="1"/>
  <c r="AD698" i="1"/>
  <c r="AG698" i="1"/>
  <c r="AI698" i="1"/>
  <c r="W660" i="3"/>
  <c r="AC660" i="3"/>
  <c r="AF660" i="3"/>
  <c r="AH660" i="3"/>
  <c r="AA737" i="3"/>
  <c r="V681" i="2"/>
  <c r="AB681" i="2"/>
  <c r="AE681" i="2"/>
  <c r="Q575" i="2"/>
  <c r="AG194" i="2"/>
  <c r="AA466" i="3"/>
  <c r="AH150" i="3"/>
  <c r="X991" i="1"/>
  <c r="AD991" i="1"/>
  <c r="AG991" i="1"/>
  <c r="AI991" i="1"/>
  <c r="V601" i="2"/>
  <c r="AB601" i="2"/>
  <c r="AE601" i="2"/>
  <c r="Q480" i="2"/>
  <c r="U406" i="2"/>
  <c r="AA406" i="2"/>
  <c r="AD406" i="2"/>
  <c r="AF406" i="2"/>
  <c r="M966" i="1"/>
  <c r="W219" i="3"/>
  <c r="AC219" i="3"/>
  <c r="AF219" i="3"/>
  <c r="W719" i="3"/>
  <c r="AC719" i="3"/>
  <c r="AF719" i="3"/>
  <c r="W396" i="3"/>
  <c r="AC396" i="3"/>
  <c r="AF396" i="3"/>
  <c r="U947" i="2"/>
  <c r="AA947" i="2"/>
  <c r="AD947" i="2"/>
  <c r="AF947" i="2"/>
  <c r="AA550" i="3"/>
  <c r="AA159" i="3"/>
  <c r="V524" i="2"/>
  <c r="AB524" i="2"/>
  <c r="AE524" i="2"/>
  <c r="V442" i="2"/>
  <c r="AB442" i="2"/>
  <c r="AE442" i="2"/>
  <c r="V536" i="2"/>
  <c r="AB536" i="2"/>
  <c r="AE536" i="2"/>
  <c r="AG816" i="2"/>
  <c r="M849" i="1"/>
  <c r="W388" i="3"/>
  <c r="AC388" i="3"/>
  <c r="AF388" i="3"/>
  <c r="AH388" i="3"/>
  <c r="V925" i="3"/>
  <c r="AB925" i="3"/>
  <c r="AE925" i="3"/>
  <c r="AG925" i="3"/>
  <c r="AJ751" i="1"/>
  <c r="V496" i="2"/>
  <c r="AB496" i="2"/>
  <c r="AE496" i="2"/>
  <c r="W440" i="3"/>
  <c r="AC440" i="3"/>
  <c r="AF440" i="3"/>
  <c r="AH440" i="3"/>
  <c r="U937" i="2"/>
  <c r="AA937" i="2"/>
  <c r="AD937" i="2"/>
  <c r="AF937" i="2"/>
  <c r="M837" i="1"/>
  <c r="U419" i="2"/>
  <c r="AA419" i="2"/>
  <c r="AD419" i="2"/>
  <c r="AF419" i="2"/>
  <c r="AD668" i="3"/>
  <c r="V675" i="2"/>
  <c r="AB675" i="2"/>
  <c r="AE675" i="2"/>
  <c r="AG675" i="2"/>
  <c r="AD344" i="3"/>
  <c r="U644" i="2"/>
  <c r="AA644" i="2"/>
  <c r="AD644" i="2"/>
  <c r="AF644" i="2"/>
  <c r="W166" i="3"/>
  <c r="AC166" i="3"/>
  <c r="AF166" i="3"/>
  <c r="V531" i="3"/>
  <c r="AB531" i="3"/>
  <c r="AE531" i="3"/>
  <c r="AG531" i="3"/>
  <c r="W819" i="3"/>
  <c r="AC819" i="3"/>
  <c r="AF819" i="3"/>
  <c r="V534" i="3"/>
  <c r="AB534" i="3"/>
  <c r="AE534" i="3"/>
  <c r="AG534" i="3"/>
  <c r="V921" i="3"/>
  <c r="AB921" i="3"/>
  <c r="AE921" i="3"/>
  <c r="AG921" i="3"/>
  <c r="U843" i="2"/>
  <c r="AA843" i="2"/>
  <c r="AD843" i="2"/>
  <c r="AF843" i="2"/>
  <c r="Q357" i="2"/>
  <c r="Q298" i="2"/>
  <c r="AH141" i="3"/>
  <c r="R476" i="3"/>
  <c r="Q215" i="2"/>
  <c r="AG553" i="2"/>
  <c r="V971" i="3"/>
  <c r="AB971" i="3"/>
  <c r="AE971" i="3"/>
  <c r="AG971" i="3"/>
  <c r="R226" i="3"/>
  <c r="W210" i="3"/>
  <c r="AC210" i="3"/>
  <c r="AF210" i="3"/>
  <c r="V438" i="2"/>
  <c r="AB438" i="2"/>
  <c r="AE438" i="2"/>
  <c r="AC391" i="3"/>
  <c r="W391" i="3"/>
  <c r="AA391" i="3"/>
  <c r="W798" i="3"/>
  <c r="AC798" i="3"/>
  <c r="AF798" i="3"/>
  <c r="AH190" i="3"/>
  <c r="AJ814" i="1"/>
  <c r="L952" i="1"/>
  <c r="K952" i="1"/>
  <c r="AH481" i="3"/>
  <c r="Q657" i="2"/>
  <c r="AD659" i="3"/>
  <c r="U896" i="2"/>
  <c r="AA896" i="2"/>
  <c r="AD896" i="2"/>
  <c r="AF896" i="2"/>
  <c r="V145" i="3"/>
  <c r="AB145" i="3"/>
  <c r="AE145" i="3"/>
  <c r="AG145" i="3"/>
  <c r="AC660" i="1"/>
  <c r="Z576" i="2"/>
  <c r="V576" i="2"/>
  <c r="AB576" i="2"/>
  <c r="M763" i="1"/>
  <c r="AG791" i="2"/>
  <c r="W759" i="3"/>
  <c r="AC759" i="3"/>
  <c r="AF759" i="3"/>
  <c r="AJ821" i="1"/>
  <c r="W518" i="3"/>
  <c r="AC518" i="3"/>
  <c r="AF518" i="3"/>
  <c r="V399" i="3"/>
  <c r="AB399" i="3"/>
  <c r="AE399" i="3"/>
  <c r="AG399" i="3"/>
  <c r="AJ948" i="1"/>
  <c r="W196" i="3"/>
  <c r="AC196" i="3"/>
  <c r="AF196" i="3"/>
  <c r="AJ780" i="1"/>
  <c r="AC917" i="1"/>
  <c r="AG272" i="2"/>
  <c r="AD322" i="3"/>
  <c r="AG582" i="2"/>
  <c r="Y797" i="1"/>
  <c r="AE797" i="1"/>
  <c r="AH797" i="1"/>
  <c r="AG914" i="2"/>
  <c r="V757" i="3"/>
  <c r="AB757" i="3"/>
  <c r="AE757" i="3"/>
  <c r="AG757" i="3"/>
  <c r="W215" i="3"/>
  <c r="AC215" i="3"/>
  <c r="AF215" i="3"/>
  <c r="AG182" i="2"/>
  <c r="AC936" i="1"/>
  <c r="V72" i="3"/>
  <c r="AB72" i="3"/>
  <c r="AE72" i="3"/>
  <c r="AG72" i="3"/>
  <c r="AG971" i="2"/>
  <c r="M748" i="1"/>
  <c r="V482" i="3"/>
  <c r="AB482" i="3"/>
  <c r="AE482" i="3"/>
  <c r="AG482" i="3"/>
  <c r="U184" i="2"/>
  <c r="AA184" i="2"/>
  <c r="AD184" i="2"/>
  <c r="AF184" i="2"/>
  <c r="W134" i="3"/>
  <c r="AC134" i="3"/>
  <c r="AF134" i="3"/>
  <c r="AC77" i="1"/>
  <c r="L975" i="1"/>
  <c r="K975" i="1"/>
  <c r="X889" i="1"/>
  <c r="AD889" i="1"/>
  <c r="AG889" i="1"/>
  <c r="AI889" i="1"/>
  <c r="AC844" i="1"/>
  <c r="V312" i="3"/>
  <c r="AB312" i="3"/>
  <c r="AE312" i="3"/>
  <c r="AG312" i="3"/>
  <c r="V257" i="2"/>
  <c r="AB257" i="2"/>
  <c r="AE257" i="2"/>
  <c r="V685" i="2"/>
  <c r="AB685" i="2"/>
  <c r="AE685" i="2"/>
  <c r="Z396" i="2"/>
  <c r="T1014" i="1"/>
  <c r="Y1014" i="1"/>
  <c r="AE1014" i="1"/>
  <c r="AH1014" i="1"/>
  <c r="AF923" i="2"/>
  <c r="Z235" i="2"/>
  <c r="Z329" i="2"/>
  <c r="V329" i="2"/>
  <c r="AB329" i="2"/>
  <c r="X954" i="1"/>
  <c r="AD954" i="1"/>
  <c r="AG954" i="1"/>
  <c r="AI954" i="1"/>
  <c r="AJ770" i="1"/>
  <c r="AA242" i="3"/>
  <c r="AJ940" i="1"/>
  <c r="V972" i="2"/>
  <c r="AB972" i="2"/>
  <c r="AE972" i="2"/>
  <c r="W361" i="3"/>
  <c r="AC361" i="3"/>
  <c r="AF361" i="3"/>
  <c r="AH175" i="3"/>
  <c r="V740" i="3"/>
  <c r="AB740" i="3"/>
  <c r="AE740" i="3"/>
  <c r="AG740" i="3"/>
  <c r="U228" i="2"/>
  <c r="AA228" i="2"/>
  <c r="AD228" i="2"/>
  <c r="AF228" i="2"/>
  <c r="AA399" i="3"/>
  <c r="W902" i="3"/>
  <c r="AC902" i="3"/>
  <c r="AF902" i="3"/>
  <c r="X830" i="1"/>
  <c r="AD830" i="1"/>
  <c r="AG830" i="1"/>
  <c r="AI830" i="1"/>
  <c r="M761" i="1"/>
  <c r="Q948" i="2"/>
  <c r="W550" i="3"/>
  <c r="AC550" i="3"/>
  <c r="AF550" i="3"/>
  <c r="AH550" i="3"/>
  <c r="AD912" i="3"/>
  <c r="AH472" i="3"/>
  <c r="T737" i="1"/>
  <c r="Y737" i="1"/>
  <c r="AE737" i="1"/>
  <c r="AH737" i="1"/>
  <c r="AJ737" i="1"/>
  <c r="V559" i="2"/>
  <c r="AB559" i="2"/>
  <c r="AE559" i="2"/>
  <c r="W69" i="3"/>
  <c r="AC69" i="3"/>
  <c r="AF69" i="3"/>
  <c r="AJ784" i="1"/>
  <c r="V659" i="3"/>
  <c r="AB659" i="3"/>
  <c r="AE659" i="3"/>
  <c r="AG659" i="3"/>
  <c r="V433" i="2"/>
  <c r="AB433" i="2"/>
  <c r="AE433" i="2"/>
  <c r="U800" i="2"/>
  <c r="AA800" i="2"/>
  <c r="AD800" i="2"/>
  <c r="AF800" i="2"/>
  <c r="AA120" i="3"/>
  <c r="AA592" i="3"/>
  <c r="AG336" i="2"/>
  <c r="AC204" i="2"/>
  <c r="X946" i="1"/>
  <c r="AD946" i="1"/>
  <c r="AG946" i="1"/>
  <c r="AI946" i="1"/>
  <c r="T893" i="1"/>
  <c r="Y893" i="1"/>
  <c r="AE893" i="1"/>
  <c r="AH893" i="1"/>
  <c r="AJ893" i="1"/>
  <c r="W60" i="3"/>
  <c r="AC60" i="3"/>
  <c r="AF60" i="3"/>
  <c r="AH60" i="3"/>
  <c r="Z214" i="2"/>
  <c r="AC945" i="1"/>
  <c r="AC887" i="1"/>
  <c r="W626" i="3"/>
  <c r="AC626" i="3"/>
  <c r="AF626" i="3"/>
  <c r="AC481" i="2"/>
  <c r="V208" i="2"/>
  <c r="AB208" i="2"/>
  <c r="AE208" i="2"/>
  <c r="W839" i="3"/>
  <c r="AC839" i="3"/>
  <c r="AF839" i="3"/>
  <c r="Q224" i="2"/>
  <c r="V359" i="2"/>
  <c r="AB359" i="2"/>
  <c r="AE359" i="2"/>
  <c r="Z311" i="2"/>
  <c r="T918" i="1"/>
  <c r="Y918" i="1"/>
  <c r="AE918" i="1"/>
  <c r="AH918" i="1"/>
  <c r="V421" i="2"/>
  <c r="AB421" i="2"/>
  <c r="AE421" i="2"/>
  <c r="AG421" i="2"/>
  <c r="U685" i="2"/>
  <c r="AA685" i="2"/>
  <c r="AD685" i="2"/>
  <c r="AF685" i="2"/>
  <c r="W266" i="3"/>
  <c r="AC266" i="3"/>
  <c r="AF266" i="3"/>
  <c r="R715" i="3"/>
  <c r="M801" i="1"/>
  <c r="W806" i="3"/>
  <c r="AC806" i="3"/>
  <c r="AF806" i="3"/>
  <c r="Q282" i="2"/>
  <c r="U289" i="2"/>
  <c r="AA289" i="2"/>
  <c r="AD289" i="2"/>
  <c r="AF289" i="2"/>
  <c r="Z240" i="2"/>
  <c r="W820" i="3"/>
  <c r="AC820" i="3"/>
  <c r="AF820" i="3"/>
  <c r="V489" i="2"/>
  <c r="AB489" i="2"/>
  <c r="AE489" i="2"/>
  <c r="L366" i="1"/>
  <c r="K366" i="1"/>
  <c r="V818" i="2"/>
  <c r="AB818" i="2"/>
  <c r="AE818" i="2"/>
  <c r="V671" i="3"/>
  <c r="AB671" i="3"/>
  <c r="AE671" i="3"/>
  <c r="AG671" i="3"/>
  <c r="X767" i="1"/>
  <c r="AD767" i="1"/>
  <c r="AG767" i="1"/>
  <c r="AI767" i="1"/>
  <c r="R67" i="3"/>
  <c r="AH381" i="3"/>
  <c r="V126" i="3"/>
  <c r="AB126" i="3"/>
  <c r="AE126" i="3"/>
  <c r="AG126" i="3"/>
  <c r="M78" i="1"/>
  <c r="AG238" i="2"/>
  <c r="Z275" i="2"/>
  <c r="U703" i="2"/>
  <c r="AA703" i="2"/>
  <c r="AD703" i="2"/>
  <c r="AF703" i="2"/>
  <c r="W131" i="3"/>
  <c r="AC131" i="3"/>
  <c r="AF131" i="3"/>
  <c r="V991" i="3"/>
  <c r="AB991" i="3"/>
  <c r="AE991" i="3"/>
  <c r="AG991" i="3"/>
  <c r="R734" i="3"/>
  <c r="Q239" i="2"/>
  <c r="V696" i="2"/>
  <c r="AB696" i="2"/>
  <c r="AE696" i="2"/>
  <c r="AA677" i="3"/>
  <c r="V923" i="2"/>
  <c r="AB923" i="2"/>
  <c r="AE923" i="2"/>
  <c r="W296" i="3"/>
  <c r="AC296" i="3"/>
  <c r="AF296" i="3"/>
  <c r="R398" i="3"/>
  <c r="V188" i="2"/>
  <c r="AB188" i="2"/>
  <c r="AE188" i="2"/>
  <c r="AH465" i="3"/>
  <c r="Z996" i="2"/>
  <c r="U834" i="2"/>
  <c r="AA834" i="2"/>
  <c r="AD834" i="2"/>
  <c r="AF834" i="2"/>
  <c r="AH815" i="3"/>
  <c r="L989" i="1"/>
  <c r="K989" i="1"/>
  <c r="V728" i="2"/>
  <c r="AB728" i="2"/>
  <c r="AE728" i="2"/>
  <c r="V285" i="2"/>
  <c r="AB285" i="2"/>
  <c r="AE285" i="2"/>
  <c r="AH528" i="3"/>
  <c r="Q219" i="2"/>
  <c r="W911" i="3"/>
  <c r="AC911" i="3"/>
  <c r="AF911" i="3"/>
  <c r="AH162" i="3"/>
  <c r="W165" i="3"/>
  <c r="AC165" i="3"/>
  <c r="AF165" i="3"/>
  <c r="X676" i="1"/>
  <c r="AD676" i="1"/>
  <c r="AG676" i="1"/>
  <c r="AI676" i="1"/>
  <c r="M905" i="1"/>
  <c r="AA793" i="3"/>
  <c r="AA916" i="3"/>
  <c r="X964" i="1"/>
  <c r="AD964" i="1"/>
  <c r="AG964" i="1"/>
  <c r="AI964" i="1"/>
  <c r="M863" i="1"/>
  <c r="AG706" i="2"/>
  <c r="V994" i="2"/>
  <c r="AB994" i="2"/>
  <c r="AE994" i="2"/>
  <c r="R97" i="3"/>
  <c r="W216" i="3"/>
  <c r="AC216" i="3"/>
  <c r="AF216" i="3"/>
  <c r="AG755" i="2"/>
  <c r="AD817" i="3"/>
  <c r="Q339" i="2"/>
  <c r="Z771" i="2"/>
  <c r="U840" i="2"/>
  <c r="AA840" i="2"/>
  <c r="AD840" i="2"/>
  <c r="AF840" i="2"/>
  <c r="AA935" i="3"/>
  <c r="V663" i="3"/>
  <c r="AB663" i="3"/>
  <c r="AE663" i="3"/>
  <c r="AG663" i="3"/>
  <c r="V958" i="2"/>
  <c r="AB958" i="2"/>
  <c r="AE958" i="2"/>
  <c r="AE77" i="1"/>
  <c r="AH77" i="1"/>
  <c r="AJ77" i="1"/>
  <c r="Z276" i="2"/>
  <c r="AG992" i="1"/>
  <c r="X992" i="1"/>
  <c r="AD992" i="1"/>
  <c r="AF992" i="1"/>
  <c r="Z366" i="2"/>
  <c r="AA928" i="3"/>
  <c r="AD441" i="3"/>
  <c r="V441" i="3"/>
  <c r="AB441" i="3"/>
  <c r="AE441" i="3"/>
  <c r="U612" i="2"/>
  <c r="AA612" i="2"/>
  <c r="AD612" i="2"/>
  <c r="AF612" i="2"/>
  <c r="AG828" i="2"/>
  <c r="AH66" i="3"/>
  <c r="W725" i="3"/>
  <c r="AC725" i="3"/>
  <c r="AF725" i="3"/>
  <c r="V291" i="2"/>
  <c r="AB291" i="2"/>
  <c r="AE291" i="2"/>
  <c r="AG291" i="2"/>
  <c r="V344" i="3"/>
  <c r="AB344" i="3"/>
  <c r="AE344" i="3"/>
  <c r="AG344" i="3"/>
  <c r="V987" i="2"/>
  <c r="AB987" i="2"/>
  <c r="AE987" i="2"/>
  <c r="V194" i="3"/>
  <c r="AB194" i="3"/>
  <c r="AE194" i="3"/>
  <c r="AG194" i="3"/>
  <c r="AG604" i="2"/>
  <c r="AD393" i="3"/>
  <c r="U599" i="2"/>
  <c r="AA599" i="2"/>
  <c r="AD599" i="2"/>
  <c r="AF599" i="2"/>
  <c r="V494" i="3"/>
  <c r="AB494" i="3"/>
  <c r="AE494" i="3"/>
  <c r="AG494" i="3"/>
  <c r="T734" i="1"/>
  <c r="Y734" i="1"/>
  <c r="AE734" i="1"/>
  <c r="AH734" i="1"/>
  <c r="W176" i="3"/>
  <c r="AC176" i="3"/>
  <c r="AF176" i="3"/>
  <c r="AB246" i="2"/>
  <c r="V246" i="2"/>
  <c r="Z246" i="2"/>
  <c r="X78" i="1"/>
  <c r="AA938" i="3"/>
  <c r="Q338" i="2"/>
  <c r="Z570" i="2"/>
  <c r="AJ715" i="1"/>
  <c r="U756" i="2"/>
  <c r="AA756" i="2"/>
  <c r="AD756" i="2"/>
  <c r="AF756" i="2"/>
  <c r="X981" i="1"/>
  <c r="AD981" i="1"/>
  <c r="AG981" i="1"/>
  <c r="AI981" i="1"/>
  <c r="L768" i="1"/>
  <c r="K768" i="1"/>
  <c r="V301" i="2"/>
  <c r="AB301" i="2"/>
  <c r="AE301" i="2"/>
  <c r="M826" i="1"/>
  <c r="Q217" i="2"/>
  <c r="U968" i="2"/>
  <c r="AA968" i="2"/>
  <c r="AD968" i="2"/>
  <c r="AF968" i="2"/>
  <c r="AA255" i="3"/>
  <c r="AA980" i="3"/>
  <c r="Q675" i="2"/>
  <c r="V531" i="2"/>
  <c r="AB531" i="2"/>
  <c r="AE531" i="2"/>
  <c r="AD63" i="3"/>
  <c r="M800" i="1"/>
  <c r="U204" i="2"/>
  <c r="AA204" i="2"/>
  <c r="AD204" i="2"/>
  <c r="AF204" i="2"/>
  <c r="Q778" i="2"/>
  <c r="U346" i="2"/>
  <c r="AA346" i="2"/>
  <c r="AD346" i="2"/>
  <c r="AF346" i="2"/>
  <c r="AG368" i="2"/>
  <c r="V739" i="2"/>
  <c r="AB739" i="2"/>
  <c r="AE739" i="2"/>
  <c r="AG739" i="2"/>
  <c r="V252" i="3"/>
  <c r="AB252" i="3"/>
  <c r="AE252" i="3"/>
  <c r="AG252" i="3"/>
  <c r="L718" i="1"/>
  <c r="K718" i="1"/>
  <c r="V213" i="2"/>
  <c r="AB213" i="2"/>
  <c r="AE213" i="2"/>
  <c r="V275" i="2"/>
  <c r="AB275" i="2"/>
  <c r="AE275" i="2"/>
  <c r="V676" i="3"/>
  <c r="AB676" i="3"/>
  <c r="AE676" i="3"/>
  <c r="AG676" i="3"/>
  <c r="AG296" i="2"/>
  <c r="W92" i="3"/>
  <c r="AC92" i="3"/>
  <c r="AF92" i="3"/>
  <c r="W849" i="3"/>
  <c r="AC849" i="3"/>
  <c r="AF849" i="3"/>
  <c r="W895" i="3"/>
  <c r="AC895" i="3"/>
  <c r="AF895" i="3"/>
  <c r="U616" i="2"/>
  <c r="AA616" i="2"/>
  <c r="AD616" i="2"/>
  <c r="AF616" i="2"/>
  <c r="AC971" i="1"/>
  <c r="V247" i="2"/>
  <c r="AB247" i="2"/>
  <c r="AE247" i="2"/>
  <c r="R148" i="3"/>
  <c r="V226" i="2"/>
  <c r="AB226" i="2"/>
  <c r="AE226" i="2"/>
  <c r="T890" i="1"/>
  <c r="X890" i="1"/>
  <c r="AD890" i="1"/>
  <c r="AG890" i="1"/>
  <c r="AI890" i="1"/>
  <c r="U885" i="2"/>
  <c r="AA885" i="2"/>
  <c r="AD885" i="2"/>
  <c r="AF885" i="2"/>
  <c r="AH504" i="3"/>
  <c r="R385" i="3"/>
  <c r="L847" i="1"/>
  <c r="K847" i="1"/>
  <c r="V793" i="3"/>
  <c r="AB793" i="3"/>
  <c r="AE793" i="3"/>
  <c r="AG793" i="3"/>
  <c r="AH58" i="3"/>
  <c r="W729" i="3"/>
  <c r="AC729" i="3"/>
  <c r="AF729" i="3"/>
  <c r="T79" i="1"/>
  <c r="Y79" i="1"/>
  <c r="AE79" i="1"/>
  <c r="AH79" i="1"/>
  <c r="AJ79" i="1"/>
  <c r="V707" i="3"/>
  <c r="AB707" i="3"/>
  <c r="AE707" i="3"/>
  <c r="AG707" i="3"/>
  <c r="W155" i="3"/>
  <c r="AC155" i="3"/>
  <c r="AF155" i="3"/>
  <c r="U198" i="2"/>
  <c r="AA198" i="2"/>
  <c r="AD198" i="2"/>
  <c r="AF198" i="2"/>
  <c r="V100" i="3"/>
  <c r="AB100" i="3"/>
  <c r="AE100" i="3"/>
  <c r="AG100" i="3"/>
  <c r="U440" i="2"/>
  <c r="AA440" i="2"/>
  <c r="AD440" i="2"/>
  <c r="AF440" i="2"/>
  <c r="U528" i="2"/>
  <c r="AA528" i="2"/>
  <c r="AD528" i="2"/>
  <c r="AF528" i="2"/>
  <c r="W275" i="3"/>
  <c r="AC275" i="3"/>
  <c r="AF275" i="3"/>
  <c r="V796" i="2"/>
  <c r="AB796" i="2"/>
  <c r="AE796" i="2"/>
  <c r="AD27" i="3"/>
  <c r="U306" i="2"/>
  <c r="AA306" i="2"/>
  <c r="AD306" i="2"/>
  <c r="AF306" i="2"/>
  <c r="AJ680" i="1"/>
  <c r="R543" i="3"/>
  <c r="AF236" i="3"/>
  <c r="W620" i="3"/>
  <c r="AC620" i="3"/>
  <c r="AF620" i="3"/>
  <c r="V334" i="2"/>
  <c r="AB334" i="2"/>
  <c r="AE334" i="2"/>
  <c r="V862" i="2"/>
  <c r="AB862" i="2"/>
  <c r="AE862" i="2"/>
  <c r="U436" i="2"/>
  <c r="AA436" i="2"/>
  <c r="AD436" i="2"/>
  <c r="AF436" i="2"/>
  <c r="R851" i="3"/>
  <c r="V870" i="2"/>
  <c r="AB870" i="2"/>
  <c r="AE870" i="2"/>
  <c r="W178" i="3"/>
  <c r="AC178" i="3"/>
  <c r="AF178" i="3"/>
  <c r="U622" i="2"/>
  <c r="AA622" i="2"/>
  <c r="AD622" i="2"/>
  <c r="AF622" i="2"/>
  <c r="Q343" i="2"/>
  <c r="Q384" i="2"/>
  <c r="L725" i="1"/>
  <c r="K725" i="1"/>
  <c r="Z521" i="2"/>
  <c r="V290" i="3"/>
  <c r="AB290" i="3"/>
  <c r="AE290" i="3"/>
  <c r="AG290" i="3"/>
  <c r="W272" i="3"/>
  <c r="AC272" i="3"/>
  <c r="AF272" i="3"/>
  <c r="AJ871" i="1"/>
  <c r="AH179" i="3"/>
  <c r="U1002" i="2"/>
  <c r="AA1002" i="2"/>
  <c r="AD1002" i="2"/>
  <c r="AF1002" i="2"/>
  <c r="Q973" i="2"/>
  <c r="R661" i="3"/>
  <c r="W661" i="3"/>
  <c r="AC661" i="3"/>
  <c r="AF661" i="3"/>
  <c r="U775" i="2"/>
  <c r="AA775" i="2"/>
  <c r="AD775" i="2"/>
  <c r="AF775" i="2"/>
  <c r="AC908" i="1"/>
  <c r="R168" i="3"/>
  <c r="AG674" i="2"/>
  <c r="V752" i="3"/>
  <c r="AB752" i="3"/>
  <c r="AE752" i="3"/>
  <c r="AG752" i="3"/>
  <c r="Q725" i="2"/>
  <c r="V725" i="2"/>
  <c r="AB725" i="2"/>
  <c r="AE725" i="2"/>
  <c r="AG725" i="2"/>
  <c r="R50" i="3"/>
  <c r="V50" i="3"/>
  <c r="AB50" i="3"/>
  <c r="AE50" i="3"/>
  <c r="AG50" i="3"/>
  <c r="AJ819" i="1"/>
  <c r="AJ1004" i="1"/>
  <c r="X856" i="1"/>
  <c r="AD856" i="1"/>
  <c r="AG856" i="1"/>
  <c r="AI856" i="1"/>
  <c r="Z416" i="2"/>
  <c r="U477" i="2"/>
  <c r="AA477" i="2"/>
  <c r="AD477" i="2"/>
  <c r="AF477" i="2"/>
  <c r="X751" i="1"/>
  <c r="AD751" i="1"/>
  <c r="AG751" i="1"/>
  <c r="AI751" i="1"/>
  <c r="AJ892" i="1"/>
  <c r="V963" i="3"/>
  <c r="AB963" i="3"/>
  <c r="AE963" i="3"/>
  <c r="AG963" i="3"/>
  <c r="U625" i="2"/>
  <c r="AA625" i="2"/>
  <c r="AD625" i="2"/>
  <c r="AF625" i="2"/>
  <c r="AH149" i="3"/>
  <c r="AH600" i="3"/>
  <c r="Z566" i="2"/>
  <c r="Z529" i="2"/>
  <c r="V775" i="2"/>
  <c r="AB775" i="2"/>
  <c r="AE775" i="2"/>
  <c r="V81" i="3"/>
  <c r="AB81" i="3"/>
  <c r="AE81" i="3"/>
  <c r="AG81" i="3"/>
  <c r="T921" i="1"/>
  <c r="Y921" i="1"/>
  <c r="AE921" i="1"/>
  <c r="AH921" i="1"/>
  <c r="Q784" i="2"/>
  <c r="W768" i="3"/>
  <c r="AC768" i="3"/>
  <c r="AF768" i="3"/>
  <c r="T748" i="1"/>
  <c r="Y748" i="1"/>
  <c r="AE748" i="1"/>
  <c r="AH748" i="1"/>
  <c r="AJ748" i="1"/>
  <c r="AH845" i="3"/>
  <c r="Z804" i="2"/>
  <c r="AH745" i="3"/>
  <c r="AD733" i="3"/>
  <c r="V352" i="2"/>
  <c r="AB352" i="2"/>
  <c r="AE352" i="2"/>
  <c r="AG352" i="2"/>
  <c r="V541" i="2"/>
  <c r="AB541" i="2"/>
  <c r="AE541" i="2"/>
  <c r="AG541" i="2"/>
  <c r="AA104" i="3"/>
  <c r="V120" i="3"/>
  <c r="AB120" i="3"/>
  <c r="AE120" i="3"/>
  <c r="AG120" i="3"/>
  <c r="AA508" i="3"/>
  <c r="AA650" i="3"/>
  <c r="V698" i="2"/>
  <c r="AB698" i="2"/>
  <c r="AE698" i="2"/>
  <c r="AG698" i="2"/>
  <c r="Q526" i="2"/>
  <c r="R101" i="3"/>
  <c r="W101" i="3"/>
  <c r="AC101" i="3"/>
  <c r="AF101" i="3"/>
  <c r="T857" i="1"/>
  <c r="Y857" i="1"/>
  <c r="AE857" i="1"/>
  <c r="AH857" i="1"/>
  <c r="R107" i="3"/>
  <c r="V107" i="3"/>
  <c r="AB107" i="3"/>
  <c r="AE107" i="3"/>
  <c r="AG107" i="3"/>
  <c r="AJ848" i="1"/>
  <c r="AH203" i="3"/>
  <c r="U793" i="2"/>
  <c r="AA793" i="2"/>
  <c r="AD793" i="2"/>
  <c r="AF793" i="2"/>
  <c r="V1005" i="2"/>
  <c r="AB1005" i="2"/>
  <c r="AE1005" i="2"/>
  <c r="W730" i="3"/>
  <c r="AC730" i="3"/>
  <c r="AF730" i="3"/>
  <c r="AH627" i="3"/>
  <c r="AA456" i="3"/>
  <c r="AH515" i="3"/>
  <c r="W466" i="3"/>
  <c r="AC466" i="3"/>
  <c r="AF466" i="3"/>
  <c r="AH466" i="3"/>
  <c r="V521" i="2"/>
  <c r="AB521" i="2"/>
  <c r="AE521" i="2"/>
  <c r="T749" i="1"/>
  <c r="Y749" i="1"/>
  <c r="AE749" i="1"/>
  <c r="AH749" i="1"/>
  <c r="Q696" i="2"/>
  <c r="W277" i="3"/>
  <c r="AC277" i="3"/>
  <c r="AF277" i="3"/>
  <c r="V616" i="2"/>
  <c r="AB616" i="2"/>
  <c r="AE616" i="2"/>
  <c r="U441" i="2"/>
  <c r="AA441" i="2"/>
  <c r="AD441" i="2"/>
  <c r="AF441" i="2"/>
  <c r="V206" i="2"/>
  <c r="AB206" i="2"/>
  <c r="AE206" i="2"/>
  <c r="AC910" i="1"/>
  <c r="V897" i="2"/>
  <c r="AB897" i="2"/>
  <c r="AE897" i="2"/>
  <c r="T683" i="1"/>
  <c r="Y683" i="1"/>
  <c r="AE683" i="1"/>
  <c r="AH683" i="1"/>
  <c r="T839" i="1"/>
  <c r="Y839" i="1"/>
  <c r="AE839" i="1"/>
  <c r="AH839" i="1"/>
  <c r="AC702" i="1"/>
  <c r="W733" i="3"/>
  <c r="AC733" i="3"/>
  <c r="AF733" i="3"/>
  <c r="U760" i="2"/>
  <c r="AA760" i="2"/>
  <c r="AD760" i="2"/>
  <c r="AF760" i="2"/>
  <c r="V674" i="2"/>
  <c r="AB674" i="2"/>
  <c r="AE674" i="2"/>
  <c r="T721" i="1"/>
  <c r="Y721" i="1"/>
  <c r="AE721" i="1"/>
  <c r="AH721" i="1"/>
  <c r="AJ721" i="1"/>
  <c r="L673" i="1"/>
  <c r="K673" i="1"/>
  <c r="W557" i="3"/>
  <c r="AC557" i="3"/>
  <c r="AF557" i="3"/>
  <c r="T710" i="1"/>
  <c r="Y710" i="1"/>
  <c r="AE710" i="1"/>
  <c r="AH710" i="1"/>
  <c r="AJ710" i="1"/>
  <c r="W349" i="3"/>
  <c r="AC349" i="3"/>
  <c r="AF349" i="3"/>
  <c r="AH349" i="3"/>
  <c r="T924" i="1"/>
  <c r="Y924" i="1"/>
  <c r="AE924" i="1"/>
  <c r="AH924" i="1"/>
  <c r="AJ924" i="1"/>
  <c r="Z658" i="2"/>
  <c r="V725" i="3"/>
  <c r="AB725" i="3"/>
  <c r="AE725" i="3"/>
  <c r="AG725" i="3"/>
  <c r="X720" i="1"/>
  <c r="AD720" i="1"/>
  <c r="AG720" i="1"/>
  <c r="AI720" i="1"/>
  <c r="Q579" i="2"/>
  <c r="W554" i="3"/>
  <c r="AC554" i="3"/>
  <c r="AF554" i="3"/>
  <c r="AH39" i="3"/>
  <c r="V369" i="2"/>
  <c r="AB369" i="2"/>
  <c r="AE369" i="2"/>
  <c r="AJ960" i="1"/>
  <c r="U508" i="2"/>
  <c r="AA508" i="2"/>
  <c r="AD508" i="2"/>
  <c r="AF508" i="2"/>
  <c r="AH82" i="3"/>
  <c r="T78" i="1"/>
  <c r="Y78" i="1"/>
  <c r="AE78" i="1"/>
  <c r="AH78" i="1"/>
  <c r="U393" i="2"/>
  <c r="AA393" i="2"/>
  <c r="AD393" i="2"/>
  <c r="AF393" i="2"/>
  <c r="W367" i="3"/>
  <c r="AC367" i="3"/>
  <c r="AF367" i="3"/>
  <c r="AH643" i="3"/>
  <c r="Y817" i="1"/>
  <c r="AE817" i="1"/>
  <c r="AH817" i="1"/>
  <c r="AE708" i="1"/>
  <c r="T708" i="1"/>
  <c r="Y708" i="1"/>
  <c r="AC708" i="1"/>
  <c r="M928" i="1"/>
  <c r="Z892" i="2"/>
  <c r="V529" i="2"/>
  <c r="AB529" i="2"/>
  <c r="AE529" i="2"/>
  <c r="M767" i="1"/>
  <c r="W983" i="3"/>
  <c r="AC983" i="3"/>
  <c r="AF983" i="3"/>
  <c r="AH983" i="3"/>
  <c r="W959" i="3"/>
  <c r="AC959" i="3"/>
  <c r="AF959" i="3"/>
  <c r="AH959" i="3"/>
  <c r="W233" i="3"/>
  <c r="AC233" i="3"/>
  <c r="AF233" i="3"/>
  <c r="U394" i="2"/>
  <c r="AA394" i="2"/>
  <c r="AD394" i="2"/>
  <c r="AF394" i="2"/>
  <c r="V647" i="2"/>
  <c r="AB647" i="2"/>
  <c r="AE647" i="2"/>
  <c r="V823" i="3"/>
  <c r="AB823" i="3"/>
  <c r="AE823" i="3"/>
  <c r="AG823" i="3"/>
  <c r="R81" i="3"/>
  <c r="W81" i="3"/>
  <c r="AC81" i="3"/>
  <c r="AF81" i="3"/>
  <c r="V342" i="2"/>
  <c r="AB342" i="2"/>
  <c r="AE342" i="2"/>
  <c r="Q761" i="2"/>
  <c r="AJ883" i="1"/>
  <c r="R870" i="3"/>
  <c r="V942" i="2"/>
  <c r="AB942" i="2"/>
  <c r="AE942" i="2"/>
  <c r="R700" i="3"/>
  <c r="V582" i="3"/>
  <c r="AB582" i="3"/>
  <c r="AE582" i="3"/>
  <c r="AG582" i="3"/>
  <c r="AH797" i="3"/>
  <c r="Q473" i="2"/>
  <c r="U473" i="2"/>
  <c r="AA473" i="2"/>
  <c r="AD473" i="2"/>
  <c r="AF473" i="2"/>
  <c r="V235" i="2"/>
  <c r="AB235" i="2"/>
  <c r="AE235" i="2"/>
  <c r="AA454" i="3"/>
  <c r="V649" i="2"/>
  <c r="AB649" i="2"/>
  <c r="AE649" i="2"/>
  <c r="L982" i="1"/>
  <c r="K982" i="1"/>
  <c r="T982" i="1"/>
  <c r="Y982" i="1"/>
  <c r="AE982" i="1"/>
  <c r="AH982" i="1"/>
  <c r="AC553" i="2"/>
  <c r="V835" i="3"/>
  <c r="AB835" i="3"/>
  <c r="AE835" i="3"/>
  <c r="AG835" i="3"/>
  <c r="W621" i="3"/>
  <c r="AC621" i="3"/>
  <c r="AF621" i="3"/>
  <c r="X854" i="1"/>
  <c r="AD854" i="1"/>
  <c r="AG854" i="1"/>
  <c r="AI854" i="1"/>
  <c r="Z798" i="2"/>
  <c r="M960" i="1"/>
  <c r="W371" i="3"/>
  <c r="AC371" i="3"/>
  <c r="AF371" i="3"/>
  <c r="AA201" i="3"/>
  <c r="V926" i="2"/>
  <c r="AB926" i="2"/>
  <c r="AE926" i="2"/>
  <c r="AG926" i="2"/>
  <c r="AA602" i="3"/>
  <c r="Z458" i="2"/>
  <c r="X901" i="1"/>
  <c r="AD901" i="1"/>
  <c r="AG901" i="1"/>
  <c r="AI901" i="1"/>
  <c r="AD472" i="3"/>
  <c r="U210" i="2"/>
  <c r="AA210" i="2"/>
  <c r="AD210" i="2"/>
  <c r="AF210" i="2"/>
  <c r="V658" i="2"/>
  <c r="AB658" i="2"/>
  <c r="AE658" i="2"/>
  <c r="T880" i="1"/>
  <c r="X880" i="1"/>
  <c r="AD880" i="1"/>
  <c r="AG880" i="1"/>
  <c r="AI880" i="1"/>
  <c r="V906" i="2"/>
  <c r="AB906" i="2"/>
  <c r="AE906" i="2"/>
  <c r="U884" i="2"/>
  <c r="AA884" i="2"/>
  <c r="AD884" i="2"/>
  <c r="AF884" i="2"/>
  <c r="AH573" i="3"/>
  <c r="U382" i="2"/>
  <c r="AA382" i="2"/>
  <c r="AD382" i="2"/>
  <c r="AF382" i="2"/>
  <c r="W420" i="3"/>
  <c r="AC420" i="3"/>
  <c r="AF420" i="3"/>
  <c r="AH420" i="3"/>
  <c r="Q375" i="2"/>
  <c r="AH225" i="3"/>
  <c r="Q682" i="2"/>
  <c r="W916" i="3"/>
  <c r="AC916" i="3"/>
  <c r="AF916" i="3"/>
  <c r="AE586" i="2"/>
  <c r="T661" i="1"/>
  <c r="Y661" i="1"/>
  <c r="AE661" i="1"/>
  <c r="AH661" i="1"/>
  <c r="AJ661" i="1"/>
  <c r="T668" i="1"/>
  <c r="Y668" i="1"/>
  <c r="AE668" i="1"/>
  <c r="AH668" i="1"/>
  <c r="AH104" i="3"/>
  <c r="AG707" i="2"/>
  <c r="V615" i="3"/>
  <c r="AB615" i="3"/>
  <c r="AE615" i="3"/>
  <c r="AG615" i="3"/>
  <c r="V141" i="3"/>
  <c r="AB141" i="3"/>
  <c r="AE141" i="3"/>
  <c r="AG141" i="3"/>
  <c r="AD80" i="3"/>
  <c r="W827" i="3"/>
  <c r="AC827" i="3"/>
  <c r="AF827" i="3"/>
  <c r="V570" i="2"/>
  <c r="AB570" i="2"/>
  <c r="AE570" i="2"/>
  <c r="R660" i="3"/>
  <c r="Y714" i="1"/>
  <c r="AE714" i="1"/>
  <c r="AH714" i="1"/>
  <c r="AG322" i="2"/>
  <c r="V566" i="3"/>
  <c r="AB566" i="3"/>
  <c r="AE566" i="3"/>
  <c r="AG566" i="3"/>
  <c r="AC853" i="2"/>
  <c r="Q924" i="2"/>
  <c r="V765" i="2"/>
  <c r="AB765" i="2"/>
  <c r="AE765" i="2"/>
  <c r="U918" i="2"/>
  <c r="AA918" i="2"/>
  <c r="AD918" i="2"/>
  <c r="AF918" i="2"/>
  <c r="R380" i="3"/>
  <c r="Z864" i="2"/>
  <c r="AA610" i="3"/>
  <c r="Y795" i="1"/>
  <c r="AE795" i="1"/>
  <c r="AH795" i="1"/>
  <c r="AG729" i="2"/>
  <c r="V743" i="2"/>
  <c r="AB743" i="2"/>
  <c r="AE743" i="2"/>
  <c r="U700" i="2"/>
  <c r="AA700" i="2"/>
  <c r="AD700" i="2"/>
  <c r="AF700" i="2"/>
  <c r="R843" i="3"/>
  <c r="W454" i="3"/>
  <c r="AC454" i="3"/>
  <c r="AF454" i="3"/>
  <c r="M965" i="1"/>
  <c r="V534" i="2"/>
  <c r="AB534" i="2"/>
  <c r="AE534" i="2"/>
  <c r="AC920" i="1"/>
  <c r="U391" i="2"/>
  <c r="AA391" i="2"/>
  <c r="AD391" i="2"/>
  <c r="AF391" i="2"/>
  <c r="V291" i="3"/>
  <c r="AB291" i="3"/>
  <c r="AE291" i="3"/>
  <c r="AG291" i="3"/>
  <c r="V798" i="2"/>
  <c r="AB798" i="2"/>
  <c r="AE798" i="2"/>
  <c r="R361" i="3"/>
  <c r="V90" i="3"/>
  <c r="AB90" i="3"/>
  <c r="AE90" i="3"/>
  <c r="AG90" i="3"/>
  <c r="V567" i="2"/>
  <c r="AB567" i="2"/>
  <c r="AE567" i="2"/>
  <c r="AH401" i="3"/>
  <c r="T841" i="1"/>
  <c r="Y841" i="1"/>
  <c r="AE841" i="1"/>
  <c r="AH841" i="1"/>
  <c r="U277" i="2"/>
  <c r="AA277" i="2"/>
  <c r="AD277" i="2"/>
  <c r="AF277" i="2"/>
  <c r="AJ854" i="1"/>
  <c r="T897" i="1"/>
  <c r="Y897" i="1"/>
  <c r="AE897" i="1"/>
  <c r="AH897" i="1"/>
  <c r="V380" i="2"/>
  <c r="AB380" i="2"/>
  <c r="AE380" i="2"/>
  <c r="AG380" i="2"/>
  <c r="T678" i="1"/>
  <c r="X678" i="1"/>
  <c r="AD678" i="1"/>
  <c r="AG678" i="1"/>
  <c r="AI678" i="1"/>
  <c r="T797" i="1"/>
  <c r="X797" i="1"/>
  <c r="AD797" i="1"/>
  <c r="AG797" i="1"/>
  <c r="AI797" i="1"/>
  <c r="Z202" i="2"/>
  <c r="AG416" i="2"/>
  <c r="R195" i="3"/>
  <c r="W205" i="3"/>
  <c r="AC205" i="3"/>
  <c r="AF205" i="3"/>
  <c r="AH672" i="3"/>
  <c r="AC813" i="1"/>
  <c r="V623" i="2"/>
  <c r="AB623" i="2"/>
  <c r="AE623" i="2"/>
  <c r="AJ808" i="1"/>
  <c r="U577" i="2"/>
  <c r="AA577" i="2"/>
  <c r="AD577" i="2"/>
  <c r="AF577" i="2"/>
  <c r="V255" i="3"/>
  <c r="AB255" i="3"/>
  <c r="AE255" i="3"/>
  <c r="AG255" i="3"/>
  <c r="AA534" i="3"/>
  <c r="AH679" i="3"/>
  <c r="W360" i="3"/>
  <c r="AC360" i="3"/>
  <c r="AF360" i="3"/>
  <c r="V171" i="3"/>
  <c r="AB171" i="3"/>
  <c r="AE171" i="3"/>
  <c r="AG171" i="3"/>
  <c r="W255" i="3"/>
  <c r="AC255" i="3"/>
  <c r="AF255" i="3"/>
  <c r="U413" i="2"/>
  <c r="AA413" i="2"/>
  <c r="AD413" i="2"/>
  <c r="AF413" i="2"/>
  <c r="W576" i="3"/>
  <c r="AC576" i="3"/>
  <c r="AF576" i="3"/>
  <c r="AB742" i="2"/>
  <c r="V742" i="2"/>
  <c r="Z742" i="2"/>
  <c r="AH156" i="3"/>
  <c r="Z985" i="2"/>
  <c r="U445" i="2"/>
  <c r="AA445" i="2"/>
  <c r="AD445" i="2"/>
  <c r="AF445" i="2"/>
  <c r="Y686" i="1"/>
  <c r="AE686" i="1"/>
  <c r="AH686" i="1"/>
  <c r="U992" i="2"/>
  <c r="AA992" i="2"/>
  <c r="AD992" i="2"/>
  <c r="AF992" i="2"/>
  <c r="V912" i="3"/>
  <c r="AB912" i="3"/>
  <c r="AE912" i="3"/>
  <c r="AG912" i="3"/>
  <c r="T878" i="1"/>
  <c r="Y878" i="1"/>
  <c r="AE878" i="1"/>
  <c r="AH878" i="1"/>
  <c r="AH653" i="3"/>
  <c r="AA439" i="3"/>
  <c r="R957" i="3"/>
  <c r="W957" i="3"/>
  <c r="AC957" i="3"/>
  <c r="AF957" i="3"/>
  <c r="T866" i="1"/>
  <c r="Y866" i="1"/>
  <c r="AE866" i="1"/>
  <c r="AH866" i="1"/>
  <c r="R747" i="3"/>
  <c r="W747" i="3"/>
  <c r="AC747" i="3"/>
  <c r="AF747" i="3"/>
  <c r="R557" i="3"/>
  <c r="U853" i="2"/>
  <c r="AA853" i="2"/>
  <c r="AD853" i="2"/>
  <c r="AF853" i="2"/>
  <c r="Q275" i="2"/>
  <c r="V431" i="2"/>
  <c r="AB431" i="2"/>
  <c r="AE431" i="2"/>
  <c r="U743" i="2"/>
  <c r="AA743" i="2"/>
  <c r="AD743" i="2"/>
  <c r="AF743" i="2"/>
  <c r="W128" i="3"/>
  <c r="AC128" i="3"/>
  <c r="AF128" i="3"/>
  <c r="R144" i="3"/>
  <c r="V750" i="3"/>
  <c r="AB750" i="3"/>
  <c r="AE750" i="3"/>
  <c r="AG750" i="3"/>
  <c r="AA459" i="3"/>
  <c r="AA581" i="3"/>
  <c r="U926" i="2"/>
  <c r="AA926" i="2"/>
  <c r="AD926" i="2"/>
  <c r="AF926" i="2"/>
  <c r="V280" i="2"/>
  <c r="AB280" i="2"/>
  <c r="AE280" i="2"/>
  <c r="W61" i="3"/>
  <c r="AC61" i="3"/>
  <c r="AF61" i="3"/>
  <c r="AH237" i="3"/>
  <c r="AG304" i="2"/>
  <c r="U651" i="2"/>
  <c r="AA651" i="2"/>
  <c r="AD651" i="2"/>
  <c r="AF651" i="2"/>
  <c r="W405" i="3"/>
  <c r="AC405" i="3"/>
  <c r="AF405" i="3"/>
  <c r="AH405" i="3"/>
  <c r="AH942" i="3"/>
  <c r="V235" i="3"/>
  <c r="AB235" i="3"/>
  <c r="AE235" i="3"/>
  <c r="AG235" i="3"/>
  <c r="R91" i="3"/>
  <c r="W91" i="3"/>
  <c r="AC91" i="3"/>
  <c r="AF91" i="3"/>
  <c r="AH91" i="3"/>
  <c r="Q909" i="2"/>
  <c r="L985" i="1"/>
  <c r="K985" i="1"/>
  <c r="T985" i="1"/>
  <c r="Y985" i="1"/>
  <c r="AE985" i="1"/>
  <c r="AH985" i="1"/>
  <c r="M724" i="1"/>
  <c r="R76" i="3"/>
  <c r="T686" i="1"/>
  <c r="X686" i="1"/>
  <c r="AD686" i="1"/>
  <c r="AG686" i="1"/>
  <c r="AI686" i="1"/>
  <c r="W59" i="3"/>
  <c r="AC59" i="3"/>
  <c r="AF59" i="3"/>
  <c r="AG617" i="2"/>
  <c r="V689" i="3"/>
  <c r="AB689" i="3"/>
  <c r="AE689" i="3"/>
  <c r="AG689" i="3"/>
  <c r="V936" i="3"/>
  <c r="AB936" i="3"/>
  <c r="AE936" i="3"/>
  <c r="AG936" i="3"/>
  <c r="V591" i="2"/>
  <c r="AB591" i="2"/>
  <c r="AE591" i="2"/>
  <c r="V974" i="2"/>
  <c r="AB974" i="2"/>
  <c r="AE974" i="2"/>
  <c r="AG974" i="2"/>
  <c r="V654" i="2"/>
  <c r="AB654" i="2"/>
  <c r="AE654" i="2"/>
  <c r="Z249" i="2"/>
  <c r="Q847" i="2"/>
  <c r="V847" i="2"/>
  <c r="AB847" i="2"/>
  <c r="AE847" i="2"/>
  <c r="L737" i="1"/>
  <c r="K737" i="1"/>
  <c r="W795" i="3"/>
  <c r="AC795" i="3"/>
  <c r="AF795" i="3"/>
  <c r="W540" i="3"/>
  <c r="AC540" i="3"/>
  <c r="AF540" i="3"/>
  <c r="AH540" i="3"/>
  <c r="AC475" i="2"/>
  <c r="V921" i="2"/>
  <c r="AB921" i="2"/>
  <c r="AE921" i="2"/>
  <c r="L722" i="1"/>
  <c r="K722" i="1"/>
  <c r="R191" i="3"/>
  <c r="AG826" i="2"/>
  <c r="X978" i="1"/>
  <c r="AD978" i="1"/>
  <c r="AG978" i="1"/>
  <c r="AI978" i="1"/>
  <c r="R440" i="3"/>
  <c r="V297" i="2"/>
  <c r="AB297" i="2"/>
  <c r="AE297" i="2"/>
  <c r="AJ791" i="1"/>
  <c r="W629" i="3"/>
  <c r="AC629" i="3"/>
  <c r="AF629" i="3"/>
  <c r="U381" i="2"/>
  <c r="AA381" i="2"/>
  <c r="AD381" i="2"/>
  <c r="AF381" i="2"/>
  <c r="AJ942" i="1"/>
  <c r="T666" i="1"/>
  <c r="Y666" i="1"/>
  <c r="AE666" i="1"/>
  <c r="AH666" i="1"/>
  <c r="AG590" i="2"/>
  <c r="AG785" i="2"/>
  <c r="Z769" i="2"/>
  <c r="Q880" i="2"/>
  <c r="W530" i="3"/>
  <c r="AC530" i="3"/>
  <c r="AF530" i="3"/>
  <c r="U580" i="2"/>
  <c r="AA580" i="2"/>
  <c r="AD580" i="2"/>
  <c r="AF580" i="2"/>
  <c r="T695" i="1"/>
  <c r="Y695" i="1"/>
  <c r="AE695" i="1"/>
  <c r="AH695" i="1"/>
  <c r="U596" i="2"/>
  <c r="AA596" i="2"/>
  <c r="AD596" i="2"/>
  <c r="AF596" i="2"/>
  <c r="T837" i="1"/>
  <c r="Y837" i="1"/>
  <c r="AE837" i="1"/>
  <c r="AH837" i="1"/>
  <c r="AJ837" i="1"/>
  <c r="AA335" i="3"/>
  <c r="AG370" i="2"/>
  <c r="Q848" i="2"/>
  <c r="V387" i="2"/>
  <c r="AB387" i="2"/>
  <c r="AE387" i="2"/>
  <c r="Q728" i="2"/>
  <c r="U388" i="2"/>
  <c r="AA388" i="2"/>
  <c r="AD388" i="2"/>
  <c r="AF388" i="2"/>
  <c r="V802" i="2"/>
  <c r="AB802" i="2"/>
  <c r="AE802" i="2"/>
  <c r="W491" i="3"/>
  <c r="AC491" i="3"/>
  <c r="AF491" i="3"/>
  <c r="AH491" i="3"/>
  <c r="AA944" i="3"/>
  <c r="Q538" i="2"/>
  <c r="U538" i="2"/>
  <c r="AA538" i="2"/>
  <c r="AD538" i="2"/>
  <c r="AF538" i="2"/>
  <c r="W647" i="3"/>
  <c r="AC647" i="3"/>
  <c r="AF647" i="3"/>
  <c r="Z816" i="2"/>
  <c r="U641" i="2"/>
  <c r="AA641" i="2"/>
  <c r="AD641" i="2"/>
  <c r="AF641" i="2"/>
  <c r="U814" i="2"/>
  <c r="AA814" i="2"/>
  <c r="AD814" i="2"/>
  <c r="AF814" i="2"/>
  <c r="R529" i="3"/>
  <c r="X999" i="1"/>
  <c r="AD999" i="1"/>
  <c r="AG999" i="1"/>
  <c r="AI999" i="1"/>
  <c r="R794" i="3"/>
  <c r="W989" i="3"/>
  <c r="AC989" i="3"/>
  <c r="AF989" i="3"/>
  <c r="AH989" i="3"/>
  <c r="AG240" i="2"/>
  <c r="AJ844" i="1"/>
  <c r="T901" i="1"/>
  <c r="Y901" i="1"/>
  <c r="AE901" i="1"/>
  <c r="AH901" i="1"/>
  <c r="R854" i="3"/>
  <c r="Q277" i="2"/>
  <c r="Q443" i="2"/>
  <c r="AA726" i="3"/>
  <c r="W455" i="3"/>
  <c r="AC455" i="3"/>
  <c r="AF455" i="3"/>
  <c r="T675" i="1"/>
  <c r="Y675" i="1"/>
  <c r="AE675" i="1"/>
  <c r="AH675" i="1"/>
  <c r="Q929" i="2"/>
  <c r="V929" i="2"/>
  <c r="AB929" i="2"/>
  <c r="AE929" i="2"/>
  <c r="V1003" i="2"/>
  <c r="AB1003" i="2"/>
  <c r="AE1003" i="2"/>
  <c r="V839" i="2"/>
  <c r="AB839" i="2"/>
  <c r="AE839" i="2"/>
  <c r="AG839" i="2"/>
  <c r="Q495" i="2"/>
  <c r="AE293" i="2"/>
  <c r="T980" i="1"/>
  <c r="Y980" i="1"/>
  <c r="AE980" i="1"/>
  <c r="AH980" i="1"/>
  <c r="W42" i="3"/>
  <c r="AC42" i="3"/>
  <c r="AF42" i="3"/>
  <c r="AJ800" i="1"/>
  <c r="T906" i="1"/>
  <c r="Y906" i="1"/>
  <c r="AE906" i="1"/>
  <c r="AH906" i="1"/>
  <c r="AH456" i="3"/>
  <c r="R152" i="3"/>
  <c r="V218" i="3"/>
  <c r="AB218" i="3"/>
  <c r="AE218" i="3"/>
  <c r="AG218" i="3"/>
  <c r="V240" i="3"/>
  <c r="AB240" i="3"/>
  <c r="AE240" i="3"/>
  <c r="AG240" i="3"/>
  <c r="V89" i="3"/>
  <c r="AB89" i="3"/>
  <c r="AE89" i="3"/>
  <c r="AG89" i="3"/>
  <c r="W241" i="3"/>
  <c r="AC241" i="3"/>
  <c r="AF241" i="3"/>
  <c r="AJ947" i="1"/>
  <c r="W325" i="3"/>
  <c r="AC325" i="3"/>
  <c r="AF325" i="3"/>
  <c r="AH920" i="3"/>
  <c r="Q228" i="2"/>
  <c r="AC330" i="3"/>
  <c r="W330" i="3"/>
  <c r="AA330" i="3"/>
  <c r="AG261" i="2"/>
  <c r="W782" i="3"/>
  <c r="AC782" i="3"/>
  <c r="AF782" i="3"/>
  <c r="R305" i="3"/>
  <c r="Q549" i="2"/>
  <c r="Q438" i="2"/>
  <c r="V613" i="3"/>
  <c r="AB613" i="3"/>
  <c r="AE613" i="3"/>
  <c r="AG613" i="3"/>
  <c r="V818" i="3"/>
  <c r="AB818" i="3"/>
  <c r="AE818" i="3"/>
  <c r="AG818" i="3"/>
  <c r="W703" i="3"/>
  <c r="AC703" i="3"/>
  <c r="AF703" i="3"/>
  <c r="R633" i="3"/>
  <c r="AJ956" i="1"/>
  <c r="AJ76" i="1"/>
  <c r="W717" i="3"/>
  <c r="AC717" i="3"/>
  <c r="AF717" i="3"/>
  <c r="X787" i="1"/>
  <c r="AD787" i="1"/>
  <c r="AG787" i="1"/>
  <c r="AI787" i="1"/>
  <c r="V426" i="3"/>
  <c r="AB426" i="3"/>
  <c r="AE426" i="3"/>
  <c r="AG426" i="3"/>
  <c r="V488" i="3"/>
  <c r="AB488" i="3"/>
  <c r="AE488" i="3"/>
  <c r="AG488" i="3"/>
  <c r="U654" i="2"/>
  <c r="AA654" i="2"/>
  <c r="AD654" i="2"/>
  <c r="AF654" i="2"/>
  <c r="Q744" i="2"/>
  <c r="AG186" i="2"/>
  <c r="AJ705" i="1"/>
  <c r="U195" i="2"/>
  <c r="AA195" i="2"/>
  <c r="AD195" i="2"/>
  <c r="AF195" i="2"/>
  <c r="AD261" i="3"/>
  <c r="AA162" i="3"/>
  <c r="W655" i="3"/>
  <c r="AC655" i="3"/>
  <c r="AF655" i="3"/>
  <c r="AH655" i="3"/>
  <c r="Q614" i="2"/>
  <c r="AH62" i="3"/>
  <c r="T896" i="1"/>
  <c r="X896" i="1"/>
  <c r="AD896" i="1"/>
  <c r="AG896" i="1"/>
  <c r="AI896" i="1"/>
  <c r="AH976" i="3"/>
  <c r="W757" i="3"/>
  <c r="AC757" i="3"/>
  <c r="AF757" i="3"/>
  <c r="V899" i="3"/>
  <c r="AB899" i="3"/>
  <c r="AE899" i="3"/>
  <c r="AG899" i="3"/>
  <c r="V521" i="3"/>
  <c r="AB521" i="3"/>
  <c r="AE521" i="3"/>
  <c r="AG521" i="3"/>
  <c r="V985" i="2"/>
  <c r="AB985" i="2"/>
  <c r="AE985" i="2"/>
  <c r="R163" i="3"/>
  <c r="W108" i="3"/>
  <c r="AC108" i="3"/>
  <c r="AF108" i="3"/>
  <c r="R579" i="3"/>
  <c r="R569" i="3"/>
  <c r="AG797" i="2"/>
  <c r="AF129" i="3"/>
  <c r="U865" i="2"/>
  <c r="AA865" i="2"/>
  <c r="AD865" i="2"/>
  <c r="AF865" i="2"/>
  <c r="R297" i="3"/>
  <c r="AG1002" i="2"/>
  <c r="AG366" i="2"/>
  <c r="W951" i="3"/>
  <c r="AC951" i="3"/>
  <c r="AF951" i="3"/>
  <c r="T801" i="1"/>
  <c r="Y801" i="1"/>
  <c r="AE801" i="1"/>
  <c r="AH801" i="1"/>
  <c r="AH639" i="3"/>
  <c r="Q559" i="2"/>
  <c r="T928" i="1"/>
  <c r="X928" i="1"/>
  <c r="AD928" i="1"/>
  <c r="AG928" i="1"/>
  <c r="AI928" i="1"/>
  <c r="AA225" i="3"/>
  <c r="R353" i="3"/>
  <c r="K398" i="2"/>
  <c r="J398" i="2"/>
  <c r="L398" i="2"/>
  <c r="Q398" i="2"/>
  <c r="V398" i="2"/>
  <c r="AB398" i="2"/>
  <c r="AE398" i="2"/>
  <c r="T702" i="1"/>
  <c r="Y702" i="1"/>
  <c r="AE702" i="1"/>
  <c r="AH702" i="1"/>
  <c r="R137" i="3"/>
  <c r="AG345" i="2"/>
  <c r="AH581" i="3"/>
  <c r="AH965" i="3"/>
  <c r="W452" i="3"/>
  <c r="AC452" i="3"/>
  <c r="AF452" i="3"/>
  <c r="Q206" i="2"/>
  <c r="R105" i="3"/>
  <c r="AC821" i="1"/>
  <c r="Y753" i="1"/>
  <c r="AE753" i="1"/>
  <c r="AH753" i="1"/>
  <c r="AJ753" i="1"/>
  <c r="V156" i="3"/>
  <c r="AB156" i="3"/>
  <c r="AE156" i="3"/>
  <c r="AG156" i="3"/>
  <c r="W234" i="3"/>
  <c r="AC234" i="3"/>
  <c r="AF234" i="3"/>
  <c r="AG664" i="2"/>
  <c r="V771" i="2"/>
  <c r="AB771" i="2"/>
  <c r="AE771" i="2"/>
  <c r="AG771" i="2"/>
  <c r="V313" i="2"/>
  <c r="AB313" i="2"/>
  <c r="AE313" i="2"/>
  <c r="AG313" i="2"/>
  <c r="Z977" i="2"/>
  <c r="AG584" i="2"/>
  <c r="W269" i="3"/>
  <c r="AC269" i="3"/>
  <c r="AF269" i="3"/>
  <c r="R738" i="3"/>
  <c r="AJ991" i="1"/>
  <c r="AH987" i="3"/>
  <c r="V62" i="3"/>
  <c r="AB62" i="3"/>
  <c r="AE62" i="3"/>
  <c r="AG62" i="3"/>
  <c r="Y662" i="1"/>
  <c r="AE662" i="1"/>
  <c r="AH662" i="1"/>
  <c r="V628" i="2"/>
  <c r="AB628" i="2"/>
  <c r="AE628" i="2"/>
  <c r="X692" i="1"/>
  <c r="AD692" i="1"/>
  <c r="AG692" i="1"/>
  <c r="AI692" i="1"/>
  <c r="V952" i="2"/>
  <c r="AB952" i="2"/>
  <c r="AE952" i="2"/>
  <c r="U959" i="2"/>
  <c r="AA959" i="2"/>
  <c r="AD959" i="2"/>
  <c r="AF959" i="2"/>
  <c r="R474" i="3"/>
  <c r="W474" i="3"/>
  <c r="AC474" i="3"/>
  <c r="AF474" i="3"/>
  <c r="R830" i="3"/>
  <c r="AJ733" i="1"/>
  <c r="X949" i="1"/>
  <c r="AD949" i="1"/>
  <c r="AG949" i="1"/>
  <c r="AI949" i="1"/>
  <c r="AH803" i="3"/>
  <c r="V823" i="2"/>
  <c r="AB823" i="2"/>
  <c r="AE823" i="2"/>
  <c r="R525" i="3"/>
  <c r="V810" i="3"/>
  <c r="AB810" i="3"/>
  <c r="AE810" i="3"/>
  <c r="AG810" i="3"/>
  <c r="R158" i="3"/>
  <c r="W746" i="3"/>
  <c r="AC746" i="3"/>
  <c r="AF746" i="3"/>
  <c r="Z472" i="2"/>
  <c r="V615" i="2"/>
  <c r="AB615" i="2"/>
  <c r="AE615" i="2"/>
  <c r="M757" i="1"/>
  <c r="AH302" i="3"/>
  <c r="U377" i="2"/>
  <c r="AA377" i="2"/>
  <c r="AD377" i="2"/>
  <c r="AF377" i="2"/>
  <c r="Q932" i="2"/>
  <c r="Q840" i="2"/>
  <c r="W414" i="3"/>
  <c r="AC414" i="3"/>
  <c r="AF414" i="3"/>
  <c r="L782" i="1"/>
  <c r="K782" i="1"/>
  <c r="V889" i="2"/>
  <c r="AB889" i="2"/>
  <c r="AE889" i="2"/>
  <c r="AG889" i="2"/>
  <c r="AG271" i="2"/>
  <c r="AH896" i="3"/>
  <c r="L79" i="1"/>
  <c r="K79" i="1"/>
  <c r="U842" i="2"/>
  <c r="AA842" i="2"/>
  <c r="AD842" i="2"/>
  <c r="AF842" i="2"/>
  <c r="W637" i="3"/>
  <c r="AC637" i="3"/>
  <c r="AF637" i="3"/>
  <c r="W198" i="3"/>
  <c r="AC198" i="3"/>
  <c r="AF198" i="3"/>
  <c r="R118" i="3"/>
  <c r="V619" i="2"/>
  <c r="AB619" i="2"/>
  <c r="AE619" i="2"/>
  <c r="AH443" i="3"/>
  <c r="Q855" i="2"/>
  <c r="AH116" i="3"/>
  <c r="R445" i="3"/>
  <c r="W445" i="3"/>
  <c r="AC445" i="3"/>
  <c r="AF445" i="3"/>
  <c r="W585" i="3"/>
  <c r="AC585" i="3"/>
  <c r="AF585" i="3"/>
  <c r="AH585" i="3"/>
  <c r="K562" i="3"/>
  <c r="J562" i="3"/>
  <c r="L562" i="3"/>
  <c r="W99" i="3"/>
  <c r="AC99" i="3"/>
  <c r="AF99" i="3"/>
  <c r="AH99" i="3"/>
  <c r="U688" i="2"/>
  <c r="AA688" i="2"/>
  <c r="AD688" i="2"/>
  <c r="AF688" i="2"/>
  <c r="R408" i="3"/>
  <c r="R68" i="3"/>
  <c r="W68" i="3"/>
  <c r="AC68" i="3"/>
  <c r="AF68" i="3"/>
  <c r="AH68" i="3"/>
  <c r="R831" i="3"/>
  <c r="AD868" i="3"/>
  <c r="R357" i="3"/>
  <c r="V922" i="3"/>
  <c r="AB922" i="3"/>
  <c r="AE922" i="3"/>
  <c r="AG922" i="3"/>
  <c r="L953" i="1"/>
  <c r="K953" i="1"/>
  <c r="T953" i="1"/>
  <c r="Y953" i="1"/>
  <c r="AE953" i="1"/>
  <c r="AH953" i="1"/>
  <c r="V611" i="2"/>
  <c r="AB611" i="2"/>
  <c r="AE611" i="2"/>
  <c r="R466" i="3"/>
  <c r="V964" i="3"/>
  <c r="AB964" i="3"/>
  <c r="AE964" i="3"/>
  <c r="AG964" i="3"/>
  <c r="W160" i="3"/>
  <c r="AC160" i="3"/>
  <c r="AF160" i="3"/>
  <c r="W833" i="3"/>
  <c r="AC833" i="3"/>
  <c r="AF833" i="3"/>
  <c r="V407" i="2"/>
  <c r="AB407" i="2"/>
  <c r="AE407" i="2"/>
  <c r="AJ803" i="1"/>
  <c r="W151" i="3"/>
  <c r="AC151" i="3"/>
  <c r="AF151" i="3"/>
  <c r="AF819" i="2"/>
  <c r="AG752" i="2"/>
  <c r="U342" i="2"/>
  <c r="AA342" i="2"/>
  <c r="AD342" i="2"/>
  <c r="AF342" i="2"/>
  <c r="V470" i="3"/>
  <c r="AB470" i="3"/>
  <c r="AE470" i="3"/>
  <c r="AG470" i="3"/>
  <c r="R296" i="3"/>
  <c r="V286" i="2"/>
  <c r="AB286" i="2"/>
  <c r="AE286" i="2"/>
  <c r="W190" i="3"/>
  <c r="AC190" i="3"/>
  <c r="AF190" i="3"/>
  <c r="V463" i="2"/>
  <c r="AB463" i="2"/>
  <c r="AE463" i="2"/>
  <c r="W287" i="3"/>
  <c r="AC287" i="3"/>
  <c r="AF287" i="3"/>
  <c r="Q968" i="2"/>
  <c r="AJ986" i="1"/>
  <c r="R147" i="3"/>
  <c r="J147" i="3"/>
  <c r="L147" i="3"/>
  <c r="K147" i="3"/>
  <c r="V499" i="2"/>
  <c r="AB499" i="2"/>
  <c r="AE499" i="2"/>
  <c r="W610" i="3"/>
  <c r="AC610" i="3"/>
  <c r="AF610" i="3"/>
  <c r="AH610" i="3"/>
  <c r="M873" i="1"/>
  <c r="L880" i="1"/>
  <c r="K880" i="1"/>
  <c r="R695" i="3"/>
  <c r="AC923" i="2"/>
  <c r="U923" i="2"/>
  <c r="AA923" i="2"/>
  <c r="AD923" i="2"/>
  <c r="AH509" i="3"/>
  <c r="V633" i="2"/>
  <c r="AB633" i="2"/>
  <c r="AE633" i="2"/>
  <c r="W743" i="3"/>
  <c r="AC743" i="3"/>
  <c r="AF743" i="3"/>
  <c r="V179" i="3"/>
  <c r="AB179" i="3"/>
  <c r="AE179" i="3"/>
  <c r="AG179" i="3"/>
  <c r="W985" i="3"/>
  <c r="AC985" i="3"/>
  <c r="AF985" i="3"/>
  <c r="AH968" i="3"/>
  <c r="V376" i="2"/>
  <c r="AB376" i="2"/>
  <c r="AE376" i="2"/>
  <c r="V467" i="2"/>
  <c r="AB467" i="2"/>
  <c r="AE467" i="2"/>
  <c r="AG467" i="2"/>
  <c r="V273" i="2"/>
  <c r="AB273" i="2"/>
  <c r="AE273" i="2"/>
  <c r="Q789" i="2"/>
  <c r="Z267" i="2"/>
  <c r="Y876" i="1"/>
  <c r="AE876" i="1"/>
  <c r="AH876" i="1"/>
  <c r="V914" i="2"/>
  <c r="AB914" i="2"/>
  <c r="AE914" i="2"/>
  <c r="W501" i="3"/>
  <c r="AC501" i="3"/>
  <c r="AF501" i="3"/>
  <c r="R753" i="3"/>
  <c r="W534" i="3"/>
  <c r="AC534" i="3"/>
  <c r="AF534" i="3"/>
  <c r="AH534" i="3"/>
  <c r="AA571" i="3"/>
  <c r="W908" i="3"/>
  <c r="AC908" i="3"/>
  <c r="AF908" i="3"/>
  <c r="U946" i="2"/>
  <c r="AA946" i="2"/>
  <c r="AD946" i="2"/>
  <c r="AF946" i="2"/>
  <c r="W424" i="3"/>
  <c r="AC424" i="3"/>
  <c r="AF424" i="3"/>
  <c r="AH424" i="3"/>
  <c r="W756" i="3"/>
  <c r="AC756" i="3"/>
  <c r="AF756" i="3"/>
  <c r="Q233" i="2"/>
  <c r="R265" i="3"/>
  <c r="V970" i="2"/>
  <c r="AB970" i="2"/>
  <c r="AE970" i="2"/>
  <c r="AH457" i="3"/>
  <c r="AC809" i="1"/>
  <c r="V907" i="2"/>
  <c r="AB907" i="2"/>
  <c r="AE907" i="2"/>
  <c r="V653" i="2"/>
  <c r="AB653" i="2"/>
  <c r="AE653" i="2"/>
  <c r="T991" i="1"/>
  <c r="Y991" i="1"/>
  <c r="AE991" i="1"/>
  <c r="AH991" i="1"/>
  <c r="V821" i="2"/>
  <c r="AB821" i="2"/>
  <c r="AE821" i="2"/>
  <c r="Q781" i="2"/>
  <c r="V781" i="2"/>
  <c r="AB781" i="2"/>
  <c r="AE781" i="2"/>
  <c r="Q531" i="2"/>
  <c r="T770" i="1"/>
  <c r="Y770" i="1"/>
  <c r="AE770" i="1"/>
  <c r="AH770" i="1"/>
  <c r="L371" i="2"/>
  <c r="K371" i="2"/>
  <c r="J371" i="2"/>
  <c r="Y886" i="1"/>
  <c r="AE886" i="1"/>
  <c r="AH886" i="1"/>
  <c r="R154" i="3"/>
  <c r="V409" i="3"/>
  <c r="AB409" i="3"/>
  <c r="AE409" i="3"/>
  <c r="AG409" i="3"/>
  <c r="AC954" i="1"/>
  <c r="W913" i="3"/>
  <c r="AC913" i="3"/>
  <c r="AF913" i="3"/>
  <c r="Q982" i="2"/>
  <c r="AG565" i="2"/>
  <c r="V657" i="3"/>
  <c r="AB657" i="3"/>
  <c r="AE657" i="3"/>
  <c r="AG657" i="3"/>
  <c r="V742" i="3"/>
  <c r="AB742" i="3"/>
  <c r="AE742" i="3"/>
  <c r="AG742" i="3"/>
  <c r="V892" i="2"/>
  <c r="AB892" i="2"/>
  <c r="AE892" i="2"/>
  <c r="AG892" i="2"/>
  <c r="Q289" i="2"/>
  <c r="Q622" i="2"/>
  <c r="V205" i="3"/>
  <c r="AB205" i="3"/>
  <c r="AE205" i="3"/>
  <c r="AG205" i="3"/>
  <c r="AG845" i="2"/>
  <c r="AD133" i="3"/>
  <c r="W204" i="3"/>
  <c r="AC204" i="3"/>
  <c r="AF204" i="3"/>
  <c r="Q915" i="2"/>
  <c r="V915" i="2"/>
  <c r="AB915" i="2"/>
  <c r="AE915" i="2"/>
  <c r="AJ760" i="1"/>
  <c r="W987" i="3"/>
  <c r="AC987" i="3"/>
  <c r="AF987" i="3"/>
  <c r="AC832" i="1"/>
  <c r="V817" i="3"/>
  <c r="AB817" i="3"/>
  <c r="AE817" i="3"/>
  <c r="AG817" i="3"/>
  <c r="V651" i="3"/>
  <c r="AB651" i="3"/>
  <c r="AE651" i="3"/>
  <c r="AG651" i="3"/>
  <c r="V680" i="3"/>
  <c r="AB680" i="3"/>
  <c r="AE680" i="3"/>
  <c r="AG680" i="3"/>
  <c r="R378" i="3"/>
  <c r="U415" i="2"/>
  <c r="AA415" i="2"/>
  <c r="AD415" i="2"/>
  <c r="AF415" i="2"/>
  <c r="Q815" i="2"/>
  <c r="V503" i="2"/>
  <c r="AB503" i="2"/>
  <c r="AE503" i="2"/>
  <c r="W834" i="3"/>
  <c r="AC834" i="3"/>
  <c r="AF834" i="3"/>
  <c r="R575" i="3"/>
  <c r="R601" i="3"/>
  <c r="AH143" i="3"/>
  <c r="Q321" i="2"/>
  <c r="V63" i="3"/>
  <c r="AB63" i="3"/>
  <c r="AE63" i="3"/>
  <c r="AG63" i="3"/>
  <c r="V592" i="2"/>
  <c r="AB592" i="2"/>
  <c r="AE592" i="2"/>
  <c r="R92" i="3"/>
  <c r="W935" i="3"/>
  <c r="AC935" i="3"/>
  <c r="AF935" i="3"/>
  <c r="Z593" i="2"/>
  <c r="R98" i="3"/>
  <c r="AH962" i="3"/>
  <c r="W677" i="3"/>
  <c r="AC677" i="3"/>
  <c r="AF677" i="3"/>
  <c r="AH748" i="3"/>
  <c r="M1000" i="1"/>
  <c r="V756" i="2"/>
  <c r="AB756" i="2"/>
  <c r="AE756" i="2"/>
  <c r="R644" i="3"/>
  <c r="AH340" i="3"/>
  <c r="W528" i="3"/>
  <c r="AC528" i="3"/>
  <c r="AF528" i="3"/>
  <c r="Q908" i="2"/>
  <c r="T759" i="1"/>
  <c r="X759" i="1"/>
  <c r="AD759" i="1"/>
  <c r="AG759" i="1"/>
  <c r="AI759" i="1"/>
  <c r="AJ126" i="1"/>
  <c r="AG300" i="2"/>
  <c r="AH290" i="3"/>
  <c r="U463" i="2"/>
  <c r="AA463" i="2"/>
  <c r="AD463" i="2"/>
  <c r="AF463" i="2"/>
  <c r="W401" i="3"/>
  <c r="AC401" i="3"/>
  <c r="AF401" i="3"/>
  <c r="W639" i="3"/>
  <c r="AC639" i="3"/>
  <c r="AF639" i="3"/>
  <c r="U882" i="2"/>
  <c r="AA882" i="2"/>
  <c r="AD882" i="2"/>
  <c r="AF882" i="2"/>
  <c r="V334" i="3"/>
  <c r="AB334" i="3"/>
  <c r="AE334" i="3"/>
  <c r="AG334" i="3"/>
  <c r="V630" i="3"/>
  <c r="AB630" i="3"/>
  <c r="AE630" i="3"/>
  <c r="AG630" i="3"/>
  <c r="R388" i="3"/>
  <c r="R126" i="3"/>
  <c r="AG344" i="2"/>
  <c r="L963" i="1"/>
  <c r="K963" i="1"/>
  <c r="AH707" i="3"/>
  <c r="AA213" i="3"/>
  <c r="Q317" i="2"/>
  <c r="AE510" i="2"/>
  <c r="V557" i="2"/>
  <c r="AB557" i="2"/>
  <c r="AE557" i="2"/>
  <c r="AH876" i="3"/>
  <c r="R647" i="3"/>
  <c r="V292" i="2"/>
  <c r="AB292" i="2"/>
  <c r="AE292" i="2"/>
  <c r="V261" i="3"/>
  <c r="AB261" i="3"/>
  <c r="AE261" i="3"/>
  <c r="AG261" i="3"/>
  <c r="M864" i="1"/>
  <c r="V42" i="3"/>
  <c r="AB42" i="3"/>
  <c r="AE42" i="3"/>
  <c r="AG42" i="3"/>
  <c r="W678" i="3"/>
  <c r="AC678" i="3"/>
  <c r="AF678" i="3"/>
  <c r="V429" i="2"/>
  <c r="AB429" i="2"/>
  <c r="AE429" i="2"/>
  <c r="AJ677" i="1"/>
  <c r="U351" i="2"/>
  <c r="AA351" i="2"/>
  <c r="AD351" i="2"/>
  <c r="AF351" i="2"/>
  <c r="V759" i="2"/>
  <c r="AB759" i="2"/>
  <c r="AE759" i="2"/>
  <c r="U547" i="2"/>
  <c r="AA547" i="2"/>
  <c r="AD547" i="2"/>
  <c r="AF547" i="2"/>
  <c r="AH771" i="3"/>
  <c r="AH681" i="3"/>
  <c r="V536" i="3"/>
  <c r="AB536" i="3"/>
  <c r="AE536" i="3"/>
  <c r="AG536" i="3"/>
  <c r="AI945" i="1"/>
  <c r="W643" i="3"/>
  <c r="AC643" i="3"/>
  <c r="AF643" i="3"/>
  <c r="AH698" i="1"/>
  <c r="V687" i="3"/>
  <c r="AB687" i="3"/>
  <c r="AE687" i="3"/>
  <c r="AG687" i="3"/>
  <c r="V1002" i="2"/>
  <c r="AB1002" i="2"/>
  <c r="AE1002" i="2"/>
  <c r="T813" i="1"/>
  <c r="Y813" i="1"/>
  <c r="AE813" i="1"/>
  <c r="AH813" i="1"/>
  <c r="R719" i="3"/>
  <c r="V996" i="2"/>
  <c r="AB996" i="2"/>
  <c r="AE996" i="2"/>
  <c r="R785" i="3"/>
  <c r="L742" i="1"/>
  <c r="K742" i="1"/>
  <c r="AA787" i="3"/>
  <c r="U716" i="2"/>
  <c r="AA716" i="2"/>
  <c r="AD716" i="2"/>
  <c r="AF716" i="2"/>
  <c r="L882" i="1"/>
  <c r="K882" i="1"/>
  <c r="AJ957" i="1"/>
  <c r="R405" i="3"/>
  <c r="T949" i="1"/>
  <c r="Y949" i="1"/>
  <c r="AE949" i="1"/>
  <c r="AH949" i="1"/>
  <c r="L770" i="1"/>
  <c r="K770" i="1"/>
  <c r="AH419" i="3"/>
  <c r="AJ825" i="1"/>
  <c r="V216" i="3"/>
  <c r="AB216" i="3"/>
  <c r="AE216" i="3"/>
  <c r="AG216" i="3"/>
  <c r="V415" i="2"/>
  <c r="AB415" i="2"/>
  <c r="AE415" i="2"/>
  <c r="R454" i="3"/>
  <c r="Q818" i="2"/>
  <c r="W574" i="3"/>
  <c r="AC574" i="3"/>
  <c r="AF574" i="3"/>
  <c r="AH650" i="3"/>
  <c r="W770" i="3"/>
  <c r="AC770" i="3"/>
  <c r="AF770" i="3"/>
  <c r="U772" i="2"/>
  <c r="AA772" i="2"/>
  <c r="AD772" i="2"/>
  <c r="AF772" i="2"/>
  <c r="W651" i="3"/>
  <c r="AC651" i="3"/>
  <c r="AF651" i="3"/>
  <c r="R948" i="3"/>
  <c r="V204" i="3"/>
  <c r="AB204" i="3"/>
  <c r="AE204" i="3"/>
  <c r="AG204" i="3"/>
  <c r="L802" i="1"/>
  <c r="K802" i="1"/>
  <c r="V221" i="2"/>
  <c r="AB221" i="2"/>
  <c r="AE221" i="2"/>
  <c r="V683" i="2"/>
  <c r="AB683" i="2"/>
  <c r="AE683" i="2"/>
  <c r="U910" i="2"/>
  <c r="AA910" i="2"/>
  <c r="AD910" i="2"/>
  <c r="AF910" i="2"/>
  <c r="X910" i="1"/>
  <c r="AD910" i="1"/>
  <c r="AG910" i="1"/>
  <c r="AI910" i="1"/>
  <c r="R685" i="3"/>
  <c r="R102" i="3"/>
  <c r="Y844" i="1"/>
  <c r="AE844" i="1"/>
  <c r="AH844" i="1"/>
  <c r="W986" i="3"/>
  <c r="AC986" i="3"/>
  <c r="AF986" i="3"/>
  <c r="AG266" i="2"/>
  <c r="V186" i="2"/>
  <c r="AB186" i="2"/>
  <c r="AE186" i="2"/>
  <c r="Q535" i="2"/>
  <c r="V236" i="2"/>
  <c r="AB236" i="2"/>
  <c r="AE236" i="2"/>
  <c r="V797" i="3"/>
  <c r="AB797" i="3"/>
  <c r="AE797" i="3"/>
  <c r="AG797" i="3"/>
  <c r="X892" i="1"/>
  <c r="AD892" i="1"/>
  <c r="AG892" i="1"/>
  <c r="AI892" i="1"/>
  <c r="W458" i="3"/>
  <c r="AC458" i="3"/>
  <c r="AF458" i="3"/>
  <c r="M920" i="1"/>
  <c r="U854" i="2"/>
  <c r="AA854" i="2"/>
  <c r="AD854" i="2"/>
  <c r="AF854" i="2"/>
  <c r="Q905" i="2"/>
  <c r="V772" i="2"/>
  <c r="AB772" i="2"/>
  <c r="AE772" i="2"/>
  <c r="AG804" i="2"/>
  <c r="U483" i="2"/>
  <c r="AA483" i="2"/>
  <c r="AD483" i="2"/>
  <c r="AF483" i="2"/>
  <c r="W884" i="3"/>
  <c r="AC884" i="3"/>
  <c r="AF884" i="3"/>
  <c r="R299" i="3"/>
  <c r="Z288" i="2"/>
  <c r="V563" i="3"/>
  <c r="AB563" i="3"/>
  <c r="AE563" i="3"/>
  <c r="AG563" i="3"/>
  <c r="W247" i="3"/>
  <c r="AC247" i="3"/>
  <c r="AF247" i="3"/>
  <c r="AH247" i="3"/>
  <c r="Q439" i="2"/>
  <c r="V408" i="2"/>
  <c r="AB408" i="2"/>
  <c r="AE408" i="2"/>
  <c r="AG736" i="2"/>
  <c r="U192" i="2"/>
  <c r="AA192" i="2"/>
  <c r="AD192" i="2"/>
  <c r="AF192" i="2"/>
  <c r="Q641" i="2"/>
  <c r="W180" i="3"/>
  <c r="AC180" i="3"/>
  <c r="AF180" i="3"/>
  <c r="V336" i="2"/>
  <c r="AB336" i="2"/>
  <c r="AE336" i="2"/>
  <c r="M844" i="1"/>
  <c r="T844" i="1"/>
  <c r="AG989" i="2"/>
  <c r="AH415" i="3"/>
  <c r="U623" i="2"/>
  <c r="AA623" i="2"/>
  <c r="AD623" i="2"/>
  <c r="AF623" i="2"/>
  <c r="V887" i="3"/>
  <c r="AB887" i="3"/>
  <c r="AE887" i="3"/>
  <c r="AG887" i="3"/>
  <c r="Q451" i="2"/>
  <c r="U266" i="2"/>
  <c r="AA266" i="2"/>
  <c r="AD266" i="2"/>
  <c r="AF266" i="2"/>
  <c r="T997" i="1"/>
  <c r="Y997" i="1"/>
  <c r="AE997" i="1"/>
  <c r="AH997" i="1"/>
  <c r="V886" i="2"/>
  <c r="AB886" i="2"/>
  <c r="AE886" i="2"/>
  <c r="V547" i="3"/>
  <c r="AB547" i="3"/>
  <c r="AE547" i="3"/>
  <c r="AG547" i="3"/>
  <c r="L801" i="1"/>
  <c r="K801" i="1"/>
  <c r="V381" i="2"/>
  <c r="AB381" i="2"/>
  <c r="AE381" i="2"/>
  <c r="AG381" i="2"/>
  <c r="T884" i="1"/>
  <c r="X884" i="1"/>
  <c r="AD884" i="1"/>
  <c r="AG884" i="1"/>
  <c r="AI884" i="1"/>
  <c r="AG450" i="2"/>
  <c r="V319" i="2"/>
  <c r="AB319" i="2"/>
  <c r="AE319" i="2"/>
  <c r="AH891" i="3"/>
  <c r="AB586" i="2"/>
  <c r="V586" i="2"/>
  <c r="Z586" i="2"/>
  <c r="M698" i="1"/>
  <c r="Q190" i="2"/>
  <c r="AA490" i="3"/>
  <c r="R658" i="3"/>
  <c r="AH48" i="3"/>
  <c r="W181" i="3"/>
  <c r="AC181" i="3"/>
  <c r="AF181" i="3"/>
  <c r="W859" i="3"/>
  <c r="AC859" i="3"/>
  <c r="AF859" i="3"/>
  <c r="R877" i="3"/>
  <c r="W946" i="3"/>
  <c r="AC946" i="3"/>
  <c r="AF946" i="3"/>
  <c r="R180" i="3"/>
  <c r="Q235" i="2"/>
  <c r="AH571" i="3"/>
  <c r="U360" i="2"/>
  <c r="AA360" i="2"/>
  <c r="AD360" i="2"/>
  <c r="AF360" i="2"/>
  <c r="AC905" i="1"/>
  <c r="W521" i="3"/>
  <c r="AC521" i="3"/>
  <c r="AF521" i="3"/>
  <c r="V386" i="2"/>
  <c r="AB386" i="2"/>
  <c r="AE386" i="2"/>
  <c r="AH489" i="3"/>
  <c r="L797" i="1"/>
  <c r="K797" i="1"/>
  <c r="U350" i="2"/>
  <c r="AA350" i="2"/>
  <c r="AD350" i="2"/>
  <c r="AF350" i="2"/>
  <c r="V420" i="2"/>
  <c r="AB420" i="2"/>
  <c r="AE420" i="2"/>
  <c r="AG508" i="2"/>
  <c r="W504" i="3"/>
  <c r="AC504" i="3"/>
  <c r="AF504" i="3"/>
  <c r="U687" i="2"/>
  <c r="AA687" i="2"/>
  <c r="AD687" i="2"/>
  <c r="AF687" i="2"/>
  <c r="R953" i="3"/>
  <c r="AC196" i="2"/>
  <c r="AC240" i="2"/>
  <c r="V149" i="3"/>
  <c r="AB149" i="3"/>
  <c r="AE149" i="3"/>
  <c r="AG149" i="3"/>
  <c r="L881" i="1"/>
  <c r="K881" i="1"/>
  <c r="AH201" i="3"/>
  <c r="W122" i="3"/>
  <c r="AC122" i="3"/>
  <c r="AF122" i="3"/>
  <c r="AH122" i="3"/>
  <c r="AA594" i="3"/>
  <c r="U218" i="2"/>
  <c r="AA218" i="2"/>
  <c r="AD218" i="2"/>
  <c r="AF218" i="2"/>
  <c r="W321" i="3"/>
  <c r="AC321" i="3"/>
  <c r="AF321" i="3"/>
  <c r="AH321" i="3"/>
  <c r="Q380" i="2"/>
  <c r="L913" i="1"/>
  <c r="K913" i="1"/>
  <c r="Q1003" i="2"/>
  <c r="V866" i="2"/>
  <c r="AB866" i="2"/>
  <c r="AE866" i="2"/>
  <c r="K575" i="3"/>
  <c r="J575" i="3"/>
  <c r="L575" i="3"/>
  <c r="W40" i="3"/>
  <c r="AC40" i="3"/>
  <c r="AF40" i="3"/>
  <c r="V909" i="3"/>
  <c r="AB909" i="3"/>
  <c r="AE909" i="3"/>
  <c r="AG909" i="3"/>
  <c r="L933" i="1"/>
  <c r="K933" i="1"/>
  <c r="R294" i="3"/>
  <c r="V624" i="2"/>
  <c r="AB624" i="2"/>
  <c r="AE624" i="2"/>
  <c r="AG624" i="2"/>
  <c r="W975" i="3"/>
  <c r="AC975" i="3"/>
  <c r="AF975" i="3"/>
  <c r="AH975" i="3"/>
  <c r="X821" i="1"/>
  <c r="AD821" i="1"/>
  <c r="AG821" i="1"/>
  <c r="AI821" i="1"/>
  <c r="V195" i="2"/>
  <c r="AB195" i="2"/>
  <c r="AE195" i="2"/>
  <c r="T823" i="1"/>
  <c r="Y823" i="1"/>
  <c r="AE823" i="1"/>
  <c r="AH823" i="1"/>
  <c r="V75" i="3"/>
  <c r="AB75" i="3"/>
  <c r="AE75" i="3"/>
  <c r="AG75" i="3"/>
  <c r="W159" i="3"/>
  <c r="AC159" i="3"/>
  <c r="AF159" i="3"/>
  <c r="W698" i="3"/>
  <c r="AC698" i="3"/>
  <c r="AF698" i="3"/>
  <c r="R849" i="3"/>
  <c r="V859" i="3"/>
  <c r="AB859" i="3"/>
  <c r="AE859" i="3"/>
  <c r="AG859" i="3"/>
  <c r="Q478" i="2"/>
  <c r="AJ873" i="1"/>
  <c r="W767" i="3"/>
  <c r="AC767" i="3"/>
  <c r="AF767" i="3"/>
  <c r="AD244" i="3"/>
  <c r="W659" i="3"/>
  <c r="AC659" i="3"/>
  <c r="AF659" i="3"/>
  <c r="AH659" i="3"/>
  <c r="R110" i="3"/>
  <c r="V384" i="3"/>
  <c r="AB384" i="3"/>
  <c r="AE384" i="3"/>
  <c r="AG384" i="3"/>
  <c r="Z810" i="2"/>
  <c r="V452" i="2"/>
  <c r="AB452" i="2"/>
  <c r="AE452" i="2"/>
  <c r="AG452" i="2"/>
  <c r="L723" i="1"/>
  <c r="K723" i="1"/>
  <c r="Q463" i="2"/>
  <c r="V122" i="3"/>
  <c r="AB122" i="3"/>
  <c r="AE122" i="3"/>
  <c r="AG122" i="3"/>
  <c r="Q336" i="2"/>
  <c r="AA436" i="3"/>
  <c r="W976" i="3"/>
  <c r="AC976" i="3"/>
  <c r="AF976" i="3"/>
  <c r="W123" i="3"/>
  <c r="AC123" i="3"/>
  <c r="AF123" i="3"/>
  <c r="AH595" i="3"/>
  <c r="T972" i="1"/>
  <c r="X972" i="1"/>
  <c r="AD972" i="1"/>
  <c r="AG972" i="1"/>
  <c r="AI972" i="1"/>
  <c r="T983" i="1"/>
  <c r="X983" i="1"/>
  <c r="AD983" i="1"/>
  <c r="AG983" i="1"/>
  <c r="AI983" i="1"/>
  <c r="W900" i="3"/>
  <c r="AC900" i="3"/>
  <c r="AF900" i="3"/>
  <c r="AH900" i="3"/>
  <c r="Q823" i="2"/>
  <c r="V656" i="2"/>
  <c r="AB656" i="2"/>
  <c r="AE656" i="2"/>
  <c r="W153" i="3"/>
  <c r="AC153" i="3"/>
  <c r="AF153" i="3"/>
  <c r="V800" i="2"/>
  <c r="AB800" i="2"/>
  <c r="AE800" i="2"/>
  <c r="V58" i="3"/>
  <c r="AB58" i="3"/>
  <c r="AE58" i="3"/>
  <c r="AG58" i="3"/>
  <c r="V1004" i="2"/>
  <c r="AB1004" i="2"/>
  <c r="AE1004" i="2"/>
  <c r="R84" i="3"/>
  <c r="W84" i="3"/>
  <c r="AC84" i="3"/>
  <c r="AF84" i="3"/>
  <c r="Q747" i="2"/>
  <c r="U747" i="2"/>
  <c r="AA747" i="2"/>
  <c r="AD747" i="2"/>
  <c r="AF747" i="2"/>
  <c r="L578" i="2"/>
  <c r="K578" i="2"/>
  <c r="J578" i="2"/>
  <c r="R987" i="3"/>
  <c r="R729" i="3"/>
  <c r="W617" i="3"/>
  <c r="AC617" i="3"/>
  <c r="AF617" i="3"/>
  <c r="AH38" i="3"/>
  <c r="V381" i="3"/>
  <c r="AB381" i="3"/>
  <c r="AE381" i="3"/>
  <c r="AG381" i="3"/>
  <c r="V774" i="2"/>
  <c r="AB774" i="2"/>
  <c r="AE774" i="2"/>
  <c r="AG774" i="2"/>
  <c r="K728" i="2"/>
  <c r="J728" i="2"/>
  <c r="L728" i="2"/>
  <c r="AG934" i="2"/>
  <c r="W773" i="3"/>
  <c r="AC773" i="3"/>
  <c r="AF773" i="3"/>
  <c r="V198" i="2"/>
  <c r="AB198" i="2"/>
  <c r="AE198" i="2"/>
  <c r="R176" i="3"/>
  <c r="R629" i="3"/>
  <c r="V356" i="3"/>
  <c r="AB356" i="3"/>
  <c r="AE356" i="3"/>
  <c r="AG356" i="3"/>
  <c r="V346" i="2"/>
  <c r="AB346" i="2"/>
  <c r="AE346" i="2"/>
  <c r="AH784" i="1"/>
  <c r="U673" i="2"/>
  <c r="AA673" i="2"/>
  <c r="AD673" i="2"/>
  <c r="AF673" i="2"/>
  <c r="V127" i="3"/>
  <c r="AB127" i="3"/>
  <c r="AE127" i="3"/>
  <c r="AG127" i="3"/>
  <c r="AF652" i="3"/>
  <c r="U1009" i="2"/>
  <c r="AA1009" i="2"/>
  <c r="AD1009" i="2"/>
  <c r="AF1009" i="2"/>
  <c r="R496" i="3"/>
  <c r="W589" i="3"/>
  <c r="AC589" i="3"/>
  <c r="AF589" i="3"/>
  <c r="V270" i="2"/>
  <c r="AB270" i="2"/>
  <c r="AE270" i="2"/>
  <c r="M780" i="1"/>
  <c r="V57" i="3"/>
  <c r="AB57" i="3"/>
  <c r="AE57" i="3"/>
  <c r="AG57" i="3"/>
  <c r="L754" i="1"/>
  <c r="K754" i="1"/>
  <c r="R501" i="3"/>
  <c r="R228" i="3"/>
  <c r="Q849" i="2"/>
  <c r="V676" i="2"/>
  <c r="AB676" i="2"/>
  <c r="AE676" i="2"/>
  <c r="W803" i="3"/>
  <c r="AC803" i="3"/>
  <c r="AF803" i="3"/>
  <c r="Z283" i="2"/>
  <c r="T862" i="1"/>
  <c r="Y862" i="1"/>
  <c r="AE862" i="1"/>
  <c r="AH862" i="1"/>
  <c r="AJ862" i="1"/>
  <c r="Q938" i="2"/>
  <c r="R741" i="3"/>
  <c r="AD142" i="3"/>
  <c r="V459" i="2"/>
  <c r="AB459" i="2"/>
  <c r="AE459" i="2"/>
  <c r="Q862" i="2"/>
  <c r="V437" i="2"/>
  <c r="AB437" i="2"/>
  <c r="AE437" i="2"/>
  <c r="T767" i="1"/>
  <c r="Y767" i="1"/>
  <c r="AE767" i="1"/>
  <c r="AH767" i="1"/>
  <c r="AJ767" i="1"/>
  <c r="R739" i="3"/>
  <c r="AC900" i="1"/>
  <c r="AC826" i="1"/>
  <c r="R416" i="3"/>
  <c r="W416" i="3"/>
  <c r="AC416" i="3"/>
  <c r="AF416" i="3"/>
  <c r="V687" i="2"/>
  <c r="AB687" i="2"/>
  <c r="AE687" i="2"/>
  <c r="W640" i="3"/>
  <c r="AC640" i="3"/>
  <c r="AF640" i="3"/>
  <c r="AH640" i="3"/>
  <c r="W982" i="3"/>
  <c r="AC982" i="3"/>
  <c r="AF982" i="3"/>
  <c r="AH723" i="3"/>
  <c r="W83" i="3"/>
  <c r="AC83" i="3"/>
  <c r="AF83" i="3"/>
  <c r="AG593" i="2"/>
  <c r="AG603" i="2"/>
  <c r="L974" i="1"/>
  <c r="K974" i="1"/>
  <c r="R280" i="3"/>
  <c r="AG721" i="2"/>
  <c r="AC308" i="2"/>
  <c r="K785" i="3"/>
  <c r="J785" i="3"/>
  <c r="L785" i="3"/>
  <c r="W406" i="3"/>
  <c r="AC406" i="3"/>
  <c r="AF406" i="3"/>
  <c r="AG951" i="2"/>
  <c r="R273" i="3"/>
  <c r="R438" i="3"/>
  <c r="R52" i="3"/>
  <c r="U409" i="2"/>
  <c r="AA409" i="2"/>
  <c r="AD409" i="2"/>
  <c r="AF409" i="2"/>
  <c r="Q954" i="2"/>
  <c r="T681" i="1"/>
  <c r="Y681" i="1"/>
  <c r="AE681" i="1"/>
  <c r="AH681" i="1"/>
  <c r="V457" i="3"/>
  <c r="AB457" i="3"/>
  <c r="AE457" i="3"/>
  <c r="AG457" i="3"/>
  <c r="T727" i="1"/>
  <c r="Y727" i="1"/>
  <c r="AE727" i="1"/>
  <c r="AH727" i="1"/>
  <c r="AJ727" i="1"/>
  <c r="AG560" i="2"/>
  <c r="U869" i="2"/>
  <c r="AA869" i="2"/>
  <c r="AD869" i="2"/>
  <c r="AF869" i="2"/>
  <c r="T852" i="1"/>
  <c r="Y852" i="1"/>
  <c r="AE852" i="1"/>
  <c r="AH852" i="1"/>
  <c r="L562" i="2"/>
  <c r="K562" i="2"/>
  <c r="J562" i="2"/>
  <c r="T871" i="1"/>
  <c r="Y871" i="1"/>
  <c r="AE871" i="1"/>
  <c r="AH871" i="1"/>
  <c r="W494" i="3"/>
  <c r="AC494" i="3"/>
  <c r="AF494" i="3"/>
  <c r="V569" i="2"/>
  <c r="AB569" i="2"/>
  <c r="AE569" i="2"/>
  <c r="Q573" i="2"/>
  <c r="W929" i="3"/>
  <c r="AC929" i="3"/>
  <c r="AF929" i="3"/>
  <c r="AH929" i="3"/>
  <c r="T849" i="1"/>
  <c r="Y849" i="1"/>
  <c r="AE849" i="1"/>
  <c r="AH849" i="1"/>
  <c r="W41" i="3"/>
  <c r="AC41" i="3"/>
  <c r="AF41" i="3"/>
  <c r="V566" i="2"/>
  <c r="AB566" i="2"/>
  <c r="AE566" i="2"/>
  <c r="AG566" i="2"/>
  <c r="V741" i="2"/>
  <c r="AB741" i="2"/>
  <c r="AE741" i="2"/>
  <c r="AG722" i="2"/>
  <c r="V185" i="3"/>
  <c r="AB185" i="3"/>
  <c r="AE185" i="3"/>
  <c r="AG185" i="3"/>
  <c r="V954" i="3"/>
  <c r="AB954" i="3"/>
  <c r="AE954" i="3"/>
  <c r="AG954" i="3"/>
  <c r="T965" i="1"/>
  <c r="Y965" i="1"/>
  <c r="AE965" i="1"/>
  <c r="AH965" i="1"/>
  <c r="AJ965" i="1"/>
  <c r="V265" i="2"/>
  <c r="AB265" i="2"/>
  <c r="AE265" i="2"/>
  <c r="V29" i="3"/>
  <c r="AB29" i="3"/>
  <c r="AE29" i="3"/>
  <c r="AG29" i="3"/>
  <c r="AC758" i="1"/>
  <c r="V244" i="3"/>
  <c r="AB244" i="3"/>
  <c r="AE244" i="3"/>
  <c r="AG244" i="3"/>
  <c r="R717" i="3"/>
  <c r="AA681" i="3"/>
  <c r="V960" i="2"/>
  <c r="AB960" i="2"/>
  <c r="AE960" i="2"/>
  <c r="AG960" i="2"/>
  <c r="Z493" i="2"/>
  <c r="U553" i="2"/>
  <c r="AA553" i="2"/>
  <c r="AD553" i="2"/>
  <c r="AF553" i="2"/>
  <c r="L921" i="1"/>
  <c r="K921" i="1"/>
  <c r="Z187" i="2"/>
  <c r="AG511" i="2"/>
  <c r="V580" i="2"/>
  <c r="AB580" i="2"/>
  <c r="AE580" i="2"/>
  <c r="AG580" i="2"/>
  <c r="W436" i="3"/>
  <c r="AC436" i="3"/>
  <c r="AF436" i="3"/>
  <c r="T1006" i="1"/>
  <c r="Y1006" i="1"/>
  <c r="AE1006" i="1"/>
  <c r="AH1006" i="1"/>
  <c r="AG900" i="2"/>
  <c r="W679" i="3"/>
  <c r="AC679" i="3"/>
  <c r="AF679" i="3"/>
  <c r="AA964" i="3"/>
  <c r="W980" i="3"/>
  <c r="AC980" i="3"/>
  <c r="AF980" i="3"/>
  <c r="T859" i="1"/>
  <c r="Y859" i="1"/>
  <c r="AE859" i="1"/>
  <c r="AH859" i="1"/>
  <c r="W506" i="3"/>
  <c r="AC506" i="3"/>
  <c r="AF506" i="3"/>
  <c r="R720" i="3"/>
  <c r="K579" i="3"/>
  <c r="J579" i="3"/>
  <c r="L579" i="3"/>
  <c r="V554" i="2"/>
  <c r="AB554" i="2"/>
  <c r="AE554" i="2"/>
  <c r="AG554" i="2"/>
  <c r="R83" i="3"/>
  <c r="W497" i="3"/>
  <c r="AC497" i="3"/>
  <c r="AF497" i="3"/>
  <c r="Q378" i="2"/>
  <c r="T736" i="1"/>
  <c r="Y736" i="1"/>
  <c r="AE736" i="1"/>
  <c r="AH736" i="1"/>
  <c r="U1004" i="2"/>
  <c r="AA1004" i="2"/>
  <c r="AD1004" i="2"/>
  <c r="AF1004" i="2"/>
  <c r="AG252" i="2"/>
  <c r="W29" i="3"/>
  <c r="AC29" i="3"/>
  <c r="AF29" i="3"/>
  <c r="Y77" i="1"/>
  <c r="L682" i="1"/>
  <c r="K682" i="1"/>
  <c r="V396" i="2"/>
  <c r="AB396" i="2"/>
  <c r="AE396" i="2"/>
  <c r="R988" i="3"/>
  <c r="W988" i="3"/>
  <c r="AC988" i="3"/>
  <c r="AF988" i="3"/>
  <c r="K522" i="2"/>
  <c r="J522" i="2"/>
  <c r="L522" i="2"/>
  <c r="W472" i="3"/>
  <c r="AC472" i="3"/>
  <c r="AF472" i="3"/>
  <c r="U324" i="2"/>
  <c r="AA324" i="2"/>
  <c r="AD324" i="2"/>
  <c r="AF324" i="2"/>
  <c r="AG693" i="2"/>
  <c r="R899" i="3"/>
  <c r="W899" i="3"/>
  <c r="AC899" i="3"/>
  <c r="AF899" i="3"/>
  <c r="AG831" i="2"/>
  <c r="U698" i="2"/>
  <c r="AA698" i="2"/>
  <c r="AD698" i="2"/>
  <c r="AF698" i="2"/>
  <c r="Q677" i="2"/>
  <c r="V677" i="2"/>
  <c r="AB677" i="2"/>
  <c r="AE677" i="2"/>
  <c r="V861" i="2"/>
  <c r="AB861" i="2"/>
  <c r="AE861" i="2"/>
  <c r="AC943" i="2"/>
  <c r="W978" i="3"/>
  <c r="AC978" i="3"/>
  <c r="AF978" i="3"/>
  <c r="AH978" i="3"/>
  <c r="W54" i="3"/>
  <c r="AC54" i="3"/>
  <c r="AF54" i="3"/>
  <c r="AH54" i="3"/>
  <c r="R780" i="3"/>
  <c r="R621" i="3"/>
  <c r="T861" i="1"/>
  <c r="Y861" i="1"/>
  <c r="AE861" i="1"/>
  <c r="AH861" i="1"/>
  <c r="AG514" i="2"/>
  <c r="V422" i="2"/>
  <c r="AB422" i="2"/>
  <c r="AE422" i="2"/>
  <c r="W114" i="3"/>
  <c r="AC114" i="3"/>
  <c r="AF114" i="3"/>
  <c r="U952" i="2"/>
  <c r="AA952" i="2"/>
  <c r="AD952" i="2"/>
  <c r="AF952" i="2"/>
  <c r="AC541" i="2"/>
  <c r="Q681" i="2"/>
  <c r="R478" i="3"/>
  <c r="W199" i="3"/>
  <c r="AC199" i="3"/>
  <c r="AF199" i="3"/>
  <c r="V222" i="2"/>
  <c r="AB222" i="2"/>
  <c r="AE222" i="2"/>
  <c r="AG222" i="2"/>
  <c r="V933" i="2"/>
  <c r="AB933" i="2"/>
  <c r="AE933" i="2"/>
  <c r="AG933" i="2"/>
  <c r="R219" i="3"/>
  <c r="V701" i="3"/>
  <c r="AB701" i="3"/>
  <c r="AE701" i="3"/>
  <c r="AG701" i="3"/>
  <c r="AG476" i="2"/>
  <c r="T935" i="1"/>
  <c r="Y935" i="1"/>
  <c r="AE935" i="1"/>
  <c r="AH935" i="1"/>
  <c r="AC875" i="2"/>
  <c r="X874" i="1"/>
  <c r="AD874" i="1"/>
  <c r="AG874" i="1"/>
  <c r="AI874" i="1"/>
  <c r="T830" i="1"/>
  <c r="Y830" i="1"/>
  <c r="AE830" i="1"/>
  <c r="AH830" i="1"/>
  <c r="U229" i="2"/>
  <c r="AA229" i="2"/>
  <c r="AD229" i="2"/>
  <c r="AF229" i="2"/>
  <c r="U185" i="2"/>
  <c r="AA185" i="2"/>
  <c r="AD185" i="2"/>
  <c r="AF185" i="2"/>
  <c r="AD59" i="3"/>
  <c r="Q999" i="2"/>
  <c r="V999" i="2"/>
  <c r="AB999" i="2"/>
  <c r="AE999" i="2"/>
  <c r="V787" i="2"/>
  <c r="AB787" i="2"/>
  <c r="AE787" i="2"/>
  <c r="V613" i="2"/>
  <c r="AB613" i="2"/>
  <c r="AE613" i="2"/>
  <c r="W565" i="3"/>
  <c r="AC565" i="3"/>
  <c r="AF565" i="3"/>
  <c r="AH565" i="3"/>
  <c r="V548" i="2"/>
  <c r="AB548" i="2"/>
  <c r="AE548" i="2"/>
  <c r="U513" i="2"/>
  <c r="AA513" i="2"/>
  <c r="AD513" i="2"/>
  <c r="AF513" i="2"/>
  <c r="Y917" i="1"/>
  <c r="AE917" i="1"/>
  <c r="AH917" i="1"/>
  <c r="AA88" i="3"/>
  <c r="AH250" i="3"/>
  <c r="W66" i="3"/>
  <c r="AC66" i="3"/>
  <c r="AF66" i="3"/>
  <c r="AG846" i="2"/>
  <c r="W45" i="3"/>
  <c r="AC45" i="3"/>
  <c r="AF45" i="3"/>
  <c r="L995" i="1"/>
  <c r="K995" i="1"/>
  <c r="V142" i="3"/>
  <c r="AB142" i="3"/>
  <c r="AE142" i="3"/>
  <c r="AG142" i="3"/>
  <c r="Q623" i="2"/>
  <c r="T819" i="1"/>
  <c r="Y819" i="1"/>
  <c r="AE819" i="1"/>
  <c r="AH819" i="1"/>
  <c r="AA857" i="3"/>
  <c r="W221" i="3"/>
  <c r="AC221" i="3"/>
  <c r="AF221" i="3"/>
  <c r="AG487" i="2"/>
  <c r="V290" i="2"/>
  <c r="AB290" i="2"/>
  <c r="AE290" i="2"/>
  <c r="AG290" i="2"/>
  <c r="Q329" i="2"/>
  <c r="W607" i="3"/>
  <c r="AC607" i="3"/>
  <c r="AF607" i="3"/>
  <c r="V424" i="3"/>
  <c r="AB424" i="3"/>
  <c r="AE424" i="3"/>
  <c r="AG424" i="3"/>
  <c r="AC698" i="1"/>
  <c r="T698" i="1"/>
  <c r="Y698" i="1"/>
  <c r="AE698" i="1"/>
  <c r="V502" i="2"/>
  <c r="AB502" i="2"/>
  <c r="AE502" i="2"/>
  <c r="X851" i="1"/>
  <c r="AD851" i="1"/>
  <c r="AG851" i="1"/>
  <c r="AI851" i="1"/>
  <c r="T773" i="1"/>
  <c r="Y773" i="1"/>
  <c r="AE773" i="1"/>
  <c r="AH773" i="1"/>
  <c r="V567" i="3"/>
  <c r="AB567" i="3"/>
  <c r="AE567" i="3"/>
  <c r="AG567" i="3"/>
  <c r="V925" i="2"/>
  <c r="AB925" i="2"/>
  <c r="AE925" i="2"/>
  <c r="AD803" i="3"/>
  <c r="X812" i="1"/>
  <c r="AD812" i="1"/>
  <c r="AG812" i="1"/>
  <c r="AI812" i="1"/>
  <c r="R617" i="3"/>
  <c r="W765" i="3"/>
  <c r="AC765" i="3"/>
  <c r="AF765" i="3"/>
  <c r="R112" i="3"/>
  <c r="Z577" i="2"/>
  <c r="V899" i="2"/>
  <c r="AB899" i="2"/>
  <c r="AE899" i="2"/>
  <c r="W594" i="3"/>
  <c r="AC594" i="3"/>
  <c r="AF594" i="3"/>
  <c r="AH594" i="3"/>
  <c r="V995" i="2"/>
  <c r="AB995" i="2"/>
  <c r="AE995" i="2"/>
  <c r="R951" i="3"/>
  <c r="W457" i="3"/>
  <c r="AC457" i="3"/>
  <c r="AF457" i="3"/>
  <c r="K331" i="3"/>
  <c r="J331" i="3"/>
  <c r="L331" i="3"/>
  <c r="W208" i="3"/>
  <c r="AC208" i="3"/>
  <c r="AF208" i="3"/>
  <c r="U801" i="2"/>
  <c r="AA801" i="2"/>
  <c r="AD801" i="2"/>
  <c r="AF801" i="2"/>
  <c r="W627" i="3"/>
  <c r="AC627" i="3"/>
  <c r="AF627" i="3"/>
  <c r="Q861" i="2"/>
  <c r="W370" i="3"/>
  <c r="AC370" i="3"/>
  <c r="AF370" i="3"/>
  <c r="W103" i="3"/>
  <c r="AC103" i="3"/>
  <c r="AF103" i="3"/>
  <c r="Q381" i="2"/>
  <c r="Q591" i="2"/>
  <c r="W821" i="3"/>
  <c r="AC821" i="3"/>
  <c r="AF821" i="3"/>
  <c r="Z197" i="2"/>
  <c r="T747" i="1"/>
  <c r="Y747" i="1"/>
  <c r="AE747" i="1"/>
  <c r="AH747" i="1"/>
  <c r="AJ747" i="1"/>
  <c r="Q984" i="2"/>
  <c r="Q340" i="2"/>
  <c r="V340" i="2"/>
  <c r="AB340" i="2"/>
  <c r="AE340" i="2"/>
  <c r="V804" i="2"/>
  <c r="AB804" i="2"/>
  <c r="AE804" i="2"/>
  <c r="Q543" i="2"/>
  <c r="X843" i="1"/>
  <c r="AD843" i="1"/>
  <c r="AG843" i="1"/>
  <c r="AI843" i="1"/>
  <c r="T772" i="1"/>
  <c r="Y772" i="1"/>
  <c r="AE772" i="1"/>
  <c r="AH772" i="1"/>
  <c r="W156" i="3"/>
  <c r="AC156" i="3"/>
  <c r="AF156" i="3"/>
  <c r="Z895" i="2"/>
  <c r="R859" i="3"/>
  <c r="W681" i="3"/>
  <c r="AC681" i="3"/>
  <c r="AF681" i="3"/>
  <c r="Q493" i="2"/>
  <c r="V493" i="2"/>
  <c r="AB493" i="2"/>
  <c r="AE493" i="2"/>
  <c r="Q585" i="2"/>
  <c r="R172" i="3"/>
  <c r="U841" i="2"/>
  <c r="AA841" i="2"/>
  <c r="AD841" i="2"/>
  <c r="AF841" i="2"/>
  <c r="V362" i="2"/>
  <c r="AB362" i="2"/>
  <c r="AE362" i="2"/>
  <c r="R209" i="3"/>
  <c r="W209" i="3"/>
  <c r="AC209" i="3"/>
  <c r="AF209" i="3"/>
  <c r="V810" i="2"/>
  <c r="AB810" i="2"/>
  <c r="AE810" i="2"/>
  <c r="AG810" i="2"/>
  <c r="V806" i="3"/>
  <c r="AB806" i="3"/>
  <c r="AE806" i="3"/>
  <c r="AG806" i="3"/>
  <c r="Y840" i="1"/>
  <c r="AE840" i="1"/>
  <c r="AH840" i="1"/>
  <c r="L973" i="1"/>
  <c r="K973" i="1"/>
  <c r="T973" i="1"/>
  <c r="Y973" i="1"/>
  <c r="AE973" i="1"/>
  <c r="AH973" i="1"/>
  <c r="Q947" i="2"/>
  <c r="U411" i="2"/>
  <c r="AA411" i="2"/>
  <c r="AD411" i="2"/>
  <c r="AF411" i="2"/>
  <c r="T978" i="1"/>
  <c r="Y978" i="1"/>
  <c r="AE978" i="1"/>
  <c r="AH978" i="1"/>
  <c r="AH459" i="3"/>
  <c r="L296" i="3"/>
  <c r="K296" i="3"/>
  <c r="J296" i="3"/>
  <c r="Q685" i="2"/>
  <c r="V555" i="2"/>
  <c r="AB555" i="2"/>
  <c r="AE555" i="2"/>
  <c r="AG555" i="2"/>
  <c r="Z368" i="2"/>
  <c r="AG269" i="2"/>
  <c r="L378" i="2"/>
  <c r="K378" i="2"/>
  <c r="J378" i="2"/>
  <c r="Q211" i="2"/>
  <c r="V211" i="2"/>
  <c r="AB211" i="2"/>
  <c r="AE211" i="2"/>
  <c r="V733" i="3"/>
  <c r="AB733" i="3"/>
  <c r="AE733" i="3"/>
  <c r="AG733" i="3"/>
  <c r="Q899" i="2"/>
  <c r="AH542" i="3"/>
  <c r="U656" i="2"/>
  <c r="AA656" i="2"/>
  <c r="AD656" i="2"/>
  <c r="AF656" i="2"/>
  <c r="AJ1010" i="1"/>
  <c r="AH212" i="3"/>
  <c r="U648" i="2"/>
  <c r="AA648" i="2"/>
  <c r="AD648" i="2"/>
  <c r="AF648" i="2"/>
  <c r="R814" i="3"/>
  <c r="U776" i="2"/>
  <c r="AA776" i="2"/>
  <c r="AD776" i="2"/>
  <c r="AF776" i="2"/>
  <c r="V490" i="2"/>
  <c r="AB490" i="2"/>
  <c r="AE490" i="2"/>
  <c r="AH433" i="3"/>
  <c r="W861" i="3"/>
  <c r="AC861" i="3"/>
  <c r="AF861" i="3"/>
  <c r="AC931" i="1"/>
  <c r="Q314" i="2"/>
  <c r="V314" i="2"/>
  <c r="AB314" i="2"/>
  <c r="AE314" i="2"/>
  <c r="M753" i="1"/>
  <c r="T753" i="1"/>
  <c r="W847" i="3"/>
  <c r="AC847" i="3"/>
  <c r="AF847" i="3"/>
  <c r="Q447" i="2"/>
  <c r="R642" i="3"/>
  <c r="R602" i="3"/>
  <c r="W602" i="3"/>
  <c r="AC602" i="3"/>
  <c r="AF602" i="3"/>
  <c r="L1004" i="1"/>
  <c r="K1004" i="1"/>
  <c r="T1004" i="1"/>
  <c r="Y1004" i="1"/>
  <c r="AE1004" i="1"/>
  <c r="AH1004" i="1"/>
  <c r="L705" i="1"/>
  <c r="K705" i="1"/>
  <c r="T705" i="1"/>
  <c r="Y705" i="1"/>
  <c r="AE705" i="1"/>
  <c r="AH705" i="1"/>
  <c r="L1012" i="1"/>
  <c r="K1012" i="1"/>
  <c r="R670" i="3"/>
  <c r="W670" i="3"/>
  <c r="AC670" i="3"/>
  <c r="AF670" i="3"/>
  <c r="Z635" i="2"/>
  <c r="L857" i="1"/>
  <c r="K857" i="1"/>
  <c r="V763" i="2"/>
  <c r="AB763" i="2"/>
  <c r="AE763" i="2"/>
  <c r="X831" i="1"/>
  <c r="AD831" i="1"/>
  <c r="AG831" i="1"/>
  <c r="AI831" i="1"/>
  <c r="W225" i="3"/>
  <c r="AC225" i="3"/>
  <c r="AF225" i="3"/>
  <c r="AH793" i="3"/>
  <c r="R703" i="3"/>
  <c r="V294" i="2"/>
  <c r="AB294" i="2"/>
  <c r="AE294" i="2"/>
  <c r="U541" i="2"/>
  <c r="AA541" i="2"/>
  <c r="AD541" i="2"/>
  <c r="AF541" i="2"/>
  <c r="T732" i="1"/>
  <c r="Y732" i="1"/>
  <c r="AE732" i="1"/>
  <c r="AH732" i="1"/>
  <c r="AJ732" i="1"/>
  <c r="Q1005" i="2"/>
  <c r="AH954" i="3"/>
  <c r="R202" i="3"/>
  <c r="U539" i="2"/>
  <c r="AA539" i="2"/>
  <c r="AD539" i="2"/>
  <c r="AF539" i="2"/>
  <c r="W499" i="3"/>
  <c r="AC499" i="3"/>
  <c r="AF499" i="3"/>
  <c r="V556" i="2"/>
  <c r="AB556" i="2"/>
  <c r="AE556" i="2"/>
  <c r="AH49" i="3"/>
  <c r="W464" i="3"/>
  <c r="AC464" i="3"/>
  <c r="AF464" i="3"/>
  <c r="AA139" i="3"/>
  <c r="U875" i="2"/>
  <c r="AA875" i="2"/>
  <c r="AD875" i="2"/>
  <c r="AF875" i="2"/>
  <c r="Z450" i="2"/>
  <c r="Q592" i="2"/>
  <c r="AH390" i="3"/>
  <c r="AD839" i="3"/>
  <c r="V839" i="3"/>
  <c r="AB839" i="3"/>
  <c r="AE839" i="3"/>
  <c r="Q350" i="2"/>
  <c r="V350" i="2"/>
  <c r="AB350" i="2"/>
  <c r="AE350" i="2"/>
  <c r="V901" i="2"/>
  <c r="AB901" i="2"/>
  <c r="AE901" i="2"/>
  <c r="Q738" i="2"/>
  <c r="V787" i="3"/>
  <c r="AB787" i="3"/>
  <c r="AE787" i="3"/>
  <c r="AG787" i="3"/>
  <c r="L666" i="1"/>
  <c r="K666" i="1"/>
  <c r="Z736" i="2"/>
  <c r="V230" i="2"/>
  <c r="AB230" i="2"/>
  <c r="AE230" i="2"/>
  <c r="W88" i="3"/>
  <c r="AC88" i="3"/>
  <c r="AF88" i="3"/>
  <c r="V388" i="2"/>
  <c r="AB388" i="2"/>
  <c r="AE388" i="2"/>
  <c r="AG388" i="2"/>
  <c r="R711" i="3"/>
  <c r="R463" i="3"/>
  <c r="AC476" i="2"/>
  <c r="T838" i="1"/>
  <c r="Y838" i="1"/>
  <c r="AE838" i="1"/>
  <c r="AH838" i="1"/>
  <c r="V184" i="2"/>
  <c r="AB184" i="2"/>
  <c r="AE184" i="2"/>
  <c r="R840" i="3"/>
  <c r="W840" i="3"/>
  <c r="AC840" i="3"/>
  <c r="AF840" i="3"/>
  <c r="AA235" i="3"/>
  <c r="R513" i="3"/>
  <c r="W119" i="3"/>
  <c r="AC119" i="3"/>
  <c r="AF119" i="3"/>
  <c r="R375" i="3"/>
  <c r="W375" i="3"/>
  <c r="AC375" i="3"/>
  <c r="AF375" i="3"/>
  <c r="AG479" i="2"/>
  <c r="V505" i="2"/>
  <c r="AB505" i="2"/>
  <c r="AE505" i="2"/>
  <c r="AG505" i="2"/>
  <c r="T728" i="1"/>
  <c r="Y728" i="1"/>
  <c r="AE728" i="1"/>
  <c r="AH728" i="1"/>
  <c r="R220" i="3"/>
  <c r="V285" i="3"/>
  <c r="AB285" i="3"/>
  <c r="AE285" i="3"/>
  <c r="AG285" i="3"/>
  <c r="T743" i="1"/>
  <c r="Y743" i="1"/>
  <c r="AE743" i="1"/>
  <c r="AH743" i="1"/>
  <c r="AH120" i="3"/>
  <c r="T688" i="1"/>
  <c r="X688" i="1"/>
  <c r="AD688" i="1"/>
  <c r="AG688" i="1"/>
  <c r="AI688" i="1"/>
  <c r="Q379" i="2"/>
  <c r="U379" i="2"/>
  <c r="AA379" i="2"/>
  <c r="AD379" i="2"/>
  <c r="AF379" i="2"/>
  <c r="W432" i="3"/>
  <c r="AC432" i="3"/>
  <c r="AF432" i="3"/>
  <c r="T1015" i="1"/>
  <c r="Y1015" i="1"/>
  <c r="AE1015" i="1"/>
  <c r="AH1015" i="1"/>
  <c r="T805" i="1"/>
  <c r="Y805" i="1"/>
  <c r="AE805" i="1"/>
  <c r="AH805" i="1"/>
  <c r="AJ805" i="1"/>
  <c r="T960" i="1"/>
  <c r="Y960" i="1"/>
  <c r="AE960" i="1"/>
  <c r="AH960" i="1"/>
  <c r="AA49" i="3"/>
  <c r="R902" i="3"/>
  <c r="Q927" i="2"/>
  <c r="V927" i="2"/>
  <c r="AB927" i="2"/>
  <c r="AE927" i="2"/>
  <c r="AG927" i="2"/>
  <c r="AD190" i="3"/>
  <c r="Q666" i="2"/>
  <c r="V666" i="2"/>
  <c r="AB666" i="2"/>
  <c r="AE666" i="2"/>
  <c r="R559" i="3"/>
  <c r="K68" i="3"/>
  <c r="J68" i="3"/>
  <c r="L68" i="3"/>
  <c r="L834" i="1"/>
  <c r="K834" i="1"/>
  <c r="W117" i="3"/>
  <c r="AC117" i="3"/>
  <c r="AF117" i="3"/>
  <c r="AH117" i="3"/>
  <c r="AE192" i="2"/>
  <c r="V718" i="2"/>
  <c r="AB718" i="2"/>
  <c r="AE718" i="2"/>
  <c r="R518" i="3"/>
  <c r="L759" i="1"/>
  <c r="K759" i="1"/>
  <c r="R188" i="3"/>
  <c r="Q940" i="2"/>
  <c r="L885" i="1"/>
  <c r="K885" i="1"/>
  <c r="T885" i="1"/>
  <c r="Y885" i="1"/>
  <c r="AE885" i="1"/>
  <c r="AH885" i="1"/>
  <c r="R479" i="3"/>
  <c r="AG629" i="2"/>
  <c r="R847" i="3"/>
  <c r="W714" i="3"/>
  <c r="AC714" i="3"/>
  <c r="AF714" i="3"/>
  <c r="Q302" i="2"/>
  <c r="R838" i="3"/>
  <c r="AC799" i="2"/>
  <c r="R795" i="3"/>
  <c r="V795" i="3"/>
  <c r="AB795" i="3"/>
  <c r="AE795" i="3"/>
  <c r="AG795" i="3"/>
  <c r="U974" i="2"/>
  <c r="AA974" i="2"/>
  <c r="AD974" i="2"/>
  <c r="AF974" i="2"/>
  <c r="V200" i="3"/>
  <c r="AB200" i="3"/>
  <c r="AE200" i="3"/>
  <c r="AG200" i="3"/>
  <c r="U734" i="2"/>
  <c r="AA734" i="2"/>
  <c r="AD734" i="2"/>
  <c r="AF734" i="2"/>
  <c r="Q225" i="2"/>
  <c r="W335" i="3"/>
  <c r="AC335" i="3"/>
  <c r="AF335" i="3"/>
  <c r="AH787" i="3"/>
  <c r="V457" i="2"/>
  <c r="AB457" i="2"/>
  <c r="AE457" i="2"/>
  <c r="V755" i="2"/>
  <c r="AB755" i="2"/>
  <c r="AE755" i="2"/>
  <c r="Q873" i="2"/>
  <c r="V873" i="2"/>
  <c r="AB873" i="2"/>
  <c r="AE873" i="2"/>
  <c r="AH369" i="3"/>
  <c r="T712" i="1"/>
  <c r="Y712" i="1"/>
  <c r="AE712" i="1"/>
  <c r="AH712" i="1"/>
  <c r="AJ712" i="1"/>
  <c r="K92" i="3"/>
  <c r="J92" i="3"/>
  <c r="L92" i="3"/>
  <c r="R677" i="3"/>
  <c r="V390" i="2"/>
  <c r="AB390" i="2"/>
  <c r="AE390" i="2"/>
  <c r="V699" i="2"/>
  <c r="AB699" i="2"/>
  <c r="AE699" i="2"/>
  <c r="U650" i="2"/>
  <c r="AA650" i="2"/>
  <c r="AD650" i="2"/>
  <c r="AF650" i="2"/>
  <c r="Q506" i="2"/>
  <c r="U506" i="2"/>
  <c r="AA506" i="2"/>
  <c r="AD506" i="2"/>
  <c r="AF506" i="2"/>
  <c r="U482" i="2"/>
  <c r="AA482" i="2"/>
  <c r="AD482" i="2"/>
  <c r="AF482" i="2"/>
  <c r="R401" i="3"/>
  <c r="AC825" i="1"/>
  <c r="L862" i="1"/>
  <c r="K862" i="1"/>
  <c r="W903" i="3"/>
  <c r="AC903" i="3"/>
  <c r="AF903" i="3"/>
  <c r="L598" i="3"/>
  <c r="K598" i="3"/>
  <c r="J598" i="3"/>
  <c r="AG745" i="2"/>
  <c r="K778" i="2"/>
  <c r="J778" i="2"/>
  <c r="L778" i="2"/>
  <c r="M948" i="1"/>
  <c r="R610" i="3"/>
  <c r="V610" i="3"/>
  <c r="AB610" i="3"/>
  <c r="AE610" i="3"/>
  <c r="AG610" i="3"/>
  <c r="Q997" i="2"/>
  <c r="V997" i="2"/>
  <c r="AB997" i="2"/>
  <c r="AE997" i="2"/>
  <c r="AF77" i="1"/>
  <c r="U607" i="2"/>
  <c r="AA607" i="2"/>
  <c r="AD607" i="2"/>
  <c r="AF607" i="2"/>
  <c r="AG335" i="2"/>
  <c r="Q246" i="2"/>
  <c r="R486" i="3"/>
  <c r="W486" i="3"/>
  <c r="AC486" i="3"/>
  <c r="AF486" i="3"/>
  <c r="Q400" i="2"/>
  <c r="Q608" i="2"/>
  <c r="M745" i="1"/>
  <c r="Q561" i="2"/>
  <c r="V564" i="3"/>
  <c r="AB564" i="3"/>
  <c r="AE564" i="3"/>
  <c r="AG564" i="3"/>
  <c r="V783" i="3"/>
  <c r="AB783" i="3"/>
  <c r="AE783" i="3"/>
  <c r="AG783" i="3"/>
  <c r="Q445" i="2"/>
  <c r="AG509" i="2"/>
  <c r="Q572" i="2"/>
  <c r="AC664" i="1"/>
  <c r="V370" i="3"/>
  <c r="AB370" i="3"/>
  <c r="AE370" i="3"/>
  <c r="AG370" i="3"/>
  <c r="Q959" i="2"/>
  <c r="V959" i="2"/>
  <c r="AB959" i="2"/>
  <c r="AE959" i="2"/>
  <c r="R577" i="3"/>
  <c r="T950" i="1"/>
  <c r="Y950" i="1"/>
  <c r="AE950" i="1"/>
  <c r="AH950" i="1"/>
  <c r="W952" i="3"/>
  <c r="AC952" i="3"/>
  <c r="AF952" i="3"/>
  <c r="U714" i="2"/>
  <c r="AA714" i="2"/>
  <c r="AD714" i="2"/>
  <c r="AF714" i="2"/>
  <c r="Q209" i="2"/>
  <c r="V352" i="3"/>
  <c r="AB352" i="3"/>
  <c r="AE352" i="3"/>
  <c r="AG352" i="3"/>
  <c r="W490" i="3"/>
  <c r="AC490" i="3"/>
  <c r="AF490" i="3"/>
  <c r="R620" i="3"/>
  <c r="AA492" i="3"/>
  <c r="Q717" i="2"/>
  <c r="Y717" i="1"/>
  <c r="AE717" i="1"/>
  <c r="AH717" i="1"/>
  <c r="L667" i="1"/>
  <c r="K667" i="1"/>
  <c r="T667" i="1"/>
  <c r="Y667" i="1"/>
  <c r="AE667" i="1"/>
  <c r="AH667" i="1"/>
  <c r="AJ667" i="1"/>
  <c r="V413" i="3"/>
  <c r="AB413" i="3"/>
  <c r="AE413" i="3"/>
  <c r="AG413" i="3"/>
  <c r="W860" i="3"/>
  <c r="AC860" i="3"/>
  <c r="AF860" i="3"/>
  <c r="Q972" i="2"/>
  <c r="R839" i="3"/>
  <c r="W327" i="3"/>
  <c r="AC327" i="3"/>
  <c r="AF327" i="3"/>
  <c r="Q867" i="2"/>
  <c r="T817" i="1"/>
  <c r="X817" i="1"/>
  <c r="AD817" i="1"/>
  <c r="AG817" i="1"/>
  <c r="AI817" i="1"/>
  <c r="Q220" i="2"/>
  <c r="AC367" i="2"/>
  <c r="V607" i="3"/>
  <c r="AB607" i="3"/>
  <c r="AE607" i="3"/>
  <c r="AG607" i="3"/>
  <c r="R775" i="3"/>
  <c r="Q237" i="2"/>
  <c r="R328" i="3"/>
  <c r="V328" i="3"/>
  <c r="AB328" i="3"/>
  <c r="AE328" i="3"/>
  <c r="AG328" i="3"/>
  <c r="Z353" i="2"/>
  <c r="U416" i="2"/>
  <c r="AA416" i="2"/>
  <c r="AD416" i="2"/>
  <c r="AF416" i="2"/>
  <c r="L866" i="1"/>
  <c r="K866" i="1"/>
  <c r="V197" i="3"/>
  <c r="AB197" i="3"/>
  <c r="AE197" i="3"/>
  <c r="AG197" i="3"/>
  <c r="U460" i="2"/>
  <c r="AA460" i="2"/>
  <c r="AD460" i="2"/>
  <c r="AF460" i="2"/>
  <c r="V736" i="2"/>
  <c r="AB736" i="2"/>
  <c r="AE736" i="2"/>
  <c r="R252" i="3"/>
  <c r="W252" i="3"/>
  <c r="AC252" i="3"/>
  <c r="AF252" i="3"/>
  <c r="AJ826" i="1"/>
  <c r="K105" i="3"/>
  <c r="J105" i="3"/>
  <c r="L105" i="3"/>
  <c r="AF945" i="1"/>
  <c r="X945" i="1"/>
  <c r="AD945" i="1"/>
  <c r="AG945" i="1"/>
  <c r="L839" i="1"/>
  <c r="K839" i="1"/>
  <c r="V604" i="2"/>
  <c r="AB604" i="2"/>
  <c r="AE604" i="2"/>
  <c r="AA484" i="3"/>
  <c r="W393" i="3"/>
  <c r="AC393" i="3"/>
  <c r="AF393" i="3"/>
  <c r="V113" i="3"/>
  <c r="AB113" i="3"/>
  <c r="AE113" i="3"/>
  <c r="AG113" i="3"/>
  <c r="V976" i="2"/>
  <c r="AB976" i="2"/>
  <c r="AE976" i="2"/>
  <c r="AH132" i="3"/>
  <c r="AH441" i="3"/>
  <c r="W732" i="3"/>
  <c r="AC732" i="3"/>
  <c r="AF732" i="3"/>
  <c r="L719" i="1"/>
  <c r="K719" i="1"/>
  <c r="R743" i="3"/>
  <c r="R761" i="3"/>
  <c r="Q605" i="2"/>
  <c r="V605" i="2"/>
  <c r="AB605" i="2"/>
  <c r="AE605" i="2"/>
  <c r="R190" i="3"/>
  <c r="V190" i="3"/>
  <c r="AB190" i="3"/>
  <c r="AE190" i="3"/>
  <c r="AG190" i="3"/>
  <c r="V722" i="3"/>
  <c r="AB722" i="3"/>
  <c r="AE722" i="3"/>
  <c r="AG722" i="3"/>
  <c r="Q334" i="2"/>
  <c r="V701" i="2"/>
  <c r="AB701" i="2"/>
  <c r="AE701" i="2"/>
  <c r="Z817" i="2"/>
  <c r="W489" i="3"/>
  <c r="AC489" i="3"/>
  <c r="AF489" i="3"/>
  <c r="K329" i="2"/>
  <c r="J329" i="2"/>
  <c r="L329" i="2"/>
  <c r="T916" i="1"/>
  <c r="X916" i="1"/>
  <c r="AD916" i="1"/>
  <c r="AG916" i="1"/>
  <c r="AI916" i="1"/>
  <c r="K827" i="2"/>
  <c r="J827" i="2"/>
  <c r="L827" i="2"/>
  <c r="Q827" i="2"/>
  <c r="V827" i="2"/>
  <c r="AB827" i="2"/>
  <c r="AE827" i="2"/>
  <c r="U594" i="2"/>
  <c r="AA594" i="2"/>
  <c r="AD594" i="2"/>
  <c r="AF594" i="2"/>
  <c r="Z268" i="2"/>
  <c r="Z650" i="2"/>
  <c r="Q558" i="2"/>
  <c r="V558" i="2"/>
  <c r="AB558" i="2"/>
  <c r="AE558" i="2"/>
  <c r="K456" i="2"/>
  <c r="J456" i="2"/>
  <c r="L456" i="2"/>
  <c r="Q456" i="2"/>
  <c r="V456" i="2"/>
  <c r="AB456" i="2"/>
  <c r="AE456" i="2"/>
  <c r="U308" i="2"/>
  <c r="AA308" i="2"/>
  <c r="AD308" i="2"/>
  <c r="AF308" i="2"/>
  <c r="Q615" i="2"/>
  <c r="W456" i="3"/>
  <c r="AC456" i="3"/>
  <c r="AF456" i="3"/>
  <c r="T831" i="1"/>
  <c r="Y831" i="1"/>
  <c r="AE831" i="1"/>
  <c r="AH831" i="1"/>
  <c r="AJ831" i="1"/>
  <c r="U521" i="2"/>
  <c r="AA521" i="2"/>
  <c r="AD521" i="2"/>
  <c r="AF521" i="2"/>
  <c r="Y914" i="1"/>
  <c r="AE914" i="1"/>
  <c r="AH914" i="1"/>
  <c r="Q780" i="2"/>
  <c r="M791" i="1"/>
  <c r="Q906" i="2"/>
  <c r="Q762" i="2"/>
  <c r="AA552" i="3"/>
  <c r="R199" i="3"/>
  <c r="U548" i="2"/>
  <c r="AA548" i="2"/>
  <c r="AD548" i="2"/>
  <c r="AF548" i="2"/>
  <c r="R216" i="3"/>
  <c r="R255" i="3"/>
  <c r="K245" i="3"/>
  <c r="J245" i="3"/>
  <c r="L245" i="3"/>
  <c r="R245" i="3"/>
  <c r="W245" i="3"/>
  <c r="AC245" i="3"/>
  <c r="AF245" i="3"/>
  <c r="Q204" i="2"/>
  <c r="R93" i="3"/>
  <c r="V93" i="3"/>
  <c r="AB93" i="3"/>
  <c r="AE93" i="3"/>
  <c r="AG93" i="3"/>
  <c r="V326" i="3"/>
  <c r="AB326" i="3"/>
  <c r="AE326" i="3"/>
  <c r="AG326" i="3"/>
  <c r="Q611" i="2"/>
  <c r="Z293" i="2"/>
  <c r="V293" i="2"/>
  <c r="AB293" i="2"/>
  <c r="T758" i="1"/>
  <c r="Y758" i="1"/>
  <c r="AE758" i="1"/>
  <c r="AH758" i="1"/>
  <c r="AA931" i="3"/>
  <c r="R196" i="3"/>
  <c r="Z404" i="2"/>
  <c r="U768" i="2"/>
  <c r="AA768" i="2"/>
  <c r="AD768" i="2"/>
  <c r="AF768" i="2"/>
  <c r="K632" i="2"/>
  <c r="J632" i="2"/>
  <c r="L632" i="2"/>
  <c r="Q632" i="2"/>
  <c r="V632" i="2"/>
  <c r="AB632" i="2"/>
  <c r="AE632" i="2"/>
  <c r="Q222" i="2"/>
  <c r="AC979" i="1"/>
  <c r="AF752" i="3"/>
  <c r="Q346" i="2"/>
  <c r="Q958" i="2"/>
  <c r="R383" i="3"/>
  <c r="R44" i="3"/>
  <c r="T825" i="1"/>
  <c r="Y825" i="1"/>
  <c r="AE825" i="1"/>
  <c r="AH825" i="1"/>
  <c r="V831" i="2"/>
  <c r="AB831" i="2"/>
  <c r="AE831" i="2"/>
  <c r="AJ850" i="1"/>
  <c r="R603" i="3"/>
  <c r="V603" i="3"/>
  <c r="AB603" i="3"/>
  <c r="AE603" i="3"/>
  <c r="AG603" i="3"/>
  <c r="L176" i="3"/>
  <c r="K176" i="3"/>
  <c r="J176" i="3"/>
  <c r="R531" i="3"/>
  <c r="W531" i="3"/>
  <c r="AC531" i="3"/>
  <c r="AF531" i="3"/>
  <c r="AG347" i="2"/>
  <c r="Q410" i="2"/>
  <c r="U410" i="2"/>
  <c r="AA410" i="2"/>
  <c r="AD410" i="2"/>
  <c r="AF410" i="2"/>
  <c r="Q352" i="2"/>
  <c r="L941" i="1"/>
  <c r="K941" i="1"/>
  <c r="R155" i="3"/>
  <c r="L789" i="1"/>
  <c r="K789" i="1"/>
  <c r="AH722" i="3"/>
  <c r="T77" i="1"/>
  <c r="X77" i="1"/>
  <c r="AD77" i="1"/>
  <c r="AG77" i="1"/>
  <c r="AI77" i="1"/>
  <c r="U311" i="2"/>
  <c r="AA311" i="2"/>
  <c r="AD311" i="2"/>
  <c r="AF311" i="2"/>
  <c r="R762" i="3"/>
  <c r="X922" i="1"/>
  <c r="AD922" i="1"/>
  <c r="AG922" i="1"/>
  <c r="AI922" i="1"/>
  <c r="R692" i="3"/>
  <c r="W692" i="3"/>
  <c r="AC692" i="3"/>
  <c r="AF692" i="3"/>
  <c r="Q567" i="2"/>
  <c r="AG668" i="2"/>
  <c r="W27" i="3"/>
  <c r="AC27" i="3"/>
  <c r="AF27" i="3"/>
  <c r="W248" i="3"/>
  <c r="AC248" i="3"/>
  <c r="AF248" i="3"/>
  <c r="T947" i="1"/>
  <c r="Y947" i="1"/>
  <c r="AE947" i="1"/>
  <c r="AH947" i="1"/>
  <c r="V636" i="2"/>
  <c r="AB636" i="2"/>
  <c r="AE636" i="2"/>
  <c r="T798" i="1"/>
  <c r="Y798" i="1"/>
  <c r="AE798" i="1"/>
  <c r="AH798" i="1"/>
  <c r="T858" i="1"/>
  <c r="Y858" i="1"/>
  <c r="AE858" i="1"/>
  <c r="AH858" i="1"/>
  <c r="L669" i="1"/>
  <c r="K669" i="1"/>
  <c r="T669" i="1"/>
  <c r="X669" i="1"/>
  <c r="AD669" i="1"/>
  <c r="AG669" i="1"/>
  <c r="AI669" i="1"/>
  <c r="W57" i="3"/>
  <c r="AC57" i="3"/>
  <c r="AF57" i="3"/>
  <c r="R871" i="3"/>
  <c r="W871" i="3"/>
  <c r="AC871" i="3"/>
  <c r="AF871" i="3"/>
  <c r="W917" i="3"/>
  <c r="AC917" i="3"/>
  <c r="AF917" i="3"/>
  <c r="R862" i="3"/>
  <c r="W508" i="3"/>
  <c r="AC508" i="3"/>
  <c r="AF508" i="3"/>
  <c r="AH508" i="3"/>
  <c r="AC236" i="3"/>
  <c r="R236" i="3"/>
  <c r="W236" i="3"/>
  <c r="AA236" i="3"/>
  <c r="AG268" i="2"/>
  <c r="AG639" i="2"/>
  <c r="X76" i="1"/>
  <c r="AG891" i="2"/>
  <c r="Y998" i="1"/>
  <c r="AE998" i="1"/>
  <c r="AH998" i="1"/>
  <c r="AJ998" i="1"/>
  <c r="R33" i="3"/>
  <c r="T687" i="1"/>
  <c r="Y687" i="1"/>
  <c r="AE687" i="1"/>
  <c r="AH687" i="1"/>
  <c r="W213" i="3"/>
  <c r="AC213" i="3"/>
  <c r="AF213" i="3"/>
  <c r="AH213" i="3"/>
  <c r="R325" i="3"/>
  <c r="Q331" i="2"/>
  <c r="U331" i="2"/>
  <c r="AA331" i="2"/>
  <c r="AD331" i="2"/>
  <c r="AF331" i="2"/>
  <c r="W835" i="3"/>
  <c r="AC835" i="3"/>
  <c r="AF835" i="3"/>
  <c r="R313" i="3"/>
  <c r="T845" i="1"/>
  <c r="Y845" i="1"/>
  <c r="AE845" i="1"/>
  <c r="AH845" i="1"/>
  <c r="T715" i="1"/>
  <c r="Y715" i="1"/>
  <c r="AE715" i="1"/>
  <c r="AH715" i="1"/>
  <c r="V194" i="2"/>
  <c r="AB194" i="2"/>
  <c r="AE194" i="2"/>
  <c r="T840" i="1"/>
  <c r="X840" i="1"/>
  <c r="AD840" i="1"/>
  <c r="AG840" i="1"/>
  <c r="AI840" i="1"/>
  <c r="W974" i="3"/>
  <c r="AC974" i="3"/>
  <c r="AF974" i="3"/>
  <c r="V859" i="2"/>
  <c r="AB859" i="2"/>
  <c r="AE859" i="2"/>
  <c r="V627" i="2"/>
  <c r="AB627" i="2"/>
  <c r="AE627" i="2"/>
  <c r="R907" i="3"/>
  <c r="W907" i="3"/>
  <c r="AC907" i="3"/>
  <c r="AF907" i="3"/>
  <c r="AG843" i="2"/>
  <c r="L909" i="1"/>
  <c r="K909" i="1"/>
  <c r="R888" i="3"/>
  <c r="W888" i="3"/>
  <c r="AC888" i="3"/>
  <c r="AF888" i="3"/>
  <c r="W495" i="3"/>
  <c r="AC495" i="3"/>
  <c r="AF495" i="3"/>
  <c r="AH495" i="3"/>
  <c r="K960" i="3"/>
  <c r="J960" i="3"/>
  <c r="L960" i="3"/>
  <c r="U492" i="2"/>
  <c r="AA492" i="2"/>
  <c r="AD492" i="2"/>
  <c r="AF492" i="2"/>
  <c r="Q450" i="2"/>
  <c r="V450" i="2"/>
  <c r="AB450" i="2"/>
  <c r="AE450" i="2"/>
  <c r="R973" i="3"/>
  <c r="V311" i="2"/>
  <c r="AB311" i="2"/>
  <c r="AE311" i="2"/>
  <c r="AG311" i="2"/>
  <c r="Q695" i="2"/>
  <c r="R210" i="3"/>
  <c r="V374" i="3"/>
  <c r="AB374" i="3"/>
  <c r="AE374" i="3"/>
  <c r="AG374" i="3"/>
  <c r="W254" i="3"/>
  <c r="AC254" i="3"/>
  <c r="AF254" i="3"/>
  <c r="Q497" i="2"/>
  <c r="L775" i="3"/>
  <c r="K775" i="3"/>
  <c r="J775" i="3"/>
  <c r="K501" i="3"/>
  <c r="J501" i="3"/>
  <c r="L501" i="3"/>
  <c r="L958" i="1"/>
  <c r="K958" i="1"/>
  <c r="Z373" i="2"/>
  <c r="Q839" i="2"/>
  <c r="V627" i="3"/>
  <c r="AB627" i="3"/>
  <c r="AE627" i="3"/>
  <c r="AG627" i="3"/>
  <c r="AA924" i="3"/>
  <c r="AA724" i="3"/>
  <c r="Z713" i="2"/>
  <c r="R789" i="3"/>
  <c r="V485" i="2"/>
  <c r="AB485" i="2"/>
  <c r="AE485" i="2"/>
  <c r="R918" i="3"/>
  <c r="W243" i="3"/>
  <c r="AC243" i="3"/>
  <c r="AF243" i="3"/>
  <c r="Y966" i="1"/>
  <c r="AE966" i="1"/>
  <c r="AH966" i="1"/>
  <c r="Z510" i="2"/>
  <c r="Q510" i="2"/>
  <c r="V510" i="2"/>
  <c r="AB510" i="2"/>
  <c r="AH312" i="3"/>
  <c r="Q774" i="2"/>
  <c r="Q817" i="2"/>
  <c r="V817" i="2"/>
  <c r="AB817" i="2"/>
  <c r="AE817" i="2"/>
  <c r="AH837" i="3"/>
  <c r="Q492" i="2"/>
  <c r="Q242" i="2"/>
  <c r="V333" i="2"/>
  <c r="AB333" i="2"/>
  <c r="AE333" i="2"/>
  <c r="AG333" i="2"/>
  <c r="AA136" i="3"/>
  <c r="Z793" i="2"/>
  <c r="U903" i="2"/>
  <c r="AA903" i="2"/>
  <c r="AD903" i="2"/>
  <c r="AF903" i="2"/>
  <c r="R925" i="3"/>
  <c r="W925" i="3"/>
  <c r="AC925" i="3"/>
  <c r="AF925" i="3"/>
  <c r="K121" i="3"/>
  <c r="J121" i="3"/>
  <c r="L121" i="3"/>
  <c r="R121" i="3"/>
  <c r="W121" i="3"/>
  <c r="AC121" i="3"/>
  <c r="AF121" i="3"/>
  <c r="AH121" i="3"/>
  <c r="AH781" i="3"/>
  <c r="AG860" i="2"/>
  <c r="L930" i="1"/>
  <c r="K930" i="1"/>
  <c r="T930" i="1"/>
  <c r="Y930" i="1"/>
  <c r="AE930" i="1"/>
  <c r="AH930" i="1"/>
  <c r="W320" i="3"/>
  <c r="AC320" i="3"/>
  <c r="AF320" i="3"/>
  <c r="AH320" i="3"/>
  <c r="R710" i="3"/>
  <c r="W710" i="3"/>
  <c r="AC710" i="3"/>
  <c r="AF710" i="3"/>
  <c r="R538" i="3"/>
  <c r="Z322" i="2"/>
  <c r="Q513" i="2"/>
  <c r="V513" i="2"/>
  <c r="AB513" i="2"/>
  <c r="AE513" i="2"/>
  <c r="L925" i="3"/>
  <c r="K925" i="3"/>
  <c r="J925" i="3"/>
  <c r="V202" i="2"/>
  <c r="AB202" i="2"/>
  <c r="AE202" i="2"/>
  <c r="AG202" i="2"/>
  <c r="W813" i="3"/>
  <c r="AC813" i="3"/>
  <c r="AF813" i="3"/>
  <c r="AH813" i="3"/>
  <c r="Q736" i="2"/>
  <c r="Q661" i="2"/>
  <c r="R61" i="3"/>
  <c r="V61" i="3"/>
  <c r="AB61" i="3"/>
  <c r="AE61" i="3"/>
  <c r="AG61" i="3"/>
  <c r="T986" i="1"/>
  <c r="Y986" i="1"/>
  <c r="AE986" i="1"/>
  <c r="AH986" i="1"/>
  <c r="M1008" i="1"/>
  <c r="L906" i="2"/>
  <c r="K906" i="2"/>
  <c r="J906" i="2"/>
  <c r="V667" i="2"/>
  <c r="AB667" i="2"/>
  <c r="AE667" i="2"/>
  <c r="AG667" i="2"/>
  <c r="V711" i="2"/>
  <c r="AB711" i="2"/>
  <c r="AE711" i="2"/>
  <c r="AG711" i="2"/>
  <c r="W881" i="3"/>
  <c r="AC881" i="3"/>
  <c r="AF881" i="3"/>
  <c r="R277" i="3"/>
  <c r="R916" i="3"/>
  <c r="R687" i="3"/>
  <c r="W687" i="3"/>
  <c r="AC687" i="3"/>
  <c r="AF687" i="3"/>
  <c r="R503" i="3"/>
  <c r="W232" i="3"/>
  <c r="AC232" i="3"/>
  <c r="AF232" i="3"/>
  <c r="Q914" i="2"/>
  <c r="R825" i="3"/>
  <c r="W825" i="3"/>
  <c r="AC825" i="3"/>
  <c r="AF825" i="3"/>
  <c r="AH825" i="3"/>
  <c r="L675" i="1"/>
  <c r="K675" i="1"/>
  <c r="Q714" i="2"/>
  <c r="T932" i="1"/>
  <c r="Y932" i="1"/>
  <c r="AE932" i="1"/>
  <c r="AH932" i="1"/>
  <c r="AH363" i="3"/>
  <c r="V468" i="3"/>
  <c r="AB468" i="3"/>
  <c r="AE468" i="3"/>
  <c r="AG468" i="3"/>
  <c r="Q457" i="2"/>
  <c r="Q286" i="2"/>
  <c r="T821" i="1"/>
  <c r="Y821" i="1"/>
  <c r="AE821" i="1"/>
  <c r="AH821" i="1"/>
  <c r="R213" i="3"/>
  <c r="AG806" i="2"/>
  <c r="M679" i="1"/>
  <c r="U509" i="2"/>
  <c r="AA509" i="2"/>
  <c r="AD509" i="2"/>
  <c r="AF509" i="2"/>
  <c r="W906" i="3"/>
  <c r="AC906" i="3"/>
  <c r="AF906" i="3"/>
  <c r="T911" i="1"/>
  <c r="Y911" i="1"/>
  <c r="AE911" i="1"/>
  <c r="AH911" i="1"/>
  <c r="AJ911" i="1"/>
  <c r="V732" i="3"/>
  <c r="AB732" i="3"/>
  <c r="AE732" i="3"/>
  <c r="AG732" i="3"/>
  <c r="AH676" i="3"/>
  <c r="V706" i="3"/>
  <c r="AB706" i="3"/>
  <c r="AE706" i="3"/>
  <c r="AG706" i="3"/>
  <c r="L860" i="1"/>
  <c r="K860" i="1"/>
  <c r="T860" i="1"/>
  <c r="Y860" i="1"/>
  <c r="AE860" i="1"/>
  <c r="AH860" i="1"/>
  <c r="R389" i="3"/>
  <c r="R952" i="3"/>
  <c r="V952" i="3"/>
  <c r="AB952" i="3"/>
  <c r="AE952" i="3"/>
  <c r="AG952" i="3"/>
  <c r="AG887" i="2"/>
  <c r="V319" i="3"/>
  <c r="AB319" i="3"/>
  <c r="AE319" i="3"/>
  <c r="AG319" i="3"/>
  <c r="R181" i="3"/>
  <c r="AH348" i="3"/>
  <c r="AG920" i="2"/>
  <c r="R725" i="3"/>
  <c r="R809" i="3"/>
  <c r="AH608" i="3"/>
  <c r="K246" i="2"/>
  <c r="J246" i="2"/>
  <c r="L246" i="2"/>
  <c r="AJ812" i="1"/>
  <c r="V852" i="2"/>
  <c r="AB852" i="2"/>
  <c r="AE852" i="2"/>
  <c r="Q628" i="2"/>
  <c r="R540" i="3"/>
  <c r="R468" i="3"/>
  <c r="R178" i="3"/>
  <c r="R381" i="3"/>
  <c r="W381" i="3"/>
  <c r="AC381" i="3"/>
  <c r="AF381" i="3"/>
  <c r="R51" i="3"/>
  <c r="W636" i="3"/>
  <c r="AC636" i="3"/>
  <c r="AF636" i="3"/>
  <c r="Q794" i="2"/>
  <c r="W333" i="3"/>
  <c r="AC333" i="3"/>
  <c r="AF333" i="3"/>
  <c r="Q678" i="2"/>
  <c r="W777" i="3"/>
  <c r="AC777" i="3"/>
  <c r="AF777" i="3"/>
  <c r="AH777" i="3"/>
  <c r="AG315" i="2"/>
  <c r="Z917" i="2"/>
  <c r="V826" i="2"/>
  <c r="AB826" i="2"/>
  <c r="AE826" i="2"/>
  <c r="R631" i="3"/>
  <c r="V631" i="3"/>
  <c r="AB631" i="3"/>
  <c r="AE631" i="3"/>
  <c r="AG631" i="3"/>
  <c r="T733" i="1"/>
  <c r="Y733" i="1"/>
  <c r="AE733" i="1"/>
  <c r="AH733" i="1"/>
  <c r="Q244" i="2"/>
  <c r="T751" i="1"/>
  <c r="Y751" i="1"/>
  <c r="AE751" i="1"/>
  <c r="AH751" i="1"/>
  <c r="V337" i="2"/>
  <c r="AB337" i="2"/>
  <c r="AE337" i="2"/>
  <c r="R841" i="3"/>
  <c r="AG967" i="2"/>
  <c r="W284" i="3"/>
  <c r="AC284" i="3"/>
  <c r="AF284" i="3"/>
  <c r="AH437" i="3"/>
  <c r="W622" i="3"/>
  <c r="AC622" i="3"/>
  <c r="AF622" i="3"/>
  <c r="W558" i="3"/>
  <c r="AC558" i="3"/>
  <c r="AF558" i="3"/>
  <c r="W963" i="3"/>
  <c r="AC963" i="3"/>
  <c r="AF963" i="3"/>
  <c r="V864" i="2"/>
  <c r="AB864" i="2"/>
  <c r="AE864" i="2"/>
  <c r="AG864" i="2"/>
  <c r="R318" i="3"/>
  <c r="R920" i="3"/>
  <c r="W920" i="3"/>
  <c r="AC920" i="3"/>
  <c r="AF920" i="3"/>
  <c r="AG486" i="2"/>
  <c r="Q455" i="2"/>
  <c r="W509" i="3"/>
  <c r="AC509" i="3"/>
  <c r="AF509" i="3"/>
  <c r="V637" i="2"/>
  <c r="AB637" i="2"/>
  <c r="AE637" i="2"/>
  <c r="T959" i="1"/>
  <c r="X959" i="1"/>
  <c r="AD959" i="1"/>
  <c r="AG959" i="1"/>
  <c r="AI959" i="1"/>
  <c r="Q771" i="2"/>
  <c r="V669" i="2"/>
  <c r="AB669" i="2"/>
  <c r="AE669" i="2"/>
  <c r="AA133" i="3"/>
  <c r="Q994" i="2"/>
  <c r="AG854" i="2"/>
  <c r="R483" i="3"/>
  <c r="AG482" i="2"/>
  <c r="AH429" i="3"/>
  <c r="V425" i="2"/>
  <c r="AB425" i="2"/>
  <c r="AE425" i="2"/>
  <c r="L912" i="1"/>
  <c r="K912" i="1"/>
  <c r="Q431" i="2"/>
  <c r="R377" i="3"/>
  <c r="W487" i="3"/>
  <c r="AC487" i="3"/>
  <c r="AF487" i="3"/>
  <c r="V845" i="2"/>
  <c r="AB845" i="2"/>
  <c r="AE845" i="2"/>
  <c r="AG307" i="2"/>
  <c r="AA317" i="3"/>
  <c r="AJ787" i="1"/>
  <c r="R645" i="3"/>
  <c r="R74" i="3"/>
  <c r="W755" i="3"/>
  <c r="AC755" i="3"/>
  <c r="AF755" i="3"/>
  <c r="AH755" i="3"/>
  <c r="U332" i="2"/>
  <c r="AA332" i="2"/>
  <c r="AD332" i="2"/>
  <c r="AF332" i="2"/>
  <c r="U686" i="2"/>
  <c r="AA686" i="2"/>
  <c r="AD686" i="2"/>
  <c r="AF686" i="2"/>
  <c r="L895" i="1"/>
  <c r="K895" i="1"/>
  <c r="V636" i="3"/>
  <c r="AB636" i="3"/>
  <c r="AE636" i="3"/>
  <c r="AG636" i="3"/>
  <c r="U993" i="2"/>
  <c r="AA993" i="2"/>
  <c r="AD993" i="2"/>
  <c r="AF993" i="2"/>
  <c r="AA706" i="3"/>
  <c r="Q421" i="2"/>
  <c r="U362" i="2"/>
  <c r="AA362" i="2"/>
  <c r="AD362" i="2"/>
  <c r="AF362" i="2"/>
  <c r="V879" i="3"/>
  <c r="AB879" i="3"/>
  <c r="AE879" i="3"/>
  <c r="AG879" i="3"/>
  <c r="Q433" i="2"/>
  <c r="U433" i="2"/>
  <c r="AA433" i="2"/>
  <c r="AD433" i="2"/>
  <c r="AF433" i="2"/>
  <c r="Q271" i="2"/>
  <c r="V271" i="2"/>
  <c r="AB271" i="2"/>
  <c r="AE271" i="2"/>
  <c r="T814" i="1"/>
  <c r="Y814" i="1"/>
  <c r="AE814" i="1"/>
  <c r="AH814" i="1"/>
  <c r="V991" i="2"/>
  <c r="AB991" i="2"/>
  <c r="AE991" i="2"/>
  <c r="AG991" i="2"/>
  <c r="W581" i="3"/>
  <c r="AC581" i="3"/>
  <c r="AF581" i="3"/>
  <c r="AH532" i="3"/>
  <c r="AH823" i="3"/>
  <c r="AH341" i="3"/>
  <c r="Q303" i="2"/>
  <c r="K743" i="3"/>
  <c r="J743" i="3"/>
  <c r="L743" i="3"/>
  <c r="W127" i="3"/>
  <c r="AC127" i="3"/>
  <c r="AF127" i="3"/>
  <c r="Q760" i="2"/>
  <c r="V571" i="3"/>
  <c r="AB571" i="3"/>
  <c r="AE571" i="3"/>
  <c r="AG571" i="3"/>
  <c r="V946" i="3"/>
  <c r="AB946" i="3"/>
  <c r="AE946" i="3"/>
  <c r="AG946" i="3"/>
  <c r="Q928" i="2"/>
  <c r="L691" i="1"/>
  <c r="K691" i="1"/>
  <c r="R803" i="3"/>
  <c r="V803" i="3"/>
  <c r="AB803" i="3"/>
  <c r="AE803" i="3"/>
  <c r="AG803" i="3"/>
  <c r="AH605" i="3"/>
  <c r="AC792" i="1"/>
  <c r="V94" i="3"/>
  <c r="AB94" i="3"/>
  <c r="AE94" i="3"/>
  <c r="AG94" i="3"/>
  <c r="R653" i="3"/>
  <c r="W653" i="3"/>
  <c r="AC653" i="3"/>
  <c r="AF653" i="3"/>
  <c r="W167" i="3"/>
  <c r="AC167" i="3"/>
  <c r="AF167" i="3"/>
  <c r="AH167" i="3"/>
  <c r="R604" i="3"/>
  <c r="W604" i="3"/>
  <c r="AC604" i="3"/>
  <c r="AF604" i="3"/>
  <c r="AH604" i="3"/>
  <c r="Q301" i="2"/>
  <c r="R108" i="3"/>
  <c r="V108" i="3"/>
  <c r="AB108" i="3"/>
  <c r="AE108" i="3"/>
  <c r="AG108" i="3"/>
  <c r="V349" i="3"/>
  <c r="AB349" i="3"/>
  <c r="AE349" i="3"/>
  <c r="AG349" i="3"/>
  <c r="Q313" i="2"/>
  <c r="V626" i="3"/>
  <c r="AB626" i="3"/>
  <c r="AE626" i="3"/>
  <c r="AG626" i="3"/>
  <c r="R697" i="3"/>
  <c r="V697" i="3"/>
  <c r="AB697" i="3"/>
  <c r="AE697" i="3"/>
  <c r="AG697" i="3"/>
  <c r="Q356" i="2"/>
  <c r="V356" i="2"/>
  <c r="AB356" i="2"/>
  <c r="AE356" i="2"/>
  <c r="AG356" i="2"/>
  <c r="R35" i="3"/>
  <c r="Q868" i="2"/>
  <c r="V868" i="2"/>
  <c r="AB868" i="2"/>
  <c r="AE868" i="2"/>
  <c r="V370" i="2"/>
  <c r="AB370" i="2"/>
  <c r="AE370" i="2"/>
  <c r="AH578" i="3"/>
  <c r="R166" i="3"/>
  <c r="Z308" i="2"/>
  <c r="V415" i="3"/>
  <c r="AB415" i="3"/>
  <c r="AE415" i="3"/>
  <c r="AG415" i="3"/>
  <c r="R674" i="3"/>
  <c r="V805" i="2"/>
  <c r="AB805" i="2"/>
  <c r="AE805" i="2"/>
  <c r="AG805" i="2"/>
  <c r="Q874" i="2"/>
  <c r="V874" i="2"/>
  <c r="AB874" i="2"/>
  <c r="AE874" i="2"/>
  <c r="Z525" i="2"/>
  <c r="Q598" i="2"/>
  <c r="V598" i="2"/>
  <c r="AB598" i="2"/>
  <c r="AE598" i="2"/>
  <c r="T717" i="1"/>
  <c r="X717" i="1"/>
  <c r="AD717" i="1"/>
  <c r="AG717" i="1"/>
  <c r="AI717" i="1"/>
  <c r="L830" i="1"/>
  <c r="K830" i="1"/>
  <c r="R730" i="3"/>
  <c r="T706" i="1"/>
  <c r="Y706" i="1"/>
  <c r="AE706" i="1"/>
  <c r="AH706" i="1"/>
  <c r="Q726" i="2"/>
  <c r="Q594" i="2"/>
  <c r="W797" i="3"/>
  <c r="AC797" i="3"/>
  <c r="AF797" i="3"/>
  <c r="Q523" i="2"/>
  <c r="W488" i="3"/>
  <c r="AC488" i="3"/>
  <c r="AF488" i="3"/>
  <c r="U653" i="2"/>
  <c r="AA653" i="2"/>
  <c r="AD653" i="2"/>
  <c r="AF653" i="2"/>
  <c r="R246" i="3"/>
  <c r="R153" i="3"/>
  <c r="M707" i="1"/>
  <c r="Q822" i="2"/>
  <c r="V822" i="2"/>
  <c r="AB822" i="2"/>
  <c r="AE822" i="2"/>
  <c r="Q268" i="2"/>
  <c r="V268" i="2"/>
  <c r="AB268" i="2"/>
  <c r="AE268" i="2"/>
  <c r="T690" i="1"/>
  <c r="Y690" i="1"/>
  <c r="AE690" i="1"/>
  <c r="AH690" i="1"/>
  <c r="AJ690" i="1"/>
  <c r="K352" i="2"/>
  <c r="J352" i="2"/>
  <c r="L352" i="2"/>
  <c r="AG719" i="2"/>
  <c r="L809" i="3"/>
  <c r="K809" i="3"/>
  <c r="J809" i="3"/>
  <c r="Q290" i="2"/>
  <c r="V574" i="2"/>
  <c r="AB574" i="2"/>
  <c r="AE574" i="2"/>
  <c r="V391" i="3"/>
  <c r="AB391" i="3"/>
  <c r="AE391" i="3"/>
  <c r="AG391" i="3"/>
  <c r="R237" i="3"/>
  <c r="W237" i="3"/>
  <c r="AC237" i="3"/>
  <c r="AF237" i="3"/>
  <c r="Q496" i="2"/>
  <c r="U496" i="2"/>
  <c r="AA496" i="2"/>
  <c r="AD496" i="2"/>
  <c r="AF496" i="2"/>
  <c r="Q458" i="2"/>
  <c r="V458" i="2"/>
  <c r="AB458" i="2"/>
  <c r="AE458" i="2"/>
  <c r="R669" i="3"/>
  <c r="W669" i="3"/>
  <c r="AC669" i="3"/>
  <c r="AF669" i="3"/>
  <c r="Q658" i="2"/>
  <c r="U658" i="2"/>
  <c r="AA658" i="2"/>
  <c r="AD658" i="2"/>
  <c r="AF658" i="2"/>
  <c r="R680" i="3"/>
  <c r="AH970" i="3"/>
  <c r="W426" i="3"/>
  <c r="AC426" i="3"/>
  <c r="AF426" i="3"/>
  <c r="AA605" i="3"/>
  <c r="T783" i="1"/>
  <c r="Y783" i="1"/>
  <c r="AE783" i="1"/>
  <c r="AH783" i="1"/>
  <c r="AJ783" i="1"/>
  <c r="W423" i="3"/>
  <c r="AC423" i="3"/>
  <c r="AF423" i="3"/>
  <c r="V134" i="3"/>
  <c r="AB134" i="3"/>
  <c r="AE134" i="3"/>
  <c r="AG134" i="3"/>
  <c r="Q770" i="2"/>
  <c r="V770" i="2"/>
  <c r="AB770" i="2"/>
  <c r="AE770" i="2"/>
  <c r="AG770" i="2"/>
  <c r="R469" i="3"/>
  <c r="V469" i="3"/>
  <c r="AB469" i="3"/>
  <c r="AE469" i="3"/>
  <c r="AG469" i="3"/>
  <c r="V227" i="3"/>
  <c r="AB227" i="3"/>
  <c r="AE227" i="3"/>
  <c r="AG227" i="3"/>
  <c r="V308" i="3"/>
  <c r="AB308" i="3"/>
  <c r="AE308" i="3"/>
  <c r="AG308" i="3"/>
  <c r="AJ879" i="1"/>
  <c r="AH332" i="3"/>
  <c r="R917" i="3"/>
  <c r="W970" i="3"/>
  <c r="AC970" i="3"/>
  <c r="AF970" i="3"/>
  <c r="Q392" i="2"/>
  <c r="V392" i="2"/>
  <c r="AB392" i="2"/>
  <c r="AE392" i="2"/>
  <c r="V498" i="2"/>
  <c r="AB498" i="2"/>
  <c r="AE498" i="2"/>
  <c r="AG498" i="2"/>
  <c r="AH95" i="3"/>
  <c r="R561" i="3"/>
  <c r="V561" i="3"/>
  <c r="AB561" i="3"/>
  <c r="AE561" i="3"/>
  <c r="AG561" i="3"/>
  <c r="R587" i="3"/>
  <c r="U449" i="2"/>
  <c r="AA449" i="2"/>
  <c r="AD449" i="2"/>
  <c r="AF449" i="2"/>
  <c r="L846" i="1"/>
  <c r="K846" i="1"/>
  <c r="W515" i="3"/>
  <c r="AC515" i="3"/>
  <c r="AF515" i="3"/>
  <c r="V646" i="3"/>
  <c r="AB646" i="3"/>
  <c r="AE646" i="3"/>
  <c r="AG646" i="3"/>
  <c r="R910" i="3"/>
  <c r="AJ903" i="1"/>
  <c r="Q694" i="2"/>
  <c r="U694" i="2"/>
  <c r="AA694" i="2"/>
  <c r="AD694" i="2"/>
  <c r="AF694" i="2"/>
  <c r="Z358" i="2"/>
  <c r="W260" i="3"/>
  <c r="AC260" i="3"/>
  <c r="AF260" i="3"/>
  <c r="AH260" i="3"/>
  <c r="K38" i="3"/>
  <c r="J38" i="3"/>
  <c r="L38" i="3"/>
  <c r="R38" i="3"/>
  <c r="W38" i="3"/>
  <c r="AC38" i="3"/>
  <c r="AF38" i="3"/>
  <c r="R606" i="3"/>
  <c r="W597" i="3"/>
  <c r="AC597" i="3"/>
  <c r="AF597" i="3"/>
  <c r="AH597" i="3"/>
  <c r="R139" i="3"/>
  <c r="W139" i="3"/>
  <c r="AC139" i="3"/>
  <c r="AF139" i="3"/>
  <c r="R316" i="3"/>
  <c r="Q652" i="2"/>
  <c r="T808" i="1"/>
  <c r="Y808" i="1"/>
  <c r="AE808" i="1"/>
  <c r="AH808" i="1"/>
  <c r="L473" i="2"/>
  <c r="K473" i="2"/>
  <c r="J473" i="2"/>
  <c r="V626" i="2"/>
  <c r="AB626" i="2"/>
  <c r="AE626" i="2"/>
  <c r="Q387" i="2"/>
  <c r="K561" i="2"/>
  <c r="J561" i="2"/>
  <c r="L561" i="2"/>
  <c r="Q582" i="2"/>
  <c r="V582" i="2"/>
  <c r="AB582" i="2"/>
  <c r="AE582" i="2"/>
  <c r="W451" i="3"/>
  <c r="AC451" i="3"/>
  <c r="AF451" i="3"/>
  <c r="R846" i="3"/>
  <c r="AC784" i="1"/>
  <c r="T784" i="1"/>
  <c r="Y784" i="1"/>
  <c r="AE784" i="1"/>
  <c r="AG288" i="2"/>
  <c r="T994" i="1"/>
  <c r="Y994" i="1"/>
  <c r="AE994" i="1"/>
  <c r="AH994" i="1"/>
  <c r="Q373" i="2"/>
  <c r="V373" i="2"/>
  <c r="AB373" i="2"/>
  <c r="AE373" i="2"/>
  <c r="AG373" i="2"/>
  <c r="W817" i="3"/>
  <c r="AC817" i="3"/>
  <c r="AF817" i="3"/>
  <c r="AD207" i="3"/>
  <c r="AH511" i="3"/>
  <c r="V182" i="2"/>
  <c r="AB182" i="2"/>
  <c r="AE182" i="2"/>
  <c r="R396" i="3"/>
  <c r="V396" i="3"/>
  <c r="AB396" i="3"/>
  <c r="AE396" i="3"/>
  <c r="AG396" i="3"/>
  <c r="M898" i="1"/>
  <c r="Q663" i="2"/>
  <c r="V663" i="2"/>
  <c r="AB663" i="2"/>
  <c r="AE663" i="2"/>
  <c r="AG663" i="2"/>
  <c r="Z782" i="2"/>
  <c r="W319" i="3"/>
  <c r="AC319" i="3"/>
  <c r="AF319" i="3"/>
  <c r="Q969" i="2"/>
  <c r="L996" i="1"/>
  <c r="K996" i="1"/>
  <c r="T996" i="1"/>
  <c r="Y996" i="1"/>
  <c r="AE996" i="1"/>
  <c r="AH996" i="1"/>
  <c r="Q1008" i="2"/>
  <c r="V1008" i="2"/>
  <c r="AB1008" i="2"/>
  <c r="AE1008" i="2"/>
  <c r="R701" i="3"/>
  <c r="W96" i="3"/>
  <c r="AC96" i="3"/>
  <c r="AF96" i="3"/>
  <c r="W804" i="3"/>
  <c r="AC804" i="3"/>
  <c r="AF804" i="3"/>
  <c r="K392" i="2"/>
  <c r="J392" i="2"/>
  <c r="L392" i="2"/>
  <c r="Q213" i="2"/>
  <c r="AG358" i="2"/>
  <c r="Q365" i="2"/>
  <c r="V365" i="2"/>
  <c r="AB365" i="2"/>
  <c r="AE365" i="2"/>
  <c r="L769" i="1"/>
  <c r="K769" i="1"/>
  <c r="R392" i="3"/>
  <c r="W392" i="3"/>
  <c r="AC392" i="3"/>
  <c r="AF392" i="3"/>
  <c r="AH392" i="3"/>
  <c r="V317" i="3"/>
  <c r="AB317" i="3"/>
  <c r="AE317" i="3"/>
  <c r="AG317" i="3"/>
  <c r="AH227" i="3"/>
  <c r="W141" i="3"/>
  <c r="AC141" i="3"/>
  <c r="AF141" i="3"/>
  <c r="AH937" i="3"/>
  <c r="L796" i="1"/>
  <c r="K796" i="1"/>
  <c r="L702" i="1"/>
  <c r="K702" i="1"/>
  <c r="AC515" i="2"/>
  <c r="L949" i="1"/>
  <c r="K949" i="1"/>
  <c r="R211" i="3"/>
  <c r="R665" i="3"/>
  <c r="X1003" i="1"/>
  <c r="AD1003" i="1"/>
  <c r="AG1003" i="1"/>
  <c r="AI1003" i="1"/>
  <c r="Q788" i="2"/>
  <c r="V465" i="3"/>
  <c r="AB465" i="3"/>
  <c r="AE465" i="3"/>
  <c r="AG465" i="3"/>
  <c r="R371" i="3"/>
  <c r="R990" i="3"/>
  <c r="W990" i="3"/>
  <c r="AC990" i="3"/>
  <c r="AF990" i="3"/>
  <c r="Q631" i="2"/>
  <c r="V631" i="2"/>
  <c r="AB631" i="2"/>
  <c r="AE631" i="2"/>
  <c r="V930" i="3"/>
  <c r="AB930" i="3"/>
  <c r="AE930" i="3"/>
  <c r="AG930" i="3"/>
  <c r="T874" i="1"/>
  <c r="Y874" i="1"/>
  <c r="AE874" i="1"/>
  <c r="AH874" i="1"/>
  <c r="AJ874" i="1"/>
  <c r="Q423" i="2"/>
  <c r="V423" i="2"/>
  <c r="AB423" i="2"/>
  <c r="AE423" i="2"/>
  <c r="AG423" i="2"/>
  <c r="W566" i="3"/>
  <c r="AC566" i="3"/>
  <c r="AF566" i="3"/>
  <c r="K916" i="3"/>
  <c r="J916" i="3"/>
  <c r="L916" i="3"/>
  <c r="V707" i="2"/>
  <c r="AB707" i="2"/>
  <c r="AE707" i="2"/>
  <c r="Q595" i="2"/>
  <c r="U595" i="2"/>
  <c r="AA595" i="2"/>
  <c r="AD595" i="2"/>
  <c r="AF595" i="2"/>
  <c r="Q464" i="2"/>
  <c r="L799" i="1"/>
  <c r="K799" i="1"/>
  <c r="V758" i="2"/>
  <c r="AB758" i="2"/>
  <c r="AE758" i="2"/>
  <c r="AG758" i="2"/>
  <c r="V272" i="3"/>
  <c r="AB272" i="3"/>
  <c r="AE272" i="3"/>
  <c r="AG272" i="3"/>
  <c r="Q264" i="2"/>
  <c r="U264" i="2"/>
  <c r="AA264" i="2"/>
  <c r="AD264" i="2"/>
  <c r="AF264" i="2"/>
  <c r="AA781" i="3"/>
  <c r="W625" i="3"/>
  <c r="AC625" i="3"/>
  <c r="AF625" i="3"/>
  <c r="AH625" i="3"/>
  <c r="K496" i="2"/>
  <c r="J496" i="2"/>
  <c r="L496" i="2"/>
  <c r="W922" i="3"/>
  <c r="AC922" i="3"/>
  <c r="AF922" i="3"/>
  <c r="AH922" i="3"/>
  <c r="V245" i="2"/>
  <c r="AB245" i="2"/>
  <c r="AE245" i="2"/>
  <c r="R456" i="3"/>
  <c r="Q280" i="2"/>
  <c r="R131" i="3"/>
  <c r="AC652" i="3"/>
  <c r="W652" i="3"/>
  <c r="AA652" i="3"/>
  <c r="L972" i="1"/>
  <c r="K972" i="1"/>
  <c r="Q247" i="2"/>
  <c r="L523" i="2"/>
  <c r="K523" i="2"/>
  <c r="J523" i="2"/>
  <c r="Q569" i="2"/>
  <c r="U569" i="2"/>
  <c r="AA569" i="2"/>
  <c r="AD569" i="2"/>
  <c r="AF569" i="2"/>
  <c r="L862" i="2"/>
  <c r="K862" i="2"/>
  <c r="J862" i="2"/>
  <c r="T966" i="1"/>
  <c r="X966" i="1"/>
  <c r="AD966" i="1"/>
  <c r="AG966" i="1"/>
  <c r="AI966" i="1"/>
  <c r="R611" i="3"/>
  <c r="L439" i="2"/>
  <c r="K439" i="2"/>
  <c r="J439" i="2"/>
  <c r="L721" i="1"/>
  <c r="K721" i="1"/>
  <c r="Z750" i="2"/>
  <c r="R491" i="3"/>
  <c r="V417" i="2"/>
  <c r="AB417" i="2"/>
  <c r="AE417" i="2"/>
  <c r="W415" i="3"/>
  <c r="AC415" i="3"/>
  <c r="AF415" i="3"/>
  <c r="Q901" i="2"/>
  <c r="R448" i="3"/>
  <c r="AH791" i="3"/>
  <c r="Q813" i="2"/>
  <c r="V813" i="2"/>
  <c r="AB813" i="2"/>
  <c r="AE813" i="2"/>
  <c r="Q619" i="2"/>
  <c r="V967" i="2"/>
  <c r="AB967" i="2"/>
  <c r="AE967" i="2"/>
  <c r="Q429" i="2"/>
  <c r="T775" i="1"/>
  <c r="Y775" i="1"/>
  <c r="AE775" i="1"/>
  <c r="AH775" i="1"/>
  <c r="AH706" i="3"/>
  <c r="Q956" i="2"/>
  <c r="W493" i="3"/>
  <c r="AC493" i="3"/>
  <c r="AF493" i="3"/>
  <c r="AH493" i="3"/>
  <c r="R310" i="3"/>
  <c r="W310" i="3"/>
  <c r="AC310" i="3"/>
  <c r="AF310" i="3"/>
  <c r="AH310" i="3"/>
  <c r="Q528" i="2"/>
  <c r="V528" i="2"/>
  <c r="AB528" i="2"/>
  <c r="AE528" i="2"/>
  <c r="W473" i="3"/>
  <c r="AC473" i="3"/>
  <c r="AF473" i="3"/>
  <c r="R716" i="3"/>
  <c r="W716" i="3"/>
  <c r="AC716" i="3"/>
  <c r="AF716" i="3"/>
  <c r="Q320" i="2"/>
  <c r="V320" i="2"/>
  <c r="AB320" i="2"/>
  <c r="AE320" i="2"/>
  <c r="AJ999" i="1"/>
  <c r="R31" i="3"/>
  <c r="T961" i="1"/>
  <c r="X961" i="1"/>
  <c r="AD961" i="1"/>
  <c r="AG961" i="1"/>
  <c r="AI961" i="1"/>
  <c r="Q390" i="2"/>
  <c r="U390" i="2"/>
  <c r="AA390" i="2"/>
  <c r="AD390" i="2"/>
  <c r="AF390" i="2"/>
  <c r="Q256" i="2"/>
  <c r="V468" i="2"/>
  <c r="AB468" i="2"/>
  <c r="AE468" i="2"/>
  <c r="V394" i="3"/>
  <c r="AB394" i="3"/>
  <c r="AE394" i="3"/>
  <c r="AG394" i="3"/>
  <c r="R908" i="3"/>
  <c r="V240" i="2"/>
  <c r="AB240" i="2"/>
  <c r="AE240" i="2"/>
  <c r="R750" i="3"/>
  <c r="T685" i="1"/>
  <c r="Y685" i="1"/>
  <c r="AE685" i="1"/>
  <c r="AH685" i="1"/>
  <c r="V666" i="3"/>
  <c r="AB666" i="3"/>
  <c r="AE666" i="3"/>
  <c r="AG666" i="3"/>
  <c r="W517" i="3"/>
  <c r="AC517" i="3"/>
  <c r="AF517" i="3"/>
  <c r="Q647" i="2"/>
  <c r="Q267" i="2"/>
  <c r="V267" i="2"/>
  <c r="AB267" i="2"/>
  <c r="AE267" i="2"/>
  <c r="R70" i="3"/>
  <c r="W70" i="3"/>
  <c r="AC70" i="3"/>
  <c r="AF70" i="3"/>
  <c r="U879" i="2"/>
  <c r="AA879" i="2"/>
  <c r="AD879" i="2"/>
  <c r="AF879" i="2"/>
  <c r="R533" i="3"/>
  <c r="AJ946" i="1"/>
  <c r="L739" i="1"/>
  <c r="K739" i="1"/>
  <c r="Q393" i="2"/>
  <c r="V40" i="3"/>
  <c r="AB40" i="3"/>
  <c r="AE40" i="3"/>
  <c r="AG40" i="3"/>
  <c r="R498" i="3"/>
  <c r="W498" i="3"/>
  <c r="AC498" i="3"/>
  <c r="AF498" i="3"/>
  <c r="R921" i="3"/>
  <c r="L672" i="1"/>
  <c r="K672" i="1"/>
  <c r="U295" i="2"/>
  <c r="AA295" i="2"/>
  <c r="AD295" i="2"/>
  <c r="AF295" i="2"/>
  <c r="L810" i="1"/>
  <c r="K810" i="1"/>
  <c r="R804" i="3"/>
  <c r="V804" i="3"/>
  <c r="AB804" i="3"/>
  <c r="AE804" i="3"/>
  <c r="AG804" i="3"/>
  <c r="V994" i="3"/>
  <c r="AB994" i="3"/>
  <c r="AE994" i="3"/>
  <c r="AG994" i="3"/>
  <c r="AH784" i="3"/>
  <c r="W556" i="3"/>
  <c r="AC556" i="3"/>
  <c r="AF556" i="3"/>
  <c r="AH556" i="3"/>
  <c r="U481" i="2"/>
  <c r="AA481" i="2"/>
  <c r="AD481" i="2"/>
  <c r="AF481" i="2"/>
  <c r="Q382" i="2"/>
  <c r="Q309" i="2"/>
  <c r="U309" i="2"/>
  <c r="AA309" i="2"/>
  <c r="AD309" i="2"/>
  <c r="AF309" i="2"/>
  <c r="Q376" i="2"/>
  <c r="K972" i="2"/>
  <c r="J972" i="2"/>
  <c r="L972" i="2"/>
  <c r="W994" i="3"/>
  <c r="AC994" i="3"/>
  <c r="AF994" i="3"/>
  <c r="R420" i="3"/>
  <c r="W826" i="3"/>
  <c r="AC826" i="3"/>
  <c r="AF826" i="3"/>
  <c r="R926" i="3"/>
  <c r="R85" i="3"/>
  <c r="R686" i="3"/>
  <c r="R884" i="3"/>
  <c r="V884" i="3"/>
  <c r="AB884" i="3"/>
  <c r="AE884" i="3"/>
  <c r="AG884" i="3"/>
  <c r="AJ984" i="1"/>
  <c r="W86" i="3"/>
  <c r="AC86" i="3"/>
  <c r="AF86" i="3"/>
  <c r="AH86" i="3"/>
  <c r="T967" i="1"/>
  <c r="Y967" i="1"/>
  <c r="AE967" i="1"/>
  <c r="AH967" i="1"/>
  <c r="AJ967" i="1"/>
  <c r="R321" i="3"/>
  <c r="Q917" i="2"/>
  <c r="V917" i="2"/>
  <c r="AB917" i="2"/>
  <c r="AE917" i="2"/>
  <c r="V385" i="2"/>
  <c r="AB385" i="2"/>
  <c r="AE385" i="2"/>
  <c r="T827" i="1"/>
  <c r="Y827" i="1"/>
  <c r="AE827" i="1"/>
  <c r="AH827" i="1"/>
  <c r="Q310" i="2"/>
  <c r="AA967" i="3"/>
  <c r="Q698" i="2"/>
  <c r="V639" i="2"/>
  <c r="AB639" i="2"/>
  <c r="AE639" i="2"/>
  <c r="L955" i="1"/>
  <c r="K955" i="1"/>
  <c r="T955" i="1"/>
  <c r="Y955" i="1"/>
  <c r="AE955" i="1"/>
  <c r="AH955" i="1"/>
  <c r="Q388" i="2"/>
  <c r="L808" i="1"/>
  <c r="K808" i="1"/>
  <c r="K513" i="3"/>
  <c r="J513" i="3"/>
  <c r="L513" i="3"/>
  <c r="R234" i="3"/>
  <c r="V641" i="3"/>
  <c r="AB641" i="3"/>
  <c r="AE641" i="3"/>
  <c r="AG641" i="3"/>
  <c r="R78" i="3"/>
  <c r="W78" i="3"/>
  <c r="AC78" i="3"/>
  <c r="AF78" i="3"/>
  <c r="R281" i="3"/>
  <c r="V281" i="3"/>
  <c r="AB281" i="3"/>
  <c r="AE281" i="3"/>
  <c r="AG281" i="3"/>
  <c r="AG748" i="2"/>
  <c r="Q730" i="2"/>
  <c r="V730" i="2"/>
  <c r="AB730" i="2"/>
  <c r="AE730" i="2"/>
  <c r="AG730" i="2"/>
  <c r="W675" i="3"/>
  <c r="AC675" i="3"/>
  <c r="AF675" i="3"/>
  <c r="AH675" i="3"/>
  <c r="L823" i="1"/>
  <c r="K823" i="1"/>
  <c r="Q499" i="2"/>
  <c r="L431" i="2"/>
  <c r="K431" i="2"/>
  <c r="J431" i="2"/>
  <c r="V597" i="2"/>
  <c r="AB597" i="2"/>
  <c r="AE597" i="2"/>
  <c r="AG597" i="2"/>
  <c r="R360" i="3"/>
  <c r="X883" i="1"/>
  <c r="AD883" i="1"/>
  <c r="AG883" i="1"/>
  <c r="AI883" i="1"/>
  <c r="U520" i="2"/>
  <c r="AA520" i="2"/>
  <c r="AD520" i="2"/>
  <c r="AF520" i="2"/>
  <c r="W571" i="3"/>
  <c r="AC571" i="3"/>
  <c r="AF571" i="3"/>
  <c r="AG807" i="2"/>
  <c r="U796" i="2"/>
  <c r="AA796" i="2"/>
  <c r="AD796" i="2"/>
  <c r="AF796" i="2"/>
  <c r="Q477" i="2"/>
  <c r="V477" i="2"/>
  <c r="AB477" i="2"/>
  <c r="AE477" i="2"/>
  <c r="V788" i="3"/>
  <c r="AB788" i="3"/>
  <c r="AE788" i="3"/>
  <c r="AG788" i="3"/>
  <c r="U319" i="2"/>
  <c r="AA319" i="2"/>
  <c r="AD319" i="2"/>
  <c r="AF319" i="2"/>
  <c r="L756" i="1"/>
  <c r="K756" i="1"/>
  <c r="T756" i="1"/>
  <c r="Y756" i="1"/>
  <c r="AE756" i="1"/>
  <c r="AH756" i="1"/>
  <c r="R309" i="3"/>
  <c r="W309" i="3"/>
  <c r="AC309" i="3"/>
  <c r="AF309" i="3"/>
  <c r="V450" i="3"/>
  <c r="AB450" i="3"/>
  <c r="AE450" i="3"/>
  <c r="AG450" i="3"/>
  <c r="Q466" i="2"/>
  <c r="W173" i="3"/>
  <c r="AC173" i="3"/>
  <c r="AF173" i="3"/>
  <c r="AH173" i="3"/>
  <c r="V801" i="3"/>
  <c r="AB801" i="3"/>
  <c r="AE801" i="3"/>
  <c r="AG801" i="3"/>
  <c r="Q934" i="2"/>
  <c r="V934" i="2"/>
  <c r="AB934" i="2"/>
  <c r="AE934" i="2"/>
  <c r="R768" i="3"/>
  <c r="K435" i="3"/>
  <c r="J435" i="3"/>
  <c r="L435" i="3"/>
  <c r="R435" i="3"/>
  <c r="V435" i="3"/>
  <c r="AB435" i="3"/>
  <c r="AE435" i="3"/>
  <c r="AG435" i="3"/>
  <c r="R203" i="3"/>
  <c r="W203" i="3"/>
  <c r="AC203" i="3"/>
  <c r="AF203" i="3"/>
  <c r="U203" i="2"/>
  <c r="AA203" i="2"/>
  <c r="AD203" i="2"/>
  <c r="AF203" i="2"/>
  <c r="M731" i="1"/>
  <c r="R522" i="3"/>
  <c r="W56" i="3"/>
  <c r="AC56" i="3"/>
  <c r="AF56" i="3"/>
  <c r="R82" i="3"/>
  <c r="W82" i="3"/>
  <c r="AC82" i="3"/>
  <c r="AF82" i="3"/>
  <c r="V215" i="3"/>
  <c r="AB215" i="3"/>
  <c r="AE215" i="3"/>
  <c r="AG215" i="3"/>
  <c r="AG690" i="2"/>
  <c r="R95" i="3"/>
  <c r="W95" i="3"/>
  <c r="AC95" i="3"/>
  <c r="AF95" i="3"/>
  <c r="L906" i="1"/>
  <c r="K906" i="1"/>
  <c r="W443" i="3"/>
  <c r="AC443" i="3"/>
  <c r="AF443" i="3"/>
  <c r="K677" i="2"/>
  <c r="J677" i="2"/>
  <c r="L677" i="2"/>
  <c r="V974" i="3"/>
  <c r="AB974" i="3"/>
  <c r="AE974" i="3"/>
  <c r="AG974" i="3"/>
  <c r="V703" i="2"/>
  <c r="AB703" i="2"/>
  <c r="AE703" i="2"/>
  <c r="T816" i="1"/>
  <c r="X816" i="1"/>
  <c r="AD816" i="1"/>
  <c r="AG816" i="1"/>
  <c r="AI816" i="1"/>
  <c r="K587" i="3"/>
  <c r="J587" i="3"/>
  <c r="L587" i="3"/>
  <c r="W421" i="3"/>
  <c r="AC421" i="3"/>
  <c r="AF421" i="3"/>
  <c r="R864" i="3"/>
  <c r="Q355" i="2"/>
  <c r="V355" i="2"/>
  <c r="AB355" i="2"/>
  <c r="AE355" i="2"/>
  <c r="AH77" i="3"/>
  <c r="V39" i="3"/>
  <c r="AB39" i="3"/>
  <c r="AE39" i="3"/>
  <c r="AG39" i="3"/>
  <c r="R521" i="3"/>
  <c r="Q386" i="2"/>
  <c r="R553" i="3"/>
  <c r="W553" i="3"/>
  <c r="AC553" i="3"/>
  <c r="AF553" i="3"/>
  <c r="V260" i="2"/>
  <c r="AB260" i="2"/>
  <c r="AE260" i="2"/>
  <c r="Q420" i="2"/>
  <c r="V43" i="3"/>
  <c r="AB43" i="3"/>
  <c r="AE43" i="3"/>
  <c r="AG43" i="3"/>
  <c r="Q737" i="2"/>
  <c r="V737" i="2"/>
  <c r="AB737" i="2"/>
  <c r="AE737" i="2"/>
  <c r="X868" i="1"/>
  <c r="AD868" i="1"/>
  <c r="AG868" i="1"/>
  <c r="AI868" i="1"/>
  <c r="R238" i="3"/>
  <c r="L668" i="1"/>
  <c r="K668" i="1"/>
  <c r="Q898" i="2"/>
  <c r="T750" i="1"/>
  <c r="Y750" i="1"/>
  <c r="AE750" i="1"/>
  <c r="AH750" i="1"/>
  <c r="W944" i="3"/>
  <c r="AC944" i="3"/>
  <c r="AF944" i="3"/>
  <c r="R449" i="3"/>
  <c r="R778" i="3"/>
  <c r="W778" i="3"/>
  <c r="AC778" i="3"/>
  <c r="AF778" i="3"/>
  <c r="AG243" i="2"/>
  <c r="L776" i="1"/>
  <c r="K776" i="1"/>
  <c r="R54" i="3"/>
  <c r="V876" i="2"/>
  <c r="AB876" i="2"/>
  <c r="AE876" i="2"/>
  <c r="L861" i="1"/>
  <c r="K861" i="1"/>
  <c r="K879" i="2"/>
  <c r="J879" i="2"/>
  <c r="L879" i="2"/>
  <c r="Q879" i="2"/>
  <c r="V879" i="2"/>
  <c r="AB879" i="2"/>
  <c r="AE879" i="2"/>
  <c r="Z565" i="2"/>
  <c r="Q349" i="2"/>
  <c r="V349" i="2"/>
  <c r="AB349" i="2"/>
  <c r="AE349" i="2"/>
  <c r="AH919" i="3"/>
  <c r="V903" i="3"/>
  <c r="AB903" i="3"/>
  <c r="AE903" i="3"/>
  <c r="AG903" i="3"/>
  <c r="U844" i="2"/>
  <c r="AA844" i="2"/>
  <c r="AD844" i="2"/>
  <c r="AF844" i="2"/>
  <c r="R307" i="3"/>
  <c r="U514" i="2"/>
  <c r="AA514" i="2"/>
  <c r="AD514" i="2"/>
  <c r="AF514" i="2"/>
  <c r="W962" i="3"/>
  <c r="AC962" i="3"/>
  <c r="AF962" i="3"/>
  <c r="U732" i="2"/>
  <c r="AA732" i="2"/>
  <c r="AD732" i="2"/>
  <c r="AF732" i="2"/>
  <c r="R218" i="3"/>
  <c r="R748" i="3"/>
  <c r="W748" i="3"/>
  <c r="AC748" i="3"/>
  <c r="AF748" i="3"/>
  <c r="Q670" i="2"/>
  <c r="V670" i="2"/>
  <c r="AB670" i="2"/>
  <c r="AE670" i="2"/>
  <c r="AG670" i="2"/>
  <c r="Q638" i="2"/>
  <c r="V638" i="2"/>
  <c r="AB638" i="2"/>
  <c r="AE638" i="2"/>
  <c r="V563" i="2"/>
  <c r="AB563" i="2"/>
  <c r="AE563" i="2"/>
  <c r="AG563" i="2"/>
  <c r="U181" i="2"/>
  <c r="AA181" i="2"/>
  <c r="AD181" i="2"/>
  <c r="AF181" i="2"/>
  <c r="R662" i="3"/>
  <c r="V662" i="3"/>
  <c r="AB662" i="3"/>
  <c r="AE662" i="3"/>
  <c r="AG662" i="3"/>
  <c r="W654" i="3"/>
  <c r="AC654" i="3"/>
  <c r="AF654" i="3"/>
  <c r="AH654" i="3"/>
  <c r="Q586" i="2"/>
  <c r="W510" i="3"/>
  <c r="AC510" i="3"/>
  <c r="AF510" i="3"/>
  <c r="V581" i="3"/>
  <c r="AB581" i="3"/>
  <c r="AE581" i="3"/>
  <c r="AG581" i="3"/>
  <c r="V751" i="2"/>
  <c r="AB751" i="2"/>
  <c r="AE751" i="2"/>
  <c r="Q891" i="2"/>
  <c r="V891" i="2"/>
  <c r="AB891" i="2"/>
  <c r="AE891" i="2"/>
  <c r="AA295" i="3"/>
  <c r="U418" i="2"/>
  <c r="AA418" i="2"/>
  <c r="AD418" i="2"/>
  <c r="AF418" i="2"/>
  <c r="K999" i="2"/>
  <c r="J999" i="2"/>
  <c r="L999" i="2"/>
  <c r="T126" i="1"/>
  <c r="Y126" i="1"/>
  <c r="AE126" i="1"/>
  <c r="AH126" i="1"/>
  <c r="Q300" i="2"/>
  <c r="V300" i="2"/>
  <c r="AB300" i="2"/>
  <c r="AE300" i="2"/>
  <c r="W422" i="3"/>
  <c r="AC422" i="3"/>
  <c r="AF422" i="3"/>
  <c r="AH422" i="3"/>
  <c r="X927" i="1"/>
  <c r="AD927" i="1"/>
  <c r="AG927" i="1"/>
  <c r="AI927" i="1"/>
  <c r="V943" i="2"/>
  <c r="AB943" i="2"/>
  <c r="AE943" i="2"/>
  <c r="AG943" i="2"/>
  <c r="W928" i="3"/>
  <c r="AC928" i="3"/>
  <c r="AF928" i="3"/>
  <c r="AH928" i="3"/>
  <c r="W80" i="3"/>
  <c r="AC80" i="3"/>
  <c r="AF80" i="3"/>
  <c r="V584" i="2"/>
  <c r="AB584" i="2"/>
  <c r="AE584" i="2"/>
  <c r="R182" i="3"/>
  <c r="V344" i="2"/>
  <c r="AB344" i="2"/>
  <c r="AE344" i="2"/>
  <c r="V432" i="3"/>
  <c r="AB432" i="3"/>
  <c r="AE432" i="3"/>
  <c r="AG432" i="3"/>
  <c r="V808" i="2"/>
  <c r="AB808" i="2"/>
  <c r="AE808" i="2"/>
  <c r="V395" i="2"/>
  <c r="AB395" i="2"/>
  <c r="AE395" i="2"/>
  <c r="AG395" i="2"/>
  <c r="T889" i="1"/>
  <c r="Y889" i="1"/>
  <c r="AE889" i="1"/>
  <c r="AH889" i="1"/>
  <c r="V475" i="2"/>
  <c r="AB475" i="2"/>
  <c r="AE475" i="2"/>
  <c r="L695" i="3"/>
  <c r="K695" i="3"/>
  <c r="J695" i="3"/>
  <c r="AC967" i="2"/>
  <c r="T714" i="1"/>
  <c r="X714" i="1"/>
  <c r="AD714" i="1"/>
  <c r="AG714" i="1"/>
  <c r="AI714" i="1"/>
  <c r="AH984" i="3"/>
  <c r="R400" i="3"/>
  <c r="V966" i="3"/>
  <c r="AB966" i="3"/>
  <c r="AE966" i="3"/>
  <c r="AG966" i="3"/>
  <c r="R567" i="3"/>
  <c r="V128" i="3"/>
  <c r="AB128" i="3"/>
  <c r="AE128" i="3"/>
  <c r="AG128" i="3"/>
  <c r="W58" i="3"/>
  <c r="AC58" i="3"/>
  <c r="AF58" i="3"/>
  <c r="R782" i="3"/>
  <c r="V715" i="2"/>
  <c r="AB715" i="2"/>
  <c r="AE715" i="2"/>
  <c r="AG540" i="2"/>
  <c r="Q597" i="2"/>
  <c r="U597" i="2"/>
  <c r="AA597" i="2"/>
  <c r="AD597" i="2"/>
  <c r="AF597" i="2"/>
  <c r="V648" i="2"/>
  <c r="AB648" i="2"/>
  <c r="AE648" i="2"/>
  <c r="W706" i="3"/>
  <c r="AC706" i="3"/>
  <c r="AF706" i="3"/>
  <c r="Q613" i="2"/>
  <c r="V832" i="2"/>
  <c r="AB832" i="2"/>
  <c r="AE832" i="2"/>
  <c r="Q889" i="2"/>
  <c r="AH251" i="3"/>
  <c r="R594" i="3"/>
  <c r="L154" i="3"/>
  <c r="K154" i="3"/>
  <c r="J154" i="3"/>
  <c r="T729" i="1"/>
  <c r="Y729" i="1"/>
  <c r="AE729" i="1"/>
  <c r="AH729" i="1"/>
  <c r="L271" i="3"/>
  <c r="K271" i="3"/>
  <c r="J271" i="3"/>
  <c r="L543" i="3"/>
  <c r="K543" i="3"/>
  <c r="J543" i="3"/>
  <c r="AG372" i="2"/>
  <c r="R512" i="3"/>
  <c r="W512" i="3"/>
  <c r="AC512" i="3"/>
  <c r="AF512" i="3"/>
  <c r="V938" i="3"/>
  <c r="AB938" i="3"/>
  <c r="AE938" i="3"/>
  <c r="AG938" i="3"/>
  <c r="AJ694" i="1"/>
  <c r="R969" i="3"/>
  <c r="U467" i="2"/>
  <c r="AA467" i="2"/>
  <c r="AD467" i="2"/>
  <c r="AF467" i="2"/>
  <c r="R269" i="3"/>
  <c r="R827" i="3"/>
  <c r="AH856" i="3"/>
  <c r="R494" i="3"/>
  <c r="Q188" i="2"/>
  <c r="Q503" i="2"/>
  <c r="Q796" i="2"/>
  <c r="L849" i="3"/>
  <c r="K849" i="3"/>
  <c r="J849" i="3"/>
  <c r="V883" i="3"/>
  <c r="AB883" i="3"/>
  <c r="AE883" i="3"/>
  <c r="AG883" i="3"/>
  <c r="W419" i="3"/>
  <c r="AC419" i="3"/>
  <c r="AF419" i="3"/>
  <c r="T843" i="1"/>
  <c r="Y843" i="1"/>
  <c r="AE843" i="1"/>
  <c r="AH843" i="1"/>
  <c r="R596" i="3"/>
  <c r="W596" i="3"/>
  <c r="AC596" i="3"/>
  <c r="AF596" i="3"/>
  <c r="AH726" i="3"/>
  <c r="L732" i="1"/>
  <c r="K732" i="1"/>
  <c r="Q285" i="2"/>
  <c r="AH404" i="3"/>
  <c r="L242" i="2"/>
  <c r="K242" i="2"/>
  <c r="J242" i="2"/>
  <c r="AH324" i="3"/>
  <c r="AH865" i="3"/>
  <c r="K705" i="2"/>
  <c r="J705" i="2"/>
  <c r="L705" i="2"/>
  <c r="Q705" i="2"/>
  <c r="U705" i="2"/>
  <c r="AA705" i="2"/>
  <c r="AD705" i="2"/>
  <c r="AF705" i="2"/>
  <c r="R650" i="3"/>
  <c r="W650" i="3"/>
  <c r="AC650" i="3"/>
  <c r="AF650" i="3"/>
  <c r="AH471" i="3"/>
  <c r="L783" i="1"/>
  <c r="K783" i="1"/>
  <c r="V713" i="3"/>
  <c r="AB713" i="3"/>
  <c r="AE713" i="3"/>
  <c r="AG713" i="3"/>
  <c r="Q986" i="2"/>
  <c r="U986" i="2"/>
  <c r="AA986" i="2"/>
  <c r="AD986" i="2"/>
  <c r="AF986" i="2"/>
  <c r="R806" i="3"/>
  <c r="V238" i="2"/>
  <c r="AB238" i="2"/>
  <c r="AE238" i="2"/>
  <c r="AA77" i="3"/>
  <c r="L748" i="1"/>
  <c r="K748" i="1"/>
  <c r="L874" i="1"/>
  <c r="K874" i="1"/>
  <c r="L712" i="1"/>
  <c r="K712" i="1"/>
  <c r="L897" i="1"/>
  <c r="K897" i="1"/>
  <c r="R679" i="3"/>
  <c r="V941" i="2"/>
  <c r="AB941" i="2"/>
  <c r="AE941" i="2"/>
  <c r="AJ1007" i="1"/>
  <c r="Q550" i="2"/>
  <c r="V550" i="2"/>
  <c r="AB550" i="2"/>
  <c r="AE550" i="2"/>
  <c r="V729" i="2"/>
  <c r="AB729" i="2"/>
  <c r="AE729" i="2"/>
  <c r="L1003" i="1"/>
  <c r="K1003" i="1"/>
  <c r="T1003" i="1"/>
  <c r="Y1003" i="1"/>
  <c r="AE1003" i="1"/>
  <c r="AH1003" i="1"/>
  <c r="R161" i="3"/>
  <c r="V266" i="2"/>
  <c r="AB266" i="2"/>
  <c r="AE266" i="2"/>
  <c r="R506" i="3"/>
  <c r="AH824" i="3"/>
  <c r="U315" i="2"/>
  <c r="AA315" i="2"/>
  <c r="AD315" i="2"/>
  <c r="AF315" i="2"/>
  <c r="W462" i="3"/>
  <c r="AC462" i="3"/>
  <c r="AF462" i="3"/>
  <c r="R731" i="3"/>
  <c r="W731" i="3"/>
  <c r="AC731" i="3"/>
  <c r="AF731" i="3"/>
  <c r="R733" i="3"/>
  <c r="V544" i="3"/>
  <c r="AB544" i="3"/>
  <c r="AE544" i="3"/>
  <c r="AG544" i="3"/>
  <c r="R29" i="3"/>
  <c r="R462" i="3"/>
  <c r="R374" i="3"/>
  <c r="R119" i="3"/>
  <c r="L486" i="3"/>
  <c r="K486" i="3"/>
  <c r="J486" i="3"/>
  <c r="AC879" i="1"/>
  <c r="V816" i="2"/>
  <c r="AB816" i="2"/>
  <c r="AE816" i="2"/>
  <c r="AH972" i="3"/>
  <c r="W793" i="3"/>
  <c r="AC793" i="3"/>
  <c r="AF793" i="3"/>
  <c r="AG829" i="2"/>
  <c r="U907" i="2"/>
  <c r="AA907" i="2"/>
  <c r="AD907" i="2"/>
  <c r="AF907" i="2"/>
  <c r="L838" i="1"/>
  <c r="K838" i="1"/>
  <c r="AH55" i="3"/>
  <c r="W175" i="3"/>
  <c r="AC175" i="3"/>
  <c r="AF175" i="3"/>
  <c r="U950" i="2"/>
  <c r="AA950" i="2"/>
  <c r="AD950" i="2"/>
  <c r="AF950" i="2"/>
  <c r="R967" i="3"/>
  <c r="W967" i="3"/>
  <c r="AC967" i="3"/>
  <c r="AF967" i="3"/>
  <c r="W883" i="3"/>
  <c r="AC883" i="3"/>
  <c r="AF883" i="3"/>
  <c r="AH883" i="3"/>
  <c r="V589" i="2"/>
  <c r="AB589" i="2"/>
  <c r="AE589" i="2"/>
  <c r="AG589" i="2"/>
  <c r="L948" i="2"/>
  <c r="K948" i="2"/>
  <c r="J948" i="2"/>
  <c r="Q200" i="2"/>
  <c r="Q606" i="2"/>
  <c r="U606" i="2"/>
  <c r="AA606" i="2"/>
  <c r="AD606" i="2"/>
  <c r="AF606" i="2"/>
  <c r="T999" i="1"/>
  <c r="Y999" i="1"/>
  <c r="AE999" i="1"/>
  <c r="AH999" i="1"/>
  <c r="Q809" i="2"/>
  <c r="L854" i="1"/>
  <c r="K854" i="1"/>
  <c r="T854" i="1"/>
  <c r="Y854" i="1"/>
  <c r="AE854" i="1"/>
  <c r="AH854" i="1"/>
  <c r="T760" i="1"/>
  <c r="Y760" i="1"/>
  <c r="AE760" i="1"/>
  <c r="AH760" i="1"/>
  <c r="R975" i="3"/>
  <c r="AJ670" i="1"/>
  <c r="R933" i="3"/>
  <c r="R636" i="3"/>
  <c r="V574" i="3"/>
  <c r="AB574" i="3"/>
  <c r="AE574" i="3"/>
  <c r="AG574" i="3"/>
  <c r="AG856" i="2"/>
  <c r="AH482" i="3"/>
  <c r="Z312" i="2"/>
  <c r="V495" i="3"/>
  <c r="AB495" i="3"/>
  <c r="AE495" i="3"/>
  <c r="AG495" i="3"/>
  <c r="V735" i="2"/>
  <c r="AB735" i="2"/>
  <c r="AE735" i="2"/>
  <c r="U765" i="2"/>
  <c r="AA765" i="2"/>
  <c r="AD765" i="2"/>
  <c r="AF765" i="2"/>
  <c r="T800" i="1"/>
  <c r="Y800" i="1"/>
  <c r="AE800" i="1"/>
  <c r="AH800" i="1"/>
  <c r="R773" i="3"/>
  <c r="AH535" i="3"/>
  <c r="L859" i="1"/>
  <c r="K859" i="1"/>
  <c r="AH912" i="3"/>
  <c r="Q683" i="2"/>
  <c r="V868" i="3"/>
  <c r="AB868" i="3"/>
  <c r="AE868" i="3"/>
  <c r="AG868" i="3"/>
  <c r="V482" i="2"/>
  <c r="AB482" i="2"/>
  <c r="AE482" i="2"/>
  <c r="Q422" i="2"/>
  <c r="R489" i="3"/>
  <c r="R558" i="3"/>
  <c r="AG404" i="2"/>
  <c r="V253" i="2"/>
  <c r="AB253" i="2"/>
  <c r="AE253" i="2"/>
  <c r="V366" i="2"/>
  <c r="AB366" i="2"/>
  <c r="AE366" i="2"/>
  <c r="R411" i="3"/>
  <c r="R514" i="3"/>
  <c r="L1006" i="1"/>
  <c r="K1006" i="1"/>
  <c r="T902" i="1"/>
  <c r="Y902" i="1"/>
  <c r="AE902" i="1"/>
  <c r="AH902" i="1"/>
  <c r="V483" i="2"/>
  <c r="AB483" i="2"/>
  <c r="AE483" i="2"/>
  <c r="Q459" i="2"/>
  <c r="M684" i="1"/>
  <c r="R510" i="3"/>
  <c r="R772" i="3"/>
  <c r="Q913" i="2"/>
  <c r="Q626" i="2"/>
  <c r="R160" i="3"/>
  <c r="Q832" i="2"/>
  <c r="W146" i="3"/>
  <c r="AC146" i="3"/>
  <c r="AF146" i="3"/>
  <c r="R671" i="3"/>
  <c r="T735" i="1"/>
  <c r="X735" i="1"/>
  <c r="AD735" i="1"/>
  <c r="AG735" i="1"/>
  <c r="AI735" i="1"/>
  <c r="R883" i="3"/>
  <c r="R475" i="3"/>
  <c r="V837" i="2"/>
  <c r="AB837" i="2"/>
  <c r="AE837" i="2"/>
  <c r="L852" i="1"/>
  <c r="K852" i="1"/>
  <c r="U649" i="2"/>
  <c r="AA649" i="2"/>
  <c r="AD649" i="2"/>
  <c r="AF649" i="2"/>
  <c r="AH240" i="3"/>
  <c r="U196" i="2"/>
  <c r="AA196" i="2"/>
  <c r="AD196" i="2"/>
  <c r="AF196" i="2"/>
  <c r="R666" i="3"/>
  <c r="R581" i="3"/>
  <c r="V944" i="2"/>
  <c r="AB944" i="2"/>
  <c r="AE944" i="2"/>
  <c r="R962" i="3"/>
  <c r="AA672" i="3"/>
  <c r="W369" i="3"/>
  <c r="AC369" i="3"/>
  <c r="AF369" i="3"/>
  <c r="AA129" i="3"/>
  <c r="W129" i="3"/>
  <c r="AC129" i="3"/>
  <c r="AG895" i="2"/>
  <c r="Q330" i="2"/>
  <c r="AG360" i="2"/>
  <c r="Z418" i="2"/>
  <c r="V649" i="3"/>
  <c r="AB649" i="3"/>
  <c r="AE649" i="3"/>
  <c r="AG649" i="3"/>
  <c r="L729" i="1"/>
  <c r="K729" i="1"/>
  <c r="V716" i="2"/>
  <c r="AB716" i="2"/>
  <c r="AE716" i="2"/>
  <c r="U241" i="2"/>
  <c r="AA241" i="2"/>
  <c r="AD241" i="2"/>
  <c r="AF241" i="2"/>
  <c r="Q970" i="2"/>
  <c r="W901" i="3"/>
  <c r="AC901" i="3"/>
  <c r="AF901" i="3"/>
  <c r="W896" i="3"/>
  <c r="AC896" i="3"/>
  <c r="AF896" i="3"/>
  <c r="W302" i="3"/>
  <c r="AC302" i="3"/>
  <c r="AF302" i="3"/>
  <c r="R903" i="3"/>
  <c r="R457" i="3"/>
  <c r="R963" i="3"/>
  <c r="V568" i="3"/>
  <c r="AB568" i="3"/>
  <c r="AE568" i="3"/>
  <c r="AG568" i="3"/>
  <c r="Q882" i="2"/>
  <c r="Q792" i="2"/>
  <c r="R134" i="3"/>
  <c r="R63" i="3"/>
  <c r="T694" i="1"/>
  <c r="Y694" i="1"/>
  <c r="AE694" i="1"/>
  <c r="AH694" i="1"/>
  <c r="R326" i="3"/>
  <c r="W326" i="3"/>
  <c r="AC326" i="3"/>
  <c r="AF326" i="3"/>
  <c r="T962" i="1"/>
  <c r="X962" i="1"/>
  <c r="AD962" i="1"/>
  <c r="AG962" i="1"/>
  <c r="AI962" i="1"/>
  <c r="V383" i="2"/>
  <c r="AB383" i="2"/>
  <c r="AE383" i="2"/>
  <c r="Q221" i="2"/>
  <c r="K621" i="3"/>
  <c r="J621" i="3"/>
  <c r="L621" i="3"/>
  <c r="V465" i="2"/>
  <c r="AB465" i="2"/>
  <c r="AE465" i="2"/>
  <c r="AG465" i="2"/>
  <c r="K979" i="3"/>
  <c r="J979" i="3"/>
  <c r="L979" i="3"/>
  <c r="AA312" i="3"/>
  <c r="U783" i="2"/>
  <c r="AA783" i="2"/>
  <c r="AD783" i="2"/>
  <c r="AF783" i="2"/>
  <c r="Q884" i="2"/>
  <c r="L959" i="1"/>
  <c r="K959" i="1"/>
  <c r="T993" i="1"/>
  <c r="Y993" i="1"/>
  <c r="AE993" i="1"/>
  <c r="AH993" i="1"/>
  <c r="V312" i="2"/>
  <c r="AB312" i="2"/>
  <c r="AE312" i="2"/>
  <c r="X778" i="1"/>
  <c r="AD778" i="1"/>
  <c r="AG778" i="1"/>
  <c r="AI778" i="1"/>
  <c r="R40" i="3"/>
  <c r="W268" i="3"/>
  <c r="AC268" i="3"/>
  <c r="AF268" i="3"/>
  <c r="T670" i="1"/>
  <c r="Y670" i="1"/>
  <c r="AE670" i="1"/>
  <c r="AH670" i="1"/>
  <c r="W224" i="3"/>
  <c r="AC224" i="3"/>
  <c r="AF224" i="3"/>
  <c r="W580" i="3"/>
  <c r="AC580" i="3"/>
  <c r="AF580" i="3"/>
  <c r="AH580" i="3"/>
  <c r="R976" i="3"/>
  <c r="Q599" i="2"/>
  <c r="L845" i="1"/>
  <c r="K845" i="1"/>
  <c r="R860" i="3"/>
  <c r="W258" i="3"/>
  <c r="AC258" i="3"/>
  <c r="AF258" i="3"/>
  <c r="W425" i="3"/>
  <c r="AC425" i="3"/>
  <c r="AF425" i="3"/>
  <c r="V441" i="2"/>
  <c r="AB441" i="2"/>
  <c r="AE441" i="2"/>
  <c r="AG441" i="2"/>
  <c r="K98" i="3"/>
  <c r="J98" i="3"/>
  <c r="L98" i="3"/>
  <c r="AH619" i="3"/>
  <c r="Q462" i="2"/>
  <c r="Q653" i="2"/>
  <c r="W77" i="3"/>
  <c r="AC77" i="3"/>
  <c r="AF77" i="3"/>
  <c r="U967" i="2"/>
  <c r="AA967" i="2"/>
  <c r="AD967" i="2"/>
  <c r="AF967" i="2"/>
  <c r="Q545" i="2"/>
  <c r="AA823" i="3"/>
  <c r="R835" i="3"/>
  <c r="R820" i="3"/>
  <c r="W250" i="3"/>
  <c r="AC250" i="3"/>
  <c r="AF250" i="3"/>
  <c r="W965" i="3"/>
  <c r="AC965" i="3"/>
  <c r="AF965" i="3"/>
  <c r="V764" i="3"/>
  <c r="AB764" i="3"/>
  <c r="AE764" i="3"/>
  <c r="AG764" i="3"/>
  <c r="W311" i="3"/>
  <c r="AC311" i="3"/>
  <c r="AF311" i="3"/>
  <c r="T867" i="1"/>
  <c r="Y867" i="1"/>
  <c r="AE867" i="1"/>
  <c r="AH867" i="1"/>
  <c r="R169" i="3"/>
  <c r="K495" i="2"/>
  <c r="J495" i="2"/>
  <c r="L495" i="2"/>
  <c r="W977" i="3"/>
  <c r="AC977" i="3"/>
  <c r="AF977" i="3"/>
  <c r="AH977" i="3"/>
  <c r="W542" i="3"/>
  <c r="AC542" i="3"/>
  <c r="AF542" i="3"/>
  <c r="V690" i="2"/>
  <c r="AB690" i="2"/>
  <c r="AE690" i="2"/>
  <c r="U699" i="2"/>
  <c r="AA699" i="2"/>
  <c r="AD699" i="2"/>
  <c r="AF699" i="2"/>
  <c r="W116" i="3"/>
  <c r="AC116" i="3"/>
  <c r="AF116" i="3"/>
  <c r="K809" i="2"/>
  <c r="J809" i="2"/>
  <c r="L809" i="2"/>
  <c r="AH185" i="3"/>
  <c r="R473" i="3"/>
  <c r="U821" i="2"/>
  <c r="AA821" i="2"/>
  <c r="AD821" i="2"/>
  <c r="AF821" i="2"/>
  <c r="Q260" i="2"/>
  <c r="Q637" i="2"/>
  <c r="T981" i="1"/>
  <c r="Y981" i="1"/>
  <c r="AE981" i="1"/>
  <c r="AH981" i="1"/>
  <c r="W324" i="3"/>
  <c r="AC324" i="3"/>
  <c r="AF324" i="3"/>
  <c r="W684" i="3"/>
  <c r="AC684" i="3"/>
  <c r="AF684" i="3"/>
  <c r="AH684" i="3"/>
  <c r="Q395" i="2"/>
  <c r="W811" i="3"/>
  <c r="AC811" i="3"/>
  <c r="AF811" i="3"/>
  <c r="L726" i="1"/>
  <c r="K726" i="1"/>
  <c r="T763" i="1"/>
  <c r="Y763" i="1"/>
  <c r="AE763" i="1"/>
  <c r="AH763" i="1"/>
  <c r="W890" i="3"/>
  <c r="AC890" i="3"/>
  <c r="AF890" i="3"/>
  <c r="K463" i="2"/>
  <c r="J463" i="2"/>
  <c r="L463" i="2"/>
  <c r="Q270" i="2"/>
  <c r="Q858" i="2"/>
  <c r="R732" i="3"/>
  <c r="W417" i="3"/>
  <c r="AC417" i="3"/>
  <c r="AF417" i="3"/>
  <c r="Q755" i="2"/>
  <c r="Q707" i="2"/>
  <c r="W187" i="3"/>
  <c r="AC187" i="3"/>
  <c r="AF187" i="3"/>
  <c r="K647" i="2"/>
  <c r="J647" i="2"/>
  <c r="L647" i="2"/>
  <c r="K650" i="3"/>
  <c r="J650" i="3"/>
  <c r="L650" i="3"/>
  <c r="Q759" i="2"/>
  <c r="L991" i="1"/>
  <c r="K991" i="1"/>
  <c r="R424" i="3"/>
  <c r="V231" i="3"/>
  <c r="AB231" i="3"/>
  <c r="AE231" i="3"/>
  <c r="AG231" i="3"/>
  <c r="Q885" i="2"/>
  <c r="L872" i="1"/>
  <c r="K872" i="1"/>
  <c r="K848" i="2"/>
  <c r="J848" i="2"/>
  <c r="L848" i="2"/>
  <c r="T761" i="1"/>
  <c r="Y761" i="1"/>
  <c r="AE761" i="1"/>
  <c r="AH761" i="1"/>
  <c r="V872" i="2"/>
  <c r="AB872" i="2"/>
  <c r="AE872" i="2"/>
  <c r="T977" i="1"/>
  <c r="Y977" i="1"/>
  <c r="AE977" i="1"/>
  <c r="AH977" i="1"/>
  <c r="V673" i="2"/>
  <c r="AB673" i="2"/>
  <c r="AE673" i="2"/>
  <c r="R415" i="3"/>
  <c r="R663" i="3"/>
  <c r="W672" i="3"/>
  <c r="AC672" i="3"/>
  <c r="AF672" i="3"/>
  <c r="V210" i="2"/>
  <c r="AB210" i="2"/>
  <c r="AE210" i="2"/>
  <c r="K755" i="2"/>
  <c r="J755" i="2"/>
  <c r="L755" i="2"/>
  <c r="R419" i="3"/>
  <c r="R689" i="3"/>
  <c r="Q359" i="2"/>
  <c r="V411" i="2"/>
  <c r="AB411" i="2"/>
  <c r="AE411" i="2"/>
  <c r="AG411" i="2"/>
  <c r="R565" i="3"/>
  <c r="W568" i="3"/>
  <c r="AC568" i="3"/>
  <c r="AF568" i="3"/>
  <c r="L967" i="1"/>
  <c r="K967" i="1"/>
  <c r="R254" i="3"/>
  <c r="W32" i="3"/>
  <c r="AC32" i="3"/>
  <c r="AF32" i="3"/>
  <c r="AH32" i="3"/>
  <c r="V299" i="2"/>
  <c r="AB299" i="2"/>
  <c r="AE299" i="2"/>
  <c r="W552" i="3"/>
  <c r="AC552" i="3"/>
  <c r="AF552" i="3"/>
  <c r="R554" i="3"/>
  <c r="W111" i="3"/>
  <c r="AC111" i="3"/>
  <c r="AF111" i="3"/>
  <c r="AH111" i="3"/>
  <c r="L816" i="1"/>
  <c r="K816" i="1"/>
  <c r="K628" i="2"/>
  <c r="J628" i="2"/>
  <c r="L628" i="2"/>
  <c r="L798" i="1"/>
  <c r="K798" i="1"/>
  <c r="W453" i="3"/>
  <c r="AC453" i="3"/>
  <c r="AF453" i="3"/>
  <c r="R821" i="3"/>
  <c r="V646" i="2"/>
  <c r="AB646" i="2"/>
  <c r="AE646" i="2"/>
  <c r="AG646" i="2"/>
  <c r="Q878" i="2"/>
  <c r="Q195" i="2"/>
  <c r="W229" i="3"/>
  <c r="AC229" i="3"/>
  <c r="AF229" i="3"/>
  <c r="L747" i="2"/>
  <c r="K747" i="2"/>
  <c r="J747" i="2"/>
  <c r="V472" i="3"/>
  <c r="AB472" i="3"/>
  <c r="AE472" i="3"/>
  <c r="AG472" i="3"/>
  <c r="L926" i="1"/>
  <c r="K926" i="1"/>
  <c r="W824" i="3"/>
  <c r="AC824" i="3"/>
  <c r="AF824" i="3"/>
  <c r="Q1004" i="2"/>
  <c r="R757" i="3"/>
  <c r="W972" i="3"/>
  <c r="AC972" i="3"/>
  <c r="AF972" i="3"/>
  <c r="T998" i="1"/>
  <c r="X998" i="1"/>
  <c r="AD998" i="1"/>
  <c r="AG998" i="1"/>
  <c r="AI998" i="1"/>
  <c r="L868" i="2"/>
  <c r="K868" i="2"/>
  <c r="J868" i="2"/>
  <c r="V629" i="2"/>
  <c r="AB629" i="2"/>
  <c r="AE629" i="2"/>
  <c r="R135" i="3"/>
  <c r="Q539" i="2"/>
  <c r="V46" i="3"/>
  <c r="AB46" i="3"/>
  <c r="AE46" i="3"/>
  <c r="AG46" i="3"/>
  <c r="Q574" i="2"/>
  <c r="AG881" i="2"/>
  <c r="R488" i="3"/>
  <c r="V251" i="2"/>
  <c r="AB251" i="2"/>
  <c r="AE251" i="2"/>
  <c r="AG251" i="2"/>
  <c r="AA752" i="3"/>
  <c r="W752" i="3"/>
  <c r="AC752" i="3"/>
  <c r="V261" i="2"/>
  <c r="AB261" i="2"/>
  <c r="AE261" i="2"/>
  <c r="R480" i="3"/>
  <c r="Q534" i="2"/>
  <c r="R855" i="3"/>
  <c r="W646" i="3"/>
  <c r="AC646" i="3"/>
  <c r="AF646" i="3"/>
  <c r="AH646" i="3"/>
  <c r="V856" i="2"/>
  <c r="AB856" i="2"/>
  <c r="AE856" i="2"/>
  <c r="V393" i="3"/>
  <c r="AB393" i="3"/>
  <c r="AE393" i="3"/>
  <c r="AG393" i="3"/>
  <c r="V401" i="2"/>
  <c r="AB401" i="2"/>
  <c r="AE401" i="2"/>
  <c r="U530" i="2"/>
  <c r="AA530" i="2"/>
  <c r="AD530" i="2"/>
  <c r="AF530" i="2"/>
  <c r="AG930" i="2"/>
  <c r="Q723" i="2"/>
  <c r="Q925" i="2"/>
  <c r="R508" i="3"/>
  <c r="V345" i="2"/>
  <c r="AB345" i="2"/>
  <c r="AE345" i="2"/>
  <c r="Q555" i="2"/>
  <c r="W90" i="3"/>
  <c r="AC90" i="3"/>
  <c r="AF90" i="3"/>
  <c r="Z610" i="2"/>
  <c r="W805" i="3"/>
  <c r="AC805" i="3"/>
  <c r="AF805" i="3"/>
  <c r="V603" i="2"/>
  <c r="AB603" i="2"/>
  <c r="AE603" i="2"/>
  <c r="AJ920" i="1"/>
  <c r="AH763" i="3"/>
  <c r="R114" i="3"/>
  <c r="L744" i="2"/>
  <c r="K744" i="2"/>
  <c r="J744" i="2"/>
  <c r="K411" i="3"/>
  <c r="J411" i="3"/>
  <c r="L411" i="3"/>
  <c r="R99" i="3"/>
  <c r="W774" i="3"/>
  <c r="AC774" i="3"/>
  <c r="AF774" i="3"/>
  <c r="V655" i="2"/>
  <c r="AB655" i="2"/>
  <c r="AE655" i="2"/>
  <c r="AG655" i="2"/>
  <c r="L139" i="3"/>
  <c r="K139" i="3"/>
  <c r="J139" i="3"/>
  <c r="Q297" i="2"/>
  <c r="V692" i="2"/>
  <c r="AB692" i="2"/>
  <c r="AE692" i="2"/>
  <c r="L728" i="1"/>
  <c r="K728" i="1"/>
  <c r="W776" i="3"/>
  <c r="AC776" i="3"/>
  <c r="AF776" i="3"/>
  <c r="K422" i="2"/>
  <c r="J422" i="2"/>
  <c r="L422" i="2"/>
  <c r="L902" i="1"/>
  <c r="K902" i="1"/>
  <c r="L473" i="3"/>
  <c r="K473" i="3"/>
  <c r="J473" i="3"/>
  <c r="Q465" i="2"/>
  <c r="Q337" i="2"/>
  <c r="V668" i="2"/>
  <c r="AB668" i="2"/>
  <c r="AE668" i="2"/>
  <c r="L966" i="1"/>
  <c r="K966" i="1"/>
  <c r="Q415" i="2"/>
  <c r="Q406" i="2"/>
  <c r="V406" i="2"/>
  <c r="AB406" i="2"/>
  <c r="AE406" i="2"/>
  <c r="AG406" i="2"/>
  <c r="W624" i="3"/>
  <c r="AC624" i="3"/>
  <c r="AF624" i="3"/>
  <c r="W72" i="3"/>
  <c r="AC72" i="3"/>
  <c r="AF72" i="3"/>
  <c r="Q413" i="2"/>
  <c r="Y942" i="1"/>
  <c r="AE942" i="1"/>
  <c r="AH942" i="1"/>
  <c r="W590" i="3"/>
  <c r="AC590" i="3"/>
  <c r="AF590" i="3"/>
  <c r="W427" i="3"/>
  <c r="AC427" i="3"/>
  <c r="AF427" i="3"/>
  <c r="AH427" i="3"/>
  <c r="W964" i="3"/>
  <c r="AC964" i="3"/>
  <c r="AF964" i="3"/>
  <c r="R574" i="3"/>
  <c r="R422" i="3"/>
  <c r="Q892" i="2"/>
  <c r="L844" i="1"/>
  <c r="K844" i="1"/>
  <c r="R718" i="3"/>
  <c r="R906" i="3"/>
  <c r="V520" i="2"/>
  <c r="AB520" i="2"/>
  <c r="AE520" i="2"/>
  <c r="L830" i="2"/>
  <c r="K830" i="2"/>
  <c r="J830" i="2"/>
  <c r="K832" i="2"/>
  <c r="J832" i="2"/>
  <c r="L832" i="2"/>
  <c r="W150" i="3"/>
  <c r="AC150" i="3"/>
  <c r="AF150" i="3"/>
  <c r="K623" i="2"/>
  <c r="J623" i="2"/>
  <c r="L623" i="2"/>
  <c r="T1000" i="1"/>
  <c r="Y1000" i="1"/>
  <c r="AE1000" i="1"/>
  <c r="AH1000" i="1"/>
  <c r="AJ1000" i="1"/>
  <c r="V263" i="2"/>
  <c r="AB263" i="2"/>
  <c r="AE263" i="2"/>
  <c r="Y903" i="1"/>
  <c r="AE903" i="1"/>
  <c r="AH903" i="1"/>
  <c r="R355" i="3"/>
  <c r="L707" i="2"/>
  <c r="K707" i="2"/>
  <c r="J707" i="2"/>
  <c r="K781" i="2"/>
  <c r="J781" i="2"/>
  <c r="L781" i="2"/>
  <c r="V914" i="3"/>
  <c r="AB914" i="3"/>
  <c r="AE914" i="3"/>
  <c r="AG914" i="3"/>
  <c r="Q952" i="2"/>
  <c r="Q602" i="2"/>
  <c r="V977" i="2"/>
  <c r="AB977" i="2"/>
  <c r="AE977" i="2"/>
  <c r="U489" i="2"/>
  <c r="AA489" i="2"/>
  <c r="AD489" i="2"/>
  <c r="AF489" i="2"/>
  <c r="R626" i="3"/>
  <c r="R244" i="3"/>
  <c r="W362" i="3"/>
  <c r="AC362" i="3"/>
  <c r="AF362" i="3"/>
  <c r="AH362" i="3"/>
  <c r="K265" i="3"/>
  <c r="J265" i="3"/>
  <c r="L265" i="3"/>
  <c r="K581" i="3"/>
  <c r="J581" i="3"/>
  <c r="L581" i="3"/>
  <c r="K310" i="3"/>
  <c r="J310" i="3"/>
  <c r="L310" i="3"/>
  <c r="AG254" i="2"/>
  <c r="W878" i="3"/>
  <c r="AC878" i="3"/>
  <c r="AF878" i="3"/>
  <c r="AH878" i="3"/>
  <c r="U981" i="2"/>
  <c r="AA981" i="2"/>
  <c r="AD981" i="2"/>
  <c r="AF981" i="2"/>
  <c r="W592" i="3"/>
  <c r="AC592" i="3"/>
  <c r="AF592" i="3"/>
  <c r="AH592" i="3"/>
  <c r="W564" i="3"/>
  <c r="AC564" i="3"/>
  <c r="AF564" i="3"/>
  <c r="Q711" i="2"/>
  <c r="W295" i="3"/>
  <c r="AC295" i="3"/>
  <c r="AF295" i="3"/>
  <c r="AH295" i="3"/>
  <c r="Q419" i="2"/>
  <c r="W547" i="3"/>
  <c r="AC547" i="3"/>
  <c r="AF547" i="3"/>
  <c r="AH547" i="3"/>
  <c r="T944" i="1"/>
  <c r="Y944" i="1"/>
  <c r="AE944" i="1"/>
  <c r="AH944" i="1"/>
  <c r="AJ944" i="1"/>
  <c r="T1008" i="1"/>
  <c r="Y1008" i="1"/>
  <c r="AE1008" i="1"/>
  <c r="AH1008" i="1"/>
  <c r="AJ1008" i="1"/>
  <c r="R282" i="3"/>
  <c r="R384" i="3"/>
  <c r="Q923" i="2"/>
  <c r="R563" i="3"/>
  <c r="W329" i="3"/>
  <c r="AC329" i="3"/>
  <c r="AF329" i="3"/>
  <c r="M903" i="1"/>
  <c r="T903" i="1"/>
  <c r="AG625" i="2"/>
  <c r="W437" i="3"/>
  <c r="AC437" i="3"/>
  <c r="AF437" i="3"/>
  <c r="V27" i="3"/>
  <c r="AB27" i="3"/>
  <c r="AE27" i="3"/>
  <c r="AG27" i="3"/>
  <c r="Q544" i="2"/>
  <c r="Q287" i="2"/>
  <c r="V287" i="2"/>
  <c r="AB287" i="2"/>
  <c r="AE287" i="2"/>
  <c r="AG287" i="2"/>
  <c r="Q852" i="2"/>
  <c r="U978" i="2"/>
  <c r="AA978" i="2"/>
  <c r="AD978" i="2"/>
  <c r="AF978" i="2"/>
  <c r="R261" i="3"/>
  <c r="Q886" i="2"/>
  <c r="R455" i="3"/>
  <c r="AG189" i="2"/>
  <c r="R678" i="3"/>
  <c r="L1014" i="1"/>
  <c r="K1014" i="1"/>
  <c r="R266" i="3"/>
  <c r="Q517" i="2"/>
  <c r="V493" i="3"/>
  <c r="AB493" i="3"/>
  <c r="AE493" i="3"/>
  <c r="AG493" i="3"/>
  <c r="V651" i="2"/>
  <c r="AB651" i="2"/>
  <c r="AE651" i="2"/>
  <c r="R958" i="3"/>
  <c r="W958" i="3"/>
  <c r="AC958" i="3"/>
  <c r="AF958" i="3"/>
  <c r="Q904" i="2"/>
  <c r="W115" i="3"/>
  <c r="AC115" i="3"/>
  <c r="AF115" i="3"/>
  <c r="K93" i="3"/>
  <c r="J93" i="3"/>
  <c r="L93" i="3"/>
  <c r="L775" i="1"/>
  <c r="K775" i="1"/>
  <c r="Q417" i="2"/>
  <c r="W664" i="3"/>
  <c r="AC664" i="3"/>
  <c r="AF664" i="3"/>
  <c r="R752" i="3"/>
  <c r="AJ786" i="1"/>
  <c r="W298" i="3"/>
  <c r="AC298" i="3"/>
  <c r="AF298" i="3"/>
  <c r="K653" i="2"/>
  <c r="J653" i="2"/>
  <c r="L653" i="2"/>
  <c r="W390" i="3"/>
  <c r="AC390" i="3"/>
  <c r="AF390" i="3"/>
  <c r="R646" i="3"/>
  <c r="T771" i="1"/>
  <c r="Y771" i="1"/>
  <c r="AE771" i="1"/>
  <c r="AH771" i="1"/>
  <c r="AJ771" i="1"/>
  <c r="R848" i="3"/>
  <c r="AH949" i="3"/>
  <c r="R639" i="3"/>
  <c r="T987" i="1"/>
  <c r="X987" i="1"/>
  <c r="AD987" i="1"/>
  <c r="AG987" i="1"/>
  <c r="AI987" i="1"/>
  <c r="K1008" i="2"/>
  <c r="J1008" i="2"/>
  <c r="L1008" i="2"/>
  <c r="U475" i="2"/>
  <c r="AA475" i="2"/>
  <c r="AD475" i="2"/>
  <c r="AF475" i="2"/>
  <c r="L663" i="1"/>
  <c r="K663" i="1"/>
  <c r="W609" i="3"/>
  <c r="AC609" i="3"/>
  <c r="AF609" i="3"/>
  <c r="AH609" i="3"/>
  <c r="Q965" i="2"/>
  <c r="L337" i="2"/>
  <c r="K337" i="2"/>
  <c r="J337" i="2"/>
  <c r="K260" i="2"/>
  <c r="J260" i="2"/>
  <c r="L260" i="2"/>
  <c r="R340" i="3"/>
  <c r="W340" i="3"/>
  <c r="AC340" i="3"/>
  <c r="AF340" i="3"/>
  <c r="W300" i="3"/>
  <c r="AC300" i="3"/>
  <c r="AF300" i="3"/>
  <c r="R705" i="3"/>
  <c r="Q226" i="2"/>
  <c r="W551" i="3"/>
  <c r="AC551" i="3"/>
  <c r="AF551" i="3"/>
  <c r="Q262" i="2"/>
  <c r="V262" i="2"/>
  <c r="AB262" i="2"/>
  <c r="AE262" i="2"/>
  <c r="W409" i="3"/>
  <c r="AC409" i="3"/>
  <c r="AF409" i="3"/>
  <c r="AH409" i="3"/>
  <c r="K477" i="2"/>
  <c r="J477" i="2"/>
  <c r="L477" i="2"/>
  <c r="Q542" i="2"/>
  <c r="J542" i="2"/>
  <c r="L542" i="2"/>
  <c r="K542" i="2"/>
  <c r="Q584" i="2"/>
  <c r="R497" i="3"/>
  <c r="Q468" i="2"/>
  <c r="Q667" i="2"/>
  <c r="K870" i="3"/>
  <c r="J870" i="3"/>
  <c r="L870" i="3"/>
  <c r="R429" i="3"/>
  <c r="W429" i="3"/>
  <c r="AC429" i="3"/>
  <c r="AF429" i="3"/>
  <c r="Q295" i="2"/>
  <c r="Q876" i="2"/>
  <c r="Q812" i="2"/>
  <c r="V812" i="2"/>
  <c r="AB812" i="2"/>
  <c r="AE812" i="2"/>
  <c r="L355" i="3"/>
  <c r="K355" i="3"/>
  <c r="J355" i="3"/>
  <c r="T674" i="1"/>
  <c r="Y674" i="1"/>
  <c r="AE674" i="1"/>
  <c r="AH674" i="1"/>
  <c r="AJ674" i="1"/>
  <c r="AA600" i="3"/>
  <c r="Q808" i="2"/>
  <c r="V937" i="2"/>
  <c r="AB937" i="2"/>
  <c r="AE937" i="2"/>
  <c r="AG937" i="2"/>
  <c r="K424" i="3"/>
  <c r="J424" i="3"/>
  <c r="L424" i="3"/>
  <c r="L686" i="1"/>
  <c r="K686" i="1"/>
  <c r="R944" i="3"/>
  <c r="Q291" i="2"/>
  <c r="L901" i="1"/>
  <c r="K901" i="1"/>
  <c r="L865" i="1"/>
  <c r="K865" i="1"/>
  <c r="Q687" i="2"/>
  <c r="L928" i="1"/>
  <c r="K928" i="1"/>
  <c r="V650" i="2"/>
  <c r="AB650" i="2"/>
  <c r="AE650" i="2"/>
  <c r="L694" i="1"/>
  <c r="K694" i="1"/>
  <c r="L700" i="3"/>
  <c r="K700" i="3"/>
  <c r="J700" i="3"/>
  <c r="Q552" i="2"/>
  <c r="V552" i="2"/>
  <c r="AB552" i="2"/>
  <c r="AE552" i="2"/>
  <c r="K928" i="2"/>
  <c r="J928" i="2"/>
  <c r="L928" i="2"/>
  <c r="R333" i="3"/>
  <c r="L326" i="3"/>
  <c r="K326" i="3"/>
  <c r="J326" i="3"/>
  <c r="R580" i="3"/>
  <c r="R504" i="3"/>
  <c r="AH724" i="3"/>
  <c r="Q875" i="2"/>
  <c r="Q841" i="2"/>
  <c r="V841" i="2"/>
  <c r="AB841" i="2"/>
  <c r="AE841" i="2"/>
  <c r="V560" i="2"/>
  <c r="AB560" i="2"/>
  <c r="AE560" i="2"/>
  <c r="Q629" i="2"/>
  <c r="R627" i="3"/>
  <c r="Q348" i="2"/>
  <c r="R42" i="3"/>
  <c r="T914" i="1"/>
  <c r="X914" i="1"/>
  <c r="AD914" i="1"/>
  <c r="AG914" i="1"/>
  <c r="AI914" i="1"/>
  <c r="AH100" i="3"/>
  <c r="Q935" i="2"/>
  <c r="V935" i="2"/>
  <c r="AB935" i="2"/>
  <c r="AE935" i="2"/>
  <c r="AJ792" i="1"/>
  <c r="AH591" i="3"/>
  <c r="R104" i="3"/>
  <c r="W104" i="3"/>
  <c r="AC104" i="3"/>
  <c r="AF104" i="3"/>
  <c r="R349" i="3"/>
  <c r="W742" i="3"/>
  <c r="AC742" i="3"/>
  <c r="AF742" i="3"/>
  <c r="W930" i="3"/>
  <c r="AC930" i="3"/>
  <c r="AF930" i="3"/>
  <c r="V577" i="2"/>
  <c r="AB577" i="2"/>
  <c r="AE577" i="2"/>
  <c r="AE791" i="2"/>
  <c r="R548" i="3"/>
  <c r="Q757" i="2"/>
  <c r="R881" i="3"/>
  <c r="R640" i="3"/>
  <c r="R796" i="3"/>
  <c r="W796" i="3"/>
  <c r="AC796" i="3"/>
  <c r="AF796" i="3"/>
  <c r="U446" i="2"/>
  <c r="AA446" i="2"/>
  <c r="AD446" i="2"/>
  <c r="AF446" i="2"/>
  <c r="K211" i="3"/>
  <c r="J211" i="3"/>
  <c r="L211" i="3"/>
  <c r="L301" i="2"/>
  <c r="K301" i="2"/>
  <c r="J301" i="2"/>
  <c r="AH612" i="3"/>
  <c r="Q527" i="2"/>
  <c r="V527" i="2"/>
  <c r="AB527" i="2"/>
  <c r="AE527" i="2"/>
  <c r="AG527" i="2"/>
  <c r="R366" i="3"/>
  <c r="W366" i="3"/>
  <c r="AC366" i="3"/>
  <c r="AF366" i="3"/>
  <c r="AG727" i="2"/>
  <c r="Q580" i="2"/>
  <c r="V519" i="3"/>
  <c r="AB519" i="3"/>
  <c r="AE519" i="3"/>
  <c r="AG519" i="3"/>
  <c r="K384" i="2"/>
  <c r="J384" i="2"/>
  <c r="L384" i="2"/>
  <c r="R861" i="3"/>
  <c r="AJ704" i="1"/>
  <c r="R287" i="3"/>
  <c r="R241" i="3"/>
  <c r="K544" i="2"/>
  <c r="J544" i="2"/>
  <c r="L544" i="2"/>
  <c r="K322" i="3"/>
  <c r="J322" i="3"/>
  <c r="L322" i="3"/>
  <c r="R322" i="3"/>
  <c r="V322" i="3"/>
  <c r="AB322" i="3"/>
  <c r="AE322" i="3"/>
  <c r="AG322" i="3"/>
  <c r="R279" i="3"/>
  <c r="W279" i="3"/>
  <c r="AC279" i="3"/>
  <c r="AF279" i="3"/>
  <c r="AH279" i="3"/>
  <c r="W555" i="3"/>
  <c r="AC555" i="3"/>
  <c r="AF555" i="3"/>
  <c r="W673" i="3"/>
  <c r="AC673" i="3"/>
  <c r="AF673" i="3"/>
  <c r="Q676" i="2"/>
  <c r="R432" i="3"/>
  <c r="R576" i="3"/>
  <c r="Q729" i="2"/>
  <c r="R813" i="3"/>
  <c r="W615" i="3"/>
  <c r="AC615" i="3"/>
  <c r="AF615" i="3"/>
  <c r="AH615" i="3"/>
  <c r="R537" i="3"/>
  <c r="Q293" i="2"/>
  <c r="AH186" i="3"/>
  <c r="T679" i="1"/>
  <c r="Y679" i="1"/>
  <c r="AE679" i="1"/>
  <c r="AH679" i="1"/>
  <c r="AJ679" i="1"/>
  <c r="V977" i="3"/>
  <c r="AB977" i="3"/>
  <c r="AE977" i="3"/>
  <c r="AG977" i="3"/>
  <c r="W815" i="3"/>
  <c r="AC815" i="3"/>
  <c r="AF815" i="3"/>
  <c r="V846" i="2"/>
  <c r="AB846" i="2"/>
  <c r="AE846" i="2"/>
  <c r="K1007" i="2"/>
  <c r="J1007" i="2"/>
  <c r="L1007" i="2"/>
  <c r="R699" i="3"/>
  <c r="L918" i="1"/>
  <c r="K918" i="1"/>
  <c r="K508" i="3"/>
  <c r="J508" i="3"/>
  <c r="L508" i="3"/>
  <c r="W784" i="3"/>
  <c r="AC784" i="3"/>
  <c r="AF784" i="3"/>
  <c r="K135" i="3"/>
  <c r="J135" i="3"/>
  <c r="L135" i="3"/>
  <c r="L929" i="1"/>
  <c r="K929" i="1"/>
  <c r="R284" i="3"/>
  <c r="R436" i="3"/>
  <c r="L782" i="3"/>
  <c r="K782" i="3"/>
  <c r="J782" i="3"/>
  <c r="K904" i="3"/>
  <c r="J904" i="3"/>
  <c r="L904" i="3"/>
  <c r="K195" i="3"/>
  <c r="J195" i="3"/>
  <c r="L195" i="3"/>
  <c r="R913" i="3"/>
  <c r="K976" i="3"/>
  <c r="J976" i="3"/>
  <c r="L976" i="3"/>
  <c r="AG327" i="2"/>
  <c r="R622" i="3"/>
  <c r="Q412" i="2"/>
  <c r="V325" i="2"/>
  <c r="AB325" i="2"/>
  <c r="AE325" i="2"/>
  <c r="AG325" i="2"/>
  <c r="Q205" i="2"/>
  <c r="L817" i="1"/>
  <c r="K817" i="1"/>
  <c r="R792" i="3"/>
  <c r="W792" i="3"/>
  <c r="AC792" i="3"/>
  <c r="AF792" i="3"/>
  <c r="L499" i="2"/>
  <c r="K499" i="2"/>
  <c r="J499" i="2"/>
  <c r="U975" i="2"/>
  <c r="AA975" i="2"/>
  <c r="AD975" i="2"/>
  <c r="AF975" i="2"/>
  <c r="U845" i="2"/>
  <c r="AA845" i="2"/>
  <c r="AD845" i="2"/>
  <c r="AF845" i="2"/>
  <c r="R215" i="3"/>
  <c r="AH536" i="3"/>
  <c r="L992" i="1"/>
  <c r="K992" i="1"/>
  <c r="T992" i="1"/>
  <c r="Y992" i="1"/>
  <c r="AE992" i="1"/>
  <c r="AH992" i="1"/>
  <c r="R527" i="3"/>
  <c r="L685" i="1"/>
  <c r="K685" i="1"/>
  <c r="K843" i="3"/>
  <c r="J843" i="3"/>
  <c r="L843" i="3"/>
  <c r="V750" i="2"/>
  <c r="AB750" i="2"/>
  <c r="AE750" i="2"/>
  <c r="K153" i="3"/>
  <c r="J153" i="3"/>
  <c r="L153" i="3"/>
  <c r="R777" i="3"/>
  <c r="R793" i="3"/>
  <c r="J793" i="3"/>
  <c r="L793" i="3"/>
  <c r="K793" i="3"/>
  <c r="Q194" i="2"/>
  <c r="V239" i="3"/>
  <c r="AB239" i="3"/>
  <c r="AE239" i="3"/>
  <c r="AG239" i="3"/>
  <c r="W75" i="3"/>
  <c r="AC75" i="3"/>
  <c r="AF75" i="3"/>
  <c r="AH75" i="3"/>
  <c r="L978" i="1"/>
  <c r="K978" i="1"/>
  <c r="K227" i="3"/>
  <c r="J227" i="3"/>
  <c r="L227" i="3"/>
  <c r="R227" i="3"/>
  <c r="W227" i="3"/>
  <c r="AC227" i="3"/>
  <c r="AF227" i="3"/>
  <c r="U234" i="2"/>
  <c r="AA234" i="2"/>
  <c r="AD234" i="2"/>
  <c r="AF234" i="2"/>
  <c r="Q570" i="2"/>
  <c r="W447" i="3"/>
  <c r="AC447" i="3"/>
  <c r="AF447" i="3"/>
  <c r="Q197" i="2"/>
  <c r="V197" i="2"/>
  <c r="AB197" i="2"/>
  <c r="AE197" i="2"/>
  <c r="AG197" i="2"/>
  <c r="R797" i="3"/>
  <c r="Q793" i="2"/>
  <c r="V793" i="2"/>
  <c r="AB793" i="2"/>
  <c r="AE793" i="2"/>
  <c r="R667" i="3"/>
  <c r="L916" i="1"/>
  <c r="K916" i="1"/>
  <c r="R141" i="3"/>
  <c r="Q512" i="2"/>
  <c r="V405" i="2"/>
  <c r="AB405" i="2"/>
  <c r="AE405" i="2"/>
  <c r="K569" i="3"/>
  <c r="J569" i="3"/>
  <c r="L569" i="3"/>
  <c r="Q921" i="2"/>
  <c r="L102" i="3"/>
  <c r="K102" i="3"/>
  <c r="J102" i="3"/>
  <c r="K748" i="3"/>
  <c r="J748" i="3"/>
  <c r="L748" i="3"/>
  <c r="R887" i="3"/>
  <c r="Q236" i="2"/>
  <c r="Q342" i="2"/>
  <c r="K468" i="3"/>
  <c r="J468" i="3"/>
  <c r="L468" i="3"/>
  <c r="V851" i="2"/>
  <c r="AB851" i="2"/>
  <c r="AE851" i="2"/>
  <c r="V229" i="3"/>
  <c r="AB229" i="3"/>
  <c r="AE229" i="3"/>
  <c r="AG229" i="3"/>
  <c r="R517" i="3"/>
  <c r="Q243" i="2"/>
  <c r="V243" i="2"/>
  <c r="AB243" i="2"/>
  <c r="AE243" i="2"/>
  <c r="R605" i="3"/>
  <c r="W605" i="3"/>
  <c r="AC605" i="3"/>
  <c r="AF605" i="3"/>
  <c r="Q234" i="2"/>
  <c r="R352" i="3"/>
  <c r="W352" i="3"/>
  <c r="AC352" i="3"/>
  <c r="AF352" i="3"/>
  <c r="AH352" i="3"/>
  <c r="V721" i="3"/>
  <c r="AB721" i="3"/>
  <c r="AE721" i="3"/>
  <c r="AG721" i="3"/>
  <c r="R418" i="3"/>
  <c r="W418" i="3"/>
  <c r="AC418" i="3"/>
  <c r="AF418" i="3"/>
  <c r="K639" i="3"/>
  <c r="J639" i="3"/>
  <c r="L639" i="3"/>
  <c r="Q768" i="2"/>
  <c r="T910" i="1"/>
  <c r="Y910" i="1"/>
  <c r="AE910" i="1"/>
  <c r="AH910" i="1"/>
  <c r="R586" i="3"/>
  <c r="Q654" i="2"/>
  <c r="U811" i="2"/>
  <c r="AA811" i="2"/>
  <c r="AD811" i="2"/>
  <c r="AF811" i="2"/>
  <c r="R399" i="3"/>
  <c r="W399" i="3"/>
  <c r="AC399" i="3"/>
  <c r="AF399" i="3"/>
  <c r="L699" i="3"/>
  <c r="K699" i="3"/>
  <c r="J699" i="3"/>
  <c r="L787" i="1"/>
  <c r="K787" i="1"/>
  <c r="T787" i="1"/>
  <c r="Y787" i="1"/>
  <c r="AE787" i="1"/>
  <c r="AH787" i="1"/>
  <c r="R406" i="3"/>
  <c r="T689" i="1"/>
  <c r="Y689" i="1"/>
  <c r="AE689" i="1"/>
  <c r="AH689" i="1"/>
  <c r="R873" i="3"/>
  <c r="W873" i="3"/>
  <c r="AC873" i="3"/>
  <c r="AF873" i="3"/>
  <c r="Q248" i="2"/>
  <c r="W912" i="3"/>
  <c r="AC912" i="3"/>
  <c r="AF912" i="3"/>
  <c r="AG1009" i="2"/>
  <c r="R769" i="3"/>
  <c r="W769" i="3"/>
  <c r="AC769" i="3"/>
  <c r="AF769" i="3"/>
  <c r="V511" i="2"/>
  <c r="AB511" i="2"/>
  <c r="AE511" i="2"/>
  <c r="Y850" i="1"/>
  <c r="AE850" i="1"/>
  <c r="AH850" i="1"/>
  <c r="K823" i="3"/>
  <c r="J823" i="3"/>
  <c r="L823" i="3"/>
  <c r="R823" i="3"/>
  <c r="W823" i="3"/>
  <c r="AC823" i="3"/>
  <c r="AF823" i="3"/>
  <c r="Q636" i="2"/>
  <c r="AJ676" i="1"/>
  <c r="Q502" i="2"/>
  <c r="Q785" i="2"/>
  <c r="V785" i="2"/>
  <c r="AB785" i="2"/>
  <c r="AE785" i="2"/>
  <c r="K459" i="3"/>
  <c r="J459" i="3"/>
  <c r="L459" i="3"/>
  <c r="R459" i="3"/>
  <c r="W459" i="3"/>
  <c r="AC459" i="3"/>
  <c r="AF459" i="3"/>
  <c r="K630" i="3"/>
  <c r="J630" i="3"/>
  <c r="L630" i="3"/>
  <c r="R630" i="3"/>
  <c r="W630" i="3"/>
  <c r="AC630" i="3"/>
  <c r="AF630" i="3"/>
  <c r="L892" i="1"/>
  <c r="K892" i="1"/>
  <c r="T892" i="1"/>
  <c r="Y892" i="1"/>
  <c r="AE892" i="1"/>
  <c r="AH892" i="1"/>
  <c r="T720" i="1"/>
  <c r="Y720" i="1"/>
  <c r="AE720" i="1"/>
  <c r="AH720" i="1"/>
  <c r="AG547" i="2"/>
  <c r="L772" i="1"/>
  <c r="K772" i="1"/>
  <c r="R691" i="3"/>
  <c r="W691" i="3"/>
  <c r="AC691" i="3"/>
  <c r="AF691" i="3"/>
  <c r="L760" i="1"/>
  <c r="K760" i="1"/>
  <c r="L825" i="1"/>
  <c r="K825" i="1"/>
  <c r="AG645" i="2"/>
  <c r="L725" i="2"/>
  <c r="K725" i="2"/>
  <c r="J725" i="2"/>
  <c r="Q710" i="2"/>
  <c r="R292" i="3"/>
  <c r="W292" i="3"/>
  <c r="AC292" i="3"/>
  <c r="AF292" i="3"/>
  <c r="Q485" i="2"/>
  <c r="L915" i="1"/>
  <c r="K915" i="1"/>
  <c r="T915" i="1"/>
  <c r="Y915" i="1"/>
  <c r="AE915" i="1"/>
  <c r="AH915" i="1"/>
  <c r="R46" i="3"/>
  <c r="AJ724" i="1"/>
  <c r="Q846" i="2"/>
  <c r="J846" i="2"/>
  <c r="L846" i="2"/>
  <c r="K846" i="2"/>
  <c r="L300" i="2"/>
  <c r="K300" i="2"/>
  <c r="J300" i="2"/>
  <c r="Q731" i="2"/>
  <c r="U731" i="2"/>
  <c r="AA731" i="2"/>
  <c r="AD731" i="2"/>
  <c r="AF731" i="2"/>
  <c r="R694" i="3"/>
  <c r="W694" i="3"/>
  <c r="AC694" i="3"/>
  <c r="AF694" i="3"/>
  <c r="Q345" i="2"/>
  <c r="X684" i="1"/>
  <c r="AD684" i="1"/>
  <c r="AG684" i="1"/>
  <c r="AI684" i="1"/>
  <c r="T803" i="1"/>
  <c r="Y803" i="1"/>
  <c r="AE803" i="1"/>
  <c r="AH803" i="1"/>
  <c r="R379" i="3"/>
  <c r="W379" i="3"/>
  <c r="AC379" i="3"/>
  <c r="AF379" i="3"/>
  <c r="W726" i="3"/>
  <c r="AC726" i="3"/>
  <c r="AF726" i="3"/>
  <c r="L594" i="2"/>
  <c r="K594" i="2"/>
  <c r="J594" i="2"/>
  <c r="W619" i="3"/>
  <c r="AC619" i="3"/>
  <c r="AF619" i="3"/>
  <c r="L704" i="2"/>
  <c r="K704" i="2"/>
  <c r="J704" i="2"/>
  <c r="W222" i="3"/>
  <c r="AC222" i="3"/>
  <c r="AF222" i="3"/>
  <c r="Q834" i="2"/>
  <c r="V834" i="2"/>
  <c r="AB834" i="2"/>
  <c r="AE834" i="2"/>
  <c r="R649" i="3"/>
  <c r="R225" i="3"/>
  <c r="Q718" i="2"/>
  <c r="U718" i="2"/>
  <c r="AA718" i="2"/>
  <c r="AD718" i="2"/>
  <c r="AF718" i="2"/>
  <c r="Q294" i="2"/>
  <c r="AG414" i="2"/>
  <c r="R893" i="3"/>
  <c r="R519" i="3"/>
  <c r="L746" i="1"/>
  <c r="K746" i="1"/>
  <c r="Q825" i="2"/>
  <c r="R819" i="3"/>
  <c r="U671" i="2"/>
  <c r="AA671" i="2"/>
  <c r="AD671" i="2"/>
  <c r="AF671" i="2"/>
  <c r="Q946" i="2"/>
  <c r="V946" i="2"/>
  <c r="AB946" i="2"/>
  <c r="AE946" i="2"/>
  <c r="R929" i="3"/>
  <c r="J929" i="3"/>
  <c r="L929" i="3"/>
  <c r="K929" i="3"/>
  <c r="K979" i="2"/>
  <c r="J979" i="2"/>
  <c r="L979" i="2"/>
  <c r="Q979" i="2"/>
  <c r="U979" i="2"/>
  <c r="AA979" i="2"/>
  <c r="AD979" i="2"/>
  <c r="AF979" i="2"/>
  <c r="R367" i="3"/>
  <c r="V367" i="3"/>
  <c r="AB367" i="3"/>
  <c r="AE367" i="3"/>
  <c r="AG367" i="3"/>
  <c r="T971" i="1"/>
  <c r="Y971" i="1"/>
  <c r="AE971" i="1"/>
  <c r="AH971" i="1"/>
  <c r="AJ971" i="1"/>
  <c r="R978" i="3"/>
  <c r="Q408" i="2"/>
  <c r="Q521" i="2"/>
  <c r="V227" i="2"/>
  <c r="AB227" i="2"/>
  <c r="AE227" i="2"/>
  <c r="R410" i="3"/>
  <c r="W802" i="3"/>
  <c r="AC802" i="3"/>
  <c r="AF802" i="3"/>
  <c r="R490" i="3"/>
  <c r="AG643" i="2"/>
  <c r="U646" i="2"/>
  <c r="AA646" i="2"/>
  <c r="AD646" i="2"/>
  <c r="AF646" i="2"/>
  <c r="R759" i="3"/>
  <c r="L773" i="1"/>
  <c r="K773" i="1"/>
  <c r="V896" i="2"/>
  <c r="AB896" i="2"/>
  <c r="AE896" i="2"/>
  <c r="AG896" i="2"/>
  <c r="Q660" i="2"/>
  <c r="R539" i="3"/>
  <c r="W539" i="3"/>
  <c r="AC539" i="3"/>
  <c r="AF539" i="3"/>
  <c r="V966" i="2"/>
  <c r="AB966" i="2"/>
  <c r="AE966" i="2"/>
  <c r="R755" i="3"/>
  <c r="R194" i="3"/>
  <c r="Q460" i="2"/>
  <c r="W28" i="3"/>
  <c r="AC28" i="3"/>
  <c r="AF28" i="3"/>
  <c r="L959" i="2"/>
  <c r="K959" i="2"/>
  <c r="J959" i="2"/>
  <c r="U193" i="2"/>
  <c r="AA193" i="2"/>
  <c r="AD193" i="2"/>
  <c r="AF193" i="2"/>
  <c r="U318" i="2"/>
  <c r="AA318" i="2"/>
  <c r="AD318" i="2"/>
  <c r="AF318" i="2"/>
  <c r="W467" i="3"/>
  <c r="AC467" i="3"/>
  <c r="AF467" i="3"/>
  <c r="Q182" i="2"/>
  <c r="L983" i="1"/>
  <c r="K983" i="1"/>
  <c r="Q640" i="2"/>
  <c r="V640" i="2"/>
  <c r="AB640" i="2"/>
  <c r="AE640" i="2"/>
  <c r="AG640" i="2"/>
  <c r="Q897" i="2"/>
  <c r="R293" i="3"/>
  <c r="W293" i="3"/>
  <c r="AC293" i="3"/>
  <c r="AF293" i="3"/>
  <c r="Q525" i="2"/>
  <c r="V525" i="2"/>
  <c r="AB525" i="2"/>
  <c r="AE525" i="2"/>
  <c r="V329" i="3"/>
  <c r="AB329" i="3"/>
  <c r="AE329" i="3"/>
  <c r="AG329" i="3"/>
  <c r="R638" i="3"/>
  <c r="W638" i="3"/>
  <c r="AC638" i="3"/>
  <c r="AF638" i="3"/>
  <c r="R263" i="3"/>
  <c r="W263" i="3"/>
  <c r="AC263" i="3"/>
  <c r="AF263" i="3"/>
  <c r="Q452" i="2"/>
  <c r="W53" i="3"/>
  <c r="AC53" i="3"/>
  <c r="AF53" i="3"/>
  <c r="Q798" i="2"/>
  <c r="T757" i="1"/>
  <c r="Y757" i="1"/>
  <c r="AE757" i="1"/>
  <c r="AH757" i="1"/>
  <c r="R320" i="3"/>
  <c r="Q742" i="2"/>
  <c r="R740" i="3"/>
  <c r="R628" i="3"/>
  <c r="V628" i="3"/>
  <c r="AB628" i="3"/>
  <c r="AE628" i="3"/>
  <c r="AG628" i="3"/>
  <c r="K682" i="2"/>
  <c r="J682" i="2"/>
  <c r="L682" i="2"/>
  <c r="Q353" i="2"/>
  <c r="V353" i="2"/>
  <c r="AB353" i="2"/>
  <c r="AE353" i="2"/>
  <c r="K215" i="2"/>
  <c r="J215" i="2"/>
  <c r="L215" i="2"/>
  <c r="K694" i="2"/>
  <c r="J694" i="2"/>
  <c r="L694" i="2"/>
  <c r="L911" i="1"/>
  <c r="K911" i="1"/>
  <c r="Q319" i="2"/>
  <c r="Q903" i="2"/>
  <c r="R72" i="3"/>
  <c r="K543" i="2"/>
  <c r="J543" i="2"/>
  <c r="L543" i="2"/>
  <c r="Q347" i="2"/>
  <c r="V347" i="2"/>
  <c r="AB347" i="2"/>
  <c r="AE347" i="2"/>
  <c r="K236" i="3"/>
  <c r="J236" i="3"/>
  <c r="L236" i="3"/>
  <c r="X877" i="1"/>
  <c r="AD877" i="1"/>
  <c r="AG877" i="1"/>
  <c r="AI877" i="1"/>
  <c r="Q362" i="2"/>
  <c r="K720" i="2"/>
  <c r="J720" i="2"/>
  <c r="L720" i="2"/>
  <c r="Q720" i="2"/>
  <c r="V720" i="2"/>
  <c r="AB720" i="2"/>
  <c r="AE720" i="2"/>
  <c r="V596" i="2"/>
  <c r="AB596" i="2"/>
  <c r="AE596" i="2"/>
  <c r="K234" i="3"/>
  <c r="J234" i="3"/>
  <c r="L234" i="3"/>
  <c r="Q842" i="2"/>
  <c r="V842" i="2"/>
  <c r="AB842" i="2"/>
  <c r="AE842" i="2"/>
  <c r="T842" i="1"/>
  <c r="Y842" i="1"/>
  <c r="AE842" i="1"/>
  <c r="AH842" i="1"/>
  <c r="AJ842" i="1"/>
  <c r="R206" i="3"/>
  <c r="W206" i="3"/>
  <c r="AC206" i="3"/>
  <c r="AF206" i="3"/>
  <c r="K612" i="3"/>
  <c r="J612" i="3"/>
  <c r="L612" i="3"/>
  <c r="R612" i="3"/>
  <c r="W612" i="3"/>
  <c r="AC612" i="3"/>
  <c r="AF612" i="3"/>
  <c r="R938" i="3"/>
  <c r="W938" i="3"/>
  <c r="AC938" i="3"/>
  <c r="AF938" i="3"/>
  <c r="AH938" i="3"/>
  <c r="W125" i="3"/>
  <c r="AC125" i="3"/>
  <c r="AF125" i="3"/>
  <c r="AH125" i="3"/>
  <c r="R88" i="3"/>
  <c r="V88" i="3"/>
  <c r="AB88" i="3"/>
  <c r="AE88" i="3"/>
  <c r="AG88" i="3"/>
  <c r="R267" i="3"/>
  <c r="R464" i="3"/>
  <c r="K532" i="2"/>
  <c r="J532" i="2"/>
  <c r="L532" i="2"/>
  <c r="K485" i="3"/>
  <c r="J485" i="3"/>
  <c r="L485" i="3"/>
  <c r="R485" i="3"/>
  <c r="V485" i="3"/>
  <c r="AB485" i="3"/>
  <c r="AE485" i="3"/>
  <c r="AG485" i="3"/>
  <c r="Q537" i="2"/>
  <c r="U537" i="2"/>
  <c r="AA537" i="2"/>
  <c r="AD537" i="2"/>
  <c r="AF537" i="2"/>
  <c r="R337" i="3"/>
  <c r="W337" i="3"/>
  <c r="AC337" i="3"/>
  <c r="AF337" i="3"/>
  <c r="W942" i="3"/>
  <c r="AC942" i="3"/>
  <c r="AF942" i="3"/>
  <c r="AC819" i="2"/>
  <c r="U819" i="2"/>
  <c r="AA819" i="2"/>
  <c r="AD819" i="2"/>
  <c r="AG713" i="2"/>
  <c r="T917" i="1"/>
  <c r="X917" i="1"/>
  <c r="AD917" i="1"/>
  <c r="AG917" i="1"/>
  <c r="AI917" i="1"/>
  <c r="K108" i="3"/>
  <c r="J108" i="3"/>
  <c r="L108" i="3"/>
  <c r="L894" i="1"/>
  <c r="K894" i="1"/>
  <c r="T894" i="1"/>
  <c r="Y894" i="1"/>
  <c r="AE894" i="1"/>
  <c r="AH894" i="1"/>
  <c r="R369" i="3"/>
  <c r="Q656" i="2"/>
  <c r="X976" i="1"/>
  <c r="AD976" i="1"/>
  <c r="AG976" i="1"/>
  <c r="AI976" i="1"/>
  <c r="R788" i="3"/>
  <c r="R712" i="3"/>
  <c r="Q650" i="2"/>
  <c r="W136" i="3"/>
  <c r="AC136" i="3"/>
  <c r="AF136" i="3"/>
  <c r="K372" i="3"/>
  <c r="J372" i="3"/>
  <c r="L372" i="3"/>
  <c r="R75" i="3"/>
  <c r="R157" i="3"/>
  <c r="W157" i="3"/>
  <c r="AC157" i="3"/>
  <c r="AF157" i="3"/>
  <c r="AH157" i="3"/>
  <c r="AA885" i="3"/>
  <c r="K696" i="2"/>
  <c r="J696" i="2"/>
  <c r="L696" i="2"/>
  <c r="Q335" i="2"/>
  <c r="V335" i="2"/>
  <c r="AB335" i="2"/>
  <c r="AE335" i="2"/>
  <c r="R874" i="3"/>
  <c r="W874" i="3"/>
  <c r="AC874" i="3"/>
  <c r="AF874" i="3"/>
  <c r="U618" i="2"/>
  <c r="AA618" i="2"/>
  <c r="AD618" i="2"/>
  <c r="AF618" i="2"/>
  <c r="R585" i="3"/>
  <c r="L763" i="1"/>
  <c r="K763" i="1"/>
  <c r="AH256" i="3"/>
  <c r="Q996" i="2"/>
  <c r="V341" i="2"/>
  <c r="AB341" i="2"/>
  <c r="AE341" i="2"/>
  <c r="Q212" i="2"/>
  <c r="V183" i="2"/>
  <c r="AB183" i="2"/>
  <c r="AE183" i="2"/>
  <c r="V96" i="3"/>
  <c r="AB96" i="3"/>
  <c r="AE96" i="3"/>
  <c r="AG96" i="3"/>
  <c r="L393" i="2"/>
  <c r="K393" i="2"/>
  <c r="J393" i="2"/>
  <c r="Q540" i="2"/>
  <c r="V540" i="2"/>
  <c r="AB540" i="2"/>
  <c r="AE540" i="2"/>
  <c r="R597" i="3"/>
  <c r="U833" i="2"/>
  <c r="AA833" i="2"/>
  <c r="AD833" i="2"/>
  <c r="AF833" i="2"/>
  <c r="K285" i="3"/>
  <c r="J285" i="3"/>
  <c r="L285" i="3"/>
  <c r="R285" i="3"/>
  <c r="W285" i="3"/>
  <c r="AC285" i="3"/>
  <c r="AF285" i="3"/>
  <c r="AH285" i="3"/>
  <c r="Q589" i="2"/>
  <c r="T954" i="1"/>
  <c r="Y954" i="1"/>
  <c r="AE954" i="1"/>
  <c r="AH954" i="1"/>
  <c r="AJ745" i="1"/>
  <c r="V505" i="3"/>
  <c r="AB505" i="3"/>
  <c r="AE505" i="3"/>
  <c r="AG505" i="3"/>
  <c r="R652" i="3"/>
  <c r="K402" i="2"/>
  <c r="J402" i="2"/>
  <c r="L402" i="2"/>
  <c r="Q402" i="2"/>
  <c r="V402" i="2"/>
  <c r="AB402" i="2"/>
  <c r="AE402" i="2"/>
  <c r="AD765" i="3"/>
  <c r="K919" i="3"/>
  <c r="J919" i="3"/>
  <c r="L919" i="3"/>
  <c r="R919" i="3"/>
  <c r="W919" i="3"/>
  <c r="AC919" i="3"/>
  <c r="AF919" i="3"/>
  <c r="R458" i="3"/>
  <c r="T976" i="1"/>
  <c r="Y976" i="1"/>
  <c r="AE976" i="1"/>
  <c r="AH976" i="1"/>
  <c r="R80" i="3"/>
  <c r="V80" i="3"/>
  <c r="AB80" i="3"/>
  <c r="AE80" i="3"/>
  <c r="AG80" i="3"/>
  <c r="T812" i="1"/>
  <c r="Y812" i="1"/>
  <c r="AE812" i="1"/>
  <c r="AH812" i="1"/>
  <c r="R986" i="3"/>
  <c r="V488" i="2"/>
  <c r="AB488" i="2"/>
  <c r="AE488" i="2"/>
  <c r="Q739" i="2"/>
  <c r="R56" i="3"/>
  <c r="K961" i="3"/>
  <c r="J961" i="3"/>
  <c r="L961" i="3"/>
  <c r="R961" i="3"/>
  <c r="W961" i="3"/>
  <c r="AC961" i="3"/>
  <c r="AF961" i="3"/>
  <c r="R515" i="3"/>
  <c r="V442" i="3"/>
  <c r="AB442" i="3"/>
  <c r="AE442" i="3"/>
  <c r="AG442" i="3"/>
  <c r="K823" i="2"/>
  <c r="J823" i="2"/>
  <c r="L823" i="2"/>
  <c r="W857" i="3"/>
  <c r="AC857" i="3"/>
  <c r="AF857" i="3"/>
  <c r="T774" i="1"/>
  <c r="Y774" i="1"/>
  <c r="AE774" i="1"/>
  <c r="AH774" i="1"/>
  <c r="R260" i="3"/>
  <c r="W526" i="3"/>
  <c r="AC526" i="3"/>
  <c r="AF526" i="3"/>
  <c r="R641" i="3"/>
  <c r="Q557" i="2"/>
  <c r="K286" i="2"/>
  <c r="J286" i="2"/>
  <c r="L286" i="2"/>
  <c r="L962" i="1"/>
  <c r="K962" i="1"/>
  <c r="R756" i="3"/>
  <c r="Q942" i="2"/>
  <c r="R857" i="3"/>
  <c r="R549" i="3"/>
  <c r="V549" i="3"/>
  <c r="AB549" i="3"/>
  <c r="AE549" i="3"/>
  <c r="AG549" i="3"/>
  <c r="Q826" i="2"/>
  <c r="R472" i="3"/>
  <c r="V250" i="2"/>
  <c r="AB250" i="2"/>
  <c r="AE250" i="2"/>
  <c r="AG250" i="2"/>
  <c r="AG980" i="2"/>
  <c r="R714" i="3"/>
  <c r="K534" i="2"/>
  <c r="J534" i="2"/>
  <c r="L534" i="2"/>
  <c r="K768" i="2"/>
  <c r="J768" i="2"/>
  <c r="L768" i="2"/>
  <c r="L762" i="2"/>
  <c r="K762" i="2"/>
  <c r="J762" i="2"/>
  <c r="L870" i="1"/>
  <c r="K870" i="1"/>
  <c r="K614" i="2"/>
  <c r="J614" i="2"/>
  <c r="L614" i="2"/>
  <c r="L788" i="1"/>
  <c r="K788" i="1"/>
  <c r="Q245" i="2"/>
  <c r="L882" i="3"/>
  <c r="K882" i="3"/>
  <c r="J882" i="3"/>
  <c r="V79" i="3"/>
  <c r="AB79" i="3"/>
  <c r="AE79" i="3"/>
  <c r="AG79" i="3"/>
  <c r="Q627" i="2"/>
  <c r="K137" i="3"/>
  <c r="J137" i="3"/>
  <c r="L137" i="3"/>
  <c r="AH940" i="3"/>
  <c r="L988" i="1"/>
  <c r="K988" i="1"/>
  <c r="Q751" i="2"/>
  <c r="U767" i="2"/>
  <c r="AA767" i="2"/>
  <c r="AD767" i="2"/>
  <c r="AF767" i="2"/>
  <c r="W387" i="3"/>
  <c r="AC387" i="3"/>
  <c r="AF387" i="3"/>
  <c r="L932" i="2"/>
  <c r="K932" i="2"/>
  <c r="J932" i="2"/>
  <c r="L831" i="1"/>
  <c r="K831" i="1"/>
  <c r="L72" i="3"/>
  <c r="K72" i="3"/>
  <c r="J72" i="3"/>
  <c r="Q216" i="2"/>
  <c r="U216" i="2"/>
  <c r="AA216" i="2"/>
  <c r="AD216" i="2"/>
  <c r="AF216" i="2"/>
  <c r="AH189" i="3"/>
  <c r="K237" i="2"/>
  <c r="J237" i="2"/>
  <c r="L237" i="2"/>
  <c r="L843" i="1"/>
  <c r="K843" i="1"/>
  <c r="W201" i="3"/>
  <c r="AC201" i="3"/>
  <c r="AF201" i="3"/>
  <c r="R156" i="3"/>
  <c r="L735" i="1"/>
  <c r="K735" i="1"/>
  <c r="K747" i="3"/>
  <c r="J747" i="3"/>
  <c r="L747" i="3"/>
  <c r="R826" i="3"/>
  <c r="W223" i="3"/>
  <c r="AC223" i="3"/>
  <c r="AF223" i="3"/>
  <c r="L768" i="3"/>
  <c r="K768" i="3"/>
  <c r="J768" i="3"/>
  <c r="L715" i="1"/>
  <c r="K715" i="1"/>
  <c r="K360" i="3"/>
  <c r="J360" i="3"/>
  <c r="L360" i="3"/>
  <c r="R274" i="3"/>
  <c r="K256" i="2"/>
  <c r="J256" i="2"/>
  <c r="L256" i="2"/>
  <c r="K485" i="2"/>
  <c r="J485" i="2"/>
  <c r="L485" i="2"/>
  <c r="L78" i="1"/>
  <c r="K78" i="1"/>
  <c r="K46" i="3"/>
  <c r="J46" i="3"/>
  <c r="L46" i="3"/>
  <c r="W48" i="3"/>
  <c r="AC48" i="3"/>
  <c r="AF48" i="3"/>
  <c r="L883" i="3"/>
  <c r="K883" i="3"/>
  <c r="J883" i="3"/>
  <c r="K287" i="2"/>
  <c r="J287" i="2"/>
  <c r="L287" i="2"/>
  <c r="K796" i="2"/>
  <c r="J796" i="2"/>
  <c r="L796" i="2"/>
  <c r="K657" i="2"/>
  <c r="J657" i="2"/>
  <c r="L657" i="2"/>
  <c r="Q391" i="2"/>
  <c r="V820" i="2"/>
  <c r="AB820" i="2"/>
  <c r="AE820" i="2"/>
  <c r="V476" i="2"/>
  <c r="AB476" i="2"/>
  <c r="AE476" i="2"/>
  <c r="R935" i="3"/>
  <c r="Q872" i="2"/>
  <c r="V769" i="2"/>
  <c r="AB769" i="2"/>
  <c r="AE769" i="2"/>
  <c r="Q633" i="2"/>
  <c r="R774" i="3"/>
  <c r="R672" i="3"/>
  <c r="R922" i="3"/>
  <c r="T948" i="1"/>
  <c r="Y948" i="1"/>
  <c r="AE948" i="1"/>
  <c r="AH948" i="1"/>
  <c r="R28" i="3"/>
  <c r="L346" i="3"/>
  <c r="K346" i="3"/>
  <c r="J346" i="3"/>
  <c r="Q184" i="2"/>
  <c r="K649" i="3"/>
  <c r="J649" i="3"/>
  <c r="L649" i="3"/>
  <c r="Q536" i="2"/>
  <c r="U536" i="2"/>
  <c r="AA536" i="2"/>
  <c r="AD536" i="2"/>
  <c r="AF536" i="2"/>
  <c r="L605" i="2"/>
  <c r="K605" i="2"/>
  <c r="J605" i="2"/>
  <c r="K685" i="3"/>
  <c r="J685" i="3"/>
  <c r="L685" i="3"/>
  <c r="AG231" i="2"/>
  <c r="T738" i="1"/>
  <c r="Y738" i="1"/>
  <c r="AE738" i="1"/>
  <c r="AH738" i="1"/>
  <c r="R566" i="3"/>
  <c r="L789" i="2"/>
  <c r="K789" i="2"/>
  <c r="J789" i="2"/>
  <c r="Q944" i="2"/>
  <c r="U944" i="2"/>
  <c r="AA944" i="2"/>
  <c r="AD944" i="2"/>
  <c r="AF944" i="2"/>
  <c r="R698" i="3"/>
  <c r="L757" i="1"/>
  <c r="K757" i="1"/>
  <c r="R507" i="3"/>
  <c r="K519" i="3"/>
  <c r="J519" i="3"/>
  <c r="L519" i="3"/>
  <c r="T877" i="1"/>
  <c r="Y877" i="1"/>
  <c r="AE877" i="1"/>
  <c r="AH877" i="1"/>
  <c r="AJ877" i="1"/>
  <c r="K328" i="3"/>
  <c r="J328" i="3"/>
  <c r="L328" i="3"/>
  <c r="T970" i="1"/>
  <c r="Y970" i="1"/>
  <c r="AE970" i="1"/>
  <c r="AH970" i="1"/>
  <c r="L302" i="2"/>
  <c r="K302" i="2"/>
  <c r="J302" i="2"/>
  <c r="R204" i="3"/>
  <c r="Q773" i="2"/>
  <c r="L946" i="1"/>
  <c r="K946" i="1"/>
  <c r="T946" i="1"/>
  <c r="Y946" i="1"/>
  <c r="AE946" i="1"/>
  <c r="AH946" i="1"/>
  <c r="R315" i="3"/>
  <c r="Q554" i="2"/>
  <c r="V722" i="2"/>
  <c r="AB722" i="2"/>
  <c r="AE722" i="2"/>
  <c r="R502" i="3"/>
  <c r="W502" i="3"/>
  <c r="AC502" i="3"/>
  <c r="AF502" i="3"/>
  <c r="AH502" i="3"/>
  <c r="R64" i="3"/>
  <c r="W64" i="3"/>
  <c r="AC64" i="3"/>
  <c r="AF64" i="3"/>
  <c r="T957" i="1"/>
  <c r="Y957" i="1"/>
  <c r="AE957" i="1"/>
  <c r="AH957" i="1"/>
  <c r="Q960" i="2"/>
  <c r="Q642" i="2"/>
  <c r="V642" i="2"/>
  <c r="AB642" i="2"/>
  <c r="AE642" i="2"/>
  <c r="K313" i="3"/>
  <c r="J313" i="3"/>
  <c r="L313" i="3"/>
  <c r="K466" i="3"/>
  <c r="J466" i="3"/>
  <c r="L466" i="3"/>
  <c r="R59" i="3"/>
  <c r="V59" i="3"/>
  <c r="AB59" i="3"/>
  <c r="AE59" i="3"/>
  <c r="AG59" i="3"/>
  <c r="AH892" i="3"/>
  <c r="Q712" i="2"/>
  <c r="Q764" i="2"/>
  <c r="V764" i="2"/>
  <c r="AB764" i="2"/>
  <c r="AE764" i="2"/>
  <c r="Q332" i="2"/>
  <c r="Q639" i="2"/>
  <c r="W868" i="3"/>
  <c r="AC868" i="3"/>
  <c r="AF868" i="3"/>
  <c r="AH868" i="3"/>
  <c r="AG988" i="2"/>
  <c r="V872" i="3"/>
  <c r="AB872" i="3"/>
  <c r="AE872" i="3"/>
  <c r="AG872" i="3"/>
  <c r="T927" i="1"/>
  <c r="Y927" i="1"/>
  <c r="AE927" i="1"/>
  <c r="AH927" i="1"/>
  <c r="AJ927" i="1"/>
  <c r="R43" i="3"/>
  <c r="Q344" i="2"/>
  <c r="V819" i="2"/>
  <c r="AB819" i="2"/>
  <c r="AE819" i="2"/>
  <c r="K268" i="2"/>
  <c r="J268" i="2"/>
  <c r="L268" i="2"/>
  <c r="K716" i="3"/>
  <c r="J716" i="3"/>
  <c r="L716" i="3"/>
  <c r="W332" i="3"/>
  <c r="AC332" i="3"/>
  <c r="AF332" i="3"/>
  <c r="L271" i="2"/>
  <c r="K271" i="2"/>
  <c r="J271" i="2"/>
  <c r="Q782" i="2"/>
  <c r="V782" i="2"/>
  <c r="AB782" i="2"/>
  <c r="AE782" i="2"/>
  <c r="AG782" i="2"/>
  <c r="V434" i="2"/>
  <c r="AB434" i="2"/>
  <c r="AE434" i="2"/>
  <c r="R248" i="3"/>
  <c r="J248" i="3"/>
  <c r="L248" i="3"/>
  <c r="K248" i="3"/>
  <c r="AG435" i="2"/>
  <c r="V843" i="2"/>
  <c r="AB843" i="2"/>
  <c r="AE843" i="2"/>
  <c r="R69" i="3"/>
  <c r="R253" i="3"/>
  <c r="W253" i="3"/>
  <c r="AC253" i="3"/>
  <c r="AF253" i="3"/>
  <c r="L740" i="1"/>
  <c r="K740" i="1"/>
  <c r="L956" i="1"/>
  <c r="K956" i="1"/>
  <c r="T956" i="1"/>
  <c r="Y956" i="1"/>
  <c r="AE956" i="1"/>
  <c r="AH956" i="1"/>
  <c r="R386" i="3"/>
  <c r="W386" i="3"/>
  <c r="AC386" i="3"/>
  <c r="AF386" i="3"/>
  <c r="Q797" i="2"/>
  <c r="V797" i="2"/>
  <c r="AB797" i="2"/>
  <c r="AE797" i="2"/>
  <c r="R117" i="3"/>
  <c r="R971" i="3"/>
  <c r="T832" i="1"/>
  <c r="Y832" i="1"/>
  <c r="AE832" i="1"/>
  <c r="AH832" i="1"/>
  <c r="K599" i="2"/>
  <c r="J599" i="2"/>
  <c r="L599" i="2"/>
  <c r="V587" i="2"/>
  <c r="AB587" i="2"/>
  <c r="AE587" i="2"/>
  <c r="AG587" i="2"/>
  <c r="Q437" i="2"/>
  <c r="R452" i="3"/>
  <c r="K717" i="2"/>
  <c r="J717" i="2"/>
  <c r="L717" i="2"/>
  <c r="U893" i="2"/>
  <c r="AA893" i="2"/>
  <c r="AD893" i="2"/>
  <c r="AF893" i="2"/>
  <c r="K236" i="2"/>
  <c r="J236" i="2"/>
  <c r="L236" i="2"/>
  <c r="Q961" i="2"/>
  <c r="V961" i="2"/>
  <c r="AB961" i="2"/>
  <c r="AE961" i="2"/>
  <c r="L827" i="1"/>
  <c r="K827" i="1"/>
  <c r="R556" i="3"/>
  <c r="Q680" i="2"/>
  <c r="V680" i="2"/>
  <c r="AB680" i="2"/>
  <c r="AE680" i="2"/>
  <c r="Z860" i="2"/>
  <c r="V763" i="3"/>
  <c r="AB763" i="3"/>
  <c r="AE763" i="3"/>
  <c r="AG763" i="3"/>
  <c r="L690" i="1"/>
  <c r="K690" i="1"/>
  <c r="Q998" i="2"/>
  <c r="Q249" i="2"/>
  <c r="V249" i="2"/>
  <c r="AB249" i="2"/>
  <c r="AE249" i="2"/>
  <c r="L767" i="1"/>
  <c r="K767" i="1"/>
  <c r="R880" i="3"/>
  <c r="W880" i="3"/>
  <c r="AC880" i="3"/>
  <c r="AF880" i="3"/>
  <c r="K723" i="2"/>
  <c r="J723" i="2"/>
  <c r="L723" i="2"/>
  <c r="K658" i="3"/>
  <c r="J658" i="3"/>
  <c r="L658" i="3"/>
  <c r="R278" i="3"/>
  <c r="K432" i="3"/>
  <c r="J432" i="3"/>
  <c r="L432" i="3"/>
  <c r="Z791" i="2"/>
  <c r="V791" i="2"/>
  <c r="AB791" i="2"/>
  <c r="K362" i="2"/>
  <c r="J362" i="2"/>
  <c r="L362" i="2"/>
  <c r="L445" i="3"/>
  <c r="K445" i="3"/>
  <c r="J445" i="3"/>
  <c r="L893" i="1"/>
  <c r="K893" i="1"/>
  <c r="L156" i="3"/>
  <c r="K156" i="3"/>
  <c r="J156" i="3"/>
  <c r="K248" i="2"/>
  <c r="J248" i="2"/>
  <c r="L248" i="2"/>
  <c r="Q991" i="2"/>
  <c r="K917" i="2"/>
  <c r="J917" i="2"/>
  <c r="L917" i="2"/>
  <c r="Q524" i="2"/>
  <c r="R122" i="3"/>
  <c r="W439" i="3"/>
  <c r="AC439" i="3"/>
  <c r="AF439" i="3"/>
  <c r="L840" i="1"/>
  <c r="K840" i="1"/>
  <c r="L384" i="3"/>
  <c r="K384" i="3"/>
  <c r="J384" i="3"/>
  <c r="AA876" i="3"/>
  <c r="Q649" i="2"/>
  <c r="J649" i="2"/>
  <c r="L649" i="2"/>
  <c r="K649" i="2"/>
  <c r="R222" i="3"/>
  <c r="V222" i="3"/>
  <c r="AB222" i="3"/>
  <c r="AE222" i="3"/>
  <c r="AG222" i="3"/>
  <c r="Q292" i="2"/>
  <c r="J292" i="2"/>
  <c r="L292" i="2"/>
  <c r="K292" i="2"/>
  <c r="V151" i="3"/>
  <c r="AB151" i="3"/>
  <c r="AE151" i="3"/>
  <c r="AG151" i="3"/>
  <c r="Q312" i="2"/>
  <c r="Q370" i="2"/>
  <c r="Q196" i="2"/>
  <c r="T873" i="1"/>
  <c r="Y873" i="1"/>
  <c r="AE873" i="1"/>
  <c r="AH873" i="1"/>
  <c r="R946" i="3"/>
  <c r="L170" i="3"/>
  <c r="K170" i="3"/>
  <c r="J170" i="3"/>
  <c r="K216" i="2"/>
  <c r="J216" i="2"/>
  <c r="L216" i="2"/>
  <c r="R250" i="3"/>
  <c r="K369" i="3"/>
  <c r="J369" i="3"/>
  <c r="L369" i="3"/>
  <c r="Q218" i="2"/>
  <c r="L932" i="1"/>
  <c r="K932" i="1"/>
  <c r="T879" i="1"/>
  <c r="Y879" i="1"/>
  <c r="AE879" i="1"/>
  <c r="AH879" i="1"/>
  <c r="K788" i="3"/>
  <c r="J788" i="3"/>
  <c r="L788" i="3"/>
  <c r="K712" i="3"/>
  <c r="J712" i="3"/>
  <c r="L712" i="3"/>
  <c r="Q919" i="2"/>
  <c r="V919" i="2"/>
  <c r="AB919" i="2"/>
  <c r="AE919" i="2"/>
  <c r="W71" i="3"/>
  <c r="AC71" i="3"/>
  <c r="AF71" i="3"/>
  <c r="K492" i="2"/>
  <c r="J492" i="2"/>
  <c r="L492" i="2"/>
  <c r="Q659" i="2"/>
  <c r="V659" i="2"/>
  <c r="AB659" i="2"/>
  <c r="AE659" i="2"/>
  <c r="K75" i="3"/>
  <c r="J75" i="3"/>
  <c r="L75" i="3"/>
  <c r="AG688" i="2"/>
  <c r="Q198" i="2"/>
  <c r="R954" i="3"/>
  <c r="W954" i="3"/>
  <c r="AC954" i="3"/>
  <c r="AF954" i="3"/>
  <c r="Q241" i="2"/>
  <c r="L586" i="3"/>
  <c r="K586" i="3"/>
  <c r="J586" i="3"/>
  <c r="Q724" i="2"/>
  <c r="U724" i="2"/>
  <c r="AA724" i="2"/>
  <c r="AD724" i="2"/>
  <c r="AF724" i="2"/>
  <c r="K944" i="3"/>
  <c r="J944" i="3"/>
  <c r="L944" i="3"/>
  <c r="Q189" i="2"/>
  <c r="V189" i="2"/>
  <c r="AB189" i="2"/>
  <c r="AE189" i="2"/>
  <c r="V553" i="2"/>
  <c r="AB553" i="2"/>
  <c r="AE553" i="2"/>
  <c r="Q662" i="2"/>
  <c r="V662" i="2"/>
  <c r="AB662" i="2"/>
  <c r="AE662" i="2"/>
  <c r="AG180" i="2"/>
  <c r="W584" i="3"/>
  <c r="AC584" i="3"/>
  <c r="AF584" i="3"/>
  <c r="AH584" i="3"/>
  <c r="Q208" i="2"/>
  <c r="R53" i="3"/>
  <c r="R568" i="3"/>
  <c r="L660" i="3"/>
  <c r="K660" i="3"/>
  <c r="J660" i="3"/>
  <c r="AJ936" i="1"/>
  <c r="L821" i="1"/>
  <c r="K821" i="1"/>
  <c r="L680" i="2"/>
  <c r="K680" i="2"/>
  <c r="J680" i="2"/>
  <c r="Q866" i="2"/>
  <c r="AF255" i="2"/>
  <c r="AJ931" i="1"/>
  <c r="Q703" i="2"/>
  <c r="V232" i="2"/>
  <c r="AB232" i="2"/>
  <c r="AE232" i="2"/>
  <c r="T1010" i="1"/>
  <c r="Y1010" i="1"/>
  <c r="AE1010" i="1"/>
  <c r="AH1010" i="1"/>
  <c r="Q819" i="2"/>
  <c r="L743" i="1"/>
  <c r="K743" i="1"/>
  <c r="L890" i="1"/>
  <c r="K890" i="1"/>
  <c r="V693" i="2"/>
  <c r="AB693" i="2"/>
  <c r="AE693" i="2"/>
  <c r="L730" i="1"/>
  <c r="K730" i="1"/>
  <c r="T730" i="1"/>
  <c r="Y730" i="1"/>
  <c r="AE730" i="1"/>
  <c r="AH730" i="1"/>
  <c r="AG546" i="2"/>
  <c r="R356" i="3"/>
  <c r="R233" i="3"/>
  <c r="K303" i="2"/>
  <c r="J303" i="2"/>
  <c r="L303" i="2"/>
  <c r="Q281" i="2"/>
  <c r="R414" i="3"/>
  <c r="K209" i="2"/>
  <c r="J209" i="2"/>
  <c r="L209" i="2"/>
  <c r="R858" i="3"/>
  <c r="W858" i="3"/>
  <c r="AC858" i="3"/>
  <c r="AF858" i="3"/>
  <c r="R943" i="3"/>
  <c r="W943" i="3"/>
  <c r="AC943" i="3"/>
  <c r="AF943" i="3"/>
  <c r="K920" i="2"/>
  <c r="J920" i="2"/>
  <c r="L920" i="2"/>
  <c r="Q920" i="2"/>
  <c r="V920" i="2"/>
  <c r="AB920" i="2"/>
  <c r="AE920" i="2"/>
  <c r="L1008" i="1"/>
  <c r="K1008" i="1"/>
  <c r="W889" i="3"/>
  <c r="AC889" i="3"/>
  <c r="AF889" i="3"/>
  <c r="AH889" i="3"/>
  <c r="R341" i="3"/>
  <c r="W341" i="3"/>
  <c r="AC341" i="3"/>
  <c r="AF341" i="3"/>
  <c r="V618" i="2"/>
  <c r="AB618" i="2"/>
  <c r="AE618" i="2"/>
  <c r="U669" i="2"/>
  <c r="AA669" i="2"/>
  <c r="AD669" i="2"/>
  <c r="AF669" i="2"/>
  <c r="Q772" i="2"/>
  <c r="Q186" i="2"/>
  <c r="U186" i="2"/>
  <c r="AA186" i="2"/>
  <c r="AD186" i="2"/>
  <c r="AF186" i="2"/>
  <c r="Q563" i="2"/>
  <c r="T868" i="1"/>
  <c r="Y868" i="1"/>
  <c r="AE868" i="1"/>
  <c r="AH868" i="1"/>
  <c r="U363" i="2"/>
  <c r="AA363" i="2"/>
  <c r="AD363" i="2"/>
  <c r="AF363" i="2"/>
  <c r="R391" i="3"/>
  <c r="Q424" i="2"/>
  <c r="R992" i="3"/>
  <c r="W992" i="3"/>
  <c r="AC992" i="3"/>
  <c r="AF992" i="3"/>
  <c r="R465" i="3"/>
  <c r="W465" i="3"/>
  <c r="AC465" i="3"/>
  <c r="AF465" i="3"/>
  <c r="V664" i="2"/>
  <c r="AB664" i="2"/>
  <c r="AE664" i="2"/>
  <c r="Q916" i="2"/>
  <c r="K82" i="3"/>
  <c r="J82" i="3"/>
  <c r="L82" i="3"/>
  <c r="L942" i="1"/>
  <c r="K942" i="1"/>
  <c r="T942" i="1"/>
  <c r="X942" i="1"/>
  <c r="AD942" i="1"/>
  <c r="AG942" i="1"/>
  <c r="AI942" i="1"/>
  <c r="V229" i="2"/>
  <c r="AB229" i="2"/>
  <c r="AE229" i="2"/>
  <c r="AG229" i="2"/>
  <c r="U316" i="2"/>
  <c r="AA316" i="2"/>
  <c r="AD316" i="2"/>
  <c r="AF316" i="2"/>
  <c r="K340" i="2"/>
  <c r="J340" i="2"/>
  <c r="L340" i="2"/>
  <c r="L679" i="1"/>
  <c r="K679" i="1"/>
  <c r="Q253" i="2"/>
  <c r="T665" i="1"/>
  <c r="Y665" i="1"/>
  <c r="AE665" i="1"/>
  <c r="AH665" i="1"/>
  <c r="AJ665" i="1"/>
  <c r="Q366" i="2"/>
  <c r="J366" i="2"/>
  <c r="L366" i="2"/>
  <c r="K366" i="2"/>
  <c r="L750" i="1"/>
  <c r="K750" i="1"/>
  <c r="R625" i="3"/>
  <c r="Q474" i="2"/>
  <c r="V474" i="2"/>
  <c r="AB474" i="2"/>
  <c r="AE474" i="2"/>
  <c r="Q715" i="2"/>
  <c r="R977" i="3"/>
  <c r="Q699" i="2"/>
  <c r="R470" i="3"/>
  <c r="L326" i="2"/>
  <c r="K326" i="2"/>
  <c r="J326" i="2"/>
  <c r="K887" i="3"/>
  <c r="J887" i="3"/>
  <c r="L887" i="3"/>
  <c r="Q191" i="2"/>
  <c r="Q483" i="2"/>
  <c r="Q732" i="2"/>
  <c r="V732" i="2"/>
  <c r="AB732" i="2"/>
  <c r="AE732" i="2"/>
  <c r="Q821" i="2"/>
  <c r="L867" i="2"/>
  <c r="K867" i="2"/>
  <c r="J867" i="2"/>
  <c r="V610" i="2"/>
  <c r="AB610" i="2"/>
  <c r="AE610" i="2"/>
  <c r="AG610" i="2"/>
  <c r="Q529" i="2"/>
  <c r="R520" i="3"/>
  <c r="R993" i="3"/>
  <c r="L517" i="2"/>
  <c r="K517" i="2"/>
  <c r="J517" i="2"/>
  <c r="Q616" i="2"/>
  <c r="R643" i="3"/>
  <c r="J643" i="3"/>
  <c r="L643" i="3"/>
  <c r="K643" i="3"/>
  <c r="V719" i="2"/>
  <c r="AB719" i="2"/>
  <c r="AE719" i="2"/>
  <c r="K751" i="2"/>
  <c r="J751" i="2"/>
  <c r="L751" i="2"/>
  <c r="V177" i="3"/>
  <c r="AB177" i="3"/>
  <c r="AE177" i="3"/>
  <c r="AG177" i="3"/>
  <c r="R722" i="3"/>
  <c r="W722" i="3"/>
  <c r="AC722" i="3"/>
  <c r="AF722" i="3"/>
  <c r="K389" i="2"/>
  <c r="J389" i="2"/>
  <c r="L389" i="2"/>
  <c r="K476" i="2"/>
  <c r="J476" i="2"/>
  <c r="L476" i="2"/>
  <c r="Q476" i="2"/>
  <c r="U476" i="2"/>
  <c r="AA476" i="2"/>
  <c r="AD476" i="2"/>
  <c r="AF476" i="2"/>
  <c r="R505" i="3"/>
  <c r="W614" i="3"/>
  <c r="AC614" i="3"/>
  <c r="AF614" i="3"/>
  <c r="AH614" i="3"/>
  <c r="K507" i="2"/>
  <c r="J507" i="2"/>
  <c r="L507" i="2"/>
  <c r="T875" i="1"/>
  <c r="Y875" i="1"/>
  <c r="AE875" i="1"/>
  <c r="AH875" i="1"/>
  <c r="L204" i="2"/>
  <c r="K204" i="2"/>
  <c r="J204" i="2"/>
  <c r="Q272" i="2"/>
  <c r="V272" i="2"/>
  <c r="AB272" i="2"/>
  <c r="AE272" i="2"/>
  <c r="R867" i="3"/>
  <c r="Q646" i="2"/>
  <c r="L914" i="2"/>
  <c r="K914" i="2"/>
  <c r="J914" i="2"/>
  <c r="R787" i="3"/>
  <c r="W787" i="3"/>
  <c r="AC787" i="3"/>
  <c r="AF787" i="3"/>
  <c r="R145" i="3"/>
  <c r="L832" i="3"/>
  <c r="K832" i="3"/>
  <c r="J832" i="3"/>
  <c r="R201" i="3"/>
  <c r="V201" i="3"/>
  <c r="AB201" i="3"/>
  <c r="AE201" i="3"/>
  <c r="AG201" i="3"/>
  <c r="R143" i="3"/>
  <c r="W143" i="3"/>
  <c r="AC143" i="3"/>
  <c r="AF143" i="3"/>
  <c r="R330" i="3"/>
  <c r="V330" i="3"/>
  <c r="AB330" i="3"/>
  <c r="AE330" i="3"/>
  <c r="AG330" i="3"/>
  <c r="R288" i="3"/>
  <c r="K178" i="3"/>
  <c r="J178" i="3"/>
  <c r="L178" i="3"/>
  <c r="K719" i="3"/>
  <c r="J719" i="3"/>
  <c r="L719" i="3"/>
  <c r="Z993" i="2"/>
  <c r="L674" i="3"/>
  <c r="K674" i="3"/>
  <c r="J674" i="3"/>
  <c r="AJ684" i="1"/>
  <c r="T876" i="1"/>
  <c r="X876" i="1"/>
  <c r="AD876" i="1"/>
  <c r="AG876" i="1"/>
  <c r="AI876" i="1"/>
  <c r="Q481" i="2"/>
  <c r="R162" i="3"/>
  <c r="W162" i="3"/>
  <c r="AC162" i="3"/>
  <c r="AF162" i="3"/>
  <c r="R413" i="3"/>
  <c r="W413" i="3"/>
  <c r="AC413" i="3"/>
  <c r="AF413" i="3"/>
  <c r="L960" i="1"/>
  <c r="K960" i="1"/>
  <c r="L761" i="1"/>
  <c r="K761" i="1"/>
  <c r="K915" i="3"/>
  <c r="J915" i="3"/>
  <c r="L915" i="3"/>
  <c r="K872" i="2"/>
  <c r="J872" i="2"/>
  <c r="L872" i="2"/>
  <c r="K770" i="2"/>
  <c r="J770" i="2"/>
  <c r="L770" i="2"/>
  <c r="L977" i="1"/>
  <c r="K977" i="1"/>
  <c r="Q669" i="2"/>
  <c r="R123" i="3"/>
  <c r="J123" i="3"/>
  <c r="L123" i="3"/>
  <c r="K123" i="3"/>
  <c r="R500" i="3"/>
  <c r="L695" i="1"/>
  <c r="K695" i="1"/>
  <c r="K672" i="3"/>
  <c r="J672" i="3"/>
  <c r="L672" i="3"/>
  <c r="L687" i="1"/>
  <c r="K687" i="1"/>
  <c r="Q1002" i="2"/>
  <c r="L218" i="2"/>
  <c r="K218" i="2"/>
  <c r="J218" i="2"/>
  <c r="W616" i="3"/>
  <c r="AC616" i="3"/>
  <c r="AF616" i="3"/>
  <c r="R550" i="3"/>
  <c r="L952" i="3"/>
  <c r="K952" i="3"/>
  <c r="J952" i="3"/>
  <c r="R816" i="3"/>
  <c r="W816" i="3"/>
  <c r="AC816" i="3"/>
  <c r="AF816" i="3"/>
  <c r="Q411" i="2"/>
  <c r="R895" i="3"/>
  <c r="L764" i="1"/>
  <c r="K764" i="1"/>
  <c r="R336" i="3"/>
  <c r="Q716" i="2"/>
  <c r="L294" i="3"/>
  <c r="K294" i="3"/>
  <c r="J294" i="3"/>
  <c r="Q896" i="2"/>
  <c r="V765" i="3"/>
  <c r="AB765" i="3"/>
  <c r="AE765" i="3"/>
  <c r="AG765" i="3"/>
  <c r="L622" i="2"/>
  <c r="K622" i="2"/>
  <c r="J622" i="2"/>
  <c r="Q363" i="2"/>
  <c r="R302" i="3"/>
  <c r="R111" i="3"/>
  <c r="K686" i="3"/>
  <c r="J686" i="3"/>
  <c r="L686" i="3"/>
  <c r="R737" i="3"/>
  <c r="W737" i="3"/>
  <c r="AC737" i="3"/>
  <c r="AF737" i="3"/>
  <c r="AH737" i="3"/>
  <c r="T815" i="1"/>
  <c r="Y815" i="1"/>
  <c r="AE815" i="1"/>
  <c r="AH815" i="1"/>
  <c r="AJ815" i="1"/>
  <c r="Q202" i="2"/>
  <c r="R171" i="3"/>
  <c r="L697" i="1"/>
  <c r="K697" i="1"/>
  <c r="Q425" i="2"/>
  <c r="K796" i="3"/>
  <c r="J796" i="3"/>
  <c r="L796" i="3"/>
  <c r="Q697" i="2"/>
  <c r="V697" i="2"/>
  <c r="AB697" i="2"/>
  <c r="AE697" i="2"/>
  <c r="AG697" i="2"/>
  <c r="K251" i="3"/>
  <c r="J251" i="3"/>
  <c r="L251" i="3"/>
  <c r="R251" i="3"/>
  <c r="W251" i="3"/>
  <c r="AC251" i="3"/>
  <c r="AF251" i="3"/>
  <c r="V953" i="2"/>
  <c r="AB953" i="2"/>
  <c r="AE953" i="2"/>
  <c r="V361" i="2"/>
  <c r="AB361" i="2"/>
  <c r="AE361" i="2"/>
  <c r="AG361" i="2"/>
  <c r="R807" i="3"/>
  <c r="W807" i="3"/>
  <c r="AC807" i="3"/>
  <c r="AF807" i="3"/>
  <c r="Q516" i="2"/>
  <c r="T886" i="1"/>
  <c r="X886" i="1"/>
  <c r="AD886" i="1"/>
  <c r="AG886" i="1"/>
  <c r="AI886" i="1"/>
  <c r="W865" i="3"/>
  <c r="AC865" i="3"/>
  <c r="AF865" i="3"/>
  <c r="K471" i="3"/>
  <c r="J471" i="3"/>
  <c r="L471" i="3"/>
  <c r="R471" i="3"/>
  <c r="W471" i="3"/>
  <c r="AC471" i="3"/>
  <c r="AF471" i="3"/>
  <c r="AA536" i="3"/>
  <c r="T1007" i="1"/>
  <c r="Y1007" i="1"/>
  <c r="AE1007" i="1"/>
  <c r="AH1007" i="1"/>
  <c r="R73" i="3"/>
  <c r="L707" i="1"/>
  <c r="K707" i="1"/>
  <c r="T707" i="1"/>
  <c r="Y707" i="1"/>
  <c r="AE707" i="1"/>
  <c r="AH707" i="1"/>
  <c r="AC255" i="2"/>
  <c r="U255" i="2"/>
  <c r="AA255" i="2"/>
  <c r="AD255" i="2"/>
  <c r="Q278" i="2"/>
  <c r="V278" i="2"/>
  <c r="AB278" i="2"/>
  <c r="AE278" i="2"/>
  <c r="AG278" i="2"/>
  <c r="R704" i="3"/>
  <c r="L998" i="1"/>
  <c r="K998" i="1"/>
  <c r="L44" i="3"/>
  <c r="K44" i="3"/>
  <c r="J44" i="3"/>
  <c r="Q733" i="2"/>
  <c r="V733" i="2"/>
  <c r="AB733" i="2"/>
  <c r="AE733" i="2"/>
  <c r="T820" i="1"/>
  <c r="Y820" i="1"/>
  <c r="AE820" i="1"/>
  <c r="AH820" i="1"/>
  <c r="L814" i="1"/>
  <c r="K814" i="1"/>
  <c r="K953" i="2"/>
  <c r="J953" i="2"/>
  <c r="L953" i="2"/>
  <c r="Q953" i="2"/>
  <c r="U953" i="2"/>
  <c r="AA953" i="2"/>
  <c r="AD953" i="2"/>
  <c r="AF953" i="2"/>
  <c r="R45" i="3"/>
  <c r="Q721" i="2"/>
  <c r="V721" i="2"/>
  <c r="AB721" i="2"/>
  <c r="AE721" i="2"/>
  <c r="R224" i="3"/>
  <c r="K1005" i="2"/>
  <c r="J1005" i="2"/>
  <c r="L1005" i="2"/>
  <c r="R528" i="3"/>
  <c r="Q505" i="2"/>
  <c r="K715" i="3"/>
  <c r="J715" i="3"/>
  <c r="L715" i="3"/>
  <c r="R886" i="3"/>
  <c r="W886" i="3"/>
  <c r="AC886" i="3"/>
  <c r="AF886" i="3"/>
  <c r="AH886" i="3"/>
  <c r="K799" i="3"/>
  <c r="J799" i="3"/>
  <c r="L799" i="3"/>
  <c r="R799" i="3"/>
  <c r="W799" i="3"/>
  <c r="AC799" i="3"/>
  <c r="AF799" i="3"/>
  <c r="V854" i="2"/>
  <c r="AB854" i="2"/>
  <c r="AE854" i="2"/>
  <c r="W433" i="3"/>
  <c r="AC433" i="3"/>
  <c r="AF433" i="3"/>
  <c r="R393" i="3"/>
  <c r="Q530" i="2"/>
  <c r="L209" i="3"/>
  <c r="K209" i="3"/>
  <c r="J209" i="3"/>
  <c r="T795" i="1"/>
  <c r="X795" i="1"/>
  <c r="AD795" i="1"/>
  <c r="AG795" i="1"/>
  <c r="AI795" i="1"/>
  <c r="T765" i="1"/>
  <c r="Y765" i="1"/>
  <c r="AE765" i="1"/>
  <c r="AH765" i="1"/>
  <c r="V614" i="3"/>
  <c r="AB614" i="3"/>
  <c r="AE614" i="3"/>
  <c r="AG614" i="3"/>
  <c r="K778" i="3"/>
  <c r="J778" i="3"/>
  <c r="L778" i="3"/>
  <c r="Q987" i="2"/>
  <c r="Q749" i="2"/>
  <c r="K844" i="3"/>
  <c r="J844" i="3"/>
  <c r="L844" i="3"/>
  <c r="Q966" i="2"/>
  <c r="L864" i="1"/>
  <c r="K864" i="1"/>
  <c r="T864" i="1"/>
  <c r="Y864" i="1"/>
  <c r="AE864" i="1"/>
  <c r="AH864" i="1"/>
  <c r="AJ864" i="1"/>
  <c r="T744" i="1"/>
  <c r="Y744" i="1"/>
  <c r="AE744" i="1"/>
  <c r="AH744" i="1"/>
  <c r="V492" i="3"/>
  <c r="AB492" i="3"/>
  <c r="AE492" i="3"/>
  <c r="AG492" i="3"/>
  <c r="K943" i="3"/>
  <c r="J943" i="3"/>
  <c r="L943" i="3"/>
  <c r="K238" i="3"/>
  <c r="J238" i="3"/>
  <c r="L238" i="3"/>
  <c r="K444" i="2"/>
  <c r="J444" i="2"/>
  <c r="L444" i="2"/>
  <c r="R965" i="3"/>
  <c r="Q515" i="2"/>
  <c r="U515" i="2"/>
  <c r="AA515" i="2"/>
  <c r="AD515" i="2"/>
  <c r="AF515" i="2"/>
  <c r="W937" i="3"/>
  <c r="AC937" i="3"/>
  <c r="AF937" i="3"/>
  <c r="L318" i="3"/>
  <c r="K318" i="3"/>
  <c r="J318" i="3"/>
  <c r="W786" i="3"/>
  <c r="AC786" i="3"/>
  <c r="AF786" i="3"/>
  <c r="AH786" i="3"/>
  <c r="K182" i="3"/>
  <c r="J182" i="3"/>
  <c r="L182" i="3"/>
  <c r="L1005" i="1"/>
  <c r="K1005" i="1"/>
  <c r="K106" i="3"/>
  <c r="J106" i="3"/>
  <c r="L106" i="3"/>
  <c r="R106" i="3"/>
  <c r="W106" i="3"/>
  <c r="AC106" i="3"/>
  <c r="AF106" i="3"/>
  <c r="K878" i="2"/>
  <c r="J878" i="2"/>
  <c r="L878" i="2"/>
  <c r="Q548" i="2"/>
  <c r="T662" i="1"/>
  <c r="X662" i="1"/>
  <c r="AD662" i="1"/>
  <c r="AG662" i="1"/>
  <c r="AI662" i="1"/>
  <c r="R116" i="3"/>
  <c r="Q394" i="2"/>
  <c r="U472" i="2"/>
  <c r="AA472" i="2"/>
  <c r="AD472" i="2"/>
  <c r="AF472" i="2"/>
  <c r="Q689" i="2"/>
  <c r="V689" i="2"/>
  <c r="AB689" i="2"/>
  <c r="AE689" i="2"/>
  <c r="AG689" i="2"/>
  <c r="R982" i="3"/>
  <c r="K904" i="2"/>
  <c r="J904" i="2"/>
  <c r="L904" i="2"/>
  <c r="W771" i="3"/>
  <c r="AC771" i="3"/>
  <c r="AF771" i="3"/>
  <c r="Q907" i="2"/>
  <c r="V911" i="2"/>
  <c r="AB911" i="2"/>
  <c r="AE911" i="2"/>
  <c r="AG911" i="2"/>
  <c r="Q735" i="2"/>
  <c r="L679" i="3"/>
  <c r="K679" i="3"/>
  <c r="J679" i="3"/>
  <c r="V584" i="3"/>
  <c r="AB584" i="3"/>
  <c r="AE584" i="3"/>
  <c r="AG584" i="3"/>
  <c r="R637" i="3"/>
  <c r="Q810" i="2"/>
  <c r="U985" i="2"/>
  <c r="AA985" i="2"/>
  <c r="AD985" i="2"/>
  <c r="AF985" i="2"/>
  <c r="R654" i="3"/>
  <c r="Q763" i="2"/>
  <c r="K725" i="3"/>
  <c r="J725" i="3"/>
  <c r="L725" i="3"/>
  <c r="Q500" i="2"/>
  <c r="K622" i="3"/>
  <c r="J622" i="3"/>
  <c r="L622" i="3"/>
  <c r="K357" i="2"/>
  <c r="J357" i="2"/>
  <c r="L357" i="2"/>
  <c r="L813" i="1"/>
  <c r="K813" i="1"/>
  <c r="K960" i="2"/>
  <c r="J960" i="2"/>
  <c r="L960" i="2"/>
  <c r="K797" i="2"/>
  <c r="J797" i="2"/>
  <c r="L797" i="2"/>
  <c r="K205" i="2"/>
  <c r="J205" i="2"/>
  <c r="L205" i="2"/>
  <c r="K65" i="3"/>
  <c r="J65" i="3"/>
  <c r="L65" i="3"/>
  <c r="L847" i="2"/>
  <c r="K847" i="2"/>
  <c r="J847" i="2"/>
  <c r="R62" i="3"/>
  <c r="W62" i="3"/>
  <c r="AC62" i="3"/>
  <c r="AF62" i="3"/>
  <c r="R373" i="3"/>
  <c r="K934" i="2"/>
  <c r="J934" i="2"/>
  <c r="L934" i="2"/>
  <c r="L642" i="3"/>
  <c r="K642" i="3"/>
  <c r="J642" i="3"/>
  <c r="Q490" i="2"/>
  <c r="R607" i="3"/>
  <c r="J607" i="3"/>
  <c r="L607" i="3"/>
  <c r="K607" i="3"/>
  <c r="L961" i="1"/>
  <c r="K961" i="1"/>
  <c r="K794" i="3"/>
  <c r="J794" i="3"/>
  <c r="L794" i="3"/>
  <c r="L903" i="1"/>
  <c r="K903" i="1"/>
  <c r="R417" i="3"/>
  <c r="K524" i="2"/>
  <c r="J524" i="2"/>
  <c r="L524" i="2"/>
  <c r="Q556" i="2"/>
  <c r="K122" i="3"/>
  <c r="J122" i="3"/>
  <c r="L122" i="3"/>
  <c r="W984" i="3"/>
  <c r="AC984" i="3"/>
  <c r="AF984" i="3"/>
  <c r="L506" i="3"/>
  <c r="K506" i="3"/>
  <c r="J506" i="3"/>
  <c r="R174" i="3"/>
  <c r="W174" i="3"/>
  <c r="AC174" i="3"/>
  <c r="AF174" i="3"/>
  <c r="AH174" i="3"/>
  <c r="R613" i="3"/>
  <c r="R551" i="3"/>
  <c r="V551" i="3"/>
  <c r="AB551" i="3"/>
  <c r="AE551" i="3"/>
  <c r="AG551" i="3"/>
  <c r="K221" i="2"/>
  <c r="J221" i="2"/>
  <c r="L221" i="2"/>
  <c r="R257" i="3"/>
  <c r="W257" i="3"/>
  <c r="AC257" i="3"/>
  <c r="AF257" i="3"/>
  <c r="R675" i="3"/>
  <c r="W532" i="3"/>
  <c r="AC532" i="3"/>
  <c r="AF532" i="3"/>
  <c r="L833" i="1"/>
  <c r="K833" i="1"/>
  <c r="R798" i="3"/>
  <c r="K406" i="3"/>
  <c r="J406" i="3"/>
  <c r="L406" i="3"/>
  <c r="K502" i="2"/>
  <c r="J502" i="2"/>
  <c r="L502" i="2"/>
  <c r="Q489" i="2"/>
  <c r="Q845" i="2"/>
  <c r="Q804" i="2"/>
  <c r="K603" i="3"/>
  <c r="J603" i="3"/>
  <c r="L603" i="3"/>
  <c r="U610" i="2"/>
  <c r="AA610" i="2"/>
  <c r="AD610" i="2"/>
  <c r="AF610" i="2"/>
  <c r="R362" i="3"/>
  <c r="U857" i="2"/>
  <c r="AA857" i="2"/>
  <c r="AD857" i="2"/>
  <c r="AF857" i="2"/>
  <c r="Q673" i="2"/>
  <c r="R878" i="3"/>
  <c r="R572" i="3"/>
  <c r="V572" i="3"/>
  <c r="AB572" i="3"/>
  <c r="AE572" i="3"/>
  <c r="AG572" i="3"/>
  <c r="K307" i="3"/>
  <c r="J307" i="3"/>
  <c r="L307" i="3"/>
  <c r="K750" i="3"/>
  <c r="J750" i="3"/>
  <c r="L750" i="3"/>
  <c r="Q210" i="2"/>
  <c r="K250" i="3"/>
  <c r="J250" i="3"/>
  <c r="L250" i="3"/>
  <c r="R592" i="3"/>
  <c r="R129" i="3"/>
  <c r="R994" i="3"/>
  <c r="R370" i="3"/>
  <c r="R295" i="3"/>
  <c r="R303" i="3"/>
  <c r="K533" i="3"/>
  <c r="J533" i="3"/>
  <c r="L533" i="3"/>
  <c r="V315" i="2"/>
  <c r="AB315" i="2"/>
  <c r="AE315" i="2"/>
  <c r="L731" i="1"/>
  <c r="K731" i="1"/>
  <c r="T731" i="1"/>
  <c r="Y731" i="1"/>
  <c r="AE731" i="1"/>
  <c r="AH731" i="1"/>
  <c r="AJ731" i="1"/>
  <c r="AJ905" i="1"/>
  <c r="R852" i="3"/>
  <c r="V852" i="3"/>
  <c r="AB852" i="3"/>
  <c r="AE852" i="3"/>
  <c r="AG852" i="3"/>
  <c r="R544" i="3"/>
  <c r="L681" i="1"/>
  <c r="K681" i="1"/>
  <c r="V1006" i="2"/>
  <c r="AB1006" i="2"/>
  <c r="AE1006" i="2"/>
  <c r="T951" i="1"/>
  <c r="Y951" i="1"/>
  <c r="AE951" i="1"/>
  <c r="AH951" i="1"/>
  <c r="AJ951" i="1"/>
  <c r="W235" i="3"/>
  <c r="AC235" i="3"/>
  <c r="AF235" i="3"/>
  <c r="K576" i="3"/>
  <c r="J576" i="3"/>
  <c r="L576" i="3"/>
  <c r="Q299" i="2"/>
  <c r="L774" i="1"/>
  <c r="K774" i="1"/>
  <c r="K370" i="2"/>
  <c r="J370" i="2"/>
  <c r="L370" i="2"/>
  <c r="L555" i="2"/>
  <c r="K555" i="2"/>
  <c r="J555" i="2"/>
  <c r="R447" i="3"/>
  <c r="L956" i="2"/>
  <c r="K956" i="2"/>
  <c r="J956" i="2"/>
  <c r="R221" i="3"/>
  <c r="Q181" i="2"/>
  <c r="L253" i="2"/>
  <c r="K253" i="2"/>
  <c r="J253" i="2"/>
  <c r="R128" i="3"/>
  <c r="K880" i="2"/>
  <c r="J880" i="2"/>
  <c r="L880" i="2"/>
  <c r="K53" i="3"/>
  <c r="J53" i="3"/>
  <c r="L53" i="3"/>
  <c r="L309" i="2"/>
  <c r="K309" i="2"/>
  <c r="J309" i="2"/>
  <c r="L408" i="3"/>
  <c r="K408" i="3"/>
  <c r="J408" i="3"/>
  <c r="V41" i="3"/>
  <c r="AB41" i="3"/>
  <c r="AE41" i="3"/>
  <c r="AG41" i="3"/>
  <c r="L867" i="1"/>
  <c r="K867" i="1"/>
  <c r="L171" i="3"/>
  <c r="K171" i="3"/>
  <c r="J171" i="3"/>
  <c r="Q766" i="2"/>
  <c r="K413" i="2"/>
  <c r="J413" i="2"/>
  <c r="L413" i="2"/>
  <c r="Q475" i="2"/>
  <c r="L634" i="2"/>
  <c r="K634" i="2"/>
  <c r="J634" i="2"/>
  <c r="R955" i="3"/>
  <c r="R784" i="3"/>
  <c r="L889" i="1"/>
  <c r="K889" i="1"/>
  <c r="Q648" i="2"/>
  <c r="R86" i="3"/>
  <c r="W781" i="3"/>
  <c r="AC781" i="3"/>
  <c r="AF781" i="3"/>
  <c r="L671" i="3"/>
  <c r="K671" i="3"/>
  <c r="J671" i="3"/>
  <c r="R495" i="3"/>
  <c r="K354" i="3"/>
  <c r="J354" i="3"/>
  <c r="L354" i="3"/>
  <c r="Q305" i="2"/>
  <c r="V305" i="2"/>
  <c r="AB305" i="2"/>
  <c r="AE305" i="2"/>
  <c r="AG305" i="2"/>
  <c r="R856" i="3"/>
  <c r="W856" i="3"/>
  <c r="AC856" i="3"/>
  <c r="AF856" i="3"/>
  <c r="R317" i="3"/>
  <c r="W317" i="3"/>
  <c r="AC317" i="3"/>
  <c r="AF317" i="3"/>
  <c r="AH317" i="3"/>
  <c r="W376" i="3"/>
  <c r="AC376" i="3"/>
  <c r="AF376" i="3"/>
  <c r="AH376" i="3"/>
  <c r="R651" i="3"/>
  <c r="L950" i="1"/>
  <c r="K950" i="1"/>
  <c r="L692" i="1"/>
  <c r="K692" i="1"/>
  <c r="T692" i="1"/>
  <c r="Y692" i="1"/>
  <c r="AE692" i="1"/>
  <c r="AH692" i="1"/>
  <c r="R402" i="3"/>
  <c r="W402" i="3"/>
  <c r="AC402" i="3"/>
  <c r="AF402" i="3"/>
  <c r="AH402" i="3"/>
  <c r="R87" i="3"/>
  <c r="W87" i="3"/>
  <c r="AC87" i="3"/>
  <c r="AF87" i="3"/>
  <c r="Q745" i="2"/>
  <c r="V745" i="2"/>
  <c r="AB745" i="2"/>
  <c r="AE745" i="2"/>
  <c r="K829" i="2"/>
  <c r="J829" i="2"/>
  <c r="L829" i="2"/>
  <c r="Q829" i="2"/>
  <c r="V829" i="2"/>
  <c r="AB829" i="2"/>
  <c r="AE829" i="2"/>
  <c r="K625" i="2"/>
  <c r="J625" i="2"/>
  <c r="L625" i="2"/>
  <c r="Q625" i="2"/>
  <c r="V625" i="2"/>
  <c r="AB625" i="2"/>
  <c r="AE625" i="2"/>
  <c r="R822" i="3"/>
  <c r="J822" i="3"/>
  <c r="L822" i="3"/>
  <c r="K822" i="3"/>
  <c r="R509" i="3"/>
  <c r="L907" i="1"/>
  <c r="K907" i="1"/>
  <c r="T907" i="1"/>
  <c r="Y907" i="1"/>
  <c r="AE907" i="1"/>
  <c r="AH907" i="1"/>
  <c r="AJ907" i="1"/>
  <c r="L1001" i="1"/>
  <c r="K1001" i="1"/>
  <c r="T1001" i="1"/>
  <c r="X1001" i="1"/>
  <c r="AD1001" i="1"/>
  <c r="AG1001" i="1"/>
  <c r="AI1001" i="1"/>
  <c r="T693" i="1"/>
  <c r="Y693" i="1"/>
  <c r="AE693" i="1"/>
  <c r="AH693" i="1"/>
  <c r="Q207" i="2"/>
  <c r="K423" i="3"/>
  <c r="J423" i="3"/>
  <c r="L423" i="3"/>
  <c r="R423" i="3"/>
  <c r="V423" i="3"/>
  <c r="AB423" i="3"/>
  <c r="AE423" i="3"/>
  <c r="AG423" i="3"/>
  <c r="R655" i="3"/>
  <c r="L355" i="2"/>
  <c r="K355" i="2"/>
  <c r="J355" i="2"/>
  <c r="W535" i="3"/>
  <c r="AC535" i="3"/>
  <c r="AF535" i="3"/>
  <c r="Q679" i="2"/>
  <c r="K642" i="2"/>
  <c r="J642" i="2"/>
  <c r="L642" i="2"/>
  <c r="V416" i="2"/>
  <c r="AB416" i="2"/>
  <c r="AE416" i="2"/>
  <c r="R232" i="3"/>
  <c r="K808" i="3"/>
  <c r="J808" i="3"/>
  <c r="L808" i="3"/>
  <c r="R334" i="3"/>
  <c r="L462" i="2"/>
  <c r="K462" i="2"/>
  <c r="J462" i="2"/>
  <c r="K558" i="2"/>
  <c r="J558" i="2"/>
  <c r="L558" i="2"/>
  <c r="L927" i="2"/>
  <c r="K927" i="2"/>
  <c r="J927" i="2"/>
  <c r="K955" i="2"/>
  <c r="J955" i="2"/>
  <c r="L955" i="2"/>
  <c r="K638" i="2"/>
  <c r="J638" i="2"/>
  <c r="L638" i="2"/>
  <c r="V947" i="3"/>
  <c r="AB947" i="3"/>
  <c r="AE947" i="3"/>
  <c r="AG947" i="3"/>
  <c r="L574" i="2"/>
  <c r="K574" i="2"/>
  <c r="J574" i="2"/>
  <c r="K325" i="3"/>
  <c r="J325" i="3"/>
  <c r="L325" i="3"/>
  <c r="R364" i="3"/>
  <c r="R706" i="3"/>
  <c r="K840" i="2"/>
  <c r="J840" i="2"/>
  <c r="L840" i="2"/>
  <c r="V404" i="2"/>
  <c r="AB404" i="2"/>
  <c r="AE404" i="2"/>
  <c r="Q883" i="2"/>
  <c r="V883" i="2"/>
  <c r="AB883" i="2"/>
  <c r="AE883" i="2"/>
  <c r="K813" i="2"/>
  <c r="J813" i="2"/>
  <c r="L813" i="2"/>
  <c r="Q767" i="2"/>
  <c r="V767" i="2"/>
  <c r="AB767" i="2"/>
  <c r="AE767" i="2"/>
  <c r="K759" i="3"/>
  <c r="J759" i="3"/>
  <c r="L759" i="3"/>
  <c r="K203" i="3"/>
  <c r="J203" i="3"/>
  <c r="L203" i="3"/>
  <c r="Q655" i="2"/>
  <c r="L424" i="2"/>
  <c r="K424" i="2"/>
  <c r="J424" i="2"/>
  <c r="K290" i="3"/>
  <c r="J290" i="3"/>
  <c r="L290" i="3"/>
  <c r="R290" i="3"/>
  <c r="W290" i="3"/>
  <c r="AC290" i="3"/>
  <c r="AF290" i="3"/>
  <c r="K969" i="2"/>
  <c r="J969" i="2"/>
  <c r="L969" i="2"/>
  <c r="L401" i="3"/>
  <c r="K401" i="3"/>
  <c r="J401" i="3"/>
  <c r="R776" i="3"/>
  <c r="R609" i="3"/>
  <c r="K755" i="3"/>
  <c r="J755" i="3"/>
  <c r="L755" i="3"/>
  <c r="R560" i="3"/>
  <c r="W560" i="3"/>
  <c r="AC560" i="3"/>
  <c r="AF560" i="3"/>
  <c r="L1011" i="1"/>
  <c r="K1011" i="1"/>
  <c r="Q311" i="2"/>
  <c r="L464" i="2"/>
  <c r="K464" i="2"/>
  <c r="J464" i="2"/>
  <c r="R323" i="3"/>
  <c r="W323" i="3"/>
  <c r="AC323" i="3"/>
  <c r="AF323" i="3"/>
  <c r="L733" i="1"/>
  <c r="K733" i="1"/>
  <c r="L390" i="2"/>
  <c r="K390" i="2"/>
  <c r="J390" i="2"/>
  <c r="L858" i="1"/>
  <c r="K858" i="1"/>
  <c r="R90" i="3"/>
  <c r="K463" i="3"/>
  <c r="J463" i="3"/>
  <c r="L463" i="3"/>
  <c r="T704" i="1"/>
  <c r="Y704" i="1"/>
  <c r="AE704" i="1"/>
  <c r="AH704" i="1"/>
  <c r="L780" i="1"/>
  <c r="K780" i="1"/>
  <c r="T780" i="1"/>
  <c r="Y780" i="1"/>
  <c r="AE780" i="1"/>
  <c r="AH780" i="1"/>
  <c r="R624" i="3"/>
  <c r="K262" i="2"/>
  <c r="J262" i="2"/>
  <c r="L262" i="2"/>
  <c r="R571" i="3"/>
  <c r="R409" i="3"/>
  <c r="AH894" i="3"/>
  <c r="R964" i="3"/>
  <c r="K633" i="3"/>
  <c r="J633" i="3"/>
  <c r="L633" i="3"/>
  <c r="V684" i="3"/>
  <c r="AB684" i="3"/>
  <c r="AE684" i="3"/>
  <c r="AG684" i="3"/>
  <c r="Q520" i="2"/>
  <c r="R801" i="3"/>
  <c r="L751" i="1"/>
  <c r="K751" i="1"/>
  <c r="L600" i="2"/>
  <c r="K600" i="2"/>
  <c r="J600" i="2"/>
  <c r="K965" i="2"/>
  <c r="J965" i="2"/>
  <c r="L965" i="2"/>
  <c r="K465" i="2"/>
  <c r="J465" i="2"/>
  <c r="L465" i="2"/>
  <c r="L913" i="2"/>
  <c r="K913" i="2"/>
  <c r="J913" i="2"/>
  <c r="Q263" i="2"/>
  <c r="R444" i="3"/>
  <c r="AJ945" i="1"/>
  <c r="K877" i="3"/>
  <c r="J877" i="3"/>
  <c r="L877" i="3"/>
  <c r="L403" i="2"/>
  <c r="K403" i="2"/>
  <c r="J403" i="2"/>
  <c r="L77" i="1"/>
  <c r="K77" i="1"/>
  <c r="R243" i="3"/>
  <c r="L516" i="3"/>
  <c r="K516" i="3"/>
  <c r="J516" i="3"/>
  <c r="Q187" i="2"/>
  <c r="V187" i="2"/>
  <c r="AB187" i="2"/>
  <c r="AE187" i="2"/>
  <c r="Q977" i="2"/>
  <c r="Q937" i="2"/>
  <c r="L654" i="3"/>
  <c r="K654" i="3"/>
  <c r="J654" i="3"/>
  <c r="K240" i="3"/>
  <c r="J240" i="3"/>
  <c r="L240" i="3"/>
  <c r="R240" i="3"/>
  <c r="W240" i="3"/>
  <c r="AC240" i="3"/>
  <c r="AF240" i="3"/>
  <c r="K899" i="3"/>
  <c r="J899" i="3"/>
  <c r="L899" i="3"/>
  <c r="Q251" i="2"/>
  <c r="K462" i="3"/>
  <c r="J462" i="3"/>
  <c r="L462" i="3"/>
  <c r="K644" i="3"/>
  <c r="J644" i="3"/>
  <c r="L644" i="3"/>
  <c r="K938" i="2"/>
  <c r="J938" i="2"/>
  <c r="L938" i="2"/>
  <c r="L731" i="2"/>
  <c r="K731" i="2"/>
  <c r="J731" i="2"/>
  <c r="L835" i="1"/>
  <c r="K835" i="1"/>
  <c r="T863" i="1"/>
  <c r="Y863" i="1"/>
  <c r="AE863" i="1"/>
  <c r="AH863" i="1"/>
  <c r="L665" i="1"/>
  <c r="K665" i="1"/>
  <c r="Q865" i="2"/>
  <c r="V865" i="2"/>
  <c r="AB865" i="2"/>
  <c r="AE865" i="2"/>
  <c r="K926" i="3"/>
  <c r="J926" i="3"/>
  <c r="L926" i="3"/>
  <c r="L820" i="1"/>
  <c r="K820" i="1"/>
  <c r="L693" i="1"/>
  <c r="K693" i="1"/>
  <c r="T887" i="1"/>
  <c r="Y887" i="1"/>
  <c r="AE887" i="1"/>
  <c r="AH887" i="1"/>
  <c r="R272" i="3"/>
  <c r="V895" i="2"/>
  <c r="AB895" i="2"/>
  <c r="AE895" i="2"/>
  <c r="K330" i="2"/>
  <c r="J330" i="2"/>
  <c r="L330" i="2"/>
  <c r="K360" i="2"/>
  <c r="J360" i="2"/>
  <c r="L360" i="2"/>
  <c r="Q360" i="2"/>
  <c r="V360" i="2"/>
  <c r="AB360" i="2"/>
  <c r="AE360" i="2"/>
  <c r="L902" i="3"/>
  <c r="K902" i="3"/>
  <c r="J902" i="3"/>
  <c r="K552" i="2"/>
  <c r="J552" i="2"/>
  <c r="L552" i="2"/>
  <c r="R167" i="3"/>
  <c r="Q367" i="2"/>
  <c r="U367" i="2"/>
  <c r="AA367" i="2"/>
  <c r="AD367" i="2"/>
  <c r="AF367" i="2"/>
  <c r="K216" i="3"/>
  <c r="J216" i="3"/>
  <c r="L216" i="3"/>
  <c r="Q308" i="2"/>
  <c r="V308" i="2"/>
  <c r="AB308" i="2"/>
  <c r="AE308" i="2"/>
  <c r="Y791" i="1"/>
  <c r="AE791" i="1"/>
  <c r="AH791" i="1"/>
  <c r="W149" i="3"/>
  <c r="AC149" i="3"/>
  <c r="AF149" i="3"/>
  <c r="V834" i="3"/>
  <c r="AB834" i="3"/>
  <c r="AE834" i="3"/>
  <c r="AG834" i="3"/>
  <c r="Q803" i="2"/>
  <c r="Q307" i="2"/>
  <c r="V307" i="2"/>
  <c r="AB307" i="2"/>
  <c r="AE307" i="2"/>
  <c r="K929" i="2"/>
  <c r="J929" i="2"/>
  <c r="L929" i="2"/>
  <c r="K537" i="2"/>
  <c r="J537" i="2"/>
  <c r="L537" i="2"/>
  <c r="R214" i="3"/>
  <c r="W214" i="3"/>
  <c r="AC214" i="3"/>
  <c r="AF214" i="3"/>
  <c r="K909" i="3"/>
  <c r="J909" i="3"/>
  <c r="L909" i="3"/>
  <c r="R909" i="3"/>
  <c r="W909" i="3"/>
  <c r="AC909" i="3"/>
  <c r="AF909" i="3"/>
  <c r="T778" i="1"/>
  <c r="Y778" i="1"/>
  <c r="AE778" i="1"/>
  <c r="AH778" i="1"/>
  <c r="AJ778" i="1"/>
  <c r="AG957" i="2"/>
  <c r="Q368" i="2"/>
  <c r="V368" i="2"/>
  <c r="AB368" i="2"/>
  <c r="AE368" i="2"/>
  <c r="K701" i="3"/>
  <c r="J701" i="3"/>
  <c r="L701" i="3"/>
  <c r="K963" i="3"/>
  <c r="J963" i="3"/>
  <c r="L963" i="3"/>
  <c r="Q434" i="2"/>
  <c r="W358" i="3"/>
  <c r="AC358" i="3"/>
  <c r="AF358" i="3"/>
  <c r="AH358" i="3"/>
  <c r="K278" i="2"/>
  <c r="J278" i="2"/>
  <c r="L278" i="2"/>
  <c r="Q199" i="2"/>
  <c r="K455" i="3"/>
  <c r="J455" i="3"/>
  <c r="L455" i="3"/>
  <c r="K773" i="3"/>
  <c r="J773" i="3"/>
  <c r="L773" i="3"/>
  <c r="R41" i="3"/>
  <c r="R390" i="3"/>
  <c r="R985" i="3"/>
  <c r="L575" i="2"/>
  <c r="K575" i="2"/>
  <c r="J575" i="2"/>
  <c r="V734" i="2"/>
  <c r="AB734" i="2"/>
  <c r="AE734" i="2"/>
  <c r="V509" i="2"/>
  <c r="AB509" i="2"/>
  <c r="AE509" i="2"/>
  <c r="W212" i="3"/>
  <c r="AC212" i="3"/>
  <c r="AF212" i="3"/>
  <c r="Q856" i="2"/>
  <c r="K513" i="2"/>
  <c r="J513" i="2"/>
  <c r="L513" i="2"/>
  <c r="K158" i="3"/>
  <c r="J158" i="3"/>
  <c r="L158" i="3"/>
  <c r="Q409" i="2"/>
  <c r="W941" i="3"/>
  <c r="AC941" i="3"/>
  <c r="AF941" i="3"/>
  <c r="AH941" i="3"/>
  <c r="W608" i="3"/>
  <c r="AC608" i="3"/>
  <c r="AF608" i="3"/>
  <c r="K385" i="2"/>
  <c r="J385" i="2"/>
  <c r="L385" i="2"/>
  <c r="Q385" i="2"/>
  <c r="U385" i="2"/>
  <c r="AA385" i="2"/>
  <c r="AD385" i="2"/>
  <c r="AF385" i="2"/>
  <c r="Q776" i="2"/>
  <c r="V776" i="2"/>
  <c r="AB776" i="2"/>
  <c r="AE776" i="2"/>
  <c r="AG776" i="2"/>
  <c r="K148" i="3"/>
  <c r="J148" i="3"/>
  <c r="L148" i="3"/>
  <c r="K658" i="2"/>
  <c r="J658" i="2"/>
  <c r="L658" i="2"/>
  <c r="R659" i="3"/>
  <c r="L572" i="3"/>
  <c r="K572" i="3"/>
  <c r="J572" i="3"/>
  <c r="T898" i="1"/>
  <c r="Y898" i="1"/>
  <c r="AE898" i="1"/>
  <c r="AH898" i="1"/>
  <c r="R442" i="3"/>
  <c r="AG454" i="2"/>
  <c r="Q618" i="2"/>
  <c r="R183" i="3"/>
  <c r="R805" i="3"/>
  <c r="U864" i="2"/>
  <c r="AA864" i="2"/>
  <c r="AD864" i="2"/>
  <c r="AF864" i="2"/>
  <c r="V414" i="2"/>
  <c r="AB414" i="2"/>
  <c r="AE414" i="2"/>
  <c r="Q407" i="2"/>
  <c r="Q801" i="2"/>
  <c r="L898" i="1"/>
  <c r="K898" i="1"/>
  <c r="V436" i="2"/>
  <c r="AB436" i="2"/>
  <c r="AE436" i="2"/>
  <c r="T791" i="1"/>
  <c r="X791" i="1"/>
  <c r="AD791" i="1"/>
  <c r="AG791" i="1"/>
  <c r="AI791" i="1"/>
  <c r="T828" i="1"/>
  <c r="X828" i="1"/>
  <c r="AD828" i="1"/>
  <c r="AG828" i="1"/>
  <c r="AI828" i="1"/>
  <c r="AG963" i="2"/>
  <c r="Q401" i="2"/>
  <c r="V335" i="3"/>
  <c r="AB335" i="3"/>
  <c r="AE335" i="3"/>
  <c r="AG335" i="3"/>
  <c r="R71" i="3"/>
  <c r="R37" i="3"/>
  <c r="Q333" i="2"/>
  <c r="V812" i="3"/>
  <c r="AB812" i="3"/>
  <c r="AE812" i="3"/>
  <c r="AG812" i="3"/>
  <c r="R319" i="3"/>
  <c r="R177" i="3"/>
  <c r="Q583" i="2"/>
  <c r="R983" i="3"/>
  <c r="AH760" i="3"/>
  <c r="L944" i="1"/>
  <c r="K944" i="1"/>
  <c r="Q603" i="2"/>
  <c r="L678" i="1"/>
  <c r="K678" i="1"/>
  <c r="W894" i="3"/>
  <c r="AC894" i="3"/>
  <c r="AF894" i="3"/>
  <c r="Q488" i="2"/>
  <c r="L747" i="1"/>
  <c r="K747" i="1"/>
  <c r="Q1006" i="2"/>
  <c r="W595" i="3"/>
  <c r="AC595" i="3"/>
  <c r="AF595" i="3"/>
  <c r="AG324" i="2"/>
  <c r="Q791" i="2"/>
  <c r="R493" i="3"/>
  <c r="V783" i="2"/>
  <c r="AB783" i="2"/>
  <c r="AE783" i="2"/>
  <c r="L938" i="1"/>
  <c r="K938" i="1"/>
  <c r="R608" i="3"/>
  <c r="V533" i="2"/>
  <c r="AB533" i="2"/>
  <c r="AE533" i="2"/>
  <c r="V635" i="2"/>
  <c r="AB635" i="2"/>
  <c r="AE635" i="2"/>
  <c r="V460" i="3"/>
  <c r="AB460" i="3"/>
  <c r="AE460" i="3"/>
  <c r="AG460" i="3"/>
  <c r="R901" i="3"/>
  <c r="L800" i="1"/>
  <c r="K800" i="1"/>
  <c r="Q396" i="2"/>
  <c r="W745" i="3"/>
  <c r="AC745" i="3"/>
  <c r="AF745" i="3"/>
  <c r="R834" i="3"/>
  <c r="R947" i="3"/>
  <c r="Q541" i="2"/>
  <c r="R829" i="3"/>
  <c r="R911" i="3"/>
  <c r="R239" i="3"/>
  <c r="L828" i="1"/>
  <c r="K828" i="1"/>
  <c r="U976" i="2"/>
  <c r="AA976" i="2"/>
  <c r="AD976" i="2"/>
  <c r="AF976" i="2"/>
  <c r="W688" i="3"/>
  <c r="AC688" i="3"/>
  <c r="AF688" i="3"/>
  <c r="W368" i="3"/>
  <c r="AC368" i="3"/>
  <c r="AF368" i="3"/>
  <c r="Q635" i="2"/>
  <c r="V877" i="2"/>
  <c r="AB877" i="2"/>
  <c r="AE877" i="2"/>
  <c r="Y1017" i="1"/>
  <c r="AE1017" i="1"/>
  <c r="AH1017" i="1"/>
  <c r="L698" i="1"/>
  <c r="K698" i="1"/>
  <c r="Q851" i="2"/>
  <c r="L805" i="1"/>
  <c r="K805" i="1"/>
  <c r="K875" i="3"/>
  <c r="J875" i="3"/>
  <c r="L875" i="3"/>
  <c r="AG671" i="2"/>
  <c r="L990" i="1"/>
  <c r="K990" i="1"/>
  <c r="T990" i="1"/>
  <c r="Y990" i="1"/>
  <c r="AE990" i="1"/>
  <c r="AH990" i="1"/>
  <c r="K958" i="3"/>
  <c r="J958" i="3"/>
  <c r="L958" i="3"/>
  <c r="Q820" i="2"/>
  <c r="L529" i="3"/>
  <c r="K529" i="3"/>
  <c r="J529" i="3"/>
  <c r="Q995" i="2"/>
  <c r="L629" i="2"/>
  <c r="K629" i="2"/>
  <c r="J629" i="2"/>
  <c r="R547" i="3"/>
  <c r="R407" i="3"/>
  <c r="W407" i="3"/>
  <c r="AC407" i="3"/>
  <c r="AF407" i="3"/>
  <c r="AH407" i="3"/>
  <c r="L837" i="1"/>
  <c r="K837" i="1"/>
  <c r="W981" i="3"/>
  <c r="AC981" i="3"/>
  <c r="AF981" i="3"/>
  <c r="Q918" i="2"/>
  <c r="V918" i="2"/>
  <c r="AB918" i="2"/>
  <c r="AE918" i="2"/>
  <c r="L880" i="3"/>
  <c r="K880" i="3"/>
  <c r="J880" i="3"/>
  <c r="V440" i="2"/>
  <c r="AB440" i="2"/>
  <c r="AE440" i="2"/>
  <c r="K803" i="2"/>
  <c r="J803" i="2"/>
  <c r="L803" i="2"/>
  <c r="V811" i="2"/>
  <c r="AB811" i="2"/>
  <c r="AE811" i="2"/>
  <c r="R138" i="3"/>
  <c r="Q227" i="2"/>
  <c r="Q601" i="2"/>
  <c r="R300" i="3"/>
  <c r="Q511" i="2"/>
  <c r="V327" i="3"/>
  <c r="AB327" i="3"/>
  <c r="AE327" i="3"/>
  <c r="AG327" i="3"/>
  <c r="Q992" i="2"/>
  <c r="K925" i="2"/>
  <c r="J925" i="2"/>
  <c r="L925" i="2"/>
  <c r="V748" i="2"/>
  <c r="AB748" i="2"/>
  <c r="AE748" i="2"/>
  <c r="L749" i="1"/>
  <c r="K749" i="1"/>
  <c r="K604" i="3"/>
  <c r="J604" i="3"/>
  <c r="L604" i="3"/>
  <c r="T703" i="1"/>
  <c r="Y703" i="1"/>
  <c r="AE703" i="1"/>
  <c r="AH703" i="1"/>
  <c r="AJ703" i="1"/>
  <c r="Q250" i="2"/>
  <c r="R824" i="3"/>
  <c r="R467" i="3"/>
  <c r="AC984" i="1"/>
  <c r="W939" i="3"/>
  <c r="AC939" i="3"/>
  <c r="AF939" i="3"/>
  <c r="R865" i="3"/>
  <c r="V752" i="2"/>
  <c r="AB752" i="2"/>
  <c r="AE752" i="2"/>
  <c r="Q748" i="2"/>
  <c r="Q482" i="2"/>
  <c r="T680" i="1"/>
  <c r="Y680" i="1"/>
  <c r="AE680" i="1"/>
  <c r="AH680" i="1"/>
  <c r="Q519" i="2"/>
  <c r="K379" i="2"/>
  <c r="J379" i="2"/>
  <c r="L379" i="2"/>
  <c r="W351" i="3"/>
  <c r="AC351" i="3"/>
  <c r="AF351" i="3"/>
  <c r="AH351" i="3"/>
  <c r="K871" i="2"/>
  <c r="J871" i="2"/>
  <c r="L871" i="2"/>
  <c r="Q325" i="2"/>
  <c r="R833" i="3"/>
  <c r="R928" i="3"/>
  <c r="W55" i="3"/>
  <c r="AC55" i="3"/>
  <c r="AF55" i="3"/>
  <c r="Q255" i="2"/>
  <c r="R329" i="3"/>
  <c r="K738" i="3"/>
  <c r="J738" i="3"/>
  <c r="L738" i="3"/>
  <c r="R335" i="3"/>
  <c r="Q802" i="2"/>
  <c r="R534" i="3"/>
  <c r="Q296" i="2"/>
  <c r="V296" i="2"/>
  <c r="AB296" i="2"/>
  <c r="AE296" i="2"/>
  <c r="V881" i="2"/>
  <c r="AB881" i="2"/>
  <c r="AE881" i="2"/>
  <c r="R898" i="3"/>
  <c r="V198" i="3"/>
  <c r="AB198" i="3"/>
  <c r="AE198" i="3"/>
  <c r="AG198" i="3"/>
  <c r="L884" i="1"/>
  <c r="K884" i="1"/>
  <c r="R984" i="3"/>
  <c r="K810" i="2"/>
  <c r="J810" i="2"/>
  <c r="L810" i="2"/>
  <c r="Q576" i="2"/>
  <c r="V951" i="2"/>
  <c r="AB951" i="2"/>
  <c r="AE951" i="2"/>
  <c r="R231" i="3"/>
  <c r="W950" i="3"/>
  <c r="AC950" i="3"/>
  <c r="AF950" i="3"/>
  <c r="AH950" i="3"/>
  <c r="Q361" i="2"/>
  <c r="K998" i="2"/>
  <c r="J998" i="2"/>
  <c r="L998" i="2"/>
  <c r="K335" i="3"/>
  <c r="J335" i="3"/>
  <c r="L335" i="3"/>
  <c r="K349" i="2"/>
  <c r="J349" i="2"/>
  <c r="L349" i="2"/>
  <c r="W200" i="3"/>
  <c r="AC200" i="3"/>
  <c r="AF200" i="3"/>
  <c r="AH200" i="3"/>
  <c r="K853" i="3"/>
  <c r="J853" i="3"/>
  <c r="L853" i="3"/>
  <c r="R461" i="3"/>
  <c r="V770" i="3"/>
  <c r="AB770" i="3"/>
  <c r="AE770" i="3"/>
  <c r="AG770" i="3"/>
  <c r="T804" i="1"/>
  <c r="X804" i="1"/>
  <c r="AD804" i="1"/>
  <c r="AG804" i="1"/>
  <c r="AI804" i="1"/>
  <c r="K299" i="2"/>
  <c r="J299" i="2"/>
  <c r="L299" i="2"/>
  <c r="V828" i="2"/>
  <c r="AB828" i="2"/>
  <c r="AE828" i="2"/>
  <c r="W482" i="3"/>
  <c r="AC482" i="3"/>
  <c r="AF482" i="3"/>
  <c r="K340" i="3"/>
  <c r="J340" i="3"/>
  <c r="L340" i="3"/>
  <c r="K638" i="3"/>
  <c r="J638" i="3"/>
  <c r="L638" i="3"/>
  <c r="Q273" i="2"/>
  <c r="K647" i="3"/>
  <c r="J647" i="3"/>
  <c r="L647" i="3"/>
  <c r="K954" i="2"/>
  <c r="J954" i="2"/>
  <c r="L954" i="2"/>
  <c r="K839" i="2"/>
  <c r="J839" i="2"/>
  <c r="L839" i="2"/>
  <c r="V252" i="2"/>
  <c r="AB252" i="2"/>
  <c r="AE252" i="2"/>
  <c r="R552" i="3"/>
  <c r="W924" i="3"/>
  <c r="AC924" i="3"/>
  <c r="AF924" i="3"/>
  <c r="Q609" i="2"/>
  <c r="V609" i="2"/>
  <c r="AB609" i="2"/>
  <c r="AE609" i="2"/>
  <c r="K886" i="2"/>
  <c r="J886" i="2"/>
  <c r="L886" i="2"/>
  <c r="L948" i="3"/>
  <c r="K948" i="3"/>
  <c r="J948" i="3"/>
  <c r="L59" i="3"/>
  <c r="K59" i="3"/>
  <c r="J59" i="3"/>
  <c r="L787" i="3"/>
  <c r="K787" i="3"/>
  <c r="J787" i="3"/>
  <c r="R758" i="3"/>
  <c r="W758" i="3"/>
  <c r="AC758" i="3"/>
  <c r="AF758" i="3"/>
  <c r="L687" i="2"/>
  <c r="K687" i="2"/>
  <c r="J687" i="2"/>
  <c r="L879" i="1"/>
  <c r="K879" i="1"/>
  <c r="Q816" i="2"/>
  <c r="L724" i="2"/>
  <c r="K724" i="2"/>
  <c r="J724" i="2"/>
  <c r="L554" i="3"/>
  <c r="K554" i="3"/>
  <c r="J554" i="3"/>
  <c r="R100" i="3"/>
  <c r="W100" i="3"/>
  <c r="AC100" i="3"/>
  <c r="AF100" i="3"/>
  <c r="K727" i="2"/>
  <c r="J727" i="2"/>
  <c r="L727" i="2"/>
  <c r="Q727" i="2"/>
  <c r="V727" i="2"/>
  <c r="AB727" i="2"/>
  <c r="AE727" i="2"/>
  <c r="V688" i="2"/>
  <c r="AB688" i="2"/>
  <c r="AE688" i="2"/>
  <c r="Q494" i="2"/>
  <c r="V494" i="2"/>
  <c r="AB494" i="2"/>
  <c r="AE494" i="2"/>
  <c r="R708" i="3"/>
  <c r="V708" i="3"/>
  <c r="AB708" i="3"/>
  <c r="AE708" i="3"/>
  <c r="AG708" i="3"/>
  <c r="R36" i="3"/>
  <c r="W36" i="3"/>
  <c r="AC36" i="3"/>
  <c r="AF36" i="3"/>
  <c r="AH36" i="3"/>
  <c r="W676" i="3"/>
  <c r="AC676" i="3"/>
  <c r="AF676" i="3"/>
  <c r="K631" i="3"/>
  <c r="J631" i="3"/>
  <c r="L631" i="3"/>
  <c r="K662" i="3"/>
  <c r="J662" i="3"/>
  <c r="L662" i="3"/>
  <c r="L489" i="3"/>
  <c r="K489" i="3"/>
  <c r="J489" i="3"/>
  <c r="L628" i="3"/>
  <c r="K628" i="3"/>
  <c r="J628" i="3"/>
  <c r="Q596" i="2"/>
  <c r="R189" i="3"/>
  <c r="W189" i="3"/>
  <c r="AC189" i="3"/>
  <c r="AF189" i="3"/>
  <c r="K670" i="3"/>
  <c r="J670" i="3"/>
  <c r="L670" i="3"/>
  <c r="R127" i="3"/>
  <c r="J127" i="3"/>
  <c r="L127" i="3"/>
  <c r="K127" i="3"/>
  <c r="K801" i="2"/>
  <c r="J801" i="2"/>
  <c r="L801" i="2"/>
  <c r="K916" i="2"/>
  <c r="J916" i="2"/>
  <c r="L916" i="2"/>
  <c r="M883" i="1"/>
  <c r="L281" i="2"/>
  <c r="K281" i="2"/>
  <c r="J281" i="2"/>
  <c r="K527" i="3"/>
  <c r="J527" i="3"/>
  <c r="L527" i="3"/>
  <c r="L319" i="2"/>
  <c r="K319" i="2"/>
  <c r="J319" i="2"/>
  <c r="L559" i="3"/>
  <c r="K559" i="3"/>
  <c r="J559" i="3"/>
  <c r="L1013" i="1"/>
  <c r="K1013" i="1"/>
  <c r="Q692" i="2"/>
  <c r="W481" i="3"/>
  <c r="AC481" i="3"/>
  <c r="AF481" i="3"/>
  <c r="K665" i="3"/>
  <c r="J665" i="3"/>
  <c r="L665" i="3"/>
  <c r="K195" i="2"/>
  <c r="J195" i="2"/>
  <c r="L195" i="2"/>
  <c r="K569" i="2"/>
  <c r="J569" i="2"/>
  <c r="L569" i="2"/>
  <c r="L765" i="1"/>
  <c r="K765" i="1"/>
  <c r="L920" i="1"/>
  <c r="K920" i="1"/>
  <c r="T920" i="1"/>
  <c r="Y920" i="1"/>
  <c r="AE920" i="1"/>
  <c r="AH920" i="1"/>
  <c r="L855" i="2"/>
  <c r="K855" i="2"/>
  <c r="J855" i="2"/>
  <c r="Q442" i="2"/>
  <c r="V924" i="3"/>
  <c r="AB924" i="3"/>
  <c r="AE924" i="3"/>
  <c r="AG924" i="3"/>
  <c r="W47" i="3"/>
  <c r="AC47" i="3"/>
  <c r="AF47" i="3"/>
  <c r="AH47" i="3"/>
  <c r="V318" i="2"/>
  <c r="AB318" i="2"/>
  <c r="AE318" i="2"/>
  <c r="L285" i="2"/>
  <c r="K285" i="2"/>
  <c r="J285" i="2"/>
  <c r="Q604" i="2"/>
  <c r="L732" i="3"/>
  <c r="K732" i="3"/>
  <c r="J732" i="3"/>
  <c r="W348" i="3"/>
  <c r="AC348" i="3"/>
  <c r="AF348" i="3"/>
  <c r="K549" i="2"/>
  <c r="J549" i="2"/>
  <c r="L549" i="2"/>
  <c r="L272" i="2"/>
  <c r="K272" i="2"/>
  <c r="J272" i="2"/>
  <c r="L748" i="2"/>
  <c r="K748" i="2"/>
  <c r="J748" i="2"/>
  <c r="K239" i="2"/>
  <c r="J239" i="2"/>
  <c r="L239" i="2"/>
  <c r="Q765" i="2"/>
  <c r="R421" i="3"/>
  <c r="K758" i="3"/>
  <c r="J758" i="3"/>
  <c r="L758" i="3"/>
  <c r="R932" i="3"/>
  <c r="L987" i="1"/>
  <c r="K987" i="1"/>
  <c r="K652" i="2"/>
  <c r="J652" i="2"/>
  <c r="L652" i="2"/>
  <c r="K225" i="2"/>
  <c r="J225" i="2"/>
  <c r="L225" i="2"/>
  <c r="Q668" i="2"/>
  <c r="K583" i="2"/>
  <c r="J583" i="2"/>
  <c r="L583" i="2"/>
  <c r="R258" i="3"/>
  <c r="L325" i="2"/>
  <c r="K325" i="2"/>
  <c r="J325" i="2"/>
  <c r="Q734" i="2"/>
  <c r="K665" i="2"/>
  <c r="J665" i="2"/>
  <c r="L665" i="2"/>
  <c r="L661" i="3"/>
  <c r="K661" i="3"/>
  <c r="J661" i="3"/>
  <c r="L510" i="2"/>
  <c r="K510" i="2"/>
  <c r="J510" i="2"/>
  <c r="K33" i="3"/>
  <c r="J33" i="3"/>
  <c r="L33" i="3"/>
  <c r="Q864" i="2"/>
  <c r="V523" i="3"/>
  <c r="AB523" i="3"/>
  <c r="AE523" i="3"/>
  <c r="AG523" i="3"/>
  <c r="W186" i="3"/>
  <c r="AC186" i="3"/>
  <c r="AF186" i="3"/>
  <c r="K399" i="3"/>
  <c r="J399" i="3"/>
  <c r="L399" i="3"/>
  <c r="T745" i="1"/>
  <c r="Y745" i="1"/>
  <c r="AE745" i="1"/>
  <c r="AH745" i="1"/>
  <c r="R426" i="3"/>
  <c r="L802" i="2"/>
  <c r="K802" i="2"/>
  <c r="J802" i="2"/>
  <c r="L691" i="3"/>
  <c r="K691" i="3"/>
  <c r="J691" i="3"/>
  <c r="V542" i="3"/>
  <c r="AB542" i="3"/>
  <c r="AE542" i="3"/>
  <c r="AG542" i="3"/>
  <c r="K367" i="2"/>
  <c r="J367" i="2"/>
  <c r="L367" i="2"/>
  <c r="L861" i="3"/>
  <c r="K861" i="3"/>
  <c r="J861" i="3"/>
  <c r="Q232" i="2"/>
  <c r="K891" i="2"/>
  <c r="J891" i="2"/>
  <c r="L891" i="2"/>
  <c r="Q911" i="2"/>
  <c r="R937" i="3"/>
  <c r="T984" i="1"/>
  <c r="Y984" i="1"/>
  <c r="AE984" i="1"/>
  <c r="AH984" i="1"/>
  <c r="V449" i="2"/>
  <c r="AB449" i="2"/>
  <c r="AE449" i="2"/>
  <c r="L875" i="1"/>
  <c r="K875" i="1"/>
  <c r="L671" i="1"/>
  <c r="K671" i="1"/>
  <c r="K239" i="3"/>
  <c r="J239" i="3"/>
  <c r="L239" i="3"/>
  <c r="Q870" i="2"/>
  <c r="R570" i="3"/>
  <c r="V570" i="3"/>
  <c r="AB570" i="3"/>
  <c r="AE570" i="3"/>
  <c r="AG570" i="3"/>
  <c r="R676" i="3"/>
  <c r="K428" i="2"/>
  <c r="J428" i="2"/>
  <c r="L428" i="2"/>
  <c r="R433" i="3"/>
  <c r="R142" i="3"/>
  <c r="R713" i="3"/>
  <c r="L881" i="3"/>
  <c r="K881" i="3"/>
  <c r="J881" i="3"/>
  <c r="K635" i="2"/>
  <c r="J635" i="2"/>
  <c r="L635" i="2"/>
  <c r="K920" i="3"/>
  <c r="J920" i="3"/>
  <c r="L920" i="3"/>
  <c r="K261" i="2"/>
  <c r="J261" i="2"/>
  <c r="L261" i="2"/>
  <c r="Q261" i="2"/>
  <c r="K975" i="2"/>
  <c r="J975" i="2"/>
  <c r="L975" i="2"/>
  <c r="Q975" i="2"/>
  <c r="Q533" i="2"/>
  <c r="K811" i="2"/>
  <c r="J811" i="2"/>
  <c r="L811" i="2"/>
  <c r="Q811" i="2"/>
  <c r="L204" i="3"/>
  <c r="K204" i="3"/>
  <c r="J204" i="3"/>
  <c r="T931" i="1"/>
  <c r="Y931" i="1"/>
  <c r="AE931" i="1"/>
  <c r="AH931" i="1"/>
  <c r="L790" i="1"/>
  <c r="K790" i="1"/>
  <c r="Q805" i="2"/>
  <c r="R235" i="3"/>
  <c r="K296" i="2"/>
  <c r="J296" i="2"/>
  <c r="L296" i="2"/>
  <c r="L570" i="3"/>
  <c r="K570" i="3"/>
  <c r="J570" i="3"/>
  <c r="R198" i="3"/>
  <c r="L552" i="3"/>
  <c r="K552" i="3"/>
  <c r="J552" i="3"/>
  <c r="Q786" i="2"/>
  <c r="U786" i="2"/>
  <c r="AA786" i="2"/>
  <c r="AD786" i="2"/>
  <c r="AF786" i="2"/>
  <c r="L997" i="1"/>
  <c r="K997" i="1"/>
  <c r="Q568" i="2"/>
  <c r="V568" i="2"/>
  <c r="AB568" i="2"/>
  <c r="AE568" i="2"/>
  <c r="R151" i="3"/>
  <c r="K276" i="2"/>
  <c r="J276" i="2"/>
  <c r="L276" i="2"/>
  <c r="Q276" i="2"/>
  <c r="V276" i="2"/>
  <c r="AB276" i="2"/>
  <c r="AE276" i="2"/>
  <c r="AG276" i="2"/>
  <c r="Q369" i="2"/>
  <c r="Q672" i="2"/>
  <c r="L213" i="3"/>
  <c r="K213" i="3"/>
  <c r="J213" i="3"/>
  <c r="L226" i="2"/>
  <c r="K226" i="2"/>
  <c r="J226" i="2"/>
  <c r="AH656" i="3"/>
  <c r="Q564" i="2"/>
  <c r="K819" i="2"/>
  <c r="J819" i="2"/>
  <c r="L819" i="2"/>
  <c r="L490" i="3"/>
  <c r="K490" i="3"/>
  <c r="J490" i="3"/>
  <c r="L814" i="3"/>
  <c r="K814" i="3"/>
  <c r="J814" i="3"/>
  <c r="K812" i="2"/>
  <c r="J812" i="2"/>
  <c r="L812" i="2"/>
  <c r="Q358" i="2"/>
  <c r="V358" i="2"/>
  <c r="AB358" i="2"/>
  <c r="AE358" i="2"/>
  <c r="L986" i="3"/>
  <c r="K986" i="3"/>
  <c r="J986" i="3"/>
  <c r="Q546" i="2"/>
  <c r="V546" i="2"/>
  <c r="AB546" i="2"/>
  <c r="AE546" i="2"/>
  <c r="W588" i="3"/>
  <c r="AC588" i="3"/>
  <c r="AF588" i="3"/>
  <c r="AH588" i="3"/>
  <c r="L708" i="1"/>
  <c r="K708" i="1"/>
  <c r="K503" i="2"/>
  <c r="J503" i="2"/>
  <c r="L503" i="2"/>
  <c r="T777" i="1"/>
  <c r="X777" i="1"/>
  <c r="AD777" i="1"/>
  <c r="AG777" i="1"/>
  <c r="AI777" i="1"/>
  <c r="K227" i="2"/>
  <c r="J227" i="2"/>
  <c r="L227" i="2"/>
  <c r="Q416" i="2"/>
  <c r="V146" i="3"/>
  <c r="AB146" i="3"/>
  <c r="AE146" i="3"/>
  <c r="AG146" i="3"/>
  <c r="Q843" i="2"/>
  <c r="L507" i="3"/>
  <c r="K507" i="3"/>
  <c r="J507" i="3"/>
  <c r="Z754" i="2"/>
  <c r="R767" i="3"/>
  <c r="R616" i="3"/>
  <c r="K81" i="3"/>
  <c r="J81" i="3"/>
  <c r="L81" i="3"/>
  <c r="Q800" i="2"/>
  <c r="L280" i="2"/>
  <c r="K280" i="2"/>
  <c r="J280" i="2"/>
  <c r="R989" i="3"/>
  <c r="Q978" i="2"/>
  <c r="L762" i="3"/>
  <c r="K762" i="3"/>
  <c r="J762" i="3"/>
  <c r="L297" i="3"/>
  <c r="K297" i="3"/>
  <c r="J297" i="3"/>
  <c r="L420" i="2"/>
  <c r="K420" i="2"/>
  <c r="J420" i="2"/>
  <c r="K415" i="2"/>
  <c r="J415" i="2"/>
  <c r="L415" i="2"/>
  <c r="K54" i="3"/>
  <c r="J54" i="3"/>
  <c r="L54" i="3"/>
  <c r="L935" i="1"/>
  <c r="K935" i="1"/>
  <c r="L223" i="2"/>
  <c r="K223" i="2"/>
  <c r="J223" i="2"/>
  <c r="Q769" i="2"/>
  <c r="L246" i="3"/>
  <c r="K246" i="3"/>
  <c r="J246" i="3"/>
  <c r="K821" i="2"/>
  <c r="J821" i="2"/>
  <c r="L821" i="2"/>
  <c r="L604" i="2"/>
  <c r="K604" i="2"/>
  <c r="J604" i="2"/>
  <c r="R223" i="3"/>
  <c r="Q238" i="2"/>
  <c r="K711" i="2"/>
  <c r="J711" i="2"/>
  <c r="L711" i="2"/>
  <c r="K861" i="2"/>
  <c r="J861" i="2"/>
  <c r="L861" i="2"/>
  <c r="K482" i="2"/>
  <c r="J482" i="2"/>
  <c r="L482" i="2"/>
  <c r="K207" i="2"/>
  <c r="J207" i="2"/>
  <c r="L207" i="2"/>
  <c r="Q435" i="2"/>
  <c r="V435" i="2"/>
  <c r="AB435" i="2"/>
  <c r="AE435" i="2"/>
  <c r="AG259" i="2"/>
  <c r="K389" i="3"/>
  <c r="J389" i="3"/>
  <c r="L389" i="3"/>
  <c r="W262" i="3"/>
  <c r="AC262" i="3"/>
  <c r="AF262" i="3"/>
  <c r="AH262" i="3"/>
  <c r="L683" i="1"/>
  <c r="K683" i="1"/>
  <c r="L932" i="3"/>
  <c r="K932" i="3"/>
  <c r="J932" i="3"/>
  <c r="R786" i="3"/>
  <c r="L172" i="3"/>
  <c r="K172" i="3"/>
  <c r="J172" i="3"/>
  <c r="K235" i="2"/>
  <c r="J235" i="2"/>
  <c r="L235" i="2"/>
  <c r="L244" i="2"/>
  <c r="K244" i="2"/>
  <c r="J244" i="2"/>
  <c r="Q758" i="2"/>
  <c r="T792" i="1"/>
  <c r="Y792" i="1"/>
  <c r="AE792" i="1"/>
  <c r="AH792" i="1"/>
  <c r="K907" i="3"/>
  <c r="J907" i="3"/>
  <c r="L907" i="3"/>
  <c r="K334" i="2"/>
  <c r="J334" i="2"/>
  <c r="L334" i="2"/>
  <c r="Z192" i="2"/>
  <c r="V192" i="2"/>
  <c r="AB192" i="2"/>
  <c r="R763" i="3"/>
  <c r="W763" i="3"/>
  <c r="AC763" i="3"/>
  <c r="AF763" i="3"/>
  <c r="L426" i="3"/>
  <c r="K426" i="3"/>
  <c r="J426" i="3"/>
  <c r="W593" i="3"/>
  <c r="AC593" i="3"/>
  <c r="AF593" i="3"/>
  <c r="K866" i="2"/>
  <c r="J866" i="2"/>
  <c r="L866" i="2"/>
  <c r="Q643" i="2"/>
  <c r="V643" i="2"/>
  <c r="AB643" i="2"/>
  <c r="AE643" i="2"/>
  <c r="Q560" i="2"/>
  <c r="K898" i="3"/>
  <c r="J898" i="3"/>
  <c r="L898" i="3"/>
  <c r="R693" i="3"/>
  <c r="W693" i="3"/>
  <c r="AC693" i="3"/>
  <c r="AF693" i="3"/>
  <c r="L650" i="2"/>
  <c r="K650" i="2"/>
  <c r="J650" i="2"/>
  <c r="R980" i="3"/>
  <c r="Q837" i="2"/>
  <c r="K434" i="2"/>
  <c r="J434" i="2"/>
  <c r="L434" i="2"/>
  <c r="L986" i="1"/>
  <c r="K986" i="1"/>
  <c r="L838" i="3"/>
  <c r="K838" i="3"/>
  <c r="J838" i="3"/>
  <c r="R684" i="3"/>
  <c r="K576" i="2"/>
  <c r="J576" i="2"/>
  <c r="L576" i="2"/>
  <c r="L870" i="2"/>
  <c r="K870" i="2"/>
  <c r="J870" i="2"/>
  <c r="K231" i="3"/>
  <c r="J231" i="3"/>
  <c r="L231" i="3"/>
  <c r="L191" i="3"/>
  <c r="K191" i="3"/>
  <c r="J191" i="3"/>
  <c r="K361" i="2"/>
  <c r="J361" i="2"/>
  <c r="L361" i="2"/>
  <c r="L779" i="1"/>
  <c r="K779" i="1"/>
  <c r="K186" i="2"/>
  <c r="J186" i="2"/>
  <c r="L186" i="2"/>
  <c r="Q501" i="2"/>
  <c r="W892" i="3"/>
  <c r="AC892" i="3"/>
  <c r="AF892" i="3"/>
  <c r="K509" i="3"/>
  <c r="J509" i="3"/>
  <c r="L509" i="3"/>
  <c r="K995" i="2"/>
  <c r="J995" i="2"/>
  <c r="L995" i="2"/>
  <c r="L641" i="2"/>
  <c r="K641" i="2"/>
  <c r="J641" i="2"/>
  <c r="R615" i="3"/>
  <c r="K118" i="3"/>
  <c r="J118" i="3"/>
  <c r="L118" i="3"/>
  <c r="K553" i="3"/>
  <c r="J553" i="3"/>
  <c r="L553" i="3"/>
  <c r="L985" i="3"/>
  <c r="K985" i="3"/>
  <c r="J985" i="3"/>
  <c r="K157" i="3"/>
  <c r="J157" i="3"/>
  <c r="L157" i="3"/>
  <c r="R900" i="3"/>
  <c r="R434" i="3"/>
  <c r="W434" i="3"/>
  <c r="AC434" i="3"/>
  <c r="AF434" i="3"/>
  <c r="R746" i="3"/>
  <c r="K602" i="2"/>
  <c r="J602" i="2"/>
  <c r="L602" i="2"/>
  <c r="W363" i="3"/>
  <c r="AC363" i="3"/>
  <c r="AF363" i="3"/>
  <c r="R125" i="3"/>
  <c r="L869" i="1"/>
  <c r="K869" i="1"/>
  <c r="Q787" i="2"/>
  <c r="L400" i="3"/>
  <c r="K400" i="3"/>
  <c r="J400" i="3"/>
  <c r="Q888" i="2"/>
  <c r="V888" i="2"/>
  <c r="AB888" i="2"/>
  <c r="AE888" i="2"/>
  <c r="L406" i="2"/>
  <c r="K406" i="2"/>
  <c r="J406" i="2"/>
  <c r="K261" i="3"/>
  <c r="J261" i="3"/>
  <c r="L261" i="3"/>
  <c r="L910" i="1"/>
  <c r="K910" i="1"/>
  <c r="L438" i="3"/>
  <c r="K438" i="3"/>
  <c r="J438" i="3"/>
  <c r="R443" i="3"/>
  <c r="R487" i="3"/>
  <c r="L674" i="1"/>
  <c r="K674" i="1"/>
  <c r="L971" i="1"/>
  <c r="K971" i="1"/>
  <c r="K967" i="3"/>
  <c r="J967" i="3"/>
  <c r="L967" i="3"/>
  <c r="R363" i="3"/>
  <c r="R868" i="3"/>
  <c r="W30" i="3"/>
  <c r="AC30" i="3"/>
  <c r="AF30" i="3"/>
  <c r="T785" i="1"/>
  <c r="X785" i="1"/>
  <c r="AD785" i="1"/>
  <c r="AG785" i="1"/>
  <c r="AI785" i="1"/>
  <c r="Q690" i="2"/>
  <c r="R578" i="3"/>
  <c r="W578" i="3"/>
  <c r="AC578" i="3"/>
  <c r="AF578" i="3"/>
  <c r="L951" i="1"/>
  <c r="K951" i="1"/>
  <c r="R526" i="3"/>
  <c r="L925" i="1"/>
  <c r="K925" i="1"/>
  <c r="L784" i="1"/>
  <c r="K784" i="1"/>
  <c r="Q498" i="2"/>
  <c r="U498" i="2"/>
  <c r="AA498" i="2"/>
  <c r="AD498" i="2"/>
  <c r="AF498" i="2"/>
  <c r="T794" i="1"/>
  <c r="X794" i="1"/>
  <c r="AD794" i="1"/>
  <c r="AG794" i="1"/>
  <c r="AI794" i="1"/>
  <c r="Q265" i="2"/>
  <c r="K655" i="3"/>
  <c r="J655" i="3"/>
  <c r="L655" i="3"/>
  <c r="R229" i="3"/>
  <c r="L989" i="3"/>
  <c r="K989" i="3"/>
  <c r="J989" i="3"/>
  <c r="K888" i="2"/>
  <c r="J888" i="2"/>
  <c r="L888" i="2"/>
  <c r="R275" i="3"/>
  <c r="L680" i="3"/>
  <c r="K680" i="3"/>
  <c r="J680" i="3"/>
  <c r="K953" i="3"/>
  <c r="J953" i="3"/>
  <c r="L953" i="3"/>
  <c r="R57" i="3"/>
  <c r="L827" i="3"/>
  <c r="K827" i="3"/>
  <c r="J827" i="3"/>
  <c r="K260" i="3"/>
  <c r="J260" i="3"/>
  <c r="L260" i="3"/>
  <c r="L769" i="2"/>
  <c r="K769" i="2"/>
  <c r="J769" i="2"/>
  <c r="L284" i="3"/>
  <c r="K284" i="3"/>
  <c r="J284" i="3"/>
  <c r="L679" i="2"/>
  <c r="K679" i="2"/>
  <c r="J679" i="2"/>
  <c r="R896" i="3"/>
  <c r="L898" i="2"/>
  <c r="K898" i="2"/>
  <c r="J898" i="2"/>
  <c r="Q702" i="2"/>
  <c r="U702" i="2"/>
  <c r="AA702" i="2"/>
  <c r="AD702" i="2"/>
  <c r="AF702" i="2"/>
  <c r="R332" i="3"/>
  <c r="R205" i="3"/>
  <c r="L568" i="3"/>
  <c r="K568" i="3"/>
  <c r="J568" i="3"/>
  <c r="R850" i="3"/>
  <c r="W850" i="3"/>
  <c r="AC850" i="3"/>
  <c r="AF850" i="3"/>
  <c r="L407" i="2"/>
  <c r="K407" i="2"/>
  <c r="J407" i="2"/>
  <c r="K480" i="2"/>
  <c r="J480" i="2"/>
  <c r="L480" i="2"/>
  <c r="K765" i="2"/>
  <c r="J765" i="2"/>
  <c r="L765" i="2"/>
  <c r="Q203" i="2"/>
  <c r="V203" i="2"/>
  <c r="AB203" i="2"/>
  <c r="AE203" i="2"/>
  <c r="AG203" i="2"/>
  <c r="R130" i="3"/>
  <c r="W130" i="3"/>
  <c r="AC130" i="3"/>
  <c r="AF130" i="3"/>
  <c r="L660" i="1"/>
  <c r="K660" i="1"/>
  <c r="T660" i="1"/>
  <c r="Y660" i="1"/>
  <c r="AE660" i="1"/>
  <c r="AH660" i="1"/>
  <c r="K140" i="3"/>
  <c r="J140" i="3"/>
  <c r="L140" i="3"/>
  <c r="L689" i="1"/>
  <c r="K689" i="1"/>
  <c r="K668" i="2"/>
  <c r="J668" i="2"/>
  <c r="L668" i="2"/>
  <c r="R532" i="3"/>
  <c r="K258" i="3"/>
  <c r="J258" i="3"/>
  <c r="L258" i="3"/>
  <c r="R268" i="3"/>
  <c r="K863" i="2"/>
  <c r="J863" i="2"/>
  <c r="L863" i="2"/>
  <c r="K786" i="2"/>
  <c r="J786" i="2"/>
  <c r="L786" i="2"/>
  <c r="L896" i="1"/>
  <c r="K896" i="1"/>
  <c r="Q192" i="2"/>
  <c r="K984" i="2"/>
  <c r="J984" i="2"/>
  <c r="L984" i="2"/>
  <c r="U571" i="2"/>
  <c r="AA571" i="2"/>
  <c r="AD571" i="2"/>
  <c r="AF571" i="2"/>
  <c r="K502" i="3"/>
  <c r="J502" i="3"/>
  <c r="L502" i="3"/>
  <c r="R242" i="3"/>
  <c r="W242" i="3"/>
  <c r="AC242" i="3"/>
  <c r="AF242" i="3"/>
  <c r="K973" i="3"/>
  <c r="J973" i="3"/>
  <c r="L973" i="3"/>
  <c r="R376" i="3"/>
  <c r="K267" i="2"/>
  <c r="J267" i="2"/>
  <c r="L267" i="2"/>
  <c r="R779" i="3"/>
  <c r="K233" i="2"/>
  <c r="J233" i="2"/>
  <c r="L233" i="2"/>
  <c r="Q693" i="2"/>
  <c r="R623" i="3"/>
  <c r="L934" i="1"/>
  <c r="K934" i="1"/>
  <c r="T934" i="1"/>
  <c r="Y934" i="1"/>
  <c r="AE934" i="1"/>
  <c r="AH934" i="1"/>
  <c r="L375" i="3"/>
  <c r="K375" i="3"/>
  <c r="J375" i="3"/>
  <c r="K572" i="2"/>
  <c r="J572" i="2"/>
  <c r="L572" i="2"/>
  <c r="R276" i="3"/>
  <c r="W276" i="3"/>
  <c r="AC276" i="3"/>
  <c r="AF276" i="3"/>
  <c r="R115" i="3"/>
  <c r="T766" i="1"/>
  <c r="X766" i="1"/>
  <c r="AD766" i="1"/>
  <c r="AG766" i="1"/>
  <c r="AI766" i="1"/>
  <c r="Q484" i="2"/>
  <c r="R387" i="3"/>
  <c r="V645" i="2"/>
  <c r="AB645" i="2"/>
  <c r="AE645" i="2"/>
  <c r="L808" i="2"/>
  <c r="K808" i="2"/>
  <c r="J808" i="2"/>
  <c r="W683" i="3"/>
  <c r="AC683" i="3"/>
  <c r="AF683" i="3"/>
  <c r="K787" i="2"/>
  <c r="J787" i="2"/>
  <c r="L787" i="2"/>
  <c r="Q315" i="2"/>
  <c r="J315" i="2"/>
  <c r="L315" i="2"/>
  <c r="K315" i="2"/>
  <c r="L526" i="2"/>
  <c r="K526" i="2"/>
  <c r="J526" i="2"/>
  <c r="K893" i="3"/>
  <c r="J893" i="3"/>
  <c r="L893" i="3"/>
  <c r="L815" i="1"/>
  <c r="K815" i="1"/>
  <c r="L965" i="1"/>
  <c r="K965" i="1"/>
  <c r="Q719" i="2"/>
  <c r="AH34" i="3"/>
  <c r="L812" i="1"/>
  <c r="K812" i="1"/>
  <c r="L379" i="3"/>
  <c r="K379" i="3"/>
  <c r="J379" i="3"/>
  <c r="R894" i="3"/>
  <c r="V894" i="3"/>
  <c r="AB894" i="3"/>
  <c r="AE894" i="3"/>
  <c r="AG894" i="3"/>
  <c r="Q750" i="2"/>
  <c r="L993" i="1"/>
  <c r="K993" i="1"/>
  <c r="K676" i="2"/>
  <c r="J676" i="2"/>
  <c r="L676" i="2"/>
  <c r="T945" i="1"/>
  <c r="Y945" i="1"/>
  <c r="AE945" i="1"/>
  <c r="AH945" i="1"/>
  <c r="K901" i="2"/>
  <c r="J901" i="2"/>
  <c r="L901" i="2"/>
  <c r="V790" i="3"/>
  <c r="AB790" i="3"/>
  <c r="AE790" i="3"/>
  <c r="AG790" i="3"/>
  <c r="L381" i="2"/>
  <c r="K381" i="2"/>
  <c r="J381" i="2"/>
  <c r="R664" i="3"/>
  <c r="K884" i="2"/>
  <c r="J884" i="2"/>
  <c r="L884" i="2"/>
  <c r="Q824" i="2"/>
  <c r="L662" i="1"/>
  <c r="K662" i="1"/>
  <c r="K942" i="2"/>
  <c r="J942" i="2"/>
  <c r="L942" i="2"/>
  <c r="L455" i="2"/>
  <c r="K455" i="2"/>
  <c r="J455" i="2"/>
  <c r="W866" i="3"/>
  <c r="AC866" i="3"/>
  <c r="AF866" i="3"/>
  <c r="AH866" i="3"/>
  <c r="K737" i="2"/>
  <c r="J737" i="2"/>
  <c r="L737" i="2"/>
  <c r="Q229" i="2"/>
  <c r="K616" i="3"/>
  <c r="J616" i="3"/>
  <c r="L616" i="3"/>
  <c r="K627" i="3"/>
  <c r="J627" i="3"/>
  <c r="L627" i="3"/>
  <c r="L229" i="3"/>
  <c r="K229" i="3"/>
  <c r="J229" i="3"/>
  <c r="L191" i="2"/>
  <c r="K191" i="2"/>
  <c r="J191" i="2"/>
  <c r="R974" i="3"/>
  <c r="L964" i="1"/>
  <c r="K964" i="1"/>
  <c r="T964" i="1"/>
  <c r="Y964" i="1"/>
  <c r="AE964" i="1"/>
  <c r="AH964" i="1"/>
  <c r="K675" i="2"/>
  <c r="J675" i="2"/>
  <c r="L675" i="2"/>
  <c r="K430" i="3"/>
  <c r="J430" i="3"/>
  <c r="L430" i="3"/>
  <c r="K39" i="3"/>
  <c r="J39" i="3"/>
  <c r="L39" i="3"/>
  <c r="R39" i="3"/>
  <c r="W39" i="3"/>
  <c r="AC39" i="3"/>
  <c r="AF39" i="3"/>
  <c r="R247" i="3"/>
  <c r="V247" i="3"/>
  <c r="AB247" i="3"/>
  <c r="AE247" i="3"/>
  <c r="AG247" i="3"/>
  <c r="L664" i="1"/>
  <c r="K664" i="1"/>
  <c r="T664" i="1"/>
  <c r="Y664" i="1"/>
  <c r="AE664" i="1"/>
  <c r="AH664" i="1"/>
  <c r="K291" i="2"/>
  <c r="J291" i="2"/>
  <c r="L291" i="2"/>
  <c r="R981" i="3"/>
  <c r="L744" i="1"/>
  <c r="K744" i="1"/>
  <c r="K486" i="2"/>
  <c r="J486" i="2"/>
  <c r="L486" i="2"/>
  <c r="Q486" i="2"/>
  <c r="V486" i="2"/>
  <c r="AB486" i="2"/>
  <c r="AE486" i="2"/>
  <c r="Q1001" i="2"/>
  <c r="V1001" i="2"/>
  <c r="AB1001" i="2"/>
  <c r="AE1001" i="2"/>
  <c r="L311" i="2"/>
  <c r="K311" i="2"/>
  <c r="J311" i="2"/>
  <c r="K836" i="2"/>
  <c r="J836" i="2"/>
  <c r="L836" i="2"/>
  <c r="K761" i="2"/>
  <c r="J761" i="2"/>
  <c r="L761" i="2"/>
  <c r="V771" i="3"/>
  <c r="AB771" i="3"/>
  <c r="AE771" i="3"/>
  <c r="AG771" i="3"/>
  <c r="K338" i="2"/>
  <c r="J338" i="2"/>
  <c r="L338" i="2"/>
  <c r="Q985" i="2"/>
  <c r="Q833" i="2"/>
  <c r="R453" i="3"/>
  <c r="L268" i="3"/>
  <c r="K268" i="3"/>
  <c r="J268" i="3"/>
  <c r="Q257" i="2"/>
  <c r="L365" i="2"/>
  <c r="K365" i="2"/>
  <c r="J365" i="2"/>
  <c r="L919" i="1"/>
  <c r="K919" i="1"/>
  <c r="T919" i="1"/>
  <c r="Y919" i="1"/>
  <c r="AE919" i="1"/>
  <c r="AH919" i="1"/>
  <c r="AJ919" i="1"/>
  <c r="Q713" i="2"/>
  <c r="V713" i="2"/>
  <c r="AB713" i="2"/>
  <c r="AE713" i="2"/>
  <c r="R535" i="3"/>
  <c r="V535" i="3"/>
  <c r="AB535" i="3"/>
  <c r="AE535" i="3"/>
  <c r="AG535" i="3"/>
  <c r="L980" i="1"/>
  <c r="K980" i="1"/>
  <c r="K400" i="2"/>
  <c r="J400" i="2"/>
  <c r="L400" i="2"/>
  <c r="R492" i="3"/>
  <c r="W492" i="3"/>
  <c r="AC492" i="3"/>
  <c r="AF492" i="3"/>
  <c r="AH492" i="3"/>
  <c r="K882" i="2"/>
  <c r="J882" i="2"/>
  <c r="L882" i="2"/>
  <c r="K345" i="3"/>
  <c r="J345" i="3"/>
  <c r="L345" i="3"/>
  <c r="L865" i="3"/>
  <c r="K865" i="3"/>
  <c r="J865" i="3"/>
  <c r="Q372" i="2"/>
  <c r="V372" i="2"/>
  <c r="AB372" i="2"/>
  <c r="AE372" i="2"/>
  <c r="Q926" i="2"/>
  <c r="L416" i="3"/>
  <c r="K416" i="3"/>
  <c r="J416" i="3"/>
  <c r="W791" i="3"/>
  <c r="AC791" i="3"/>
  <c r="AF791" i="3"/>
  <c r="R113" i="3"/>
  <c r="Q509" i="2"/>
  <c r="Q571" i="2"/>
  <c r="Q976" i="2"/>
  <c r="R726" i="3"/>
  <c r="L391" i="3"/>
  <c r="K391" i="3"/>
  <c r="J391" i="3"/>
  <c r="Q910" i="2"/>
  <c r="R212" i="3"/>
  <c r="Q323" i="2"/>
  <c r="U323" i="2"/>
  <c r="AA323" i="2"/>
  <c r="AD323" i="2"/>
  <c r="AF323" i="2"/>
  <c r="L789" i="3"/>
  <c r="K789" i="3"/>
  <c r="J789" i="3"/>
  <c r="L444" i="3"/>
  <c r="K444" i="3"/>
  <c r="J444" i="3"/>
  <c r="R499" i="3"/>
  <c r="R811" i="3"/>
  <c r="R770" i="3"/>
  <c r="L970" i="2"/>
  <c r="K970" i="2"/>
  <c r="J970" i="2"/>
  <c r="R683" i="3"/>
  <c r="K751" i="3"/>
  <c r="J751" i="3"/>
  <c r="L751" i="3"/>
  <c r="R751" i="3"/>
  <c r="W751" i="3"/>
  <c r="AC751" i="3"/>
  <c r="AF751" i="3"/>
  <c r="K305" i="2"/>
  <c r="J305" i="2"/>
  <c r="L305" i="2"/>
  <c r="L891" i="1"/>
  <c r="K891" i="1"/>
  <c r="T891" i="1"/>
  <c r="Y891" i="1"/>
  <c r="AE891" i="1"/>
  <c r="AH891" i="1"/>
  <c r="K270" i="3"/>
  <c r="J270" i="3"/>
  <c r="L270" i="3"/>
  <c r="K863" i="3"/>
  <c r="J863" i="3"/>
  <c r="L863" i="3"/>
  <c r="R863" i="3"/>
  <c r="W863" i="3"/>
  <c r="AC863" i="3"/>
  <c r="AF863" i="3"/>
  <c r="Q504" i="2"/>
  <c r="V504" i="2"/>
  <c r="AB504" i="2"/>
  <c r="AE504" i="2"/>
  <c r="R845" i="3"/>
  <c r="W845" i="3"/>
  <c r="AC845" i="3"/>
  <c r="AF845" i="3"/>
  <c r="L736" i="1"/>
  <c r="K736" i="1"/>
  <c r="R358" i="3"/>
  <c r="K31" i="3"/>
  <c r="J31" i="3"/>
  <c r="L31" i="3"/>
  <c r="W968" i="3"/>
  <c r="AC968" i="3"/>
  <c r="AF968" i="3"/>
  <c r="K818" i="2"/>
  <c r="J818" i="2"/>
  <c r="L818" i="2"/>
  <c r="V668" i="3"/>
  <c r="AB668" i="3"/>
  <c r="AE668" i="3"/>
  <c r="AG668" i="3"/>
  <c r="Q426" i="2"/>
  <c r="R136" i="3"/>
  <c r="W484" i="3"/>
  <c r="AC484" i="3"/>
  <c r="AF484" i="3"/>
  <c r="AH484" i="3"/>
  <c r="K28" i="3"/>
  <c r="J28" i="3"/>
  <c r="L28" i="3"/>
  <c r="Q860" i="2"/>
  <c r="V860" i="2"/>
  <c r="AB860" i="2"/>
  <c r="AE860" i="2"/>
  <c r="K673" i="2"/>
  <c r="J673" i="2"/>
  <c r="L673" i="2"/>
  <c r="K945" i="3"/>
  <c r="J945" i="3"/>
  <c r="L945" i="3"/>
  <c r="U258" i="2"/>
  <c r="AA258" i="2"/>
  <c r="AD258" i="2"/>
  <c r="AF258" i="2"/>
  <c r="K86" i="3"/>
  <c r="J86" i="3"/>
  <c r="L86" i="3"/>
  <c r="K690" i="2"/>
  <c r="J690" i="2"/>
  <c r="L690" i="2"/>
  <c r="R437" i="3"/>
  <c r="R936" i="3"/>
  <c r="K905" i="2"/>
  <c r="J905" i="2"/>
  <c r="L905" i="2"/>
  <c r="L414" i="3"/>
  <c r="K414" i="3"/>
  <c r="J414" i="3"/>
  <c r="R175" i="3"/>
  <c r="R103" i="3"/>
  <c r="K116" i="3"/>
  <c r="J116" i="3"/>
  <c r="L116" i="3"/>
  <c r="L198" i="2"/>
  <c r="K198" i="2"/>
  <c r="J198" i="2"/>
  <c r="R327" i="3"/>
  <c r="L353" i="2"/>
  <c r="K353" i="2"/>
  <c r="J353" i="2"/>
  <c r="K975" i="3"/>
  <c r="J975" i="3"/>
  <c r="L975" i="3"/>
  <c r="L986" i="2"/>
  <c r="K986" i="2"/>
  <c r="J986" i="2"/>
  <c r="L766" i="2"/>
  <c r="K766" i="2"/>
  <c r="J766" i="2"/>
  <c r="K746" i="2"/>
  <c r="J746" i="2"/>
  <c r="L746" i="2"/>
  <c r="Q746" i="2"/>
  <c r="V746" i="2"/>
  <c r="AB746" i="2"/>
  <c r="AE746" i="2"/>
  <c r="R32" i="3"/>
  <c r="V32" i="3"/>
  <c r="AB32" i="3"/>
  <c r="AE32" i="3"/>
  <c r="AG32" i="3"/>
  <c r="L564" i="2"/>
  <c r="K564" i="2"/>
  <c r="J564" i="2"/>
  <c r="R582" i="3"/>
  <c r="L670" i="1"/>
  <c r="K670" i="1"/>
  <c r="R673" i="3"/>
  <c r="K205" i="3"/>
  <c r="J205" i="3"/>
  <c r="L205" i="3"/>
  <c r="R49" i="3"/>
  <c r="W49" i="3"/>
  <c r="AC49" i="3"/>
  <c r="AF49" i="3"/>
  <c r="R941" i="3"/>
  <c r="K487" i="3"/>
  <c r="J487" i="3"/>
  <c r="L487" i="3"/>
  <c r="R595" i="3"/>
  <c r="K354" i="2"/>
  <c r="J354" i="2"/>
  <c r="L354" i="2"/>
  <c r="K695" i="2"/>
  <c r="J695" i="2"/>
  <c r="L695" i="2"/>
  <c r="K997" i="2"/>
  <c r="J997" i="2"/>
  <c r="L997" i="2"/>
  <c r="L734" i="1"/>
  <c r="K734" i="1"/>
  <c r="L76" i="3"/>
  <c r="K76" i="3"/>
  <c r="J76" i="3"/>
  <c r="R324" i="3"/>
  <c r="K228" i="2"/>
  <c r="J228" i="2"/>
  <c r="L228" i="2"/>
  <c r="Q709" i="2"/>
  <c r="V709" i="2"/>
  <c r="AB709" i="2"/>
  <c r="AE709" i="2"/>
  <c r="K522" i="3"/>
  <c r="J522" i="3"/>
  <c r="L522" i="3"/>
  <c r="L528" i="3"/>
  <c r="K528" i="3"/>
  <c r="J528" i="3"/>
  <c r="L730" i="2"/>
  <c r="K730" i="2"/>
  <c r="J730" i="2"/>
  <c r="Q610" i="2"/>
  <c r="K446" i="3"/>
  <c r="J446" i="3"/>
  <c r="L446" i="3"/>
  <c r="R446" i="3"/>
  <c r="W446" i="3"/>
  <c r="AC446" i="3"/>
  <c r="AF446" i="3"/>
  <c r="K479" i="2"/>
  <c r="J479" i="2"/>
  <c r="L479" i="2"/>
  <c r="Q479" i="2"/>
  <c r="V479" i="2"/>
  <c r="AB479" i="2"/>
  <c r="AE479" i="2"/>
  <c r="K923" i="2"/>
  <c r="J923" i="2"/>
  <c r="L923" i="2"/>
  <c r="R619" i="3"/>
  <c r="W657" i="3"/>
  <c r="AC657" i="3"/>
  <c r="AF657" i="3"/>
  <c r="AH657" i="3"/>
  <c r="V472" i="2"/>
  <c r="AB472" i="2"/>
  <c r="AE472" i="2"/>
  <c r="AG472" i="2"/>
  <c r="Q743" i="2"/>
  <c r="L606" i="3"/>
  <c r="K606" i="3"/>
  <c r="J606" i="3"/>
  <c r="T936" i="1"/>
  <c r="Y936" i="1"/>
  <c r="AE936" i="1"/>
  <c r="AH936" i="1"/>
  <c r="V581" i="2"/>
  <c r="AB581" i="2"/>
  <c r="AE581" i="2"/>
  <c r="AG581" i="2"/>
  <c r="K791" i="2"/>
  <c r="J791" i="2"/>
  <c r="L791" i="2"/>
  <c r="Q989" i="2"/>
  <c r="V989" i="2"/>
  <c r="AB989" i="2"/>
  <c r="AE989" i="2"/>
  <c r="K220" i="2"/>
  <c r="J220" i="2"/>
  <c r="L220" i="2"/>
  <c r="Q274" i="2"/>
  <c r="V274" i="2"/>
  <c r="AB274" i="2"/>
  <c r="AE274" i="2"/>
  <c r="R802" i="3"/>
  <c r="L113" i="3"/>
  <c r="K113" i="3"/>
  <c r="J113" i="3"/>
  <c r="L76" i="1"/>
  <c r="K76" i="1"/>
  <c r="T76" i="1"/>
  <c r="Y76" i="1"/>
  <c r="AE76" i="1"/>
  <c r="AH76" i="1"/>
  <c r="L1000" i="1"/>
  <c r="K1000" i="1"/>
  <c r="R530" i="3"/>
  <c r="K312" i="3"/>
  <c r="J312" i="3"/>
  <c r="L312" i="3"/>
  <c r="R312" i="3"/>
  <c r="W312" i="3"/>
  <c r="AC312" i="3"/>
  <c r="AF312" i="3"/>
  <c r="L571" i="3"/>
  <c r="K571" i="3"/>
  <c r="J571" i="3"/>
  <c r="K852" i="3"/>
  <c r="J852" i="3"/>
  <c r="L852" i="3"/>
  <c r="R950" i="3"/>
  <c r="K312" i="2"/>
  <c r="J312" i="2"/>
  <c r="L312" i="2"/>
  <c r="V894" i="2"/>
  <c r="AB894" i="2"/>
  <c r="AE894" i="2"/>
  <c r="AG894" i="2"/>
  <c r="R77" i="3"/>
  <c r="R934" i="3"/>
  <c r="W934" i="3"/>
  <c r="AC934" i="3"/>
  <c r="AF934" i="3"/>
  <c r="AH934" i="3"/>
  <c r="K190" i="2"/>
  <c r="J190" i="2"/>
  <c r="L190" i="2"/>
  <c r="R791" i="3"/>
  <c r="R790" i="3"/>
  <c r="Q877" i="2"/>
  <c r="U230" i="2"/>
  <c r="AA230" i="2"/>
  <c r="AD230" i="2"/>
  <c r="AF230" i="2"/>
  <c r="K295" i="3"/>
  <c r="J295" i="3"/>
  <c r="L295" i="3"/>
  <c r="K746" i="3"/>
  <c r="J746" i="3"/>
  <c r="L746" i="3"/>
  <c r="L849" i="1"/>
  <c r="K849" i="1"/>
  <c r="R905" i="3"/>
  <c r="K145" i="3"/>
  <c r="J145" i="3"/>
  <c r="L145" i="3"/>
  <c r="L904" i="1"/>
  <c r="K904" i="1"/>
  <c r="T904" i="1"/>
  <c r="Y904" i="1"/>
  <c r="AE904" i="1"/>
  <c r="AH904" i="1"/>
  <c r="R47" i="3"/>
  <c r="K683" i="2"/>
  <c r="J683" i="2"/>
  <c r="L683" i="2"/>
  <c r="R79" i="3"/>
  <c r="L613" i="2"/>
  <c r="K613" i="2"/>
  <c r="J613" i="2"/>
  <c r="Q269" i="2"/>
  <c r="V269" i="2"/>
  <c r="AB269" i="2"/>
  <c r="AE269" i="2"/>
  <c r="K923" i="3"/>
  <c r="J923" i="3"/>
  <c r="L923" i="3"/>
  <c r="R923" i="3"/>
  <c r="W923" i="3"/>
  <c r="AC923" i="3"/>
  <c r="AF923" i="3"/>
  <c r="K297" i="2"/>
  <c r="J297" i="2"/>
  <c r="L297" i="2"/>
  <c r="L886" i="1"/>
  <c r="K886" i="1"/>
  <c r="L521" i="3"/>
  <c r="K521" i="3"/>
  <c r="J521" i="3"/>
  <c r="K662" i="2"/>
  <c r="J662" i="2"/>
  <c r="L662" i="2"/>
  <c r="R584" i="3"/>
  <c r="J584" i="3"/>
  <c r="L584" i="3"/>
  <c r="K584" i="3"/>
  <c r="L388" i="2"/>
  <c r="K388" i="2"/>
  <c r="J388" i="2"/>
  <c r="L795" i="3"/>
  <c r="K795" i="3"/>
  <c r="J795" i="3"/>
  <c r="T856" i="1"/>
  <c r="Y856" i="1"/>
  <c r="AE856" i="1"/>
  <c r="AH856" i="1"/>
  <c r="AJ856" i="1"/>
  <c r="L757" i="2"/>
  <c r="K757" i="2"/>
  <c r="J757" i="2"/>
  <c r="R614" i="3"/>
  <c r="R817" i="3"/>
  <c r="Q553" i="2"/>
  <c r="J553" i="2"/>
  <c r="L553" i="2"/>
  <c r="K553" i="2"/>
  <c r="Q974" i="2"/>
  <c r="R749" i="3"/>
  <c r="W749" i="3"/>
  <c r="AC749" i="3"/>
  <c r="AF749" i="3"/>
  <c r="R27" i="3"/>
  <c r="K277" i="3"/>
  <c r="J277" i="3"/>
  <c r="L277" i="3"/>
  <c r="K166" i="3"/>
  <c r="J166" i="3"/>
  <c r="L166" i="3"/>
  <c r="R837" i="3"/>
  <c r="W837" i="3"/>
  <c r="AC837" i="3"/>
  <c r="AF837" i="3"/>
  <c r="T700" i="1"/>
  <c r="Y700" i="1"/>
  <c r="AE700" i="1"/>
  <c r="AH700" i="1"/>
  <c r="AJ700" i="1"/>
  <c r="K617" i="3"/>
  <c r="J617" i="3"/>
  <c r="L617" i="3"/>
  <c r="AG448" i="2"/>
  <c r="L778" i="1"/>
  <c r="K778" i="1"/>
  <c r="Q831" i="2"/>
  <c r="T696" i="1"/>
  <c r="Y696" i="1"/>
  <c r="AE696" i="1"/>
  <c r="AH696" i="1"/>
  <c r="U674" i="2"/>
  <c r="AA674" i="2"/>
  <c r="AD674" i="2"/>
  <c r="AF674" i="2"/>
  <c r="K520" i="3"/>
  <c r="J520" i="3"/>
  <c r="L520" i="3"/>
  <c r="L892" i="2"/>
  <c r="K892" i="2"/>
  <c r="J892" i="2"/>
  <c r="L851" i="3"/>
  <c r="K851" i="3"/>
  <c r="J851" i="3"/>
  <c r="R184" i="3"/>
  <c r="W184" i="3"/>
  <c r="AC184" i="3"/>
  <c r="AF184" i="3"/>
  <c r="Q508" i="2"/>
  <c r="V508" i="2"/>
  <c r="AB508" i="2"/>
  <c r="AE508" i="2"/>
  <c r="K229" i="2"/>
  <c r="J229" i="2"/>
  <c r="L229" i="2"/>
  <c r="K616" i="2"/>
  <c r="J616" i="2"/>
  <c r="L616" i="2"/>
  <c r="L184" i="2"/>
  <c r="K184" i="2"/>
  <c r="J184" i="2"/>
  <c r="Q288" i="2"/>
  <c r="V288" i="2"/>
  <c r="AB288" i="2"/>
  <c r="AE288" i="2"/>
  <c r="Q854" i="2"/>
  <c r="W810" i="3"/>
  <c r="AC810" i="3"/>
  <c r="AF810" i="3"/>
  <c r="K283" i="3"/>
  <c r="J283" i="3"/>
  <c r="L283" i="3"/>
  <c r="R283" i="3"/>
  <c r="V283" i="3"/>
  <c r="AB283" i="3"/>
  <c r="AE283" i="3"/>
  <c r="AG283" i="3"/>
  <c r="L303" i="3"/>
  <c r="K303" i="3"/>
  <c r="J303" i="3"/>
  <c r="T755" i="1"/>
  <c r="Y755" i="1"/>
  <c r="AE755" i="1"/>
  <c r="AH755" i="1"/>
  <c r="R966" i="3"/>
  <c r="J966" i="3"/>
  <c r="L966" i="3"/>
  <c r="K966" i="3"/>
  <c r="K771" i="2"/>
  <c r="J771" i="2"/>
  <c r="L771" i="2"/>
  <c r="K578" i="3"/>
  <c r="J578" i="3"/>
  <c r="L578" i="3"/>
  <c r="L545" i="2"/>
  <c r="K545" i="2"/>
  <c r="J545" i="2"/>
  <c r="K43" i="3"/>
  <c r="J43" i="3"/>
  <c r="L43" i="3"/>
  <c r="K820" i="3"/>
  <c r="J820" i="3"/>
  <c r="L820" i="3"/>
  <c r="Q193" i="2"/>
  <c r="J193" i="2"/>
  <c r="L193" i="2"/>
  <c r="K193" i="2"/>
  <c r="R66" i="3"/>
  <c r="V66" i="3"/>
  <c r="AB66" i="3"/>
  <c r="AE66" i="3"/>
  <c r="AG66" i="3"/>
  <c r="L188" i="2"/>
  <c r="K188" i="2"/>
  <c r="J188" i="2"/>
  <c r="Q967" i="2"/>
  <c r="K125" i="3"/>
  <c r="J125" i="3"/>
  <c r="L125" i="3"/>
  <c r="L806" i="1"/>
  <c r="K806" i="1"/>
  <c r="T806" i="1"/>
  <c r="Y806" i="1"/>
  <c r="AE806" i="1"/>
  <c r="AH806" i="1"/>
  <c r="R939" i="3"/>
  <c r="Q752" i="2"/>
  <c r="Q404" i="2"/>
  <c r="J404" i="2"/>
  <c r="L404" i="2"/>
  <c r="K404" i="2"/>
  <c r="Q945" i="2"/>
  <c r="V945" i="2"/>
  <c r="AB945" i="2"/>
  <c r="AE945" i="2"/>
  <c r="K404" i="3"/>
  <c r="J404" i="3"/>
  <c r="L404" i="3"/>
  <c r="R404" i="3"/>
  <c r="W404" i="3"/>
  <c r="AC404" i="3"/>
  <c r="AF404" i="3"/>
  <c r="K521" i="2"/>
  <c r="J521" i="2"/>
  <c r="L521" i="2"/>
  <c r="K327" i="2"/>
  <c r="J327" i="2"/>
  <c r="L327" i="2"/>
  <c r="Q327" i="2"/>
  <c r="V327" i="2"/>
  <c r="AB327" i="2"/>
  <c r="AE327" i="2"/>
  <c r="K356" i="2"/>
  <c r="J356" i="2"/>
  <c r="L356" i="2"/>
  <c r="Q441" i="2"/>
  <c r="L324" i="3"/>
  <c r="K324" i="3"/>
  <c r="J324" i="3"/>
  <c r="L201" i="2"/>
  <c r="K201" i="2"/>
  <c r="J201" i="2"/>
  <c r="L779" i="2"/>
  <c r="K779" i="2"/>
  <c r="J779" i="2"/>
  <c r="L221" i="3"/>
  <c r="K221" i="3"/>
  <c r="J221" i="3"/>
  <c r="R812" i="3"/>
  <c r="K833" i="2"/>
  <c r="J833" i="2"/>
  <c r="L833" i="2"/>
  <c r="R783" i="3"/>
  <c r="Q688" i="2"/>
  <c r="K257" i="2"/>
  <c r="J257" i="2"/>
  <c r="L257" i="2"/>
  <c r="T836" i="1"/>
  <c r="Y836" i="1"/>
  <c r="AE836" i="1"/>
  <c r="AH836" i="1"/>
  <c r="K561" i="3"/>
  <c r="J561" i="3"/>
  <c r="L561" i="3"/>
  <c r="K516" i="2"/>
  <c r="J516" i="2"/>
  <c r="L516" i="2"/>
  <c r="Q518" i="2"/>
  <c r="U518" i="2"/>
  <c r="AA518" i="2"/>
  <c r="AD518" i="2"/>
  <c r="AF518" i="2"/>
  <c r="L634" i="3"/>
  <c r="K634" i="3"/>
  <c r="J634" i="3"/>
  <c r="K926" i="2"/>
  <c r="J926" i="2"/>
  <c r="L926" i="2"/>
  <c r="Q881" i="2"/>
  <c r="K419" i="3"/>
  <c r="J419" i="3"/>
  <c r="L419" i="3"/>
  <c r="L999" i="1"/>
  <c r="K999" i="1"/>
  <c r="V620" i="2"/>
  <c r="AB620" i="2"/>
  <c r="AE620" i="2"/>
  <c r="V806" i="2"/>
  <c r="AB806" i="2"/>
  <c r="AE806" i="2"/>
  <c r="L688" i="1"/>
  <c r="K688" i="1"/>
  <c r="L421" i="2"/>
  <c r="K421" i="2"/>
  <c r="J421" i="2"/>
  <c r="K453" i="3"/>
  <c r="J453" i="3"/>
  <c r="L453" i="3"/>
  <c r="K100" i="3"/>
  <c r="J100" i="3"/>
  <c r="L100" i="3"/>
  <c r="L908" i="2"/>
  <c r="K908" i="2"/>
  <c r="J908" i="2"/>
  <c r="K450" i="2"/>
  <c r="J450" i="2"/>
  <c r="L450" i="2"/>
  <c r="K817" i="2"/>
  <c r="J817" i="2"/>
  <c r="L817" i="2"/>
  <c r="K74" i="3"/>
  <c r="J74" i="3"/>
  <c r="L74" i="3"/>
  <c r="L869" i="3"/>
  <c r="K869" i="3"/>
  <c r="J869" i="3"/>
  <c r="K976" i="2"/>
  <c r="J976" i="2"/>
  <c r="L976" i="2"/>
  <c r="K598" i="2"/>
  <c r="J598" i="2"/>
  <c r="L598" i="2"/>
  <c r="L868" i="1"/>
  <c r="K868" i="1"/>
  <c r="K652" i="3"/>
  <c r="J652" i="3"/>
  <c r="L652" i="3"/>
  <c r="L479" i="3"/>
  <c r="K479" i="3"/>
  <c r="J479" i="3"/>
  <c r="L421" i="3"/>
  <c r="K421" i="3"/>
  <c r="J421" i="3"/>
  <c r="L550" i="3"/>
  <c r="K550" i="3"/>
  <c r="J550" i="3"/>
  <c r="L786" i="3"/>
  <c r="K786" i="3"/>
  <c r="J786" i="3"/>
  <c r="R959" i="3"/>
  <c r="V959" i="3"/>
  <c r="AB959" i="3"/>
  <c r="AE959" i="3"/>
  <c r="AG959" i="3"/>
  <c r="M1017" i="1"/>
  <c r="T1017" i="1"/>
  <c r="L852" i="2"/>
  <c r="K852" i="2"/>
  <c r="J852" i="2"/>
  <c r="T900" i="1"/>
  <c r="Y900" i="1"/>
  <c r="AE900" i="1"/>
  <c r="AH900" i="1"/>
  <c r="AJ900" i="1"/>
  <c r="T905" i="1"/>
  <c r="Y905" i="1"/>
  <c r="AE905" i="1"/>
  <c r="AH905" i="1"/>
  <c r="K415" i="3"/>
  <c r="J415" i="3"/>
  <c r="L415" i="3"/>
  <c r="Q828" i="2"/>
  <c r="R173" i="3"/>
  <c r="V173" i="3"/>
  <c r="AB173" i="3"/>
  <c r="AE173" i="3"/>
  <c r="AG173" i="3"/>
  <c r="Q701" i="2"/>
  <c r="K758" i="2"/>
  <c r="J758" i="2"/>
  <c r="L758" i="2"/>
  <c r="R482" i="3"/>
  <c r="K795" i="2"/>
  <c r="J795" i="2"/>
  <c r="L795" i="2"/>
  <c r="L694" i="3"/>
  <c r="K694" i="3"/>
  <c r="J694" i="3"/>
  <c r="L380" i="2"/>
  <c r="K380" i="2"/>
  <c r="J380" i="2"/>
  <c r="K822" i="2"/>
  <c r="J822" i="2"/>
  <c r="L822" i="2"/>
  <c r="K304" i="3"/>
  <c r="J304" i="3"/>
  <c r="L304" i="3"/>
  <c r="K946" i="2"/>
  <c r="J946" i="2"/>
  <c r="L946" i="2"/>
  <c r="L364" i="3"/>
  <c r="K364" i="3"/>
  <c r="J364" i="3"/>
  <c r="K272" i="3"/>
  <c r="J272" i="3"/>
  <c r="L272" i="3"/>
  <c r="K890" i="2"/>
  <c r="J890" i="2"/>
  <c r="L890" i="2"/>
  <c r="K770" i="3"/>
  <c r="J770" i="3"/>
  <c r="L770" i="3"/>
  <c r="K860" i="2"/>
  <c r="J860" i="2"/>
  <c r="L860" i="2"/>
  <c r="W133" i="3"/>
  <c r="AC133" i="3"/>
  <c r="AF133" i="3"/>
  <c r="AH133" i="3"/>
  <c r="AG700" i="2"/>
  <c r="R394" i="3"/>
  <c r="L545" i="3"/>
  <c r="K545" i="3"/>
  <c r="J545" i="3"/>
  <c r="K574" i="3"/>
  <c r="J574" i="3"/>
  <c r="L574" i="3"/>
  <c r="K919" i="2"/>
  <c r="J919" i="2"/>
  <c r="L919" i="2"/>
  <c r="K682" i="3"/>
  <c r="J682" i="3"/>
  <c r="L682" i="3"/>
  <c r="R682" i="3"/>
  <c r="W682" i="3"/>
  <c r="AC682" i="3"/>
  <c r="AF682" i="3"/>
  <c r="AH682" i="3"/>
  <c r="L811" i="1"/>
  <c r="K811" i="1"/>
  <c r="L279" i="3"/>
  <c r="K279" i="3"/>
  <c r="J279" i="3"/>
  <c r="R742" i="3"/>
  <c r="Q316" i="2"/>
  <c r="V316" i="2"/>
  <c r="AB316" i="2"/>
  <c r="AE316" i="2"/>
  <c r="K240" i="2"/>
  <c r="J240" i="2"/>
  <c r="L240" i="2"/>
  <c r="Q240" i="2"/>
  <c r="U240" i="2"/>
  <c r="AA240" i="2"/>
  <c r="AD240" i="2"/>
  <c r="AF240" i="2"/>
  <c r="Q214" i="2"/>
  <c r="V214" i="2"/>
  <c r="AB214" i="2"/>
  <c r="AE214" i="2"/>
  <c r="L594" i="3"/>
  <c r="K594" i="3"/>
  <c r="J594" i="3"/>
  <c r="R427" i="3"/>
  <c r="V207" i="3"/>
  <c r="AB207" i="3"/>
  <c r="AE207" i="3"/>
  <c r="AG207" i="3"/>
  <c r="Q857" i="2"/>
  <c r="V857" i="2"/>
  <c r="AB857" i="2"/>
  <c r="AE857" i="2"/>
  <c r="Q440" i="2"/>
  <c r="L275" i="2"/>
  <c r="K275" i="2"/>
  <c r="J275" i="2"/>
  <c r="Q1000" i="2"/>
  <c r="U1000" i="2"/>
  <c r="AA1000" i="2"/>
  <c r="AD1000" i="2"/>
  <c r="AF1000" i="2"/>
  <c r="R942" i="3"/>
  <c r="K515" i="3"/>
  <c r="J515" i="3"/>
  <c r="L515" i="3"/>
  <c r="K428" i="3"/>
  <c r="J428" i="3"/>
  <c r="L428" i="3"/>
  <c r="Q869" i="2"/>
  <c r="V869" i="2"/>
  <c r="AB869" i="2"/>
  <c r="AE869" i="2"/>
  <c r="K685" i="2"/>
  <c r="J685" i="2"/>
  <c r="L685" i="2"/>
  <c r="Q722" i="2"/>
  <c r="L529" i="2"/>
  <c r="K529" i="2"/>
  <c r="J529" i="2"/>
  <c r="K418" i="3"/>
  <c r="J418" i="3"/>
  <c r="L418" i="3"/>
  <c r="R866" i="3"/>
  <c r="Q551" i="2"/>
  <c r="V551" i="2"/>
  <c r="AB551" i="2"/>
  <c r="AE551" i="2"/>
  <c r="K568" i="2"/>
  <c r="J568" i="2"/>
  <c r="L568" i="2"/>
  <c r="K206" i="2"/>
  <c r="J206" i="2"/>
  <c r="L206" i="2"/>
  <c r="K306" i="3"/>
  <c r="J306" i="3"/>
  <c r="L306" i="3"/>
  <c r="R306" i="3"/>
  <c r="W306" i="3"/>
  <c r="AC306" i="3"/>
  <c r="AF306" i="3"/>
  <c r="Q922" i="2"/>
  <c r="V922" i="2"/>
  <c r="AB922" i="2"/>
  <c r="AE922" i="2"/>
  <c r="AG922" i="2"/>
  <c r="K327" i="3"/>
  <c r="J327" i="3"/>
  <c r="L327" i="3"/>
  <c r="K299" i="3"/>
  <c r="J299" i="3"/>
  <c r="L299" i="3"/>
  <c r="Q651" i="2"/>
  <c r="K215" i="3"/>
  <c r="J215" i="3"/>
  <c r="L215" i="3"/>
  <c r="L703" i="1"/>
  <c r="K703" i="1"/>
  <c r="Q318" i="2"/>
  <c r="Q741" i="2"/>
  <c r="L835" i="2"/>
  <c r="K835" i="2"/>
  <c r="J835" i="2"/>
  <c r="R185" i="3"/>
  <c r="W185" i="3"/>
  <c r="AC185" i="3"/>
  <c r="AF185" i="3"/>
  <c r="L526" i="3"/>
  <c r="K526" i="3"/>
  <c r="J526" i="3"/>
  <c r="K218" i="3"/>
  <c r="J218" i="3"/>
  <c r="L218" i="3"/>
  <c r="K593" i="2"/>
  <c r="J593" i="2"/>
  <c r="L593" i="2"/>
  <c r="Q593" i="2"/>
  <c r="V593" i="2"/>
  <c r="AB593" i="2"/>
  <c r="AE593" i="2"/>
  <c r="K930" i="2"/>
  <c r="J930" i="2"/>
  <c r="L930" i="2"/>
  <c r="Q930" i="2"/>
  <c r="V930" i="2"/>
  <c r="AB930" i="2"/>
  <c r="AE930" i="2"/>
  <c r="L848" i="1"/>
  <c r="K848" i="1"/>
  <c r="T848" i="1"/>
  <c r="Y848" i="1"/>
  <c r="AE848" i="1"/>
  <c r="AH848" i="1"/>
  <c r="L771" i="1"/>
  <c r="K771" i="1"/>
  <c r="K399" i="2"/>
  <c r="J399" i="2"/>
  <c r="L399" i="2"/>
  <c r="Q399" i="2"/>
  <c r="V399" i="2"/>
  <c r="AB399" i="2"/>
  <c r="AE399" i="2"/>
  <c r="AG399" i="2"/>
  <c r="K595" i="3"/>
  <c r="J595" i="3"/>
  <c r="L595" i="3"/>
  <c r="R262" i="3"/>
  <c r="K1004" i="2"/>
  <c r="J1004" i="2"/>
  <c r="L1004" i="2"/>
  <c r="K407" i="3"/>
  <c r="J407" i="3"/>
  <c r="L407" i="3"/>
  <c r="L976" i="1"/>
  <c r="K976" i="1"/>
  <c r="L61" i="3"/>
  <c r="K61" i="3"/>
  <c r="J61" i="3"/>
  <c r="K900" i="2"/>
  <c r="J900" i="2"/>
  <c r="L900" i="2"/>
  <c r="Q900" i="2"/>
  <c r="V900" i="2"/>
  <c r="AB900" i="2"/>
  <c r="AE900" i="2"/>
  <c r="L684" i="2"/>
  <c r="K684" i="2"/>
  <c r="J684" i="2"/>
  <c r="K664" i="2"/>
  <c r="J664" i="2"/>
  <c r="L664" i="2"/>
  <c r="Q664" i="2"/>
  <c r="U664" i="2"/>
  <c r="AA664" i="2"/>
  <c r="AD664" i="2"/>
  <c r="AF664" i="2"/>
  <c r="R765" i="3"/>
  <c r="L812" i="3"/>
  <c r="K812" i="3"/>
  <c r="J812" i="3"/>
  <c r="K704" i="3"/>
  <c r="J704" i="3"/>
  <c r="L704" i="3"/>
  <c r="K610" i="2"/>
  <c r="J610" i="2"/>
  <c r="L610" i="2"/>
  <c r="Q446" i="2"/>
  <c r="K591" i="3"/>
  <c r="J591" i="3"/>
  <c r="L591" i="3"/>
  <c r="R591" i="3"/>
  <c r="W591" i="3"/>
  <c r="AC591" i="3"/>
  <c r="AF591" i="3"/>
  <c r="K192" i="3"/>
  <c r="J192" i="3"/>
  <c r="L192" i="3"/>
  <c r="R192" i="3"/>
  <c r="W192" i="3"/>
  <c r="AC192" i="3"/>
  <c r="AF192" i="3"/>
  <c r="AH192" i="3"/>
  <c r="L202" i="3"/>
  <c r="K202" i="3"/>
  <c r="J202" i="3"/>
  <c r="K717" i="3"/>
  <c r="J717" i="3"/>
  <c r="L717" i="3"/>
  <c r="L310" i="2"/>
  <c r="K310" i="2"/>
  <c r="J310" i="2"/>
  <c r="K454" i="2"/>
  <c r="J454" i="2"/>
  <c r="L454" i="2"/>
  <c r="Q454" i="2"/>
  <c r="V454" i="2"/>
  <c r="AB454" i="2"/>
  <c r="AE454" i="2"/>
  <c r="K418" i="2"/>
  <c r="J418" i="2"/>
  <c r="L418" i="2"/>
  <c r="Q418" i="2"/>
  <c r="V418" i="2"/>
  <c r="AB418" i="2"/>
  <c r="AE418" i="2"/>
  <c r="AG418" i="2"/>
  <c r="L777" i="1"/>
  <c r="K777" i="1"/>
  <c r="L500" i="2"/>
  <c r="K500" i="2"/>
  <c r="J500" i="2"/>
  <c r="R439" i="3"/>
  <c r="K1006" i="2"/>
  <c r="J1006" i="2"/>
  <c r="L1006" i="2"/>
  <c r="K743" i="2"/>
  <c r="J743" i="2"/>
  <c r="L743" i="2"/>
  <c r="Q887" i="2"/>
  <c r="V887" i="2"/>
  <c r="AB887" i="2"/>
  <c r="AE887" i="2"/>
  <c r="K131" i="3"/>
  <c r="J131" i="3"/>
  <c r="L131" i="3"/>
  <c r="L188" i="3"/>
  <c r="K188" i="3"/>
  <c r="J188" i="3"/>
  <c r="L871" i="1"/>
  <c r="K871" i="1"/>
  <c r="K181" i="2"/>
  <c r="J181" i="2"/>
  <c r="L181" i="2"/>
  <c r="R343" i="3"/>
  <c r="L714" i="1"/>
  <c r="K714" i="1"/>
  <c r="K689" i="2"/>
  <c r="J689" i="2"/>
  <c r="L689" i="2"/>
  <c r="K112" i="3"/>
  <c r="J112" i="3"/>
  <c r="L112" i="3"/>
  <c r="L887" i="1"/>
  <c r="K887" i="1"/>
  <c r="L344" i="2"/>
  <c r="K344" i="2"/>
  <c r="J344" i="2"/>
  <c r="K950" i="3"/>
  <c r="J950" i="3"/>
  <c r="L950" i="3"/>
  <c r="R681" i="3"/>
  <c r="K589" i="2"/>
  <c r="J589" i="2"/>
  <c r="L589" i="2"/>
  <c r="K792" i="3"/>
  <c r="J792" i="3"/>
  <c r="L792" i="3"/>
  <c r="K288" i="3"/>
  <c r="J288" i="3"/>
  <c r="L288" i="3"/>
  <c r="L745" i="1"/>
  <c r="K745" i="1"/>
  <c r="K790" i="3"/>
  <c r="J790" i="3"/>
  <c r="L790" i="3"/>
  <c r="K877" i="2"/>
  <c r="J877" i="2"/>
  <c r="L877" i="2"/>
  <c r="L1017" i="1"/>
  <c r="K1017" i="1"/>
  <c r="K230" i="3"/>
  <c r="J230" i="3"/>
  <c r="L230" i="3"/>
  <c r="R230" i="3"/>
  <c r="V230" i="3"/>
  <c r="AB230" i="3"/>
  <c r="AE230" i="3"/>
  <c r="AG230" i="3"/>
  <c r="L228" i="3"/>
  <c r="K228" i="3"/>
  <c r="J228" i="3"/>
  <c r="R949" i="3"/>
  <c r="W949" i="3"/>
  <c r="AC949" i="3"/>
  <c r="AF949" i="3"/>
  <c r="K940" i="2"/>
  <c r="J940" i="2"/>
  <c r="L940" i="2"/>
  <c r="L795" i="1"/>
  <c r="K795" i="1"/>
  <c r="K434" i="3"/>
  <c r="J434" i="3"/>
  <c r="L434" i="3"/>
  <c r="K508" i="2"/>
  <c r="J508" i="2"/>
  <c r="L508" i="2"/>
  <c r="L520" i="2"/>
  <c r="K520" i="2"/>
  <c r="J520" i="2"/>
  <c r="K615" i="3"/>
  <c r="J615" i="3"/>
  <c r="L615" i="3"/>
  <c r="L974" i="2"/>
  <c r="K974" i="2"/>
  <c r="J974" i="2"/>
  <c r="K47" i="3"/>
  <c r="J47" i="3"/>
  <c r="L47" i="3"/>
  <c r="K841" i="3"/>
  <c r="J841" i="3"/>
  <c r="L841" i="3"/>
  <c r="Q581" i="2"/>
  <c r="K626" i="3"/>
  <c r="J626" i="3"/>
  <c r="L626" i="3"/>
  <c r="K83" i="3"/>
  <c r="J83" i="3"/>
  <c r="L83" i="3"/>
  <c r="L908" i="1"/>
  <c r="K908" i="1"/>
  <c r="T908" i="1"/>
  <c r="Y908" i="1"/>
  <c r="AE908" i="1"/>
  <c r="AH908" i="1"/>
  <c r="K910" i="3"/>
  <c r="J910" i="3"/>
  <c r="L910" i="3"/>
  <c r="Q624" i="2"/>
  <c r="K729" i="3"/>
  <c r="J729" i="3"/>
  <c r="L729" i="3"/>
  <c r="K699" i="2"/>
  <c r="J699" i="2"/>
  <c r="L699" i="2"/>
  <c r="L957" i="1"/>
  <c r="K957" i="1"/>
  <c r="L876" i="1"/>
  <c r="K876" i="1"/>
  <c r="Q756" i="2"/>
  <c r="L1002" i="1"/>
  <c r="K1002" i="1"/>
  <c r="K933" i="2"/>
  <c r="J933" i="2"/>
  <c r="L933" i="2"/>
  <c r="Q933" i="2"/>
  <c r="U933" i="2"/>
  <c r="AA933" i="2"/>
  <c r="AD933" i="2"/>
  <c r="AF933" i="2"/>
  <c r="K624" i="3"/>
  <c r="J624" i="3"/>
  <c r="L624" i="3"/>
  <c r="T883" i="1"/>
  <c r="Y883" i="1"/>
  <c r="AE883" i="1"/>
  <c r="AH883" i="1"/>
  <c r="K921" i="2"/>
  <c r="J921" i="2"/>
  <c r="L921" i="2"/>
  <c r="R30" i="3"/>
  <c r="V30" i="3"/>
  <c r="AB30" i="3"/>
  <c r="AE30" i="3"/>
  <c r="AG30" i="3"/>
  <c r="R564" i="3"/>
  <c r="K865" i="2"/>
  <c r="J865" i="2"/>
  <c r="L865" i="2"/>
  <c r="K241" i="3"/>
  <c r="J241" i="3"/>
  <c r="L241" i="3"/>
  <c r="L646" i="2"/>
  <c r="K646" i="2"/>
  <c r="J646" i="2"/>
  <c r="K457" i="2"/>
  <c r="J457" i="2"/>
  <c r="L457" i="2"/>
  <c r="K602" i="3"/>
  <c r="J602" i="3"/>
  <c r="L602" i="3"/>
  <c r="K292" i="3"/>
  <c r="J292" i="3"/>
  <c r="L292" i="3"/>
  <c r="K488" i="3"/>
  <c r="J488" i="3"/>
  <c r="L488" i="3"/>
  <c r="K971" i="2"/>
  <c r="J971" i="2"/>
  <c r="L971" i="2"/>
  <c r="Q971" i="2"/>
  <c r="V971" i="2"/>
  <c r="AB971" i="2"/>
  <c r="AE971" i="2"/>
  <c r="L855" i="1"/>
  <c r="K855" i="1"/>
  <c r="T855" i="1"/>
  <c r="Y855" i="1"/>
  <c r="AE855" i="1"/>
  <c r="AH855" i="1"/>
  <c r="AH632" i="3"/>
  <c r="Q807" i="2"/>
  <c r="V807" i="2"/>
  <c r="AB807" i="2"/>
  <c r="AE807" i="2"/>
  <c r="R970" i="3"/>
  <c r="K560" i="3"/>
  <c r="J560" i="3"/>
  <c r="L560" i="3"/>
  <c r="W264" i="3"/>
  <c r="AC264" i="3"/>
  <c r="AF264" i="3"/>
  <c r="AH264" i="3"/>
  <c r="L197" i="2"/>
  <c r="K197" i="2"/>
  <c r="J197" i="2"/>
  <c r="Q469" i="2"/>
  <c r="V469" i="2"/>
  <c r="AB469" i="2"/>
  <c r="AE469" i="2"/>
  <c r="L143" i="3"/>
  <c r="K143" i="3"/>
  <c r="J143" i="3"/>
  <c r="K939" i="3"/>
  <c r="J939" i="3"/>
  <c r="L939" i="3"/>
  <c r="K752" i="2"/>
  <c r="J752" i="2"/>
  <c r="L752" i="2"/>
  <c r="L680" i="1"/>
  <c r="K680" i="1"/>
  <c r="K459" i="2"/>
  <c r="J459" i="2"/>
  <c r="L459" i="2"/>
  <c r="W450" i="3"/>
  <c r="AC450" i="3"/>
  <c r="AF450" i="3"/>
  <c r="K345" i="2"/>
  <c r="J345" i="2"/>
  <c r="L345" i="2"/>
  <c r="Q686" i="2"/>
  <c r="R351" i="3"/>
  <c r="K373" i="3"/>
  <c r="J373" i="3"/>
  <c r="L373" i="3"/>
  <c r="Q783" i="2"/>
  <c r="K395" i="2"/>
  <c r="J395" i="2"/>
  <c r="L395" i="2"/>
  <c r="L556" i="3"/>
  <c r="K556" i="3"/>
  <c r="J556" i="3"/>
  <c r="K688" i="2"/>
  <c r="J688" i="2"/>
  <c r="L688" i="2"/>
  <c r="L873" i="2"/>
  <c r="K873" i="2"/>
  <c r="J873" i="2"/>
  <c r="R972" i="3"/>
  <c r="K546" i="3"/>
  <c r="J546" i="3"/>
  <c r="L546" i="3"/>
  <c r="R546" i="3"/>
  <c r="W546" i="3"/>
  <c r="AC546" i="3"/>
  <c r="AF546" i="3"/>
  <c r="AH546" i="3"/>
  <c r="L964" i="3"/>
  <c r="K964" i="3"/>
  <c r="J964" i="3"/>
  <c r="Q644" i="2"/>
  <c r="V644" i="2"/>
  <c r="AB644" i="2"/>
  <c r="AE644" i="2"/>
  <c r="K337" i="3"/>
  <c r="J337" i="3"/>
  <c r="L337" i="3"/>
  <c r="R745" i="3"/>
  <c r="K264" i="2"/>
  <c r="J264" i="2"/>
  <c r="L264" i="2"/>
  <c r="L800" i="3"/>
  <c r="K800" i="3"/>
  <c r="J800" i="3"/>
  <c r="K208" i="2"/>
  <c r="J208" i="2"/>
  <c r="L208" i="2"/>
  <c r="K317" i="3"/>
  <c r="J317" i="3"/>
  <c r="L317" i="3"/>
  <c r="V254" i="2"/>
  <c r="AB254" i="2"/>
  <c r="AE254" i="2"/>
  <c r="R912" i="3"/>
  <c r="K917" i="3"/>
  <c r="J917" i="3"/>
  <c r="L917" i="3"/>
  <c r="R818" i="3"/>
  <c r="W818" i="3"/>
  <c r="AC818" i="3"/>
  <c r="AF818" i="3"/>
  <c r="K881" i="2"/>
  <c r="J881" i="2"/>
  <c r="L881" i="2"/>
  <c r="R668" i="3"/>
  <c r="L733" i="3"/>
  <c r="K733" i="3"/>
  <c r="J733" i="3"/>
  <c r="K237" i="3"/>
  <c r="J237" i="3"/>
  <c r="L237" i="3"/>
  <c r="L878" i="1"/>
  <c r="K878" i="1"/>
  <c r="R956" i="3"/>
  <c r="W956" i="3"/>
  <c r="AC956" i="3"/>
  <c r="AF956" i="3"/>
  <c r="K697" i="2"/>
  <c r="J697" i="2"/>
  <c r="L697" i="2"/>
  <c r="K541" i="3"/>
  <c r="J541" i="3"/>
  <c r="L541" i="3"/>
  <c r="R541" i="3"/>
  <c r="W541" i="3"/>
  <c r="AC541" i="3"/>
  <c r="AF541" i="3"/>
  <c r="AH541" i="3"/>
  <c r="L117" i="3"/>
  <c r="K117" i="3"/>
  <c r="J117" i="3"/>
  <c r="K226" i="3"/>
  <c r="J226" i="3"/>
  <c r="L226" i="3"/>
  <c r="L962" i="3"/>
  <c r="K962" i="3"/>
  <c r="J962" i="3"/>
  <c r="R688" i="3"/>
  <c r="K110" i="3"/>
  <c r="J110" i="3"/>
  <c r="L110" i="3"/>
  <c r="K692" i="3"/>
  <c r="J692" i="3"/>
  <c r="L692" i="3"/>
  <c r="K138" i="3"/>
  <c r="J138" i="3"/>
  <c r="L138" i="3"/>
  <c r="K361" i="3"/>
  <c r="J361" i="3"/>
  <c r="L361" i="3"/>
  <c r="K619" i="3"/>
  <c r="J619" i="3"/>
  <c r="L619" i="3"/>
  <c r="R200" i="3"/>
  <c r="K601" i="3"/>
  <c r="J601" i="3"/>
  <c r="L601" i="3"/>
  <c r="R876" i="3"/>
  <c r="W876" i="3"/>
  <c r="AC876" i="3"/>
  <c r="AF876" i="3"/>
  <c r="K88" i="3"/>
  <c r="J88" i="3"/>
  <c r="L88" i="3"/>
  <c r="L182" i="2"/>
  <c r="K182" i="2"/>
  <c r="J182" i="2"/>
  <c r="R836" i="3"/>
  <c r="K987" i="3"/>
  <c r="J987" i="3"/>
  <c r="L987" i="3"/>
  <c r="K828" i="2"/>
  <c r="J828" i="2"/>
  <c r="L828" i="2"/>
  <c r="L981" i="1"/>
  <c r="K981" i="1"/>
  <c r="K675" i="3"/>
  <c r="J675" i="3"/>
  <c r="L675" i="3"/>
  <c r="K141" i="3"/>
  <c r="J141" i="3"/>
  <c r="L141" i="3"/>
  <c r="K482" i="3"/>
  <c r="J482" i="3"/>
  <c r="L482" i="3"/>
  <c r="K381" i="3"/>
  <c r="J381" i="3"/>
  <c r="L381" i="3"/>
  <c r="K640" i="2"/>
  <c r="J640" i="2"/>
  <c r="L640" i="2"/>
  <c r="L856" i="1"/>
  <c r="K856" i="1"/>
  <c r="K347" i="3"/>
  <c r="J347" i="3"/>
  <c r="L347" i="3"/>
  <c r="L809" i="1"/>
  <c r="K809" i="1"/>
  <c r="T809" i="1"/>
  <c r="Y809" i="1"/>
  <c r="AE809" i="1"/>
  <c r="AH809" i="1"/>
  <c r="AJ809" i="1"/>
  <c r="L722" i="3"/>
  <c r="K722" i="3"/>
  <c r="J722" i="3"/>
  <c r="K397" i="2"/>
  <c r="J397" i="2"/>
  <c r="L397" i="2"/>
  <c r="Q814" i="2"/>
  <c r="V814" i="2"/>
  <c r="AB814" i="2"/>
  <c r="AE814" i="2"/>
  <c r="L309" i="3"/>
  <c r="K309" i="3"/>
  <c r="J309" i="3"/>
  <c r="L877" i="1"/>
  <c r="K877" i="1"/>
  <c r="L677" i="1"/>
  <c r="K677" i="1"/>
  <c r="T677" i="1"/>
  <c r="Y677" i="1"/>
  <c r="AE677" i="1"/>
  <c r="AH677" i="1"/>
  <c r="L392" i="3"/>
  <c r="K392" i="3"/>
  <c r="J392" i="3"/>
  <c r="R590" i="3"/>
  <c r="L701" i="1"/>
  <c r="K701" i="1"/>
  <c r="K935" i="3"/>
  <c r="J935" i="3"/>
  <c r="L935" i="3"/>
  <c r="K128" i="3"/>
  <c r="J128" i="3"/>
  <c r="L128" i="3"/>
  <c r="Q577" i="2"/>
  <c r="L253" i="3"/>
  <c r="K253" i="3"/>
  <c r="J253" i="3"/>
  <c r="R256" i="3"/>
  <c r="W256" i="3"/>
  <c r="AC256" i="3"/>
  <c r="AF256" i="3"/>
  <c r="T826" i="1"/>
  <c r="Y826" i="1"/>
  <c r="AE826" i="1"/>
  <c r="AH826" i="1"/>
  <c r="K491" i="2"/>
  <c r="J491" i="2"/>
  <c r="L491" i="2"/>
  <c r="L883" i="2"/>
  <c r="K883" i="2"/>
  <c r="J883" i="2"/>
  <c r="K550" i="2"/>
  <c r="J550" i="2"/>
  <c r="L550" i="2"/>
  <c r="K804" i="3"/>
  <c r="J804" i="3"/>
  <c r="L804" i="3"/>
  <c r="K422" i="3"/>
  <c r="J422" i="3"/>
  <c r="L422" i="3"/>
  <c r="L252" i="3"/>
  <c r="K252" i="3"/>
  <c r="J252" i="3"/>
  <c r="K412" i="3"/>
  <c r="J412" i="3"/>
  <c r="L412" i="3"/>
  <c r="R412" i="3"/>
  <c r="W412" i="3"/>
  <c r="AC412" i="3"/>
  <c r="AF412" i="3"/>
  <c r="K797" i="3"/>
  <c r="J797" i="3"/>
  <c r="L797" i="3"/>
  <c r="L851" i="1"/>
  <c r="K851" i="1"/>
  <c r="T851" i="1"/>
  <c r="Y851" i="1"/>
  <c r="AE851" i="1"/>
  <c r="AH851" i="1"/>
  <c r="K393" i="3"/>
  <c r="J393" i="3"/>
  <c r="L393" i="3"/>
  <c r="L371" i="3"/>
  <c r="K371" i="3"/>
  <c r="J371" i="3"/>
  <c r="R150" i="3"/>
  <c r="L914" i="1"/>
  <c r="K914" i="1"/>
  <c r="L220" i="3"/>
  <c r="K220" i="3"/>
  <c r="J220" i="3"/>
  <c r="T1009" i="1"/>
  <c r="Y1009" i="1"/>
  <c r="AE1009" i="1"/>
  <c r="AH1009" i="1"/>
  <c r="K592" i="2"/>
  <c r="J592" i="2"/>
  <c r="L592" i="2"/>
  <c r="K935" i="2"/>
  <c r="J935" i="2"/>
  <c r="L935" i="2"/>
  <c r="K955" i="3"/>
  <c r="J955" i="3"/>
  <c r="L955" i="3"/>
  <c r="K987" i="2"/>
  <c r="J987" i="2"/>
  <c r="L987" i="2"/>
  <c r="K723" i="3"/>
  <c r="J723" i="3"/>
  <c r="L723" i="3"/>
  <c r="R723" i="3"/>
  <c r="W723" i="3"/>
  <c r="AC723" i="3"/>
  <c r="AF723" i="3"/>
  <c r="K651" i="2"/>
  <c r="J651" i="2"/>
  <c r="L651" i="2"/>
  <c r="L944" i="2"/>
  <c r="K944" i="2"/>
  <c r="J944" i="2"/>
  <c r="L954" i="1"/>
  <c r="K954" i="1"/>
  <c r="R286" i="3"/>
  <c r="K318" i="2"/>
  <c r="J318" i="2"/>
  <c r="L318" i="2"/>
  <c r="R308" i="3"/>
  <c r="W308" i="3"/>
  <c r="AC308" i="3"/>
  <c r="AF308" i="3"/>
  <c r="K443" i="2"/>
  <c r="J443" i="2"/>
  <c r="L443" i="2"/>
  <c r="L714" i="2"/>
  <c r="K714" i="2"/>
  <c r="J714" i="2"/>
  <c r="Q790" i="2"/>
  <c r="V790" i="2"/>
  <c r="AB790" i="2"/>
  <c r="AE790" i="2"/>
  <c r="L1015" i="1"/>
  <c r="K1015" i="1"/>
  <c r="K452" i="2"/>
  <c r="J452" i="2"/>
  <c r="L452" i="2"/>
  <c r="L826" i="1"/>
  <c r="K826" i="1"/>
  <c r="K442" i="2"/>
  <c r="J442" i="2"/>
  <c r="L442" i="2"/>
  <c r="K551" i="2"/>
  <c r="J551" i="2"/>
  <c r="L551" i="2"/>
  <c r="K262" i="3"/>
  <c r="J262" i="3"/>
  <c r="L262" i="3"/>
  <c r="L727" i="1"/>
  <c r="K727" i="1"/>
  <c r="L686" i="2"/>
  <c r="K686" i="2"/>
  <c r="J686" i="2"/>
  <c r="L970" i="1"/>
  <c r="K970" i="1"/>
  <c r="L947" i="1"/>
  <c r="K947" i="1"/>
  <c r="K635" i="3"/>
  <c r="J635" i="3"/>
  <c r="L635" i="3"/>
  <c r="R635" i="3"/>
  <c r="V635" i="3"/>
  <c r="AB635" i="3"/>
  <c r="AE635" i="3"/>
  <c r="AG635" i="3"/>
  <c r="L95" i="3"/>
  <c r="K95" i="3"/>
  <c r="J95" i="3"/>
  <c r="K992" i="3"/>
  <c r="J992" i="3"/>
  <c r="L992" i="3"/>
  <c r="K180" i="3"/>
  <c r="J180" i="3"/>
  <c r="L180" i="3"/>
  <c r="K321" i="2"/>
  <c r="J321" i="2"/>
  <c r="L321" i="2"/>
  <c r="K611" i="3"/>
  <c r="J611" i="3"/>
  <c r="L611" i="3"/>
  <c r="K151" i="3"/>
  <c r="J151" i="3"/>
  <c r="L151" i="3"/>
  <c r="R55" i="3"/>
  <c r="R207" i="3"/>
  <c r="W207" i="3"/>
  <c r="AC207" i="3"/>
  <c r="AF207" i="3"/>
  <c r="Q950" i="2"/>
  <c r="R589" i="3"/>
  <c r="R89" i="3"/>
  <c r="W89" i="3"/>
  <c r="AC89" i="3"/>
  <c r="AF89" i="3"/>
  <c r="K941" i="3"/>
  <c r="J941" i="3"/>
  <c r="L941" i="3"/>
  <c r="R523" i="3"/>
  <c r="K222" i="2"/>
  <c r="J222" i="2"/>
  <c r="L222" i="2"/>
  <c r="K439" i="3"/>
  <c r="J439" i="3"/>
  <c r="L439" i="3"/>
  <c r="AG691" i="2"/>
  <c r="Q980" i="2"/>
  <c r="V980" i="2"/>
  <c r="AB980" i="2"/>
  <c r="AE980" i="2"/>
  <c r="R542" i="3"/>
  <c r="K922" i="2"/>
  <c r="J922" i="2"/>
  <c r="L922" i="2"/>
  <c r="R744" i="3"/>
  <c r="W744" i="3"/>
  <c r="AC744" i="3"/>
  <c r="AF744" i="3"/>
  <c r="AG844" i="2"/>
  <c r="R696" i="3"/>
  <c r="L991" i="2"/>
  <c r="K991" i="2"/>
  <c r="J991" i="2"/>
  <c r="K557" i="2"/>
  <c r="J557" i="2"/>
  <c r="L557" i="2"/>
  <c r="K618" i="3"/>
  <c r="J618" i="3"/>
  <c r="L618" i="3"/>
  <c r="W891" i="3"/>
  <c r="AC891" i="3"/>
  <c r="AF891" i="3"/>
  <c r="K490" i="2"/>
  <c r="J490" i="2"/>
  <c r="L490" i="2"/>
  <c r="K645" i="3"/>
  <c r="J645" i="3"/>
  <c r="L645" i="3"/>
  <c r="L742" i="3"/>
  <c r="K742" i="3"/>
  <c r="J742" i="3"/>
  <c r="K903" i="2"/>
  <c r="J903" i="2"/>
  <c r="L903" i="2"/>
  <c r="L807" i="2"/>
  <c r="K807" i="2"/>
  <c r="J807" i="2"/>
  <c r="K497" i="2"/>
  <c r="J497" i="2"/>
  <c r="L497" i="2"/>
  <c r="K475" i="3"/>
  <c r="J475" i="3"/>
  <c r="L475" i="3"/>
  <c r="K790" i="2"/>
  <c r="J790" i="2"/>
  <c r="L790" i="2"/>
  <c r="Q951" i="2"/>
  <c r="T979" i="1"/>
  <c r="Y979" i="1"/>
  <c r="AE979" i="1"/>
  <c r="AH979" i="1"/>
  <c r="L480" i="3"/>
  <c r="K480" i="3"/>
  <c r="J480" i="3"/>
  <c r="K396" i="2"/>
  <c r="J396" i="2"/>
  <c r="L396" i="2"/>
  <c r="K339" i="3"/>
  <c r="J339" i="3"/>
  <c r="L339" i="3"/>
  <c r="R339" i="3"/>
  <c r="W339" i="3"/>
  <c r="AC339" i="3"/>
  <c r="AF339" i="3"/>
  <c r="AH339" i="3"/>
  <c r="R187" i="3"/>
  <c r="K378" i="3"/>
  <c r="J378" i="3"/>
  <c r="L378" i="3"/>
  <c r="L255" i="2"/>
  <c r="K255" i="2"/>
  <c r="J255" i="2"/>
  <c r="K185" i="2"/>
  <c r="J185" i="2"/>
  <c r="L185" i="2"/>
  <c r="Q185" i="2"/>
  <c r="V185" i="2"/>
  <c r="AB185" i="2"/>
  <c r="AE185" i="2"/>
  <c r="L293" i="3"/>
  <c r="K293" i="3"/>
  <c r="J293" i="3"/>
  <c r="L745" i="2"/>
  <c r="K745" i="2"/>
  <c r="J745" i="2"/>
  <c r="L289" i="2"/>
  <c r="K289" i="2"/>
  <c r="J289" i="2"/>
  <c r="L781" i="1"/>
  <c r="K781" i="1"/>
  <c r="K27" i="3"/>
  <c r="J27" i="3"/>
  <c r="L27" i="3"/>
  <c r="AG612" i="2"/>
  <c r="L637" i="2"/>
  <c r="K637" i="2"/>
  <c r="J637" i="2"/>
  <c r="K784" i="2"/>
  <c r="J784" i="2"/>
  <c r="L784" i="2"/>
  <c r="L936" i="3"/>
  <c r="K936" i="3"/>
  <c r="J936" i="3"/>
  <c r="K922" i="3"/>
  <c r="J922" i="3"/>
  <c r="L922" i="3"/>
  <c r="K933" i="3"/>
  <c r="J933" i="3"/>
  <c r="L933" i="3"/>
  <c r="L874" i="3"/>
  <c r="K874" i="3"/>
  <c r="J874" i="3"/>
  <c r="K666" i="3"/>
  <c r="J666" i="3"/>
  <c r="L666" i="3"/>
  <c r="K40" i="3"/>
  <c r="J40" i="3"/>
  <c r="L40" i="3"/>
  <c r="K571" i="2"/>
  <c r="J571" i="2"/>
  <c r="L571" i="2"/>
  <c r="K206" i="3"/>
  <c r="J206" i="3"/>
  <c r="L206" i="3"/>
  <c r="L713" i="3"/>
  <c r="K713" i="3"/>
  <c r="J713" i="3"/>
  <c r="L244" i="3"/>
  <c r="K244" i="3"/>
  <c r="J244" i="3"/>
  <c r="K726" i="2"/>
  <c r="J726" i="2"/>
  <c r="L726" i="2"/>
  <c r="L497" i="3"/>
  <c r="K497" i="3"/>
  <c r="J497" i="3"/>
  <c r="K729" i="2"/>
  <c r="J729" i="2"/>
  <c r="L729" i="2"/>
  <c r="L403" i="3"/>
  <c r="K403" i="3"/>
  <c r="J403" i="3"/>
  <c r="K30" i="3"/>
  <c r="J30" i="3"/>
  <c r="L30" i="3"/>
  <c r="L175" i="3"/>
  <c r="K175" i="3"/>
  <c r="J175" i="3"/>
  <c r="L741" i="1"/>
  <c r="K741" i="1"/>
  <c r="T741" i="1"/>
  <c r="X741" i="1"/>
  <c r="AD741" i="1"/>
  <c r="AG741" i="1"/>
  <c r="AI741" i="1"/>
  <c r="L711" i="1"/>
  <c r="K711" i="1"/>
  <c r="T711" i="1"/>
  <c r="X711" i="1"/>
  <c r="AD711" i="1"/>
  <c r="AG711" i="1"/>
  <c r="AI711" i="1"/>
  <c r="L667" i="2"/>
  <c r="K667" i="2"/>
  <c r="J667" i="2"/>
  <c r="R600" i="3"/>
  <c r="W600" i="3"/>
  <c r="AC600" i="3"/>
  <c r="AF600" i="3"/>
  <c r="R48" i="3"/>
  <c r="L413" i="3"/>
  <c r="K413" i="3"/>
  <c r="J413" i="3"/>
  <c r="K539" i="3"/>
  <c r="J539" i="3"/>
  <c r="L539" i="3"/>
  <c r="K398" i="3"/>
  <c r="J398" i="3"/>
  <c r="L398" i="3"/>
  <c r="Q941" i="2"/>
  <c r="U941" i="2"/>
  <c r="AA941" i="2"/>
  <c r="AD941" i="2"/>
  <c r="AF941" i="2"/>
  <c r="L348" i="2"/>
  <c r="K348" i="2"/>
  <c r="J348" i="2"/>
  <c r="K737" i="3"/>
  <c r="J737" i="3"/>
  <c r="L737" i="3"/>
  <c r="R298" i="3"/>
  <c r="L476" i="3"/>
  <c r="K476" i="3"/>
  <c r="J476" i="3"/>
  <c r="Q266" i="2"/>
  <c r="L937" i="1"/>
  <c r="K937" i="1"/>
  <c r="T937" i="1"/>
  <c r="Y937" i="1"/>
  <c r="AE937" i="1"/>
  <c r="AH937" i="1"/>
  <c r="K957" i="2"/>
  <c r="J957" i="2"/>
  <c r="L957" i="2"/>
  <c r="Q957" i="2"/>
  <c r="V957" i="2"/>
  <c r="AB957" i="2"/>
  <c r="AE957" i="2"/>
  <c r="K342" i="2"/>
  <c r="J342" i="2"/>
  <c r="L342" i="2"/>
  <c r="R930" i="3"/>
  <c r="L375" i="2"/>
  <c r="K375" i="2"/>
  <c r="J375" i="2"/>
  <c r="K551" i="3"/>
  <c r="J551" i="3"/>
  <c r="L551" i="3"/>
  <c r="K982" i="3"/>
  <c r="J982" i="3"/>
  <c r="L982" i="3"/>
  <c r="K358" i="2"/>
  <c r="J358" i="2"/>
  <c r="L358" i="2"/>
  <c r="Q902" i="2"/>
  <c r="K546" i="2"/>
  <c r="J546" i="2"/>
  <c r="L546" i="2"/>
  <c r="R588" i="3"/>
  <c r="K397" i="3"/>
  <c r="J397" i="3"/>
  <c r="L397" i="3"/>
  <c r="R397" i="3"/>
  <c r="W397" i="3"/>
  <c r="AC397" i="3"/>
  <c r="AF397" i="3"/>
  <c r="K423" i="2"/>
  <c r="J423" i="2"/>
  <c r="L423" i="2"/>
  <c r="L756" i="3"/>
  <c r="K756" i="3"/>
  <c r="J756" i="3"/>
  <c r="K559" i="2"/>
  <c r="J559" i="2"/>
  <c r="L559" i="2"/>
  <c r="K807" i="3"/>
  <c r="J807" i="3"/>
  <c r="L807" i="3"/>
  <c r="L570" i="2"/>
  <c r="K570" i="2"/>
  <c r="J570" i="2"/>
  <c r="L469" i="3"/>
  <c r="K469" i="3"/>
  <c r="J469" i="3"/>
  <c r="K805" i="3"/>
  <c r="J805" i="3"/>
  <c r="L805" i="3"/>
  <c r="L785" i="1"/>
  <c r="K785" i="1"/>
  <c r="L896" i="2"/>
  <c r="K896" i="2"/>
  <c r="J896" i="2"/>
  <c r="K500" i="3"/>
  <c r="J500" i="3"/>
  <c r="L500" i="3"/>
  <c r="L107" i="3"/>
  <c r="K107" i="3"/>
  <c r="J107" i="3"/>
  <c r="R146" i="3"/>
  <c r="K494" i="3"/>
  <c r="J494" i="3"/>
  <c r="L494" i="3"/>
  <c r="Q547" i="2"/>
  <c r="V547" i="2"/>
  <c r="AB547" i="2"/>
  <c r="AE547" i="2"/>
  <c r="K563" i="2"/>
  <c r="J563" i="2"/>
  <c r="L563" i="2"/>
  <c r="L210" i="3"/>
  <c r="K210" i="3"/>
  <c r="J210" i="3"/>
  <c r="Q963" i="2"/>
  <c r="V963" i="2"/>
  <c r="AB963" i="2"/>
  <c r="AE963" i="2"/>
  <c r="K949" i="2"/>
  <c r="J949" i="2"/>
  <c r="L949" i="2"/>
  <c r="Q949" i="2"/>
  <c r="V949" i="2"/>
  <c r="AB949" i="2"/>
  <c r="AE949" i="2"/>
  <c r="K338" i="3"/>
  <c r="J338" i="3"/>
  <c r="L338" i="3"/>
  <c r="R338" i="3"/>
  <c r="W338" i="3"/>
  <c r="AC338" i="3"/>
  <c r="AF338" i="3"/>
  <c r="Q351" i="2"/>
  <c r="V351" i="2"/>
  <c r="AB351" i="2"/>
  <c r="AE351" i="2"/>
  <c r="L211" i="2"/>
  <c r="K211" i="2"/>
  <c r="J211" i="2"/>
  <c r="K918" i="2"/>
  <c r="J918" i="2"/>
  <c r="L918" i="2"/>
  <c r="K511" i="3"/>
  <c r="J511" i="3"/>
  <c r="L511" i="3"/>
  <c r="R511" i="3"/>
  <c r="W511" i="3"/>
  <c r="AC511" i="3"/>
  <c r="AF511" i="3"/>
  <c r="L387" i="2"/>
  <c r="K387" i="2"/>
  <c r="J387" i="2"/>
  <c r="L162" i="3"/>
  <c r="K162" i="3"/>
  <c r="J162" i="3"/>
  <c r="L290" i="2"/>
  <c r="K290" i="2"/>
  <c r="J290" i="2"/>
  <c r="K152" i="3"/>
  <c r="J152" i="3"/>
  <c r="L152" i="3"/>
  <c r="K405" i="3"/>
  <c r="J405" i="3"/>
  <c r="L405" i="3"/>
  <c r="L332" i="2"/>
  <c r="K332" i="2"/>
  <c r="J332" i="2"/>
  <c r="L889" i="2"/>
  <c r="K889" i="2"/>
  <c r="J889" i="2"/>
  <c r="L511" i="2"/>
  <c r="K511" i="2"/>
  <c r="J511" i="2"/>
  <c r="R991" i="3"/>
  <c r="W991" i="3"/>
  <c r="AC991" i="3"/>
  <c r="AF991" i="3"/>
  <c r="K853" i="2"/>
  <c r="J853" i="2"/>
  <c r="L853" i="2"/>
  <c r="Q853" i="2"/>
  <c r="V853" i="2"/>
  <c r="AB853" i="2"/>
  <c r="AE853" i="2"/>
  <c r="AG853" i="2"/>
  <c r="L948" i="1"/>
  <c r="K948" i="1"/>
  <c r="Q405" i="2"/>
  <c r="K69" i="3"/>
  <c r="J69" i="3"/>
  <c r="L69" i="3"/>
  <c r="L895" i="3"/>
  <c r="K895" i="3"/>
  <c r="J895" i="3"/>
  <c r="L286" i="3"/>
  <c r="K286" i="3"/>
  <c r="J286" i="3"/>
  <c r="L704" i="1"/>
  <c r="K704" i="1"/>
  <c r="Q364" i="2"/>
  <c r="V364" i="2"/>
  <c r="AB364" i="2"/>
  <c r="AE364" i="2"/>
  <c r="L758" i="1"/>
  <c r="K758" i="1"/>
  <c r="R451" i="3"/>
  <c r="L224" i="3"/>
  <c r="K224" i="3"/>
  <c r="J224" i="3"/>
  <c r="AH931" i="3"/>
  <c r="K177" i="3"/>
  <c r="J177" i="3"/>
  <c r="L177" i="3"/>
  <c r="R348" i="3"/>
  <c r="K754" i="3"/>
  <c r="J754" i="3"/>
  <c r="L754" i="3"/>
  <c r="R754" i="3"/>
  <c r="W754" i="3"/>
  <c r="AC754" i="3"/>
  <c r="AF754" i="3"/>
  <c r="L580" i="2"/>
  <c r="K580" i="2"/>
  <c r="J580" i="2"/>
  <c r="K760" i="3"/>
  <c r="J760" i="3"/>
  <c r="L760" i="3"/>
  <c r="R760" i="3"/>
  <c r="W760" i="3"/>
  <c r="AC760" i="3"/>
  <c r="AF760" i="3"/>
  <c r="T724" i="1"/>
  <c r="Y724" i="1"/>
  <c r="AE724" i="1"/>
  <c r="AH724" i="1"/>
  <c r="L199" i="3"/>
  <c r="K199" i="3"/>
  <c r="J199" i="3"/>
  <c r="L323" i="3"/>
  <c r="K323" i="3"/>
  <c r="J323" i="3"/>
  <c r="K488" i="2"/>
  <c r="J488" i="2"/>
  <c r="L488" i="2"/>
  <c r="R149" i="3"/>
  <c r="K659" i="3"/>
  <c r="J659" i="3"/>
  <c r="L659" i="3"/>
  <c r="R477" i="3"/>
  <c r="W477" i="3"/>
  <c r="AC477" i="3"/>
  <c r="AF477" i="3"/>
  <c r="AH477" i="3"/>
  <c r="L736" i="2"/>
  <c r="K736" i="2"/>
  <c r="J736" i="2"/>
  <c r="Q324" i="2"/>
  <c r="V324" i="2"/>
  <c r="AB324" i="2"/>
  <c r="AE324" i="2"/>
  <c r="L917" i="1"/>
  <c r="K917" i="1"/>
  <c r="K203" i="2"/>
  <c r="J203" i="2"/>
  <c r="L203" i="2"/>
  <c r="K247" i="2"/>
  <c r="J247" i="2"/>
  <c r="L247" i="2"/>
  <c r="R555" i="3"/>
  <c r="K557" i="3"/>
  <c r="J557" i="3"/>
  <c r="L557" i="3"/>
  <c r="L97" i="3"/>
  <c r="K97" i="3"/>
  <c r="J97" i="3"/>
  <c r="L194" i="2"/>
  <c r="K194" i="2"/>
  <c r="J194" i="2"/>
  <c r="Q775" i="2"/>
  <c r="L243" i="2"/>
  <c r="K243" i="2"/>
  <c r="J243" i="2"/>
  <c r="K167" i="3"/>
  <c r="J167" i="3"/>
  <c r="L167" i="3"/>
  <c r="L924" i="1"/>
  <c r="K924" i="1"/>
  <c r="K319" i="3"/>
  <c r="J319" i="3"/>
  <c r="L319" i="3"/>
  <c r="K427" i="2"/>
  <c r="J427" i="2"/>
  <c r="L427" i="2"/>
  <c r="K825" i="3"/>
  <c r="J825" i="3"/>
  <c r="L825" i="3"/>
  <c r="V1009" i="2"/>
  <c r="AB1009" i="2"/>
  <c r="AE1009" i="2"/>
  <c r="L965" i="3"/>
  <c r="K965" i="3"/>
  <c r="J965" i="3"/>
  <c r="L269" i="3"/>
  <c r="K269" i="3"/>
  <c r="J269" i="3"/>
  <c r="L234" i="2"/>
  <c r="K234" i="2"/>
  <c r="J234" i="2"/>
  <c r="L640" i="3"/>
  <c r="K640" i="3"/>
  <c r="J640" i="3"/>
  <c r="Q859" i="2"/>
  <c r="L316" i="3"/>
  <c r="K316" i="3"/>
  <c r="J316" i="3"/>
  <c r="L981" i="3"/>
  <c r="K981" i="3"/>
  <c r="J981" i="3"/>
  <c r="K573" i="3"/>
  <c r="J573" i="3"/>
  <c r="L573" i="3"/>
  <c r="R573" i="3"/>
  <c r="W573" i="3"/>
  <c r="AC573" i="3"/>
  <c r="AF573" i="3"/>
  <c r="L589" i="3"/>
  <c r="K589" i="3"/>
  <c r="J589" i="3"/>
  <c r="K901" i="3"/>
  <c r="J901" i="3"/>
  <c r="L901" i="3"/>
  <c r="K289" i="3"/>
  <c r="J289" i="3"/>
  <c r="L289" i="3"/>
  <c r="R58" i="3"/>
  <c r="K646" i="3"/>
  <c r="J646" i="3"/>
  <c r="L646" i="3"/>
  <c r="L492" i="3"/>
  <c r="K492" i="3"/>
  <c r="J492" i="3"/>
  <c r="K772" i="3"/>
  <c r="J772" i="3"/>
  <c r="L772" i="3"/>
  <c r="L301" i="3"/>
  <c r="K301" i="3"/>
  <c r="J301" i="3"/>
  <c r="K1002" i="2"/>
  <c r="J1002" i="2"/>
  <c r="L1002" i="2"/>
  <c r="K670" i="2"/>
  <c r="J670" i="2"/>
  <c r="L670" i="2"/>
  <c r="L512" i="2"/>
  <c r="K512" i="2"/>
  <c r="J512" i="2"/>
  <c r="L549" i="3"/>
  <c r="K549" i="3"/>
  <c r="J549" i="3"/>
  <c r="L703" i="3"/>
  <c r="K703" i="3"/>
  <c r="J703" i="3"/>
  <c r="K342" i="3"/>
  <c r="J342" i="3"/>
  <c r="L342" i="3"/>
  <c r="R342" i="3"/>
  <c r="W342" i="3"/>
  <c r="AC342" i="3"/>
  <c r="AF342" i="3"/>
  <c r="AH342" i="3"/>
  <c r="L1010" i="1"/>
  <c r="K1010" i="1"/>
  <c r="L263" i="3"/>
  <c r="K263" i="3"/>
  <c r="J263" i="3"/>
  <c r="K541" i="2"/>
  <c r="J541" i="2"/>
  <c r="L541" i="2"/>
  <c r="K433" i="2"/>
  <c r="J433" i="2"/>
  <c r="L433" i="2"/>
  <c r="K698" i="2"/>
  <c r="J698" i="2"/>
  <c r="L698" i="2"/>
  <c r="L625" i="3"/>
  <c r="K625" i="3"/>
  <c r="J625" i="3"/>
  <c r="L554" i="2"/>
  <c r="K554" i="2"/>
  <c r="J554" i="2"/>
  <c r="R344" i="3"/>
  <c r="W344" i="3"/>
  <c r="AC344" i="3"/>
  <c r="AF344" i="3"/>
  <c r="AH344" i="3"/>
  <c r="L305" i="3"/>
  <c r="K305" i="3"/>
  <c r="J305" i="3"/>
  <c r="L317" i="2"/>
  <c r="K317" i="2"/>
  <c r="J317" i="2"/>
  <c r="Q449" i="2"/>
  <c r="Q414" i="2"/>
  <c r="K857" i="2"/>
  <c r="J857" i="2"/>
  <c r="L857" i="2"/>
  <c r="K219" i="2"/>
  <c r="J219" i="2"/>
  <c r="L219" i="2"/>
  <c r="L276" i="3"/>
  <c r="K276" i="3"/>
  <c r="J276" i="3"/>
  <c r="R164" i="3"/>
  <c r="W164" i="3"/>
  <c r="AC164" i="3"/>
  <c r="AF164" i="3"/>
  <c r="K709" i="3"/>
  <c r="J709" i="3"/>
  <c r="L709" i="3"/>
  <c r="R709" i="3"/>
  <c r="W709" i="3"/>
  <c r="AC709" i="3"/>
  <c r="AF709" i="3"/>
  <c r="R60" i="3"/>
  <c r="L330" i="3"/>
  <c r="K330" i="3"/>
  <c r="J330" i="3"/>
  <c r="L321" i="3"/>
  <c r="K321" i="3"/>
  <c r="J321" i="3"/>
  <c r="L160" i="3"/>
  <c r="K160" i="3"/>
  <c r="J160" i="3"/>
  <c r="Q279" i="2"/>
  <c r="V279" i="2"/>
  <c r="AB279" i="2"/>
  <c r="AE279" i="2"/>
  <c r="K585" i="2"/>
  <c r="J585" i="2"/>
  <c r="L585" i="2"/>
  <c r="R583" i="3"/>
  <c r="W583" i="3"/>
  <c r="AC583" i="3"/>
  <c r="AF583" i="3"/>
  <c r="L661" i="2"/>
  <c r="K661" i="2"/>
  <c r="J661" i="2"/>
  <c r="L548" i="3"/>
  <c r="K548" i="3"/>
  <c r="J548" i="3"/>
  <c r="L402" i="3"/>
  <c r="K402" i="3"/>
  <c r="J402" i="3"/>
  <c r="L560" i="2"/>
  <c r="K560" i="2"/>
  <c r="J560" i="2"/>
  <c r="L845" i="3"/>
  <c r="K845" i="3"/>
  <c r="J845" i="3"/>
  <c r="L848" i="3"/>
  <c r="K848" i="3"/>
  <c r="J848" i="3"/>
  <c r="K334" i="3"/>
  <c r="J334" i="3"/>
  <c r="L334" i="3"/>
  <c r="L512" i="3"/>
  <c r="K512" i="3"/>
  <c r="J512" i="3"/>
  <c r="K214" i="3"/>
  <c r="J214" i="3"/>
  <c r="L214" i="3"/>
  <c r="L660" i="2"/>
  <c r="K660" i="2"/>
  <c r="J660" i="2"/>
  <c r="K483" i="3"/>
  <c r="J483" i="3"/>
  <c r="L483" i="3"/>
  <c r="L380" i="3"/>
  <c r="K380" i="3"/>
  <c r="J380" i="3"/>
  <c r="L442" i="3"/>
  <c r="K442" i="3"/>
  <c r="J442" i="3"/>
  <c r="Q566" i="2"/>
  <c r="L63" i="3"/>
  <c r="K63" i="3"/>
  <c r="J63" i="3"/>
  <c r="L899" i="2"/>
  <c r="K899" i="2"/>
  <c r="J899" i="2"/>
  <c r="L429" i="3"/>
  <c r="K429" i="3"/>
  <c r="J429" i="3"/>
  <c r="K537" i="3"/>
  <c r="J537" i="3"/>
  <c r="L537" i="3"/>
  <c r="L544" i="3"/>
  <c r="K544" i="3"/>
  <c r="J544" i="3"/>
  <c r="K91" i="3"/>
  <c r="J91" i="3"/>
  <c r="L91" i="3"/>
  <c r="K370" i="3"/>
  <c r="J370" i="3"/>
  <c r="L370" i="3"/>
  <c r="K383" i="3"/>
  <c r="J383" i="3"/>
  <c r="L383" i="3"/>
  <c r="K878" i="3"/>
  <c r="J878" i="3"/>
  <c r="L878" i="3"/>
  <c r="Q436" i="2"/>
  <c r="K854" i="3"/>
  <c r="J854" i="3"/>
  <c r="L854" i="3"/>
  <c r="K636" i="3"/>
  <c r="J636" i="3"/>
  <c r="L636" i="3"/>
  <c r="K489" i="2"/>
  <c r="J489" i="2"/>
  <c r="L489" i="2"/>
  <c r="L749" i="3"/>
  <c r="K749" i="3"/>
  <c r="J749" i="3"/>
  <c r="L838" i="2"/>
  <c r="K838" i="2"/>
  <c r="J838" i="2"/>
  <c r="L184" i="3"/>
  <c r="K184" i="3"/>
  <c r="J184" i="3"/>
  <c r="K599" i="3"/>
  <c r="J599" i="3"/>
  <c r="L599" i="3"/>
  <c r="R599" i="3"/>
  <c r="W599" i="3"/>
  <c r="AC599" i="3"/>
  <c r="AF599" i="3"/>
  <c r="AH599" i="3"/>
  <c r="Q674" i="2"/>
  <c r="L791" i="1"/>
  <c r="K791" i="1"/>
  <c r="W132" i="3"/>
  <c r="AC132" i="3"/>
  <c r="AF132" i="3"/>
  <c r="Q341" i="2"/>
  <c r="L994" i="1"/>
  <c r="K994" i="1"/>
  <c r="V981" i="2"/>
  <c r="AB981" i="2"/>
  <c r="AE981" i="2"/>
  <c r="V306" i="2"/>
  <c r="AB306" i="2"/>
  <c r="AE306" i="2"/>
  <c r="T713" i="1"/>
  <c r="Y713" i="1"/>
  <c r="AE713" i="1"/>
  <c r="AH713" i="1"/>
  <c r="U620" i="2"/>
  <c r="AA620" i="2"/>
  <c r="AD620" i="2"/>
  <c r="AF620" i="2"/>
  <c r="R249" i="3"/>
  <c r="R968" i="3"/>
  <c r="Q383" i="2"/>
  <c r="R810" i="3"/>
  <c r="R34" i="3"/>
  <c r="W34" i="3"/>
  <c r="AC34" i="3"/>
  <c r="AF34" i="3"/>
  <c r="L566" i="3"/>
  <c r="K566" i="3"/>
  <c r="J566" i="3"/>
  <c r="R657" i="3"/>
  <c r="L873" i="1"/>
  <c r="K873" i="1"/>
  <c r="K820" i="2"/>
  <c r="J820" i="2"/>
  <c r="L820" i="2"/>
  <c r="K242" i="3"/>
  <c r="J242" i="3"/>
  <c r="L242" i="3"/>
  <c r="K713" i="2"/>
  <c r="J713" i="2"/>
  <c r="L713" i="2"/>
  <c r="V487" i="2"/>
  <c r="AB487" i="2"/>
  <c r="AE487" i="2"/>
  <c r="K924" i="2"/>
  <c r="J924" i="2"/>
  <c r="L924" i="2"/>
  <c r="K855" i="3"/>
  <c r="J855" i="3"/>
  <c r="L855" i="3"/>
  <c r="T850" i="1"/>
  <c r="X850" i="1"/>
  <c r="AD850" i="1"/>
  <c r="AG850" i="1"/>
  <c r="AI850" i="1"/>
  <c r="K596" i="2"/>
  <c r="J596" i="2"/>
  <c r="L596" i="2"/>
  <c r="V514" i="2"/>
  <c r="AB514" i="2"/>
  <c r="AE514" i="2"/>
  <c r="K483" i="2"/>
  <c r="J483" i="2"/>
  <c r="L483" i="2"/>
  <c r="K164" i="3"/>
  <c r="J164" i="3"/>
  <c r="L164" i="3"/>
  <c r="K983" i="3"/>
  <c r="J983" i="3"/>
  <c r="L983" i="3"/>
  <c r="T853" i="1"/>
  <c r="Y853" i="1"/>
  <c r="AE853" i="1"/>
  <c r="AH853" i="1"/>
  <c r="AJ853" i="1"/>
  <c r="K225" i="3"/>
  <c r="J225" i="3"/>
  <c r="L225" i="3"/>
  <c r="R159" i="3"/>
  <c r="K341" i="2"/>
  <c r="J341" i="2"/>
  <c r="L341" i="2"/>
  <c r="V983" i="2"/>
  <c r="AB983" i="2"/>
  <c r="AE983" i="2"/>
  <c r="K263" i="2"/>
  <c r="J263" i="2"/>
  <c r="L263" i="2"/>
  <c r="V912" i="2"/>
  <c r="AB912" i="2"/>
  <c r="AE912" i="2"/>
  <c r="R890" i="3"/>
  <c r="V890" i="3"/>
  <c r="AB890" i="3"/>
  <c r="AE890" i="3"/>
  <c r="AG890" i="3"/>
  <c r="W120" i="3"/>
  <c r="AC120" i="3"/>
  <c r="AF120" i="3"/>
  <c r="R96" i="3"/>
  <c r="R879" i="3"/>
  <c r="K190" i="3"/>
  <c r="J190" i="3"/>
  <c r="L190" i="3"/>
  <c r="K887" i="2"/>
  <c r="J887" i="2"/>
  <c r="L887" i="2"/>
  <c r="K963" i="2"/>
  <c r="J963" i="2"/>
  <c r="L963" i="2"/>
  <c r="V448" i="2"/>
  <c r="AB448" i="2"/>
  <c r="AE448" i="2"/>
  <c r="K259" i="3"/>
  <c r="J259" i="3"/>
  <c r="L259" i="3"/>
  <c r="K499" i="3"/>
  <c r="J499" i="3"/>
  <c r="L499" i="3"/>
  <c r="K947" i="2"/>
  <c r="J947" i="2"/>
  <c r="L947" i="2"/>
  <c r="K937" i="3"/>
  <c r="J937" i="3"/>
  <c r="L937" i="3"/>
  <c r="Q472" i="2"/>
  <c r="K793" i="2"/>
  <c r="J793" i="2"/>
  <c r="L793" i="2"/>
  <c r="K961" i="2"/>
  <c r="J961" i="2"/>
  <c r="L961" i="2"/>
  <c r="K977" i="2"/>
  <c r="J977" i="2"/>
  <c r="L977" i="2"/>
  <c r="K362" i="3"/>
  <c r="J362" i="3"/>
  <c r="L362" i="3"/>
  <c r="K849" i="2"/>
  <c r="J849" i="2"/>
  <c r="L849" i="2"/>
  <c r="R889" i="3"/>
  <c r="W431" i="3"/>
  <c r="AC431" i="3"/>
  <c r="AF431" i="3"/>
  <c r="AH431" i="3"/>
  <c r="K212" i="3"/>
  <c r="J212" i="3"/>
  <c r="L212" i="3"/>
  <c r="K111" i="3"/>
  <c r="J111" i="3"/>
  <c r="L111" i="3"/>
  <c r="K524" i="3"/>
  <c r="J524" i="3"/>
  <c r="L524" i="3"/>
  <c r="K200" i="3"/>
  <c r="J200" i="3"/>
  <c r="L200" i="3"/>
  <c r="K996" i="2"/>
  <c r="J996" i="2"/>
  <c r="L996" i="2"/>
  <c r="K856" i="2"/>
  <c r="J856" i="2"/>
  <c r="L856" i="2"/>
  <c r="R132" i="3"/>
  <c r="K437" i="2"/>
  <c r="J437" i="2"/>
  <c r="L437" i="2"/>
  <c r="K273" i="2"/>
  <c r="J273" i="2"/>
  <c r="L273" i="2"/>
  <c r="K66" i="3"/>
  <c r="J66" i="3"/>
  <c r="L66" i="3"/>
  <c r="R450" i="3"/>
  <c r="K376" i="2"/>
  <c r="J376" i="2"/>
  <c r="L376" i="2"/>
  <c r="K142" i="3"/>
  <c r="J142" i="3"/>
  <c r="L142" i="3"/>
  <c r="L503" i="3"/>
  <c r="K503" i="3"/>
  <c r="J503" i="3"/>
  <c r="L351" i="2"/>
  <c r="K351" i="2"/>
  <c r="J351" i="2"/>
  <c r="L200" i="2"/>
  <c r="K200" i="2"/>
  <c r="J200" i="2"/>
  <c r="Q1009" i="2"/>
  <c r="W724" i="3"/>
  <c r="AC724" i="3"/>
  <c r="AF724" i="3"/>
  <c r="K886" i="3"/>
  <c r="J886" i="3"/>
  <c r="L886" i="3"/>
  <c r="K213" i="2"/>
  <c r="J213" i="2"/>
  <c r="L213" i="2"/>
  <c r="L597" i="3"/>
  <c r="K597" i="3"/>
  <c r="J597" i="3"/>
  <c r="R484" i="3"/>
  <c r="K614" i="3"/>
  <c r="J614" i="3"/>
  <c r="L614" i="3"/>
  <c r="K453" i="2"/>
  <c r="J453" i="2"/>
  <c r="L453" i="2"/>
  <c r="L794" i="1"/>
  <c r="K794" i="1"/>
  <c r="Q254" i="2"/>
  <c r="L772" i="2"/>
  <c r="K772" i="2"/>
  <c r="J772" i="2"/>
  <c r="L77" i="3"/>
  <c r="K77" i="3"/>
  <c r="J77" i="3"/>
  <c r="R179" i="3"/>
  <c r="W179" i="3"/>
  <c r="AC179" i="3"/>
  <c r="AF179" i="3"/>
  <c r="L36" i="3"/>
  <c r="K36" i="3"/>
  <c r="J36" i="3"/>
  <c r="L533" i="2"/>
  <c r="K533" i="2"/>
  <c r="J533" i="2"/>
  <c r="K930" i="3"/>
  <c r="J930" i="3"/>
  <c r="L930" i="3"/>
  <c r="K56" i="3"/>
  <c r="J56" i="3"/>
  <c r="L56" i="3"/>
  <c r="K753" i="3"/>
  <c r="J753" i="3"/>
  <c r="L753" i="3"/>
  <c r="L792" i="1"/>
  <c r="K792" i="1"/>
  <c r="K530" i="2"/>
  <c r="J530" i="2"/>
  <c r="L530" i="2"/>
  <c r="K267" i="3"/>
  <c r="J267" i="3"/>
  <c r="L267" i="3"/>
  <c r="Q183" i="2"/>
  <c r="L724" i="1"/>
  <c r="K724" i="1"/>
  <c r="L703" i="2"/>
  <c r="K703" i="2"/>
  <c r="J703" i="2"/>
  <c r="L763" i="2"/>
  <c r="K763" i="2"/>
  <c r="J763" i="2"/>
  <c r="K386" i="3"/>
  <c r="J386" i="3"/>
  <c r="L386" i="3"/>
  <c r="K942" i="3"/>
  <c r="J942" i="3"/>
  <c r="L942" i="3"/>
  <c r="K890" i="3"/>
  <c r="J890" i="3"/>
  <c r="L890" i="3"/>
  <c r="L52" i="3"/>
  <c r="K52" i="3"/>
  <c r="J52" i="3"/>
  <c r="L807" i="1"/>
  <c r="K807" i="1"/>
  <c r="L850" i="3"/>
  <c r="K850" i="3"/>
  <c r="J850" i="3"/>
  <c r="U799" i="2"/>
  <c r="AA799" i="2"/>
  <c r="AD799" i="2"/>
  <c r="AF799" i="2"/>
  <c r="V607" i="2"/>
  <c r="AB607" i="2"/>
  <c r="AE607" i="2"/>
  <c r="AG607" i="2"/>
  <c r="K763" i="3"/>
  <c r="J763" i="3"/>
  <c r="L763" i="3"/>
  <c r="K35" i="3"/>
  <c r="J35" i="3"/>
  <c r="L35" i="3"/>
  <c r="L274" i="3"/>
  <c r="K274" i="3"/>
  <c r="J274" i="3"/>
  <c r="L104" i="3"/>
  <c r="K104" i="3"/>
  <c r="J104" i="3"/>
  <c r="K905" i="3"/>
  <c r="J905" i="3"/>
  <c r="L905" i="3"/>
  <c r="L818" i="3"/>
  <c r="K818" i="3"/>
  <c r="J818" i="3"/>
  <c r="K347" i="2"/>
  <c r="J347" i="2"/>
  <c r="L347" i="2"/>
  <c r="K429" i="2"/>
  <c r="J429" i="2"/>
  <c r="L429" i="2"/>
  <c r="K738" i="2"/>
  <c r="J738" i="2"/>
  <c r="L738" i="2"/>
  <c r="K90" i="3"/>
  <c r="J90" i="3"/>
  <c r="L90" i="3"/>
  <c r="L377" i="3"/>
  <c r="K377" i="3"/>
  <c r="J377" i="3"/>
  <c r="K794" i="2"/>
  <c r="J794" i="2"/>
  <c r="L794" i="2"/>
  <c r="K119" i="3"/>
  <c r="J119" i="3"/>
  <c r="L119" i="3"/>
  <c r="K831" i="2"/>
  <c r="J831" i="2"/>
  <c r="L831" i="2"/>
  <c r="K761" i="3"/>
  <c r="J761" i="3"/>
  <c r="L761" i="3"/>
  <c r="K275" i="3"/>
  <c r="J275" i="3"/>
  <c r="L275" i="3"/>
  <c r="K826" i="3"/>
  <c r="J826" i="3"/>
  <c r="L826" i="3"/>
  <c r="K313" i="2"/>
  <c r="J313" i="2"/>
  <c r="L313" i="2"/>
  <c r="K854" i="2"/>
  <c r="J854" i="2"/>
  <c r="L854" i="2"/>
  <c r="K776" i="3"/>
  <c r="J776" i="3"/>
  <c r="L776" i="3"/>
  <c r="K859" i="3"/>
  <c r="J859" i="3"/>
  <c r="L859" i="3"/>
  <c r="K864" i="2"/>
  <c r="J864" i="2"/>
  <c r="L864" i="2"/>
  <c r="K214" i="2"/>
  <c r="J214" i="2"/>
  <c r="L214" i="2"/>
  <c r="Q806" i="2"/>
  <c r="L947" i="3"/>
  <c r="K947" i="3"/>
  <c r="J947" i="3"/>
  <c r="K968" i="3"/>
  <c r="J968" i="3"/>
  <c r="L968" i="3"/>
  <c r="K597" i="2"/>
  <c r="J597" i="2"/>
  <c r="L597" i="2"/>
  <c r="K57" i="3"/>
  <c r="J57" i="3"/>
  <c r="L57" i="3"/>
  <c r="K766" i="3"/>
  <c r="J766" i="3"/>
  <c r="L766" i="3"/>
  <c r="L450" i="3"/>
  <c r="K450" i="3"/>
  <c r="J450" i="3"/>
  <c r="K383" i="2"/>
  <c r="J383" i="2"/>
  <c r="L383" i="2"/>
  <c r="K351" i="3"/>
  <c r="J351" i="3"/>
  <c r="L351" i="3"/>
  <c r="K810" i="3"/>
  <c r="J810" i="3"/>
  <c r="L810" i="3"/>
  <c r="K994" i="2"/>
  <c r="J994" i="2"/>
  <c r="L994" i="2"/>
  <c r="K386" i="2"/>
  <c r="J386" i="2"/>
  <c r="L386" i="2"/>
  <c r="K179" i="3"/>
  <c r="J179" i="3"/>
  <c r="L179" i="3"/>
  <c r="L556" i="2"/>
  <c r="K556" i="2"/>
  <c r="J556" i="2"/>
  <c r="K811" i="3"/>
  <c r="J811" i="3"/>
  <c r="L811" i="3"/>
  <c r="K558" i="3"/>
  <c r="J558" i="3"/>
  <c r="L558" i="3"/>
  <c r="L382" i="3"/>
  <c r="K382" i="3"/>
  <c r="J382" i="3"/>
  <c r="L928" i="3"/>
  <c r="K928" i="3"/>
  <c r="J928" i="3"/>
  <c r="K409" i="3"/>
  <c r="J409" i="3"/>
  <c r="L409" i="3"/>
  <c r="K708" i="3"/>
  <c r="J708" i="3"/>
  <c r="L708" i="3"/>
  <c r="Q470" i="2"/>
  <c r="V470" i="2"/>
  <c r="AB470" i="2"/>
  <c r="AE470" i="2"/>
  <c r="AG470" i="2"/>
  <c r="K60" i="3"/>
  <c r="J60" i="3"/>
  <c r="L60" i="3"/>
  <c r="K715" i="2"/>
  <c r="J715" i="2"/>
  <c r="L715" i="2"/>
  <c r="Q993" i="2"/>
  <c r="V993" i="2"/>
  <c r="AB993" i="2"/>
  <c r="AE993" i="2"/>
  <c r="AG993" i="2"/>
  <c r="L915" i="2"/>
  <c r="K915" i="2"/>
  <c r="J915" i="2"/>
  <c r="R885" i="3"/>
  <c r="W885" i="3"/>
  <c r="AC885" i="3"/>
  <c r="AF885" i="3"/>
  <c r="V377" i="2"/>
  <c r="AB377" i="2"/>
  <c r="AE377" i="2"/>
  <c r="AG377" i="2"/>
  <c r="K669" i="3"/>
  <c r="J669" i="3"/>
  <c r="L669" i="3"/>
  <c r="K470" i="2"/>
  <c r="J470" i="2"/>
  <c r="L470" i="2"/>
  <c r="L506" i="2"/>
  <c r="K506" i="2"/>
  <c r="J506" i="2"/>
  <c r="K224" i="2"/>
  <c r="J224" i="2"/>
  <c r="L224" i="2"/>
  <c r="L952" i="2"/>
  <c r="K952" i="2"/>
  <c r="J952" i="2"/>
  <c r="L990" i="3"/>
  <c r="K990" i="3"/>
  <c r="J990" i="3"/>
  <c r="R656" i="3"/>
  <c r="W656" i="3"/>
  <c r="AC656" i="3"/>
  <c r="AF656" i="3"/>
  <c r="L266" i="3"/>
  <c r="K266" i="3"/>
  <c r="J266" i="3"/>
  <c r="K183" i="3"/>
  <c r="J183" i="3"/>
  <c r="L183" i="3"/>
  <c r="L458" i="3"/>
  <c r="K458" i="3"/>
  <c r="J458" i="3"/>
  <c r="L905" i="1"/>
  <c r="K905" i="1"/>
  <c r="L699" i="1"/>
  <c r="K699" i="1"/>
  <c r="L374" i="3"/>
  <c r="K374" i="3"/>
  <c r="J374" i="3"/>
  <c r="K721" i="3"/>
  <c r="J721" i="3"/>
  <c r="L721" i="3"/>
  <c r="R721" i="3"/>
  <c r="W721" i="3"/>
  <c r="AC721" i="3"/>
  <c r="AF721" i="3"/>
  <c r="K894" i="3"/>
  <c r="J894" i="3"/>
  <c r="L894" i="3"/>
  <c r="R892" i="3"/>
  <c r="K967" i="2"/>
  <c r="J967" i="2"/>
  <c r="L967" i="2"/>
  <c r="R891" i="3"/>
  <c r="L493" i="3"/>
  <c r="K493" i="3"/>
  <c r="J493" i="3"/>
  <c r="K777" i="3"/>
  <c r="J777" i="3"/>
  <c r="L777" i="3"/>
  <c r="K96" i="3"/>
  <c r="J96" i="3"/>
  <c r="L96" i="3"/>
  <c r="K980" i="3"/>
  <c r="J980" i="3"/>
  <c r="L980" i="3"/>
  <c r="K70" i="3"/>
  <c r="J70" i="3"/>
  <c r="L70" i="3"/>
  <c r="K518" i="3"/>
  <c r="J518" i="3"/>
  <c r="L518" i="3"/>
  <c r="K282" i="2"/>
  <c r="J282" i="2"/>
  <c r="L282" i="2"/>
  <c r="K280" i="3"/>
  <c r="J280" i="3"/>
  <c r="L280" i="3"/>
  <c r="K798" i="3"/>
  <c r="J798" i="3"/>
  <c r="L798" i="3"/>
  <c r="L927" i="1"/>
  <c r="K927" i="1"/>
  <c r="L978" i="3"/>
  <c r="K978" i="3"/>
  <c r="J978" i="3"/>
  <c r="L845" i="2"/>
  <c r="K845" i="2"/>
  <c r="J845" i="2"/>
  <c r="L734" i="3"/>
  <c r="K734" i="3"/>
  <c r="J734" i="3"/>
  <c r="L254" i="3"/>
  <c r="K254" i="3"/>
  <c r="J254" i="3"/>
  <c r="K472" i="2"/>
  <c r="J472" i="2"/>
  <c r="L472" i="2"/>
  <c r="K843" i="2"/>
  <c r="J843" i="2"/>
  <c r="L843" i="2"/>
  <c r="L577" i="3"/>
  <c r="K577" i="3"/>
  <c r="J577" i="3"/>
  <c r="L717" i="1"/>
  <c r="K717" i="1"/>
  <c r="L477" i="3"/>
  <c r="K477" i="3"/>
  <c r="J477" i="3"/>
  <c r="K194" i="3"/>
  <c r="J194" i="3"/>
  <c r="L194" i="3"/>
  <c r="K889" i="3"/>
  <c r="J889" i="3"/>
  <c r="L889" i="3"/>
  <c r="V133" i="3"/>
  <c r="AB133" i="3"/>
  <c r="AE133" i="3"/>
  <c r="AG133" i="3"/>
  <c r="L851" i="2"/>
  <c r="K851" i="2"/>
  <c r="J851" i="2"/>
  <c r="K132" i="3"/>
  <c r="J132" i="3"/>
  <c r="L132" i="3"/>
  <c r="K245" i="2"/>
  <c r="J245" i="2"/>
  <c r="L245" i="2"/>
  <c r="K329" i="3"/>
  <c r="J329" i="3"/>
  <c r="L329" i="3"/>
  <c r="R724" i="3"/>
  <c r="K702" i="2"/>
  <c r="J702" i="2"/>
  <c r="L702" i="2"/>
  <c r="K601" i="2"/>
  <c r="J601" i="2"/>
  <c r="L601" i="2"/>
  <c r="L528" i="2"/>
  <c r="K528" i="2"/>
  <c r="J528" i="2"/>
  <c r="W914" i="3"/>
  <c r="AC914" i="3"/>
  <c r="AF914" i="3"/>
  <c r="AH914" i="3"/>
  <c r="L315" i="3"/>
  <c r="K315" i="3"/>
  <c r="J315" i="3"/>
  <c r="K199" i="2"/>
  <c r="J199" i="2"/>
  <c r="L199" i="2"/>
  <c r="K972" i="3"/>
  <c r="J972" i="3"/>
  <c r="L972" i="3"/>
  <c r="L458" i="2"/>
  <c r="K458" i="2"/>
  <c r="J458" i="2"/>
  <c r="K815" i="2"/>
  <c r="J815" i="2"/>
  <c r="L815" i="2"/>
  <c r="K777" i="2"/>
  <c r="J777" i="2"/>
  <c r="L777" i="2"/>
  <c r="K733" i="2"/>
  <c r="J733" i="2"/>
  <c r="L733" i="2"/>
  <c r="L359" i="3"/>
  <c r="K359" i="3"/>
  <c r="J359" i="3"/>
  <c r="K198" i="3"/>
  <c r="J198" i="3"/>
  <c r="L198" i="3"/>
  <c r="W441" i="3"/>
  <c r="AC441" i="3"/>
  <c r="AF441" i="3"/>
  <c r="Q895" i="2"/>
  <c r="L440" i="2"/>
  <c r="K440" i="2"/>
  <c r="J440" i="2"/>
  <c r="K419" i="2"/>
  <c r="J419" i="2"/>
  <c r="L419" i="2"/>
  <c r="K676" i="3"/>
  <c r="J676" i="3"/>
  <c r="L676" i="3"/>
  <c r="K678" i="3"/>
  <c r="J678" i="3"/>
  <c r="L678" i="3"/>
  <c r="L615" i="2"/>
  <c r="K615" i="2"/>
  <c r="J615" i="2"/>
  <c r="L307" i="2"/>
  <c r="K307" i="2"/>
  <c r="J307" i="2"/>
  <c r="K484" i="3"/>
  <c r="J484" i="3"/>
  <c r="L484" i="3"/>
  <c r="K333" i="3"/>
  <c r="J333" i="3"/>
  <c r="L333" i="3"/>
  <c r="L842" i="2"/>
  <c r="K842" i="2"/>
  <c r="J842" i="2"/>
  <c r="Y940" i="1"/>
  <c r="AE940" i="1"/>
  <c r="AH940" i="1"/>
  <c r="K372" i="2"/>
  <c r="J372" i="2"/>
  <c r="L372" i="2"/>
  <c r="K451" i="3"/>
  <c r="J451" i="3"/>
  <c r="L451" i="3"/>
  <c r="K910" i="2"/>
  <c r="J910" i="2"/>
  <c r="L910" i="2"/>
  <c r="Q258" i="2"/>
  <c r="R186" i="3"/>
  <c r="L460" i="2"/>
  <c r="K460" i="2"/>
  <c r="J460" i="2"/>
  <c r="R927" i="3"/>
  <c r="W927" i="3"/>
  <c r="AC927" i="3"/>
  <c r="AF927" i="3"/>
  <c r="L62" i="3"/>
  <c r="K62" i="3"/>
  <c r="J62" i="3"/>
  <c r="K596" i="3"/>
  <c r="J596" i="3"/>
  <c r="L596" i="3"/>
  <c r="L525" i="3"/>
  <c r="K525" i="3"/>
  <c r="J525" i="3"/>
  <c r="L454" i="3"/>
  <c r="K454" i="3"/>
  <c r="J454" i="3"/>
  <c r="K509" i="2"/>
  <c r="J509" i="2"/>
  <c r="L509" i="2"/>
  <c r="L217" i="3"/>
  <c r="K217" i="3"/>
  <c r="J217" i="3"/>
  <c r="L892" i="3"/>
  <c r="K892" i="3"/>
  <c r="J892" i="3"/>
  <c r="K388" i="3"/>
  <c r="J388" i="3"/>
  <c r="L388" i="3"/>
  <c r="L465" i="3"/>
  <c r="K465" i="3"/>
  <c r="J465" i="3"/>
  <c r="L687" i="3"/>
  <c r="K687" i="3"/>
  <c r="J687" i="3"/>
  <c r="R208" i="3"/>
  <c r="V208" i="3"/>
  <c r="AB208" i="3"/>
  <c r="AE208" i="3"/>
  <c r="AG208" i="3"/>
  <c r="L931" i="2"/>
  <c r="K931" i="2"/>
  <c r="J931" i="2"/>
  <c r="K814" i="2"/>
  <c r="J814" i="2"/>
  <c r="L814" i="2"/>
  <c r="Q964" i="2"/>
  <c r="K721" i="2"/>
  <c r="J721" i="2"/>
  <c r="L721" i="2"/>
  <c r="L185" i="3"/>
  <c r="K185" i="3"/>
  <c r="J185" i="3"/>
  <c r="L217" i="2"/>
  <c r="K217" i="2"/>
  <c r="J217" i="2"/>
  <c r="K208" i="3"/>
  <c r="J208" i="3"/>
  <c r="L208" i="3"/>
  <c r="K535" i="2"/>
  <c r="J535" i="2"/>
  <c r="L535" i="2"/>
  <c r="K668" i="3"/>
  <c r="J668" i="3"/>
  <c r="L668" i="3"/>
  <c r="K941" i="2"/>
  <c r="J941" i="2"/>
  <c r="L941" i="2"/>
  <c r="L706" i="1"/>
  <c r="K706" i="1"/>
  <c r="K918" i="3"/>
  <c r="J918" i="3"/>
  <c r="L918" i="3"/>
  <c r="K582" i="3"/>
  <c r="J582" i="3"/>
  <c r="L582" i="3"/>
  <c r="K530" i="3"/>
  <c r="J530" i="3"/>
  <c r="L530" i="3"/>
  <c r="L390" i="3"/>
  <c r="K390" i="3"/>
  <c r="J390" i="3"/>
  <c r="K481" i="2"/>
  <c r="J481" i="2"/>
  <c r="L481" i="2"/>
  <c r="K879" i="3"/>
  <c r="J879" i="3"/>
  <c r="L879" i="3"/>
  <c r="Q467" i="2"/>
  <c r="L661" i="1"/>
  <c r="K661" i="1"/>
  <c r="L478" i="2"/>
  <c r="K478" i="2"/>
  <c r="J478" i="2"/>
  <c r="K678" i="2"/>
  <c r="J678" i="2"/>
  <c r="L678" i="2"/>
  <c r="L934" i="3"/>
  <c r="K934" i="3"/>
  <c r="J934" i="3"/>
  <c r="L233" i="3"/>
  <c r="K233" i="3"/>
  <c r="J233" i="3"/>
  <c r="K547" i="3"/>
  <c r="J547" i="3"/>
  <c r="L547" i="3"/>
  <c r="K183" i="2"/>
  <c r="J183" i="2"/>
  <c r="L183" i="2"/>
  <c r="L738" i="1"/>
  <c r="K738" i="1"/>
  <c r="L826" i="2"/>
  <c r="K826" i="2"/>
  <c r="J826" i="2"/>
  <c r="K993" i="2"/>
  <c r="J993" i="2"/>
  <c r="L993" i="2"/>
  <c r="L979" i="1"/>
  <c r="K979" i="1"/>
  <c r="L484" i="2"/>
  <c r="K484" i="2"/>
  <c r="J484" i="2"/>
  <c r="K448" i="3"/>
  <c r="J448" i="3"/>
  <c r="L448" i="3"/>
  <c r="L931" i="1"/>
  <c r="K931" i="1"/>
  <c r="K538" i="3"/>
  <c r="J538" i="3"/>
  <c r="L538" i="3"/>
  <c r="Q988" i="2"/>
  <c r="V988" i="2"/>
  <c r="AB988" i="2"/>
  <c r="AE988" i="2"/>
  <c r="K435" i="2"/>
  <c r="J435" i="2"/>
  <c r="L435" i="2"/>
  <c r="K656" i="2"/>
  <c r="J656" i="2"/>
  <c r="L656" i="2"/>
  <c r="K741" i="2"/>
  <c r="J741" i="2"/>
  <c r="L741" i="2"/>
  <c r="R425" i="3"/>
  <c r="K749" i="2"/>
  <c r="J749" i="2"/>
  <c r="L749" i="2"/>
  <c r="K467" i="3"/>
  <c r="J467" i="3"/>
  <c r="L467" i="3"/>
  <c r="K806" i="2"/>
  <c r="J806" i="2"/>
  <c r="L806" i="2"/>
  <c r="K405" i="2"/>
  <c r="J405" i="2"/>
  <c r="L405" i="2"/>
  <c r="K585" i="3"/>
  <c r="J585" i="3"/>
  <c r="L585" i="3"/>
  <c r="K348" i="3"/>
  <c r="J348" i="3"/>
  <c r="L348" i="3"/>
  <c r="L364" i="2"/>
  <c r="K364" i="2"/>
  <c r="J364" i="2"/>
  <c r="K336" i="2"/>
  <c r="J336" i="2"/>
  <c r="L336" i="2"/>
  <c r="L824" i="3"/>
  <c r="K824" i="3"/>
  <c r="J824" i="3"/>
  <c r="R264" i="3"/>
  <c r="K320" i="3"/>
  <c r="J320" i="3"/>
  <c r="L320" i="3"/>
  <c r="L971" i="3"/>
  <c r="K971" i="3"/>
  <c r="J971" i="3"/>
  <c r="R940" i="3"/>
  <c r="W940" i="3"/>
  <c r="AC940" i="3"/>
  <c r="AF940" i="3"/>
  <c r="W842" i="3"/>
  <c r="AC842" i="3"/>
  <c r="AF842" i="3"/>
  <c r="Q587" i="2"/>
  <c r="K540" i="3"/>
  <c r="J540" i="3"/>
  <c r="L540" i="3"/>
  <c r="L968" i="1"/>
  <c r="K968" i="1"/>
  <c r="T968" i="1"/>
  <c r="Y968" i="1"/>
  <c r="AE968" i="1"/>
  <c r="AH968" i="1"/>
  <c r="L701" i="2"/>
  <c r="K701" i="2"/>
  <c r="J701" i="2"/>
  <c r="L394" i="3"/>
  <c r="K394" i="3"/>
  <c r="J394" i="3"/>
  <c r="L900" i="1"/>
  <c r="K900" i="1"/>
  <c r="K780" i="2"/>
  <c r="J780" i="2"/>
  <c r="L780" i="2"/>
  <c r="Q461" i="2"/>
  <c r="V461" i="2"/>
  <c r="AB461" i="2"/>
  <c r="AE461" i="2"/>
  <c r="L720" i="3"/>
  <c r="K720" i="3"/>
  <c r="J720" i="3"/>
  <c r="L895" i="2"/>
  <c r="K895" i="2"/>
  <c r="J895" i="2"/>
  <c r="K736" i="3"/>
  <c r="J736" i="3"/>
  <c r="L736" i="3"/>
  <c r="L813" i="3"/>
  <c r="K813" i="3"/>
  <c r="J813" i="3"/>
  <c r="K583" i="3"/>
  <c r="J583" i="3"/>
  <c r="L583" i="3"/>
  <c r="K817" i="3"/>
  <c r="J817" i="3"/>
  <c r="L817" i="3"/>
  <c r="L803" i="1"/>
  <c r="K803" i="1"/>
  <c r="L853" i="1"/>
  <c r="K853" i="1"/>
  <c r="L819" i="1"/>
  <c r="K819" i="1"/>
  <c r="L806" i="3"/>
  <c r="K806" i="3"/>
  <c r="J806" i="3"/>
  <c r="K666" i="2"/>
  <c r="J666" i="2"/>
  <c r="L666" i="2"/>
  <c r="L232" i="2"/>
  <c r="K232" i="2"/>
  <c r="J232" i="2"/>
  <c r="L471" i="2"/>
  <c r="K471" i="2"/>
  <c r="J471" i="2"/>
  <c r="K494" i="2"/>
  <c r="J494" i="2"/>
  <c r="L494" i="2"/>
  <c r="L964" i="2"/>
  <c r="K964" i="2"/>
  <c r="J964" i="2"/>
  <c r="K159" i="3"/>
  <c r="J159" i="3"/>
  <c r="L159" i="3"/>
  <c r="L222" i="3"/>
  <c r="K222" i="3"/>
  <c r="J222" i="3"/>
  <c r="Q620" i="2"/>
  <c r="K1003" i="2"/>
  <c r="J1003" i="2"/>
  <c r="L1003" i="2"/>
  <c r="K671" i="2"/>
  <c r="J671" i="2"/>
  <c r="L671" i="2"/>
  <c r="Q671" i="2"/>
  <c r="V671" i="2"/>
  <c r="AB671" i="2"/>
  <c r="AE671" i="2"/>
  <c r="K939" i="2"/>
  <c r="J939" i="2"/>
  <c r="L939" i="2"/>
  <c r="Q939" i="2"/>
  <c r="V939" i="2"/>
  <c r="AB939" i="2"/>
  <c r="AE939" i="2"/>
  <c r="L837" i="2"/>
  <c r="K837" i="2"/>
  <c r="J837" i="2"/>
  <c r="R441" i="3"/>
  <c r="L464" i="3"/>
  <c r="K464" i="3"/>
  <c r="J464" i="3"/>
  <c r="L819" i="3"/>
  <c r="K819" i="3"/>
  <c r="J819" i="3"/>
  <c r="K608" i="3"/>
  <c r="J608" i="3"/>
  <c r="L608" i="3"/>
  <c r="L834" i="3"/>
  <c r="K834" i="3"/>
  <c r="J834" i="3"/>
  <c r="K99" i="3"/>
  <c r="J99" i="3"/>
  <c r="L99" i="3"/>
  <c r="L801" i="3"/>
  <c r="K801" i="3"/>
  <c r="J801" i="3"/>
  <c r="L349" i="3"/>
  <c r="K349" i="3"/>
  <c r="J349" i="3"/>
  <c r="K709" i="2"/>
  <c r="J709" i="2"/>
  <c r="L709" i="2"/>
  <c r="L606" i="2"/>
  <c r="K606" i="2"/>
  <c r="J606" i="2"/>
  <c r="L624" i="2"/>
  <c r="K624" i="2"/>
  <c r="J624" i="2"/>
  <c r="L411" i="2"/>
  <c r="K411" i="2"/>
  <c r="J411" i="2"/>
  <c r="K34" i="3"/>
  <c r="J34" i="3"/>
  <c r="L34" i="3"/>
  <c r="L973" i="2"/>
  <c r="K973" i="2"/>
  <c r="J973" i="2"/>
  <c r="K992" i="2"/>
  <c r="J992" i="2"/>
  <c r="L992" i="2"/>
  <c r="K724" i="3"/>
  <c r="J724" i="3"/>
  <c r="L724" i="3"/>
  <c r="L376" i="3"/>
  <c r="K376" i="3"/>
  <c r="J376" i="3"/>
  <c r="K316" i="2"/>
  <c r="J316" i="2"/>
  <c r="L316" i="2"/>
  <c r="K300" i="3"/>
  <c r="J300" i="3"/>
  <c r="L300" i="3"/>
  <c r="K461" i="2"/>
  <c r="J461" i="2"/>
  <c r="L461" i="2"/>
  <c r="L136" i="3"/>
  <c r="K136" i="3"/>
  <c r="J136" i="3"/>
  <c r="K613" i="3"/>
  <c r="J613" i="3"/>
  <c r="L613" i="3"/>
  <c r="L498" i="2"/>
  <c r="K498" i="2"/>
  <c r="J498" i="2"/>
  <c r="L657" i="3"/>
  <c r="K657" i="3"/>
  <c r="J657" i="3"/>
  <c r="K994" i="3"/>
  <c r="J994" i="3"/>
  <c r="L994" i="3"/>
  <c r="L784" i="3"/>
  <c r="K784" i="3"/>
  <c r="J784" i="3"/>
  <c r="K692" i="2"/>
  <c r="J692" i="2"/>
  <c r="L692" i="2"/>
  <c r="L839" i="3"/>
  <c r="K839" i="3"/>
  <c r="J839" i="3"/>
  <c r="K332" i="3"/>
  <c r="J332" i="3"/>
  <c r="L332" i="3"/>
  <c r="L420" i="3"/>
  <c r="K420" i="3"/>
  <c r="J420" i="3"/>
  <c r="L346" i="2"/>
  <c r="K346" i="2"/>
  <c r="J346" i="2"/>
  <c r="K586" i="2"/>
  <c r="J586" i="2"/>
  <c r="L586" i="2"/>
  <c r="L862" i="3"/>
  <c r="K862" i="3"/>
  <c r="J862" i="3"/>
  <c r="R815" i="3"/>
  <c r="J815" i="3"/>
  <c r="L815" i="3"/>
  <c r="K815" i="3"/>
  <c r="K816" i="3"/>
  <c r="J816" i="3"/>
  <c r="L816" i="3"/>
  <c r="K710" i="3"/>
  <c r="J710" i="3"/>
  <c r="L710" i="3"/>
  <c r="K744" i="3"/>
  <c r="J744" i="3"/>
  <c r="L744" i="3"/>
  <c r="K518" i="2"/>
  <c r="J518" i="2"/>
  <c r="L518" i="2"/>
  <c r="K358" i="3"/>
  <c r="J358" i="3"/>
  <c r="L358" i="3"/>
  <c r="K966" i="2"/>
  <c r="J966" i="2"/>
  <c r="L966" i="2"/>
  <c r="K356" i="3"/>
  <c r="J356" i="3"/>
  <c r="L356" i="3"/>
  <c r="K363" i="2"/>
  <c r="J363" i="2"/>
  <c r="L363" i="2"/>
  <c r="R593" i="3"/>
  <c r="K51" i="3"/>
  <c r="J51" i="3"/>
  <c r="L51" i="3"/>
  <c r="K538" i="2"/>
  <c r="J538" i="2"/>
  <c r="L538" i="2"/>
  <c r="L876" i="2"/>
  <c r="K876" i="2"/>
  <c r="J876" i="2"/>
  <c r="K192" i="2"/>
  <c r="J192" i="2"/>
  <c r="L192" i="2"/>
  <c r="K258" i="2"/>
  <c r="J258" i="2"/>
  <c r="L258" i="2"/>
  <c r="L126" i="3"/>
  <c r="K126" i="3"/>
  <c r="J126" i="3"/>
  <c r="K186" i="3"/>
  <c r="J186" i="3"/>
  <c r="L186" i="3"/>
  <c r="K308" i="3"/>
  <c r="J308" i="3"/>
  <c r="L308" i="3"/>
  <c r="Q487" i="2"/>
  <c r="K470" i="3"/>
  <c r="J470" i="3"/>
  <c r="L470" i="3"/>
  <c r="L803" i="3"/>
  <c r="K803" i="3"/>
  <c r="J803" i="3"/>
  <c r="K954" i="3"/>
  <c r="J954" i="3"/>
  <c r="L954" i="3"/>
  <c r="L534" i="3"/>
  <c r="K534" i="3"/>
  <c r="J534" i="3"/>
  <c r="K257" i="3"/>
  <c r="J257" i="3"/>
  <c r="L257" i="3"/>
  <c r="Q981" i="2"/>
  <c r="K367" i="3"/>
  <c r="J367" i="3"/>
  <c r="L367" i="3"/>
  <c r="AH291" i="3"/>
  <c r="L1007" i="1"/>
  <c r="K1007" i="1"/>
  <c r="L769" i="3"/>
  <c r="K769" i="3"/>
  <c r="J769" i="3"/>
  <c r="R311" i="3"/>
  <c r="K474" i="3"/>
  <c r="J474" i="3"/>
  <c r="L474" i="3"/>
  <c r="L468" i="2"/>
  <c r="K468" i="2"/>
  <c r="J468" i="2"/>
  <c r="K525" i="2"/>
  <c r="J525" i="2"/>
  <c r="L525" i="2"/>
  <c r="L256" i="3"/>
  <c r="K256" i="3"/>
  <c r="J256" i="3"/>
  <c r="R842" i="3"/>
  <c r="L436" i="3"/>
  <c r="K436" i="3"/>
  <c r="J436" i="3"/>
  <c r="L201" i="3"/>
  <c r="K201" i="3"/>
  <c r="J201" i="3"/>
  <c r="L883" i="1"/>
  <c r="K883" i="1"/>
  <c r="L350" i="2"/>
  <c r="K350" i="2"/>
  <c r="J350" i="2"/>
  <c r="K664" i="3"/>
  <c r="J664" i="3"/>
  <c r="L664" i="3"/>
  <c r="K42" i="3"/>
  <c r="J42" i="3"/>
  <c r="L42" i="3"/>
  <c r="K708" i="2"/>
  <c r="J708" i="2"/>
  <c r="L708" i="2"/>
  <c r="Q708" i="2"/>
  <c r="V708" i="2"/>
  <c r="AB708" i="2"/>
  <c r="AE708" i="2"/>
  <c r="AG708" i="2"/>
  <c r="K469" i="2"/>
  <c r="J469" i="2"/>
  <c r="L469" i="2"/>
  <c r="K504" i="2"/>
  <c r="J504" i="2"/>
  <c r="L504" i="2"/>
  <c r="K630" i="2"/>
  <c r="J630" i="2"/>
  <c r="L630" i="2"/>
  <c r="Q630" i="2"/>
  <c r="V630" i="2"/>
  <c r="AB630" i="2"/>
  <c r="AE630" i="2"/>
  <c r="AG630" i="2"/>
  <c r="K144" i="3"/>
  <c r="J144" i="3"/>
  <c r="L144" i="3"/>
  <c r="K467" i="2"/>
  <c r="J467" i="2"/>
  <c r="L467" i="2"/>
  <c r="K514" i="3"/>
  <c r="J514" i="3"/>
  <c r="L514" i="3"/>
  <c r="K395" i="3"/>
  <c r="J395" i="3"/>
  <c r="L395" i="3"/>
  <c r="K873" i="3"/>
  <c r="J873" i="3"/>
  <c r="L873" i="3"/>
  <c r="K764" i="3"/>
  <c r="J764" i="3"/>
  <c r="L764" i="3"/>
  <c r="R764" i="3"/>
  <c r="W764" i="3"/>
  <c r="AC764" i="3"/>
  <c r="AF764" i="3"/>
  <c r="AH764" i="3"/>
  <c r="L324" i="2"/>
  <c r="K324" i="2"/>
  <c r="J324" i="2"/>
  <c r="K759" i="2"/>
  <c r="J759" i="2"/>
  <c r="L759" i="2"/>
  <c r="K909" i="2"/>
  <c r="J909" i="2"/>
  <c r="L909" i="2"/>
  <c r="L982" i="2"/>
  <c r="K982" i="2"/>
  <c r="J982" i="2"/>
  <c r="K659" i="2"/>
  <c r="J659" i="2"/>
  <c r="L659" i="2"/>
  <c r="K49" i="3"/>
  <c r="J49" i="3"/>
  <c r="L49" i="3"/>
  <c r="K298" i="2"/>
  <c r="J298" i="2"/>
  <c r="L298" i="2"/>
  <c r="K951" i="2"/>
  <c r="J951" i="2"/>
  <c r="L951" i="2"/>
  <c r="K643" i="2"/>
  <c r="J643" i="2"/>
  <c r="L643" i="2"/>
  <c r="L287" i="3"/>
  <c r="K287" i="3"/>
  <c r="J287" i="3"/>
  <c r="K425" i="3"/>
  <c r="J425" i="3"/>
  <c r="L425" i="3"/>
  <c r="K373" i="2"/>
  <c r="J373" i="2"/>
  <c r="L373" i="2"/>
  <c r="L756" i="2"/>
  <c r="K756" i="2"/>
  <c r="J756" i="2"/>
  <c r="K149" i="3"/>
  <c r="J149" i="3"/>
  <c r="L149" i="3"/>
  <c r="K897" i="3"/>
  <c r="J897" i="3"/>
  <c r="L897" i="3"/>
  <c r="K264" i="3"/>
  <c r="J264" i="3"/>
  <c r="L264" i="3"/>
  <c r="K677" i="3"/>
  <c r="J677" i="3"/>
  <c r="L677" i="3"/>
  <c r="Q893" i="2"/>
  <c r="K742" i="2"/>
  <c r="J742" i="2"/>
  <c r="L742" i="2"/>
  <c r="L501" i="2"/>
  <c r="K501" i="2"/>
  <c r="J501" i="2"/>
  <c r="L991" i="3"/>
  <c r="K991" i="3"/>
  <c r="J991" i="3"/>
  <c r="K89" i="3"/>
  <c r="J89" i="3"/>
  <c r="L89" i="3"/>
  <c r="L189" i="3"/>
  <c r="K189" i="3"/>
  <c r="J189" i="3"/>
  <c r="L922" i="1"/>
  <c r="K922" i="1"/>
  <c r="T922" i="1"/>
  <c r="Y922" i="1"/>
  <c r="AE922" i="1"/>
  <c r="AH922" i="1"/>
  <c r="K798" i="2"/>
  <c r="J798" i="2"/>
  <c r="L798" i="2"/>
  <c r="L430" i="2"/>
  <c r="K430" i="2"/>
  <c r="J430" i="2"/>
  <c r="K130" i="3"/>
  <c r="J130" i="3"/>
  <c r="L130" i="3"/>
  <c r="L126" i="1"/>
  <c r="K126" i="1"/>
  <c r="R931" i="3"/>
  <c r="W931" i="3"/>
  <c r="AC931" i="3"/>
  <c r="AF931" i="3"/>
  <c r="R771" i="3"/>
  <c r="L539" i="2"/>
  <c r="K539" i="2"/>
  <c r="J539" i="2"/>
  <c r="L591" i="2"/>
  <c r="K591" i="2"/>
  <c r="J591" i="2"/>
  <c r="K580" i="3"/>
  <c r="J580" i="3"/>
  <c r="L580" i="3"/>
  <c r="K847" i="3"/>
  <c r="J847" i="3"/>
  <c r="L847" i="3"/>
  <c r="K1009" i="2"/>
  <c r="J1009" i="2"/>
  <c r="L1009" i="2"/>
  <c r="L573" i="2"/>
  <c r="K573" i="2"/>
  <c r="J573" i="2"/>
  <c r="K719" i="2"/>
  <c r="J719" i="2"/>
  <c r="L719" i="2"/>
  <c r="K985" i="2"/>
  <c r="J985" i="2"/>
  <c r="L985" i="2"/>
  <c r="K903" i="3"/>
  <c r="J903" i="3"/>
  <c r="L903" i="3"/>
  <c r="K590" i="2"/>
  <c r="J590" i="2"/>
  <c r="L590" i="2"/>
  <c r="Q590" i="2"/>
  <c r="V590" i="2"/>
  <c r="AB590" i="2"/>
  <c r="AE590" i="2"/>
  <c r="L842" i="1"/>
  <c r="K842" i="1"/>
  <c r="L64" i="3"/>
  <c r="K64" i="3"/>
  <c r="J64" i="3"/>
  <c r="K231" i="2"/>
  <c r="J231" i="2"/>
  <c r="L231" i="2"/>
  <c r="Q231" i="2"/>
  <c r="V231" i="2"/>
  <c r="AB231" i="2"/>
  <c r="AE231" i="2"/>
  <c r="L457" i="3"/>
  <c r="K457" i="3"/>
  <c r="J457" i="3"/>
  <c r="L603" i="2"/>
  <c r="K603" i="2"/>
  <c r="J603" i="2"/>
  <c r="K757" i="3"/>
  <c r="J757" i="3"/>
  <c r="L757" i="3"/>
  <c r="R735" i="3"/>
  <c r="W735" i="3"/>
  <c r="AC735" i="3"/>
  <c r="AF735" i="3"/>
  <c r="L496" i="3"/>
  <c r="K496" i="3"/>
  <c r="J496" i="3"/>
  <c r="K295" i="2"/>
  <c r="J295" i="2"/>
  <c r="L295" i="2"/>
  <c r="K651" i="3"/>
  <c r="J651" i="3"/>
  <c r="L651" i="3"/>
  <c r="Q983" i="2"/>
  <c r="K735" i="3"/>
  <c r="J735" i="3"/>
  <c r="L735" i="3"/>
  <c r="K902" i="2"/>
  <c r="J902" i="2"/>
  <c r="L902" i="2"/>
  <c r="L978" i="2"/>
  <c r="K978" i="2"/>
  <c r="J978" i="2"/>
  <c r="Q912" i="2"/>
  <c r="K698" i="3"/>
  <c r="J698" i="3"/>
  <c r="L698" i="3"/>
  <c r="K626" i="2"/>
  <c r="J626" i="2"/>
  <c r="L626" i="2"/>
  <c r="Q617" i="2"/>
  <c r="V617" i="2"/>
  <c r="AB617" i="2"/>
  <c r="AE617" i="2"/>
  <c r="L581" i="2"/>
  <c r="K581" i="2"/>
  <c r="J581" i="2"/>
  <c r="R120" i="3"/>
  <c r="K706" i="2"/>
  <c r="J706" i="2"/>
  <c r="L706" i="2"/>
  <c r="Q706" i="2"/>
  <c r="V706" i="2"/>
  <c r="AB706" i="2"/>
  <c r="AE706" i="2"/>
  <c r="K620" i="2"/>
  <c r="J620" i="2"/>
  <c r="L620" i="2"/>
  <c r="R368" i="3"/>
  <c r="K472" i="3"/>
  <c r="J472" i="3"/>
  <c r="L472" i="3"/>
  <c r="K308" i="2"/>
  <c r="J308" i="2"/>
  <c r="L308" i="2"/>
  <c r="Q448" i="2"/>
  <c r="K302" i="3"/>
  <c r="J302" i="3"/>
  <c r="L302" i="3"/>
  <c r="K730" i="3"/>
  <c r="J730" i="3"/>
  <c r="L730" i="3"/>
  <c r="L1009" i="1"/>
  <c r="K1009" i="1"/>
  <c r="K219" i="3"/>
  <c r="J219" i="3"/>
  <c r="L219" i="3"/>
  <c r="K974" i="3"/>
  <c r="J974" i="3"/>
  <c r="L974" i="3"/>
  <c r="K466" i="2"/>
  <c r="J466" i="2"/>
  <c r="L466" i="2"/>
  <c r="K689" i="3"/>
  <c r="J689" i="3"/>
  <c r="L689" i="3"/>
  <c r="K767" i="3"/>
  <c r="J767" i="3"/>
  <c r="L767" i="3"/>
  <c r="K504" i="3"/>
  <c r="J504" i="3"/>
  <c r="L504" i="3"/>
  <c r="K637" i="3"/>
  <c r="J637" i="3"/>
  <c r="L637" i="3"/>
  <c r="Q799" i="2"/>
  <c r="L648" i="2"/>
  <c r="K648" i="2"/>
  <c r="J648" i="2"/>
  <c r="Q607" i="2"/>
  <c r="K335" i="2"/>
  <c r="J335" i="2"/>
  <c r="L335" i="2"/>
  <c r="K155" i="3"/>
  <c r="J155" i="3"/>
  <c r="L155" i="3"/>
  <c r="K446" i="2"/>
  <c r="J446" i="2"/>
  <c r="L446" i="2"/>
  <c r="L238" i="2"/>
  <c r="K238" i="2"/>
  <c r="J238" i="2"/>
  <c r="L752" i="3"/>
  <c r="K752" i="3"/>
  <c r="J752" i="3"/>
  <c r="L816" i="2"/>
  <c r="K816" i="2"/>
  <c r="J816" i="2"/>
  <c r="K745" i="3"/>
  <c r="J745" i="3"/>
  <c r="L745" i="3"/>
  <c r="L850" i="1"/>
  <c r="K850" i="1"/>
  <c r="K921" i="3"/>
  <c r="J921" i="3"/>
  <c r="L921" i="3"/>
  <c r="L366" i="3"/>
  <c r="K366" i="3"/>
  <c r="J366" i="3"/>
  <c r="K85" i="3"/>
  <c r="J85" i="3"/>
  <c r="L85" i="3"/>
  <c r="K636" i="2"/>
  <c r="J636" i="2"/>
  <c r="L636" i="2"/>
  <c r="K681" i="2"/>
  <c r="J681" i="2"/>
  <c r="L681" i="2"/>
  <c r="K718" i="3"/>
  <c r="J718" i="3"/>
  <c r="L718" i="3"/>
  <c r="K739" i="2"/>
  <c r="J739" i="2"/>
  <c r="L739" i="2"/>
  <c r="K609" i="3"/>
  <c r="J609" i="3"/>
  <c r="L609" i="3"/>
  <c r="K567" i="2"/>
  <c r="J567" i="2"/>
  <c r="L567" i="2"/>
  <c r="K618" i="2"/>
  <c r="J618" i="2"/>
  <c r="L618" i="2"/>
  <c r="L169" i="3"/>
  <c r="K169" i="3"/>
  <c r="J169" i="3"/>
  <c r="L780" i="3"/>
  <c r="K780" i="3"/>
  <c r="J780" i="3"/>
  <c r="K767" i="2"/>
  <c r="J767" i="2"/>
  <c r="L767" i="2"/>
  <c r="K663" i="2"/>
  <c r="J663" i="2"/>
  <c r="L663" i="2"/>
  <c r="K621" i="2"/>
  <c r="J621" i="2"/>
  <c r="L621" i="2"/>
  <c r="L623" i="3"/>
  <c r="K623" i="3"/>
  <c r="J623" i="3"/>
  <c r="K958" i="2"/>
  <c r="J958" i="2"/>
  <c r="L958" i="2"/>
  <c r="K282" i="3"/>
  <c r="J282" i="3"/>
  <c r="L282" i="3"/>
  <c r="L438" i="2"/>
  <c r="K438" i="2"/>
  <c r="J438" i="2"/>
  <c r="K273" i="3"/>
  <c r="J273" i="3"/>
  <c r="L273" i="3"/>
  <c r="K632" i="3"/>
  <c r="J632" i="3"/>
  <c r="L632" i="3"/>
  <c r="R632" i="3"/>
  <c r="W632" i="3"/>
  <c r="AC632" i="3"/>
  <c r="AF632" i="3"/>
  <c r="K163" i="3"/>
  <c r="J163" i="3"/>
  <c r="L163" i="3"/>
  <c r="L755" i="1"/>
  <c r="K755" i="1"/>
  <c r="L824" i="1"/>
  <c r="K824" i="1"/>
  <c r="Q645" i="2"/>
  <c r="Q377" i="2"/>
  <c r="Q230" i="2"/>
  <c r="K611" i="2"/>
  <c r="J611" i="2"/>
  <c r="L611" i="2"/>
  <c r="L888" i="3"/>
  <c r="K888" i="3"/>
  <c r="J888" i="3"/>
  <c r="K774" i="3"/>
  <c r="J774" i="3"/>
  <c r="L774" i="3"/>
  <c r="L563" i="3"/>
  <c r="K563" i="3"/>
  <c r="J563" i="3"/>
  <c r="L350" i="3"/>
  <c r="K350" i="3"/>
  <c r="J350" i="3"/>
  <c r="K674" i="2"/>
  <c r="J674" i="2"/>
  <c r="L674" i="2"/>
  <c r="K487" i="2"/>
  <c r="J487" i="2"/>
  <c r="L487" i="2"/>
  <c r="L937" i="2"/>
  <c r="K937" i="2"/>
  <c r="J937" i="2"/>
  <c r="L532" i="3"/>
  <c r="K532" i="3"/>
  <c r="J532" i="3"/>
  <c r="L711" i="3"/>
  <c r="K711" i="3"/>
  <c r="J711" i="3"/>
  <c r="K774" i="2"/>
  <c r="J774" i="2"/>
  <c r="L774" i="2"/>
  <c r="K696" i="3"/>
  <c r="J696" i="3"/>
  <c r="L696" i="3"/>
  <c r="K981" i="2"/>
  <c r="J981" i="2"/>
  <c r="L981" i="2"/>
  <c r="R781" i="3"/>
  <c r="L869" i="2"/>
  <c r="K869" i="2"/>
  <c r="J869" i="2"/>
  <c r="L67" i="3"/>
  <c r="K67" i="3"/>
  <c r="J67" i="3"/>
  <c r="R924" i="3"/>
  <c r="K304" i="2"/>
  <c r="J304" i="2"/>
  <c r="L304" i="2"/>
  <c r="Q304" i="2"/>
  <c r="V304" i="2"/>
  <c r="AB304" i="2"/>
  <c r="AE304" i="2"/>
  <c r="L969" i="3"/>
  <c r="K969" i="3"/>
  <c r="J969" i="3"/>
  <c r="K612" i="2"/>
  <c r="J612" i="2"/>
  <c r="L612" i="2"/>
  <c r="Q612" i="2"/>
  <c r="V612" i="2"/>
  <c r="AB612" i="2"/>
  <c r="AE612" i="2"/>
  <c r="L713" i="1"/>
  <c r="K713" i="1"/>
  <c r="K740" i="2"/>
  <c r="J740" i="2"/>
  <c r="L740" i="2"/>
  <c r="Q740" i="2"/>
  <c r="U740" i="2"/>
  <c r="AA740" i="2"/>
  <c r="AD740" i="2"/>
  <c r="AF740" i="2"/>
  <c r="K535" i="3"/>
  <c r="J535" i="3"/>
  <c r="L535" i="3"/>
  <c r="K633" i="2"/>
  <c r="J633" i="2"/>
  <c r="L633" i="2"/>
  <c r="L207" i="3"/>
  <c r="K207" i="3"/>
  <c r="J207" i="3"/>
  <c r="R133" i="3"/>
  <c r="L753" i="1"/>
  <c r="K753" i="1"/>
  <c r="K584" i="2"/>
  <c r="J584" i="2"/>
  <c r="L584" i="2"/>
  <c r="L970" i="3"/>
  <c r="K970" i="3"/>
  <c r="J970" i="3"/>
  <c r="L441" i="2"/>
  <c r="K441" i="2"/>
  <c r="J441" i="2"/>
  <c r="K323" i="2"/>
  <c r="J323" i="2"/>
  <c r="L323" i="2"/>
  <c r="L129" i="3"/>
  <c r="K129" i="3"/>
  <c r="J129" i="3"/>
  <c r="R481" i="3"/>
  <c r="L255" i="3"/>
  <c r="K255" i="3"/>
  <c r="J255" i="3"/>
  <c r="L908" i="3"/>
  <c r="K908" i="3"/>
  <c r="J908" i="3"/>
  <c r="L829" i="3"/>
  <c r="K829" i="3"/>
  <c r="J829" i="3"/>
  <c r="L786" i="1"/>
  <c r="K786" i="1"/>
  <c r="T786" i="1"/>
  <c r="Y786" i="1"/>
  <c r="AE786" i="1"/>
  <c r="AH786" i="1"/>
  <c r="L447" i="2"/>
  <c r="K447" i="2"/>
  <c r="J447" i="2"/>
  <c r="K990" i="2"/>
  <c r="J990" i="2"/>
  <c r="L990" i="2"/>
  <c r="L343" i="3"/>
  <c r="K343" i="3"/>
  <c r="J343" i="3"/>
  <c r="K29" i="3"/>
  <c r="J29" i="3"/>
  <c r="L29" i="3"/>
  <c r="K270" i="2"/>
  <c r="J270" i="2"/>
  <c r="L270" i="2"/>
  <c r="K871" i="3"/>
  <c r="J871" i="3"/>
  <c r="L871" i="3"/>
  <c r="K134" i="3"/>
  <c r="J134" i="3"/>
  <c r="L134" i="3"/>
  <c r="K783" i="2"/>
  <c r="J783" i="2"/>
  <c r="L783" i="2"/>
  <c r="K279" i="2"/>
  <c r="J279" i="2"/>
  <c r="L279" i="2"/>
  <c r="R914" i="3"/>
  <c r="Q514" i="2"/>
  <c r="K968" i="2"/>
  <c r="J968" i="2"/>
  <c r="L968" i="2"/>
  <c r="L945" i="1"/>
  <c r="K945" i="1"/>
  <c r="K885" i="3"/>
  <c r="J885" i="3"/>
  <c r="L885" i="3"/>
  <c r="K196" i="2"/>
  <c r="J196" i="2"/>
  <c r="L196" i="2"/>
  <c r="L505" i="2"/>
  <c r="K505" i="2"/>
  <c r="J505" i="2"/>
  <c r="K168" i="3"/>
  <c r="J168" i="3"/>
  <c r="L168" i="3"/>
  <c r="K893" i="2"/>
  <c r="J893" i="2"/>
  <c r="L893" i="2"/>
  <c r="K655" i="2"/>
  <c r="J655" i="2"/>
  <c r="L655" i="2"/>
  <c r="L440" i="3"/>
  <c r="K440" i="3"/>
  <c r="J440" i="3"/>
  <c r="L993" i="3"/>
  <c r="K993" i="3"/>
  <c r="J993" i="3"/>
  <c r="K187" i="2"/>
  <c r="J187" i="2"/>
  <c r="L187" i="2"/>
  <c r="R536" i="3"/>
  <c r="W536" i="3"/>
  <c r="AC536" i="3"/>
  <c r="AF536" i="3"/>
  <c r="K629" i="3"/>
  <c r="J629" i="3"/>
  <c r="L629" i="3"/>
  <c r="L353" i="3"/>
  <c r="K353" i="3"/>
  <c r="J353" i="3"/>
  <c r="K235" i="3"/>
  <c r="J235" i="3"/>
  <c r="L235" i="3"/>
  <c r="K124" i="3"/>
  <c r="J124" i="3"/>
  <c r="L124" i="3"/>
  <c r="R124" i="3"/>
  <c r="W124" i="3"/>
  <c r="AC124" i="3"/>
  <c r="AF124" i="3"/>
  <c r="AH124" i="3"/>
  <c r="K706" i="3"/>
  <c r="J706" i="3"/>
  <c r="L706" i="3"/>
  <c r="K802" i="3"/>
  <c r="J802" i="3"/>
  <c r="L802" i="3"/>
  <c r="L936" i="1"/>
  <c r="K936" i="1"/>
  <c r="K771" i="3"/>
  <c r="J771" i="3"/>
  <c r="L771" i="3"/>
  <c r="K523" i="3"/>
  <c r="J523" i="3"/>
  <c r="L523" i="3"/>
  <c r="K654" i="2"/>
  <c r="J654" i="2"/>
  <c r="L654" i="2"/>
  <c r="L913" i="3"/>
  <c r="K913" i="3"/>
  <c r="J913" i="3"/>
  <c r="L645" i="2"/>
  <c r="K645" i="2"/>
  <c r="J645" i="2"/>
  <c r="K588" i="2"/>
  <c r="J588" i="2"/>
  <c r="L588" i="2"/>
  <c r="K734" i="2"/>
  <c r="J734" i="2"/>
  <c r="L734" i="2"/>
  <c r="K707" i="3"/>
  <c r="J707" i="3"/>
  <c r="L707" i="3"/>
  <c r="R707" i="3"/>
  <c r="W707" i="3"/>
  <c r="AC707" i="3"/>
  <c r="AF707" i="3"/>
  <c r="Q844" i="2"/>
  <c r="V844" i="2"/>
  <c r="AB844" i="2"/>
  <c r="AE844" i="2"/>
  <c r="K911" i="3"/>
  <c r="J911" i="3"/>
  <c r="L911" i="3"/>
  <c r="L196" i="3"/>
  <c r="K196" i="3"/>
  <c r="J196" i="3"/>
  <c r="L726" i="3"/>
  <c r="K726" i="3"/>
  <c r="J726" i="3"/>
  <c r="L631" i="2"/>
  <c r="K631" i="2"/>
  <c r="J631" i="2"/>
  <c r="L697" i="3"/>
  <c r="K697" i="3"/>
  <c r="J697" i="3"/>
  <c r="K864" i="3"/>
  <c r="J864" i="3"/>
  <c r="L864" i="3"/>
  <c r="L474" i="2"/>
  <c r="K474" i="2"/>
  <c r="J474" i="2"/>
  <c r="K456" i="3"/>
  <c r="J456" i="3"/>
  <c r="L456" i="3"/>
  <c r="K739" i="3"/>
  <c r="J739" i="3"/>
  <c r="L739" i="3"/>
  <c r="L984" i="1"/>
  <c r="K984" i="1"/>
  <c r="L906" i="3"/>
  <c r="K906" i="3"/>
  <c r="J906" i="3"/>
  <c r="K983" i="2"/>
  <c r="J983" i="2"/>
  <c r="L983" i="2"/>
  <c r="K912" i="2"/>
  <c r="J912" i="2"/>
  <c r="L912" i="2"/>
  <c r="L836" i="1"/>
  <c r="K836" i="1"/>
  <c r="L731" i="3"/>
  <c r="K731" i="3"/>
  <c r="J731" i="3"/>
  <c r="L101" i="3"/>
  <c r="K101" i="3"/>
  <c r="J101" i="3"/>
  <c r="L696" i="1"/>
  <c r="K696" i="1"/>
  <c r="K120" i="3"/>
  <c r="J120" i="3"/>
  <c r="L120" i="3"/>
  <c r="Q306" i="2"/>
  <c r="K210" i="2"/>
  <c r="J210" i="2"/>
  <c r="L210" i="2"/>
  <c r="L876" i="3"/>
  <c r="K876" i="3"/>
  <c r="J876" i="3"/>
  <c r="K94" i="3"/>
  <c r="J94" i="3"/>
  <c r="L94" i="3"/>
  <c r="R94" i="3"/>
  <c r="W94" i="3"/>
  <c r="AC94" i="3"/>
  <c r="AF94" i="3"/>
  <c r="K368" i="3"/>
  <c r="J368" i="3"/>
  <c r="L368" i="3"/>
  <c r="L924" i="3"/>
  <c r="K924" i="3"/>
  <c r="J924" i="3"/>
  <c r="K448" i="2"/>
  <c r="J448" i="2"/>
  <c r="L448" i="2"/>
  <c r="K608" i="2"/>
  <c r="J608" i="2"/>
  <c r="L608" i="2"/>
  <c r="L720" i="1"/>
  <c r="K720" i="1"/>
  <c r="L620" i="3"/>
  <c r="K620" i="3"/>
  <c r="J620" i="3"/>
  <c r="K951" i="3"/>
  <c r="J951" i="3"/>
  <c r="L951" i="3"/>
  <c r="K776" i="2"/>
  <c r="J776" i="2"/>
  <c r="L776" i="2"/>
  <c r="K683" i="3"/>
  <c r="J683" i="3"/>
  <c r="L683" i="3"/>
  <c r="L639" i="2"/>
  <c r="K639" i="2"/>
  <c r="J639" i="2"/>
  <c r="K394" i="2"/>
  <c r="J394" i="2"/>
  <c r="L394" i="2"/>
  <c r="L417" i="3"/>
  <c r="K417" i="3"/>
  <c r="J417" i="3"/>
  <c r="L250" i="2"/>
  <c r="K250" i="2"/>
  <c r="J250" i="2"/>
  <c r="K897" i="2"/>
  <c r="J897" i="2"/>
  <c r="L897" i="2"/>
  <c r="L841" i="1"/>
  <c r="K841" i="1"/>
  <c r="K165" i="3"/>
  <c r="J165" i="3"/>
  <c r="L165" i="3"/>
  <c r="R165" i="3"/>
  <c r="V165" i="3"/>
  <c r="AB165" i="3"/>
  <c r="AE165" i="3"/>
  <c r="AG165" i="3"/>
  <c r="K799" i="2"/>
  <c r="J799" i="2"/>
  <c r="L799" i="2"/>
  <c r="K517" i="3"/>
  <c r="J517" i="3"/>
  <c r="L517" i="3"/>
  <c r="K607" i="2"/>
  <c r="J607" i="2"/>
  <c r="L607" i="2"/>
  <c r="L940" i="1"/>
  <c r="K940" i="1"/>
  <c r="T940" i="1"/>
  <c r="X940" i="1"/>
  <c r="AD940" i="1"/>
  <c r="AG940" i="1"/>
  <c r="AI940" i="1"/>
  <c r="L833" i="3"/>
  <c r="K833" i="3"/>
  <c r="J833" i="3"/>
  <c r="K328" i="2"/>
  <c r="J328" i="2"/>
  <c r="L328" i="2"/>
  <c r="K842" i="3"/>
  <c r="J842" i="3"/>
  <c r="L842" i="3"/>
  <c r="R431" i="3"/>
  <c r="K872" i="3"/>
  <c r="J872" i="3"/>
  <c r="L872" i="3"/>
  <c r="R872" i="3"/>
  <c r="W872" i="3"/>
  <c r="AC872" i="3"/>
  <c r="AF872" i="3"/>
  <c r="K314" i="3"/>
  <c r="J314" i="3"/>
  <c r="L314" i="3"/>
  <c r="K619" i="2"/>
  <c r="J619" i="2"/>
  <c r="L619" i="2"/>
  <c r="L365" i="3"/>
  <c r="K365" i="3"/>
  <c r="J365" i="3"/>
  <c r="K73" i="3"/>
  <c r="J73" i="3"/>
  <c r="L73" i="3"/>
  <c r="L828" i="3"/>
  <c r="K828" i="3"/>
  <c r="J828" i="3"/>
  <c r="K653" i="3"/>
  <c r="J653" i="3"/>
  <c r="L653" i="3"/>
  <c r="K181" i="3"/>
  <c r="J181" i="3"/>
  <c r="L181" i="3"/>
  <c r="K266" i="2"/>
  <c r="J266" i="2"/>
  <c r="L266" i="2"/>
  <c r="L832" i="1"/>
  <c r="K832" i="1"/>
  <c r="K867" i="3"/>
  <c r="J867" i="3"/>
  <c r="L867" i="3"/>
  <c r="K555" i="3"/>
  <c r="J555" i="3"/>
  <c r="L555" i="3"/>
  <c r="L821" i="3"/>
  <c r="K821" i="3"/>
  <c r="J821" i="3"/>
  <c r="L32" i="3"/>
  <c r="K32" i="3"/>
  <c r="J32" i="3"/>
  <c r="L396" i="3"/>
  <c r="K396" i="3"/>
  <c r="J396" i="3"/>
  <c r="K805" i="2"/>
  <c r="J805" i="2"/>
  <c r="L805" i="2"/>
  <c r="L278" i="3"/>
  <c r="K278" i="3"/>
  <c r="J278" i="3"/>
  <c r="K943" i="2"/>
  <c r="J943" i="2"/>
  <c r="L943" i="2"/>
  <c r="Q943" i="2"/>
  <c r="U943" i="2"/>
  <c r="AA943" i="2"/>
  <c r="AD943" i="2"/>
  <c r="AF943" i="2"/>
  <c r="K359" i="2"/>
  <c r="J359" i="2"/>
  <c r="L359" i="2"/>
  <c r="K600" i="3"/>
  <c r="J600" i="3"/>
  <c r="L600" i="3"/>
  <c r="K988" i="3"/>
  <c r="J988" i="3"/>
  <c r="L988" i="3"/>
  <c r="K202" i="2"/>
  <c r="J202" i="2"/>
  <c r="L202" i="2"/>
  <c r="K564" i="3"/>
  <c r="J564" i="3"/>
  <c r="L564" i="3"/>
  <c r="K592" i="3"/>
  <c r="J592" i="3"/>
  <c r="L592" i="3"/>
  <c r="K831" i="3"/>
  <c r="J831" i="3"/>
  <c r="L831" i="3"/>
  <c r="K71" i="3"/>
  <c r="J71" i="3"/>
  <c r="L71" i="3"/>
  <c r="L331" i="2"/>
  <c r="K331" i="2"/>
  <c r="J331" i="2"/>
  <c r="K984" i="3"/>
  <c r="J984" i="3"/>
  <c r="L984" i="3"/>
  <c r="K322" i="2"/>
  <c r="J322" i="2"/>
  <c r="L322" i="2"/>
  <c r="Q322" i="2"/>
  <c r="V322" i="2"/>
  <c r="AB322" i="2"/>
  <c r="AE322" i="2"/>
  <c r="K377" i="2"/>
  <c r="J377" i="2"/>
  <c r="L377" i="2"/>
  <c r="K180" i="2"/>
  <c r="J180" i="2"/>
  <c r="L180" i="2"/>
  <c r="Q180" i="2"/>
  <c r="V180" i="2"/>
  <c r="AB180" i="2"/>
  <c r="AE180" i="2"/>
  <c r="K566" i="2"/>
  <c r="J566" i="2"/>
  <c r="L566" i="2"/>
  <c r="K792" i="2"/>
  <c r="J792" i="2"/>
  <c r="L792" i="2"/>
  <c r="K783" i="3"/>
  <c r="J783" i="3"/>
  <c r="L783" i="3"/>
  <c r="L352" i="3"/>
  <c r="K352" i="3"/>
  <c r="J352" i="3"/>
  <c r="K314" i="2"/>
  <c r="J314" i="2"/>
  <c r="L314" i="2"/>
  <c r="Q894" i="2"/>
  <c r="L510" i="3"/>
  <c r="K510" i="3"/>
  <c r="J510" i="3"/>
  <c r="K669" i="2"/>
  <c r="J669" i="2"/>
  <c r="L669" i="2"/>
  <c r="L866" i="3"/>
  <c r="K866" i="3"/>
  <c r="J866" i="3"/>
  <c r="K475" i="2"/>
  <c r="J475" i="2"/>
  <c r="L475" i="2"/>
  <c r="L416" i="2"/>
  <c r="K416" i="2"/>
  <c r="J416" i="2"/>
  <c r="L114" i="3"/>
  <c r="K114" i="3"/>
  <c r="J114" i="3"/>
  <c r="L710" i="2"/>
  <c r="K710" i="2"/>
  <c r="J710" i="2"/>
  <c r="K641" i="3"/>
  <c r="J641" i="3"/>
  <c r="L641" i="3"/>
  <c r="K223" i="3"/>
  <c r="J223" i="3"/>
  <c r="L223" i="3"/>
  <c r="L288" i="2"/>
  <c r="K288" i="2"/>
  <c r="J288" i="2"/>
  <c r="K527" i="2"/>
  <c r="J527" i="2"/>
  <c r="L527" i="2"/>
  <c r="K907" i="2"/>
  <c r="J907" i="2"/>
  <c r="L907" i="2"/>
  <c r="K385" i="3"/>
  <c r="J385" i="3"/>
  <c r="L385" i="3"/>
  <c r="L750" i="2"/>
  <c r="K750" i="2"/>
  <c r="J750" i="2"/>
  <c r="L265" i="2"/>
  <c r="K265" i="2"/>
  <c r="J265" i="2"/>
  <c r="K722" i="2"/>
  <c r="J722" i="2"/>
  <c r="L722" i="2"/>
  <c r="K962" i="2"/>
  <c r="J962" i="2"/>
  <c r="L962" i="2"/>
  <c r="Q962" i="2"/>
  <c r="U962" i="2"/>
  <c r="AA962" i="2"/>
  <c r="AD962" i="2"/>
  <c r="AF962" i="2"/>
  <c r="K840" i="3"/>
  <c r="J840" i="3"/>
  <c r="L840" i="3"/>
  <c r="K515" i="2"/>
  <c r="J515" i="2"/>
  <c r="L515" i="2"/>
  <c r="L542" i="3"/>
  <c r="K542" i="3"/>
  <c r="J542" i="3"/>
  <c r="K912" i="3"/>
  <c r="J912" i="3"/>
  <c r="L912" i="3"/>
  <c r="K387" i="3"/>
  <c r="J387" i="3"/>
  <c r="L387" i="3"/>
  <c r="K536" i="2"/>
  <c r="J536" i="2"/>
  <c r="L536" i="2"/>
  <c r="L753" i="2"/>
  <c r="K753" i="2"/>
  <c r="J753" i="2"/>
  <c r="K445" i="2"/>
  <c r="J445" i="2"/>
  <c r="L445" i="2"/>
  <c r="K460" i="3"/>
  <c r="J460" i="3"/>
  <c r="L460" i="3"/>
  <c r="R460" i="3"/>
  <c r="W460" i="3"/>
  <c r="AC460" i="3"/>
  <c r="AF460" i="3"/>
  <c r="L760" i="2"/>
  <c r="K760" i="2"/>
  <c r="J760" i="2"/>
  <c r="K590" i="3"/>
  <c r="J590" i="3"/>
  <c r="L590" i="3"/>
  <c r="K691" i="2"/>
  <c r="J691" i="2"/>
  <c r="L691" i="2"/>
  <c r="Q691" i="2"/>
  <c r="V691" i="2"/>
  <c r="AB691" i="2"/>
  <c r="AE691" i="2"/>
  <c r="L427" i="3"/>
  <c r="K427" i="3"/>
  <c r="J427" i="3"/>
  <c r="L417" i="2"/>
  <c r="K417" i="2"/>
  <c r="J417" i="2"/>
  <c r="K412" i="2"/>
  <c r="J412" i="2"/>
  <c r="L412" i="2"/>
  <c r="L369" i="2"/>
  <c r="K369" i="2"/>
  <c r="J369" i="2"/>
  <c r="L451" i="2"/>
  <c r="K451" i="2"/>
  <c r="J451" i="2"/>
  <c r="L931" i="3"/>
  <c r="K931" i="3"/>
  <c r="J931" i="3"/>
  <c r="K277" i="2"/>
  <c r="J277" i="2"/>
  <c r="L277" i="2"/>
  <c r="K830" i="3"/>
  <c r="J830" i="3"/>
  <c r="L830" i="3"/>
  <c r="L212" i="2"/>
  <c r="K212" i="2"/>
  <c r="J212" i="2"/>
  <c r="L800" i="2"/>
  <c r="K800" i="2"/>
  <c r="J800" i="2"/>
  <c r="K1001" i="2"/>
  <c r="J1001" i="2"/>
  <c r="L1001" i="2"/>
  <c r="K78" i="3"/>
  <c r="J78" i="3"/>
  <c r="L78" i="3"/>
  <c r="K449" i="3"/>
  <c r="J449" i="3"/>
  <c r="L449" i="3"/>
  <c r="K885" i="2"/>
  <c r="J885" i="2"/>
  <c r="L885" i="2"/>
  <c r="K133" i="3"/>
  <c r="J133" i="3"/>
  <c r="L133" i="3"/>
  <c r="L766" i="1"/>
  <c r="K766" i="1"/>
  <c r="L859" i="2"/>
  <c r="K859" i="2"/>
  <c r="J859" i="2"/>
  <c r="K481" i="3"/>
  <c r="J481" i="3"/>
  <c r="L481" i="3"/>
  <c r="L447" i="3"/>
  <c r="K447" i="3"/>
  <c r="J447" i="3"/>
  <c r="L577" i="2"/>
  <c r="K577" i="2"/>
  <c r="J577" i="2"/>
  <c r="K115" i="3"/>
  <c r="J115" i="3"/>
  <c r="L115" i="3"/>
  <c r="K874" i="2"/>
  <c r="J874" i="2"/>
  <c r="L874" i="2"/>
  <c r="L294" i="2"/>
  <c r="K294" i="2"/>
  <c r="J294" i="2"/>
  <c r="K426" i="2"/>
  <c r="J426" i="2"/>
  <c r="L426" i="2"/>
  <c r="K663" i="3"/>
  <c r="J663" i="3"/>
  <c r="L663" i="3"/>
  <c r="K461" i="3"/>
  <c r="J461" i="3"/>
  <c r="L461" i="3"/>
  <c r="K103" i="3"/>
  <c r="J103" i="3"/>
  <c r="L103" i="3"/>
  <c r="K150" i="3"/>
  <c r="J150" i="3"/>
  <c r="L150" i="3"/>
  <c r="K914" i="3"/>
  <c r="J914" i="3"/>
  <c r="L914" i="3"/>
  <c r="K87" i="3"/>
  <c r="J87" i="3"/>
  <c r="L87" i="3"/>
  <c r="K50" i="3"/>
  <c r="J50" i="3"/>
  <c r="L50" i="3"/>
  <c r="K700" i="2"/>
  <c r="J700" i="2"/>
  <c r="L700" i="2"/>
  <c r="Q700" i="2"/>
  <c r="V700" i="2"/>
  <c r="AB700" i="2"/>
  <c r="AE700" i="2"/>
  <c r="K514" i="2"/>
  <c r="J514" i="2"/>
  <c r="L514" i="2"/>
  <c r="L410" i="3"/>
  <c r="K410" i="3"/>
  <c r="J410" i="3"/>
  <c r="L436" i="2"/>
  <c r="K436" i="2"/>
  <c r="J436" i="2"/>
  <c r="L927" i="3"/>
  <c r="K927" i="3"/>
  <c r="J927" i="3"/>
  <c r="K656" i="3"/>
  <c r="J656" i="3"/>
  <c r="L656" i="3"/>
  <c r="L579" i="2"/>
  <c r="K579" i="2"/>
  <c r="J579" i="2"/>
  <c r="L899" i="1"/>
  <c r="K899" i="1"/>
  <c r="T899" i="1"/>
  <c r="Y899" i="1"/>
  <c r="AE899" i="1"/>
  <c r="AH899" i="1"/>
  <c r="K609" i="2"/>
  <c r="J609" i="2"/>
  <c r="L609" i="2"/>
  <c r="K433" i="3"/>
  <c r="J433" i="3"/>
  <c r="L433" i="3"/>
  <c r="L565" i="3"/>
  <c r="K565" i="3"/>
  <c r="J565" i="3"/>
  <c r="L409" i="2"/>
  <c r="K409" i="2"/>
  <c r="J409" i="2"/>
  <c r="K232" i="3"/>
  <c r="J232" i="3"/>
  <c r="L232" i="3"/>
  <c r="L741" i="3"/>
  <c r="K741" i="3"/>
  <c r="J741" i="3"/>
  <c r="K109" i="3"/>
  <c r="J109" i="3"/>
  <c r="L109" i="3"/>
  <c r="R109" i="3"/>
  <c r="W109" i="3"/>
  <c r="AC109" i="3"/>
  <c r="AF109" i="3"/>
  <c r="AH109" i="3"/>
  <c r="L567" i="3"/>
  <c r="K567" i="3"/>
  <c r="J567" i="3"/>
  <c r="K627" i="2"/>
  <c r="J627" i="2"/>
  <c r="L627" i="2"/>
  <c r="K48" i="3"/>
  <c r="J48" i="3"/>
  <c r="L48" i="3"/>
  <c r="L84" i="3"/>
  <c r="K84" i="3"/>
  <c r="J84" i="3"/>
  <c r="L804" i="1"/>
  <c r="K804" i="1"/>
  <c r="L716" i="2"/>
  <c r="K716" i="2"/>
  <c r="J716" i="2"/>
  <c r="L868" i="3"/>
  <c r="K868" i="3"/>
  <c r="J868" i="3"/>
  <c r="L846" i="3"/>
  <c r="K846" i="3"/>
  <c r="J846" i="3"/>
  <c r="K782" i="2"/>
  <c r="J782" i="2"/>
  <c r="L782" i="2"/>
  <c r="K788" i="2"/>
  <c r="J788" i="2"/>
  <c r="L788" i="2"/>
  <c r="K432" i="2"/>
  <c r="J432" i="2"/>
  <c r="L432" i="2"/>
  <c r="L610" i="3"/>
  <c r="K610" i="3"/>
  <c r="J610" i="3"/>
  <c r="K58" i="3"/>
  <c r="J58" i="3"/>
  <c r="L58" i="3"/>
  <c r="K727" i="3"/>
  <c r="J727" i="3"/>
  <c r="L727" i="3"/>
  <c r="L341" i="3"/>
  <c r="K341" i="3"/>
  <c r="J341" i="3"/>
  <c r="K565" i="2"/>
  <c r="J565" i="2"/>
  <c r="L565" i="2"/>
  <c r="Q565" i="2"/>
  <c r="V565" i="2"/>
  <c r="AB565" i="2"/>
  <c r="AE565" i="2"/>
  <c r="K414" i="2"/>
  <c r="J414" i="2"/>
  <c r="L414" i="2"/>
  <c r="K779" i="3"/>
  <c r="J779" i="3"/>
  <c r="L779" i="3"/>
  <c r="L667" i="3"/>
  <c r="K667" i="3"/>
  <c r="J667" i="3"/>
  <c r="L587" i="2"/>
  <c r="K587" i="2"/>
  <c r="J587" i="2"/>
  <c r="K80" i="3"/>
  <c r="J80" i="3"/>
  <c r="L80" i="3"/>
  <c r="L333" i="2"/>
  <c r="K333" i="2"/>
  <c r="J333" i="2"/>
  <c r="K949" i="3"/>
  <c r="J949" i="3"/>
  <c r="L949" i="3"/>
  <c r="K605" i="3"/>
  <c r="J605" i="3"/>
  <c r="L605" i="3"/>
  <c r="L940" i="3"/>
  <c r="K940" i="3"/>
  <c r="J940" i="3"/>
  <c r="L702" i="3"/>
  <c r="K702" i="3"/>
  <c r="J702" i="3"/>
  <c r="L37" i="3"/>
  <c r="K37" i="3"/>
  <c r="J37" i="3"/>
  <c r="L582" i="2"/>
  <c r="K582" i="2"/>
  <c r="J582" i="2"/>
  <c r="Q252" i="2"/>
  <c r="J252" i="2"/>
  <c r="L252" i="2"/>
  <c r="K252" i="2"/>
  <c r="K491" i="3"/>
  <c r="J491" i="3"/>
  <c r="L491" i="3"/>
  <c r="L437" i="3"/>
  <c r="K437" i="3"/>
  <c r="J437" i="3"/>
  <c r="K495" i="3"/>
  <c r="J495" i="3"/>
  <c r="L495" i="3"/>
  <c r="K269" i="2"/>
  <c r="J269" i="2"/>
  <c r="L269" i="2"/>
  <c r="K298" i="3"/>
  <c r="J298" i="3"/>
  <c r="L298" i="3"/>
  <c r="K336" i="3"/>
  <c r="J336" i="3"/>
  <c r="L336" i="3"/>
  <c r="K281" i="3"/>
  <c r="J281" i="3"/>
  <c r="L281" i="3"/>
  <c r="K283" i="2"/>
  <c r="J283" i="2"/>
  <c r="L283" i="2"/>
  <c r="Q283" i="2"/>
  <c r="V283" i="2"/>
  <c r="AB283" i="2"/>
  <c r="AE283" i="2"/>
  <c r="AG283" i="2"/>
  <c r="K858" i="2"/>
  <c r="J858" i="2"/>
  <c r="L858" i="2"/>
  <c r="K540" i="2"/>
  <c r="J540" i="2"/>
  <c r="L540" i="2"/>
  <c r="K850" i="2"/>
  <c r="J850" i="2"/>
  <c r="L850" i="2"/>
  <c r="Q850" i="2"/>
  <c r="V850" i="2"/>
  <c r="AB850" i="2"/>
  <c r="AE850" i="2"/>
  <c r="K884" i="3"/>
  <c r="J884" i="3"/>
  <c r="L884" i="3"/>
  <c r="K856" i="3"/>
  <c r="J856" i="3"/>
  <c r="L856" i="3"/>
  <c r="L363" i="3"/>
  <c r="K363" i="3"/>
  <c r="J363" i="3"/>
  <c r="L977" i="3"/>
  <c r="K977" i="3"/>
  <c r="J977" i="3"/>
  <c r="L478" i="3"/>
  <c r="K478" i="3"/>
  <c r="J478" i="3"/>
  <c r="K343" i="2"/>
  <c r="J343" i="2"/>
  <c r="L343" i="2"/>
  <c r="L519" i="2"/>
  <c r="K519" i="2"/>
  <c r="J519" i="2"/>
  <c r="L705" i="3"/>
  <c r="K705" i="3"/>
  <c r="J705" i="3"/>
  <c r="L593" i="3"/>
  <c r="K593" i="3"/>
  <c r="J593" i="3"/>
  <c r="K368" i="2"/>
  <c r="J368" i="2"/>
  <c r="L368" i="2"/>
  <c r="L911" i="2"/>
  <c r="K911" i="2"/>
  <c r="J911" i="2"/>
  <c r="K505" i="3"/>
  <c r="J505" i="3"/>
  <c r="L505" i="3"/>
  <c r="L644" i="2"/>
  <c r="K644" i="2"/>
  <c r="J644" i="2"/>
  <c r="L401" i="2"/>
  <c r="K401" i="2"/>
  <c r="J401" i="2"/>
  <c r="L900" i="3"/>
  <c r="K900" i="3"/>
  <c r="J900" i="3"/>
  <c r="L764" i="2"/>
  <c r="K764" i="2"/>
  <c r="J764" i="2"/>
  <c r="K781" i="3"/>
  <c r="J781" i="3"/>
  <c r="L781" i="3"/>
  <c r="L980" i="2"/>
  <c r="K980" i="2"/>
  <c r="J980" i="2"/>
  <c r="K274" i="2"/>
  <c r="J274" i="2"/>
  <c r="L274" i="2"/>
  <c r="L449" i="2"/>
  <c r="K449" i="2"/>
  <c r="J449" i="2"/>
  <c r="L243" i="3"/>
  <c r="K243" i="3"/>
  <c r="J243" i="3"/>
  <c r="L936" i="2"/>
  <c r="K936" i="2"/>
  <c r="J936" i="2"/>
  <c r="K45" i="3"/>
  <c r="J45" i="3"/>
  <c r="L45" i="3"/>
  <c r="L836" i="3"/>
  <c r="K836" i="3"/>
  <c r="J836" i="3"/>
  <c r="L408" i="2"/>
  <c r="K408" i="2"/>
  <c r="J408" i="2"/>
  <c r="L989" i="2"/>
  <c r="K989" i="2"/>
  <c r="J989" i="2"/>
  <c r="L684" i="3"/>
  <c r="K684" i="3"/>
  <c r="J684" i="3"/>
  <c r="K740" i="3"/>
  <c r="J740" i="3"/>
  <c r="L740" i="3"/>
  <c r="L187" i="3"/>
  <c r="K187" i="3"/>
  <c r="J187" i="3"/>
  <c r="K189" i="2"/>
  <c r="J189" i="2"/>
  <c r="L189" i="2"/>
  <c r="K956" i="3"/>
  <c r="J956" i="3"/>
  <c r="L956" i="3"/>
  <c r="K197" i="3"/>
  <c r="J197" i="3"/>
  <c r="L197" i="3"/>
  <c r="R197" i="3"/>
  <c r="W197" i="3"/>
  <c r="AC197" i="3"/>
  <c r="AF197" i="3"/>
  <c r="K718" i="2"/>
  <c r="J718" i="2"/>
  <c r="L718" i="2"/>
  <c r="L773" i="2"/>
  <c r="K773" i="2"/>
  <c r="J773" i="2"/>
  <c r="L693" i="2"/>
  <c r="K693" i="2"/>
  <c r="J693" i="2"/>
  <c r="L452" i="3"/>
  <c r="K452" i="3"/>
  <c r="J452" i="3"/>
  <c r="Q259" i="2"/>
  <c r="V259" i="2"/>
  <c r="AB259" i="2"/>
  <c r="AE259" i="2"/>
  <c r="L588" i="3"/>
  <c r="K588" i="3"/>
  <c r="J588" i="3"/>
  <c r="K688" i="3"/>
  <c r="J688" i="3"/>
  <c r="L688" i="3"/>
  <c r="L306" i="2"/>
  <c r="K306" i="2"/>
  <c r="J306" i="2"/>
  <c r="L357" i="3"/>
  <c r="K357" i="3"/>
  <c r="J357" i="3"/>
  <c r="L410" i="2"/>
  <c r="K410" i="2"/>
  <c r="J410" i="2"/>
  <c r="K857" i="3"/>
  <c r="J857" i="3"/>
  <c r="L857" i="3"/>
  <c r="K293" i="2"/>
  <c r="J293" i="2"/>
  <c r="L293" i="2"/>
  <c r="K493" i="2"/>
  <c r="J493" i="2"/>
  <c r="L493" i="2"/>
  <c r="K754" i="2"/>
  <c r="J754" i="2"/>
  <c r="L754" i="2"/>
  <c r="Q754" i="2"/>
  <c r="V754" i="2"/>
  <c r="AB754" i="2"/>
  <c r="AE754" i="2"/>
  <c r="L988" i="2"/>
  <c r="K988" i="2"/>
  <c r="J988" i="2"/>
  <c r="L595" i="2"/>
  <c r="K595" i="2"/>
  <c r="J595" i="2"/>
  <c r="L775" i="2"/>
  <c r="K775" i="2"/>
  <c r="J775" i="2"/>
  <c r="R648" i="3"/>
  <c r="W648" i="3"/>
  <c r="AC648" i="3"/>
  <c r="AF648" i="3"/>
  <c r="AH648" i="3"/>
  <c r="K957" i="3"/>
  <c r="J957" i="3"/>
  <c r="L957" i="3"/>
  <c r="K891" i="3"/>
  <c r="J891" i="3"/>
  <c r="L891" i="3"/>
  <c r="K173" i="3"/>
  <c r="J173" i="3"/>
  <c r="L173" i="3"/>
  <c r="K441" i="3"/>
  <c r="J441" i="3"/>
  <c r="L441" i="3"/>
  <c r="K835" i="3"/>
  <c r="J835" i="3"/>
  <c r="L835" i="3"/>
  <c r="K841" i="2"/>
  <c r="J841" i="2"/>
  <c r="L841" i="2"/>
  <c r="K875" i="2"/>
  <c r="J875" i="2"/>
  <c r="L875" i="2"/>
  <c r="K174" i="3"/>
  <c r="J174" i="3"/>
  <c r="L174" i="3"/>
  <c r="L247" i="3"/>
  <c r="K247" i="3"/>
  <c r="J247" i="3"/>
  <c r="L714" i="3"/>
  <c r="K714" i="3"/>
  <c r="J714" i="3"/>
  <c r="K146" i="3"/>
  <c r="J146" i="3"/>
  <c r="L146" i="3"/>
  <c r="K693" i="3"/>
  <c r="J693" i="3"/>
  <c r="L693" i="3"/>
  <c r="K249" i="3"/>
  <c r="J249" i="3"/>
  <c r="L249" i="3"/>
  <c r="K79" i="3"/>
  <c r="J79" i="3"/>
  <c r="L79" i="3"/>
  <c r="K765" i="3"/>
  <c r="J765" i="3"/>
  <c r="L765" i="3"/>
  <c r="K320" i="2"/>
  <c r="J320" i="2"/>
  <c r="L320" i="2"/>
  <c r="L710" i="1"/>
  <c r="K710" i="1"/>
  <c r="L825" i="2"/>
  <c r="K825" i="2"/>
  <c r="J825" i="2"/>
  <c r="L41" i="3"/>
  <c r="K41" i="3"/>
  <c r="J41" i="3"/>
  <c r="L339" i="2"/>
  <c r="K339" i="2"/>
  <c r="J339" i="2"/>
  <c r="L344" i="3"/>
  <c r="K344" i="3"/>
  <c r="J344" i="3"/>
  <c r="K382" i="2"/>
  <c r="J382" i="2"/>
  <c r="L382" i="2"/>
  <c r="K728" i="3"/>
  <c r="J728" i="3"/>
  <c r="L728" i="3"/>
  <c r="K311" i="3"/>
  <c r="J311" i="3"/>
  <c r="L311" i="3"/>
  <c r="K804" i="2"/>
  <c r="J804" i="2"/>
  <c r="L804" i="2"/>
  <c r="L735" i="2"/>
  <c r="K735" i="2"/>
  <c r="J735" i="2"/>
  <c r="L700" i="1"/>
  <c r="K700" i="1"/>
  <c r="K161" i="3"/>
  <c r="J161" i="3"/>
  <c r="L161" i="3"/>
  <c r="L431" i="3"/>
  <c r="K431" i="3"/>
  <c r="J431" i="3"/>
  <c r="L676" i="1"/>
  <c r="K676" i="1"/>
  <c r="T676" i="1"/>
  <c r="Y676" i="1"/>
  <c r="AE676" i="1"/>
  <c r="AH676" i="1"/>
  <c r="L498" i="3"/>
  <c r="K498" i="3"/>
  <c r="J498" i="3"/>
  <c r="L896" i="3"/>
  <c r="K896" i="3"/>
  <c r="J896" i="3"/>
  <c r="L547" i="2"/>
  <c r="K547" i="2"/>
  <c r="J547" i="2"/>
  <c r="K837" i="3"/>
  <c r="J837" i="3"/>
  <c r="L837" i="3"/>
  <c r="L938" i="3"/>
  <c r="K938" i="3"/>
  <c r="J938" i="3"/>
  <c r="K834" i="2"/>
  <c r="J834" i="2"/>
  <c r="L834" i="2"/>
  <c r="K391" i="2"/>
  <c r="J391" i="2"/>
  <c r="L391" i="2"/>
  <c r="K950" i="2"/>
  <c r="J950" i="2"/>
  <c r="L950" i="2"/>
  <c r="K548" i="2"/>
  <c r="J548" i="2"/>
  <c r="L548" i="2"/>
  <c r="L946" i="3"/>
  <c r="K946" i="3"/>
  <c r="J946" i="3"/>
  <c r="L443" i="3"/>
  <c r="K443" i="3"/>
  <c r="J443" i="3"/>
  <c r="T684" i="1"/>
  <c r="Y684" i="1"/>
  <c r="AE684" i="1"/>
  <c r="AH684" i="1"/>
  <c r="L945" i="2"/>
  <c r="K945" i="2"/>
  <c r="J945" i="2"/>
  <c r="L425" i="2"/>
  <c r="K425" i="2"/>
  <c r="J425" i="2"/>
  <c r="K785" i="2"/>
  <c r="J785" i="2"/>
  <c r="L785" i="2"/>
  <c r="L732" i="2"/>
  <c r="K732" i="2"/>
  <c r="J732" i="2"/>
  <c r="K959" i="3"/>
  <c r="J959" i="3"/>
  <c r="L959" i="3"/>
  <c r="L1000" i="2"/>
  <c r="K1000" i="2"/>
  <c r="J1000" i="2"/>
  <c r="L536" i="3"/>
  <c r="K536" i="3"/>
  <c r="J536" i="3"/>
  <c r="L259" i="2"/>
  <c r="K259" i="2"/>
  <c r="J259" i="2"/>
  <c r="L860" i="3"/>
  <c r="K860" i="3"/>
  <c r="J860" i="3"/>
  <c r="L681" i="3"/>
  <c r="K681" i="3"/>
  <c r="J681" i="3"/>
  <c r="K531" i="2"/>
  <c r="J531" i="2"/>
  <c r="L531" i="2"/>
  <c r="L648" i="3"/>
  <c r="K648" i="3"/>
  <c r="J648" i="3"/>
  <c r="K251" i="2"/>
  <c r="J251" i="2"/>
  <c r="L251" i="2"/>
  <c r="K230" i="2"/>
  <c r="J230" i="2"/>
  <c r="L230" i="2"/>
  <c r="K193" i="3"/>
  <c r="J193" i="3"/>
  <c r="L193" i="3"/>
  <c r="K291" i="3"/>
  <c r="J291" i="3"/>
  <c r="L291" i="3"/>
  <c r="R291" i="3"/>
  <c r="W291" i="3"/>
  <c r="AC291" i="3"/>
  <c r="AF291" i="3"/>
  <c r="L894" i="2"/>
  <c r="K894" i="2"/>
  <c r="J894" i="2"/>
  <c r="L55" i="3"/>
  <c r="K55" i="3"/>
  <c r="J55" i="3"/>
  <c r="K712" i="2"/>
  <c r="J712" i="2"/>
  <c r="L712" i="2"/>
  <c r="K531" i="3"/>
  <c r="J531" i="3"/>
  <c r="L531" i="3"/>
  <c r="L844" i="2"/>
  <c r="K844" i="2"/>
  <c r="J844" i="2"/>
  <c r="L863" i="1"/>
  <c r="K863" i="1"/>
  <c r="L254" i="2"/>
  <c r="K254" i="2"/>
  <c r="J254" i="2"/>
  <c r="L684" i="1"/>
  <c r="K684" i="1"/>
  <c r="L791" i="3"/>
  <c r="K791" i="3"/>
  <c r="J791" i="3"/>
  <c r="K241" i="2"/>
  <c r="J241" i="2"/>
  <c r="L241" i="2"/>
  <c r="L673" i="3"/>
  <c r="K673" i="3"/>
  <c r="J673" i="3"/>
  <c r="K858" i="3"/>
  <c r="J858" i="3"/>
  <c r="L858" i="3"/>
  <c r="K374" i="2"/>
  <c r="J374" i="2"/>
  <c r="L374" i="2"/>
  <c r="L617" i="2"/>
  <c r="K617" i="2"/>
  <c r="J617" i="2"/>
  <c r="L824" i="2"/>
  <c r="K824" i="2"/>
  <c r="J824" i="2"/>
  <c r="L249" i="2"/>
  <c r="K249" i="2"/>
  <c r="J249" i="2"/>
  <c r="K672" i="2"/>
  <c r="J672" i="2"/>
  <c r="L67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W5" authorId="0" shapeId="0" xr:uid="{00000000-0006-0000-0000-000001000000}">
      <text>
        <r>
          <rPr>
            <sz val="10"/>
            <color rgb="FF000000"/>
            <rFont val="Arial"/>
            <family val="2"/>
          </rPr>
          <t>현재 품절</t>
        </r>
      </text>
    </comment>
    <comment ref="C9" authorId="0" shapeId="0" xr:uid="{00000000-0006-0000-0000-000002000000}">
      <text>
        <r>
          <rPr>
            <sz val="10"/>
            <color rgb="FF000000"/>
            <rFont val="Arial"/>
            <family val="2"/>
          </rPr>
          <t>-시계사러와서 필름을 사가서 혼돈을 불러옴 삭제 (20190819)
- 유입수 줄어들어서 다시 판매
시계와 세트 상품으로 판매 변경
아래 항목으로 변경됨</t>
        </r>
      </text>
    </comment>
    <comment ref="F31" authorId="0" shapeId="0" xr:uid="{00000000-0006-0000-0000-000003000000}">
      <text>
        <r>
          <rPr>
            <sz val="10"/>
            <color rgb="FF000000"/>
            <rFont val="Arial"/>
            <family val="2"/>
          </rPr>
          <t xml:space="preserve">해당 옵션 없어짐
</t>
        </r>
      </text>
    </comment>
    <comment ref="AW61" authorId="0" shapeId="0" xr:uid="{00000000-0006-0000-0000-000004000000}">
      <text>
        <r>
          <rPr>
            <sz val="10"/>
            <color rgb="FF000000"/>
            <rFont val="Arial"/>
            <family val="2"/>
          </rPr>
          <t xml:space="preserve">가격협의 필요
지금 잘나가는데 떨어진 아마존 가격에 맞출것인가?
</t>
        </r>
      </text>
    </comment>
    <comment ref="C73" authorId="0" shapeId="0" xr:uid="{00000000-0006-0000-0000-000005000000}">
      <text>
        <r>
          <rPr>
            <sz val="10"/>
            <color rgb="FF000000"/>
            <rFont val="Arial"/>
            <family val="2"/>
          </rPr>
          <t xml:space="preserve">처음에 올렸던 색상의 옵션이 없음 
상품이 변경된것 같음
</t>
        </r>
      </text>
    </comment>
    <comment ref="C94" authorId="0" shapeId="0" xr:uid="{00000000-0006-0000-0000-000006000000}">
      <text>
        <r>
          <rPr>
            <sz val="10"/>
            <color rgb="FF000000"/>
            <rFont val="Arial"/>
            <family val="2"/>
          </rPr>
          <t>30팩은 상품 못찾겠음 
품절</t>
        </r>
      </text>
    </comment>
    <comment ref="F106" authorId="0" shapeId="0" xr:uid="{00000000-0006-0000-0000-000007000000}">
      <text>
        <r>
          <rPr>
            <sz val="10"/>
            <color rgb="FF000000"/>
            <rFont val="Arial"/>
            <family val="2"/>
          </rPr>
          <t>아마존 상품 품절 (20190819)</t>
        </r>
      </text>
    </comment>
    <comment ref="F117" authorId="0" shapeId="0" xr:uid="{00000000-0006-0000-0000-000008000000}">
      <text>
        <r>
          <rPr>
            <sz val="10"/>
            <color rgb="FF000000"/>
            <rFont val="Arial"/>
            <family val="2"/>
          </rPr>
          <t xml:space="preserve">상품 못찾겠음
</t>
        </r>
      </text>
    </comment>
    <comment ref="C126" authorId="0" shapeId="0" xr:uid="{00000000-0006-0000-0000-000009000000}">
      <text>
        <r>
          <rPr>
            <sz val="10"/>
            <color rgb="FF000000"/>
            <rFont val="Arial"/>
            <family val="2"/>
          </rPr>
          <t xml:space="preserve">품절
</t>
        </r>
      </text>
    </comment>
    <comment ref="A138" authorId="0" shapeId="0" xr:uid="{00000000-0006-0000-0000-00000A000000}">
      <text>
        <r>
          <rPr>
            <sz val="10"/>
            <color rgb="FF000000"/>
            <rFont val="Arial"/>
            <family val="2"/>
          </rPr>
          <t xml:space="preserve">품절
</t>
        </r>
      </text>
    </comment>
    <comment ref="C147" authorId="0" shapeId="0" xr:uid="{00000000-0006-0000-0000-00000B000000}">
      <text>
        <r>
          <rPr>
            <sz val="10"/>
            <color rgb="FF000000"/>
            <rFont val="Arial"/>
            <family val="2"/>
          </rPr>
          <t xml:space="preserve">관부가세 확인필요
</t>
        </r>
      </text>
    </comment>
    <comment ref="A151" authorId="0" shapeId="0" xr:uid="{00000000-0006-0000-0000-00000C000000}">
      <text>
        <r>
          <rPr>
            <sz val="10"/>
            <color rgb="FF000000"/>
            <rFont val="Arial"/>
            <family val="2"/>
          </rPr>
          <t xml:space="preserve">품절
</t>
        </r>
      </text>
    </comment>
    <comment ref="C155" authorId="0" shapeId="0" xr:uid="{00000000-0006-0000-0000-00000D000000}">
      <text>
        <r>
          <rPr>
            <sz val="10"/>
            <color rgb="FF000000"/>
            <rFont val="Arial"/>
            <family val="2"/>
          </rPr>
          <t>근호야 이거 까먹지 말고 올려~</t>
        </r>
      </text>
    </comment>
    <comment ref="D156" authorId="0" shapeId="0" xr:uid="{00000000-0006-0000-0000-00000E000000}">
      <text>
        <r>
          <rPr>
            <sz val="10"/>
            <color rgb="FF000000"/>
            <rFont val="Arial"/>
            <family val="2"/>
          </rPr>
          <t>20200101 범진 여기까지 확인</t>
        </r>
      </text>
    </comment>
    <comment ref="J157" authorId="0" shapeId="0" xr:uid="{00000000-0006-0000-0000-00000F000000}">
      <text>
        <r>
          <rPr>
            <sz val="10"/>
            <color rgb="FF000000"/>
            <rFont val="Arial"/>
            <family val="2"/>
          </rPr>
          <t xml:space="preserve">품절
</t>
        </r>
      </text>
    </comment>
    <comment ref="A199" authorId="0" shapeId="0" xr:uid="{00000000-0006-0000-0000-000010000000}">
      <text>
        <r>
          <rPr>
            <sz val="10"/>
            <color rgb="FF000000"/>
            <rFont val="Arial"/>
            <family val="2"/>
          </rPr>
          <t xml:space="preserve">품절
</t>
        </r>
      </text>
    </comment>
    <comment ref="AW224" authorId="0" shapeId="0" xr:uid="{00000000-0006-0000-0000-000011000000}">
      <text>
        <r>
          <rPr>
            <sz val="10"/>
            <color rgb="FF000000"/>
            <rFont val="Arial"/>
            <family val="2"/>
          </rPr>
          <t xml:space="preserve">200달러 넘김 
일시 판매 중지
</t>
        </r>
      </text>
    </comment>
    <comment ref="J227" authorId="0" shapeId="0" xr:uid="{00000000-0006-0000-0000-000012000000}">
      <text>
        <r>
          <rPr>
            <sz val="10"/>
            <color rgb="FF000000"/>
            <rFont val="Arial"/>
            <family val="2"/>
          </rPr>
          <t xml:space="preserve">품절처리
</t>
        </r>
      </text>
    </comment>
    <comment ref="J243" authorId="0" shapeId="0" xr:uid="{00000000-0006-0000-0000-000013000000}">
      <text>
        <r>
          <rPr>
            <sz val="10"/>
            <color rgb="FF000000"/>
            <rFont val="Arial"/>
            <family val="2"/>
          </rPr>
          <t xml:space="preserve">품절 해제
</t>
        </r>
      </text>
    </comment>
    <comment ref="AW266" authorId="0" shapeId="0" xr:uid="{00000000-0006-0000-0000-000014000000}">
      <text>
        <r>
          <rPr>
            <sz val="10"/>
            <color rgb="FF000000"/>
            <rFont val="Arial"/>
            <family val="2"/>
          </rPr>
          <t xml:space="preserve">가격 변동 자주 있을 것 같음 
수시로 확인 필요
</t>
        </r>
      </text>
    </comment>
    <comment ref="J268" authorId="0" shapeId="0" xr:uid="{00000000-0006-0000-0000-000015000000}">
      <text>
        <r>
          <rPr>
            <sz val="10"/>
            <color rgb="FF000000"/>
            <rFont val="Arial"/>
            <family val="2"/>
          </rPr>
          <t xml:space="preserve">가격이 싸졌는데 딴데랑 가격차이 극심해서 가격내림
</t>
        </r>
      </text>
    </comment>
    <comment ref="AW275" authorId="0" shapeId="0" xr:uid="{00000000-0006-0000-0000-000016000000}">
      <text>
        <r>
          <rPr>
            <sz val="10"/>
            <color rgb="FF000000"/>
            <rFont val="Arial"/>
            <family val="2"/>
          </rPr>
          <t>현재 테스트로 만원할인 가격으로 수정
판매가 83,000원</t>
        </r>
      </text>
    </comment>
    <comment ref="J290" authorId="0" shapeId="0" xr:uid="{00000000-0006-0000-0000-000017000000}">
      <text>
        <r>
          <rPr>
            <sz val="10"/>
            <color rgb="FF000000"/>
            <rFont val="Arial"/>
            <family val="2"/>
          </rPr>
          <t>200달러 넘음 - 품절처리</t>
        </r>
      </text>
    </comment>
    <comment ref="F291" authorId="0" shapeId="0" xr:uid="{00000000-0006-0000-0000-000018000000}">
      <text>
        <r>
          <rPr>
            <sz val="10"/>
            <color rgb="FF000000"/>
            <rFont val="Arial"/>
            <family val="2"/>
          </rPr>
          <t xml:space="preserve">일시 품절
</t>
        </r>
      </text>
    </comment>
    <comment ref="J292" authorId="0" shapeId="0" xr:uid="{00000000-0006-0000-0000-000019000000}">
      <text>
        <r>
          <rPr>
            <sz val="10"/>
            <color rgb="FF000000"/>
            <rFont val="Arial"/>
            <family val="2"/>
          </rPr>
          <t xml:space="preserve">일시 품절
</t>
        </r>
      </text>
    </comment>
    <comment ref="F293" authorId="0" shapeId="0" xr:uid="{00000000-0006-0000-0000-00001A000000}">
      <text>
        <r>
          <rPr>
            <sz val="10"/>
            <color rgb="FF000000"/>
            <rFont val="Arial"/>
            <family val="2"/>
          </rPr>
          <t xml:space="preserve">usb모델 사라짐
</t>
        </r>
      </text>
    </comment>
    <comment ref="AW295" authorId="0" shapeId="0" xr:uid="{00000000-0006-0000-0000-00001B000000}">
      <text>
        <r>
          <rPr>
            <sz val="10"/>
            <color rgb="FF000000"/>
            <rFont val="Arial"/>
            <family val="2"/>
          </rPr>
          <t xml:space="preserve">가격폭등 200달러 넘기기 쉬울듯 
자주체크필요
</t>
        </r>
      </text>
    </comment>
    <comment ref="F302" authorId="0" shapeId="0" xr:uid="{00000000-0006-0000-0000-00001C000000}">
      <text>
        <r>
          <rPr>
            <sz val="10"/>
            <color rgb="FF000000"/>
            <rFont val="Arial"/>
            <family val="2"/>
          </rPr>
          <t xml:space="preserve">20191212 범진 여기까지 봄
</t>
        </r>
      </text>
    </comment>
    <comment ref="A303" authorId="0" shapeId="0" xr:uid="{00000000-0006-0000-0000-00001D000000}">
      <text>
        <r>
          <rPr>
            <sz val="10"/>
            <color rgb="FF000000"/>
            <rFont val="Arial"/>
            <family val="2"/>
          </rPr>
          <t>판매불가 상품 삭제</t>
        </r>
      </text>
    </comment>
    <comment ref="A311" authorId="0" shapeId="0" xr:uid="{00000000-0006-0000-0000-00001E000000}">
      <text>
        <r>
          <rPr>
            <sz val="10"/>
            <color rgb="FF000000"/>
            <rFont val="Arial"/>
            <family val="2"/>
          </rPr>
          <t>판매불가 상품 삭제</t>
        </r>
      </text>
    </comment>
    <comment ref="A330" authorId="0" shapeId="0" xr:uid="{00000000-0006-0000-0000-00001F000000}">
      <text>
        <r>
          <rPr>
            <sz val="10"/>
            <color rgb="FF000000"/>
            <rFont val="Arial"/>
            <family val="2"/>
          </rPr>
          <t xml:space="preserve">가격경쟁력 무너져서 버림
품절처리
</t>
        </r>
      </text>
    </comment>
    <comment ref="J330" authorId="0" shapeId="0" xr:uid="{00000000-0006-0000-0000-000020000000}">
      <text>
        <r>
          <rPr>
            <sz val="10"/>
            <color rgb="FF000000"/>
            <rFont val="Arial"/>
            <family val="2"/>
          </rPr>
          <t xml:space="preserve">옵션 변경
-&gt; mix Grey, pure Grey 
아래 추가함
기존꺼 숨김
</t>
        </r>
      </text>
    </comment>
    <comment ref="AW330" authorId="0" shapeId="0" xr:uid="{00000000-0006-0000-0000-000021000000}">
      <text>
        <r>
          <rPr>
            <sz val="10"/>
            <color rgb="FF000000"/>
            <rFont val="Arial"/>
            <family val="2"/>
          </rPr>
          <t>재고 수량 10개 내외임 
자주 확인필요!</t>
        </r>
      </text>
    </comment>
    <comment ref="J334" authorId="0" shapeId="0" xr:uid="{00000000-0006-0000-0000-000022000000}">
      <text>
        <r>
          <rPr>
            <sz val="10"/>
            <color rgb="FF000000"/>
            <rFont val="Arial"/>
            <family val="2"/>
          </rPr>
          <t>링크 삭제됨 품절처리하고
RGB / Grey / PL 이 제품만 남아있음</t>
        </r>
      </text>
    </comment>
    <comment ref="A340" authorId="0" shapeId="0" xr:uid="{00000000-0006-0000-0000-000023000000}">
      <text>
        <r>
          <rPr>
            <sz val="10"/>
            <color rgb="FF000000"/>
            <rFont val="Arial"/>
            <family val="2"/>
          </rPr>
          <t>가격경쟁력 무너져서 버림
품절처리</t>
        </r>
      </text>
    </comment>
    <comment ref="A349" authorId="0" shapeId="0" xr:uid="{00000000-0006-0000-0000-000024000000}">
      <text>
        <r>
          <rPr>
            <sz val="10"/>
            <color rgb="FF000000"/>
            <rFont val="Arial"/>
            <family val="2"/>
          </rPr>
          <t xml:space="preserve">가격경쟁력 무너져서 버림
품절처리
</t>
        </r>
      </text>
    </comment>
    <comment ref="AW349" authorId="0" shapeId="0" xr:uid="{00000000-0006-0000-0000-000025000000}">
      <text>
        <r>
          <rPr>
            <sz val="10"/>
            <color rgb="FF000000"/>
            <rFont val="Arial"/>
            <family val="2"/>
          </rPr>
          <t>재고 수량 10개 내외임 
자주 확인필요!</t>
        </r>
      </text>
    </comment>
    <comment ref="AW362" authorId="0" shapeId="0" xr:uid="{00000000-0006-0000-0000-000026000000}">
      <text>
        <r>
          <rPr>
            <sz val="10"/>
            <color rgb="FF000000"/>
            <rFont val="Arial"/>
            <family val="2"/>
          </rPr>
          <t>199.99달러임 200 넘어가는지 자주확인 필요</t>
        </r>
      </text>
    </comment>
    <comment ref="A366" authorId="0" shapeId="0" xr:uid="{00000000-0006-0000-0000-000027000000}">
      <text>
        <r>
          <rPr>
            <sz val="10"/>
            <color rgb="FF000000"/>
            <rFont val="Arial"/>
            <family val="2"/>
          </rPr>
          <t>미출시제품</t>
        </r>
      </text>
    </comment>
    <comment ref="A373" authorId="0" shapeId="0" xr:uid="{00000000-0006-0000-0000-000028000000}">
      <text>
        <r>
          <rPr>
            <sz val="10"/>
            <color rgb="FF000000"/>
            <rFont val="Arial"/>
            <family val="2"/>
          </rPr>
          <t>판매 불가 삭제</t>
        </r>
      </text>
    </comment>
    <comment ref="AW373" authorId="0" shapeId="0" xr:uid="{00000000-0006-0000-0000-000029000000}">
      <text>
        <r>
          <rPr>
            <sz val="10"/>
            <color rgb="FF000000"/>
            <rFont val="Arial"/>
            <family val="2"/>
          </rPr>
          <t xml:space="preserve">블랙, 레드 색상만 판매
나머지 색상은 없는 도수가 많음.
</t>
        </r>
      </text>
    </comment>
    <comment ref="A412" authorId="0" shapeId="0" xr:uid="{00000000-0006-0000-0000-00002A000000}">
      <text>
        <r>
          <rPr>
            <sz val="10"/>
            <color rgb="FF000000"/>
            <rFont val="Arial"/>
            <family val="2"/>
          </rPr>
          <t>판매 불가 삭제</t>
        </r>
      </text>
    </comment>
    <comment ref="AW470" authorId="0" shapeId="0" xr:uid="{00000000-0006-0000-0000-00002B000000}">
      <text>
        <r>
          <rPr>
            <sz val="10"/>
            <color rgb="FF000000"/>
            <rFont val="Arial"/>
            <family val="2"/>
          </rPr>
          <t xml:space="preserve">200달러 넘은 일시 품절 처리
</t>
        </r>
      </text>
    </comment>
    <comment ref="J495" authorId="0" shapeId="0" xr:uid="{00000000-0006-0000-0000-00002C000000}">
      <text>
        <r>
          <rPr>
            <sz val="10"/>
            <color rgb="FF000000"/>
            <rFont val="Arial"/>
            <family val="2"/>
          </rPr>
          <t xml:space="preserve">품절
</t>
        </r>
      </text>
    </comment>
    <comment ref="J532" authorId="0" shapeId="0" xr:uid="{00000000-0006-0000-0000-00002D000000}">
      <text>
        <r>
          <rPr>
            <sz val="10"/>
            <color rgb="FF000000"/>
            <rFont val="Arial"/>
            <family val="2"/>
          </rPr>
          <t xml:space="preserve">품절
</t>
        </r>
      </text>
    </comment>
    <comment ref="J609" authorId="0" shapeId="0" xr:uid="{00000000-0006-0000-0000-00002E000000}">
      <text>
        <r>
          <rPr>
            <sz val="10"/>
            <color rgb="FF000000"/>
            <rFont val="Arial"/>
            <family val="2"/>
          </rPr>
          <t xml:space="preserve">그레이 상품 확인 필요
</t>
        </r>
      </text>
    </comment>
    <comment ref="A639" authorId="0" shapeId="0" xr:uid="{00000000-0006-0000-0000-00002F000000}">
      <text>
        <r>
          <rPr>
            <sz val="10"/>
            <color rgb="FF000000"/>
            <rFont val="Arial"/>
            <family val="2"/>
          </rPr>
          <t xml:space="preserve">중국 아이템소싱으로 이동
</t>
        </r>
      </text>
    </comment>
    <comment ref="A646" authorId="0" shapeId="0" xr:uid="{00000000-0006-0000-0000-000030000000}">
      <text>
        <r>
          <rPr>
            <sz val="10"/>
            <color rgb="FF000000"/>
            <rFont val="Arial"/>
            <family val="2"/>
          </rPr>
          <t xml:space="preserve">배송비 40000원
</t>
        </r>
      </text>
    </comment>
    <comment ref="C648" authorId="0" shapeId="0" xr:uid="{00000000-0006-0000-0000-000031000000}">
      <text>
        <r>
          <rPr>
            <sz val="10"/>
            <color rgb="FF000000"/>
            <rFont val="Arial"/>
            <family val="2"/>
          </rPr>
          <t xml:space="preserve">20000원 유료배송
</t>
        </r>
      </text>
    </comment>
    <comment ref="A649" authorId="0" shapeId="0" xr:uid="{00000000-0006-0000-0000-000032000000}">
      <text>
        <r>
          <rPr>
            <sz val="10"/>
            <color rgb="FF000000"/>
            <rFont val="Arial"/>
            <family val="2"/>
          </rPr>
          <t xml:space="preserve">배송비 20000원
</t>
        </r>
      </text>
    </comment>
    <comment ref="A650" authorId="0" shapeId="0" xr:uid="{00000000-0006-0000-0000-000033000000}">
      <text>
        <r>
          <rPr>
            <sz val="10"/>
            <color rgb="FF000000"/>
            <rFont val="Arial"/>
            <family val="2"/>
          </rPr>
          <t xml:space="preserve">일시세일 가격으로 올려놓음 자주 확인필요
</t>
        </r>
      </text>
    </comment>
    <comment ref="A652" authorId="0" shapeId="0" xr:uid="{00000000-0006-0000-0000-000034000000}">
      <text>
        <r>
          <rPr>
            <sz val="10"/>
            <color rgb="FF000000"/>
            <rFont val="Arial"/>
            <family val="2"/>
          </rPr>
          <t xml:space="preserve">배송비 10000원
</t>
        </r>
      </text>
    </comment>
    <comment ref="A653" authorId="0" shapeId="0" xr:uid="{00000000-0006-0000-0000-000035000000}">
      <text>
        <r>
          <rPr>
            <sz val="10"/>
            <color rgb="FF000000"/>
            <rFont val="Arial"/>
            <family val="2"/>
          </rPr>
          <t xml:space="preserve">배송비 15000원
</t>
        </r>
      </text>
    </comment>
    <comment ref="A655" authorId="0" shapeId="0" xr:uid="{00000000-0006-0000-0000-000036000000}">
      <text>
        <r>
          <rPr>
            <sz val="10"/>
            <color rgb="FF000000"/>
            <rFont val="Arial"/>
            <family val="2"/>
          </rPr>
          <t xml:space="preserve">배송비 20000원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91" authorId="0" shapeId="0" xr:uid="{00000000-0006-0000-0100-000001000000}">
      <text>
        <r>
          <rPr>
            <sz val="10"/>
            <color rgb="FF000000"/>
            <rFont val="Arial"/>
            <family val="2"/>
          </rPr>
          <t xml:space="preserve">짭같아서 판매중지
</t>
        </r>
      </text>
    </comment>
    <comment ref="A96" authorId="0" shapeId="0" xr:uid="{00000000-0006-0000-0100-000002000000}">
      <text>
        <r>
          <rPr>
            <sz val="10"/>
            <color rgb="FF000000"/>
            <rFont val="Arial"/>
            <family val="2"/>
          </rPr>
          <t>가격임의로 수기작성 
가격수정시 수기로 재작성 필요
- 최저가 맞추기위함
+ 유료배송 상품</t>
        </r>
      </text>
    </comment>
    <comment ref="A125" authorId="0" shapeId="0" xr:uid="{00000000-0006-0000-0100-000003000000}">
      <text>
        <r>
          <rPr>
            <sz val="10"/>
            <color rgb="FF000000"/>
            <rFont val="Arial"/>
            <family val="2"/>
          </rPr>
          <t xml:space="preserve">배송비10000원
</t>
        </r>
      </text>
    </comment>
    <comment ref="A127" authorId="0" shapeId="0" xr:uid="{00000000-0006-0000-0100-000004000000}">
      <text>
        <r>
          <rPr>
            <sz val="10"/>
            <color rgb="FF000000"/>
            <rFont val="Arial"/>
            <family val="2"/>
          </rPr>
          <t xml:space="preserve">배송비10000원
</t>
        </r>
      </text>
    </comment>
    <comment ref="A132" authorId="0" shapeId="0" xr:uid="{00000000-0006-0000-0100-000005000000}">
      <text>
        <r>
          <rPr>
            <sz val="10"/>
            <color rgb="FF000000"/>
            <rFont val="Arial"/>
            <family val="2"/>
          </rPr>
          <t xml:space="preserve">배송비8000원
</t>
        </r>
      </text>
    </comment>
    <comment ref="A134" authorId="0" shapeId="0" xr:uid="{00000000-0006-0000-0100-000006000000}">
      <text>
        <r>
          <rPr>
            <sz val="10"/>
            <color rgb="FF000000"/>
            <rFont val="Arial"/>
            <family val="2"/>
          </rPr>
          <t xml:space="preserve">배송비25000원
</t>
        </r>
      </text>
    </comment>
    <comment ref="A138" authorId="0" shapeId="0" xr:uid="{00000000-0006-0000-0100-000007000000}">
      <text>
        <r>
          <rPr>
            <sz val="10"/>
            <color rgb="FF000000"/>
            <rFont val="Arial"/>
            <family val="2"/>
          </rPr>
          <t xml:space="preserve">배송비10000원
</t>
        </r>
      </text>
    </comment>
    <comment ref="A139" authorId="0" shapeId="0" xr:uid="{00000000-0006-0000-0100-000008000000}">
      <text>
        <r>
          <rPr>
            <sz val="10"/>
            <color rgb="FF000000"/>
            <rFont val="Arial"/>
            <family val="2"/>
          </rPr>
          <t xml:space="preserve">배송비15000원
</t>
        </r>
      </text>
    </comment>
    <comment ref="A141" authorId="0" shapeId="0" xr:uid="{00000000-0006-0000-0100-000009000000}">
      <text>
        <r>
          <rPr>
            <sz val="10"/>
            <color rgb="FF000000"/>
            <rFont val="Arial"/>
            <family val="2"/>
          </rPr>
          <t xml:space="preserve">배송비10000원
</t>
        </r>
      </text>
    </comment>
    <comment ref="A146" authorId="0" shapeId="0" xr:uid="{00000000-0006-0000-0100-00000A000000}">
      <text>
        <r>
          <rPr>
            <sz val="10"/>
            <color rgb="FF000000"/>
            <rFont val="Arial"/>
            <family val="2"/>
          </rPr>
          <t xml:space="preserve">배송비10000원
</t>
        </r>
      </text>
    </comment>
    <comment ref="A147" authorId="0" shapeId="0" xr:uid="{00000000-0006-0000-0100-00000B000000}">
      <text>
        <r>
          <rPr>
            <sz val="10"/>
            <color rgb="FF000000"/>
            <rFont val="Arial"/>
            <family val="2"/>
          </rPr>
          <t xml:space="preserve">배송비10000원
</t>
        </r>
      </text>
    </comment>
    <comment ref="A150" authorId="0" shapeId="0" xr:uid="{00000000-0006-0000-0100-00000C000000}">
      <text>
        <r>
          <rPr>
            <sz val="10"/>
            <color rgb="FF000000"/>
            <rFont val="Arial"/>
            <family val="2"/>
          </rPr>
          <t xml:space="preserve">배송비10000원
</t>
        </r>
      </text>
    </comment>
    <comment ref="A155" authorId="0" shapeId="0" xr:uid="{00000000-0006-0000-0100-00000D000000}">
      <text>
        <r>
          <rPr>
            <sz val="10"/>
            <color rgb="FF000000"/>
            <rFont val="Arial"/>
            <family val="2"/>
          </rPr>
          <t xml:space="preserve">배송비5000원
</t>
        </r>
      </text>
    </comment>
    <comment ref="A159" authorId="0" shapeId="0" xr:uid="{00000000-0006-0000-0100-00000E000000}">
      <text>
        <r>
          <rPr>
            <sz val="10"/>
            <color rgb="FF000000"/>
            <rFont val="Arial"/>
            <family val="2"/>
          </rPr>
          <t xml:space="preserve">배송비10000원
</t>
        </r>
      </text>
    </comment>
    <comment ref="A160" authorId="0" shapeId="0" xr:uid="{00000000-0006-0000-0100-00000F000000}">
      <text>
        <r>
          <rPr>
            <sz val="10"/>
            <color rgb="FF000000"/>
            <rFont val="Arial"/>
            <family val="2"/>
          </rPr>
          <t xml:space="preserve">배송비10000원
</t>
        </r>
      </text>
    </comment>
    <comment ref="A161" authorId="0" shapeId="0" xr:uid="{00000000-0006-0000-0100-000010000000}">
      <text>
        <r>
          <rPr>
            <sz val="10"/>
            <color rgb="FF000000"/>
            <rFont val="Arial"/>
            <family val="2"/>
          </rPr>
          <t xml:space="preserve">배송비15000원
</t>
        </r>
      </text>
    </comment>
    <comment ref="A171" authorId="0" shapeId="0" xr:uid="{00000000-0006-0000-0100-000011000000}">
      <text>
        <r>
          <rPr>
            <sz val="10"/>
            <color rgb="FF000000"/>
            <rFont val="Arial"/>
            <family val="2"/>
          </rPr>
          <t>배송비10000원</t>
        </r>
      </text>
    </comment>
    <comment ref="A173" authorId="0" shapeId="0" xr:uid="{00000000-0006-0000-0100-000012000000}">
      <text>
        <r>
          <rPr>
            <sz val="10"/>
            <color rgb="FF000000"/>
            <rFont val="Arial"/>
            <family val="2"/>
          </rPr>
          <t>배송비10000원</t>
        </r>
      </text>
    </comment>
    <comment ref="A175" authorId="0" shapeId="0" xr:uid="{00000000-0006-0000-0100-000013000000}">
      <text>
        <r>
          <rPr>
            <sz val="10"/>
            <color rgb="FF000000"/>
            <rFont val="Arial"/>
            <family val="2"/>
          </rPr>
          <t>배송비10000원</t>
        </r>
      </text>
    </comment>
    <comment ref="A176" authorId="0" shapeId="0" xr:uid="{00000000-0006-0000-0100-000014000000}">
      <text>
        <r>
          <rPr>
            <sz val="10"/>
            <color rgb="FF000000"/>
            <rFont val="Arial"/>
            <family val="2"/>
          </rPr>
          <t>배송비10000원</t>
        </r>
      </text>
    </comment>
  </commentList>
</comments>
</file>

<file path=xl/sharedStrings.xml><?xml version="1.0" encoding="utf-8"?>
<sst xmlns="http://schemas.openxmlformats.org/spreadsheetml/2006/main" count="3940" uniqueCount="1299">
  <si>
    <t>등록번호</t>
  </si>
  <si>
    <t>상품명 국문</t>
  </si>
  <si>
    <t>상품명 영문</t>
  </si>
  <si>
    <t>옵션 구성</t>
  </si>
  <si>
    <t>판매처 URL</t>
  </si>
  <si>
    <t>매입단가</t>
  </si>
  <si>
    <t>무게</t>
  </si>
  <si>
    <t>세금</t>
  </si>
  <si>
    <t>배송비</t>
  </si>
  <si>
    <t>합계</t>
  </si>
  <si>
    <t>매입단가
(원화)</t>
  </si>
  <si>
    <t>상품명 중문</t>
  </si>
  <si>
    <t>판매가</t>
  </si>
  <si>
    <t>관부가세</t>
  </si>
  <si>
    <t>자체마진 2</t>
  </si>
  <si>
    <t>배송비 포함 판매가</t>
  </si>
  <si>
    <t>세금&amp;수수료</t>
  </si>
  <si>
    <t>정산금액</t>
  </si>
  <si>
    <t>실제예상마진</t>
  </si>
  <si>
    <t>실제 마진율</t>
  </si>
  <si>
    <t>마진</t>
  </si>
  <si>
    <t>스스</t>
  </si>
  <si>
    <t>쿠팡</t>
  </si>
  <si>
    <t>lb</t>
  </si>
  <si>
    <t>oz</t>
  </si>
  <si>
    <t>kg</t>
  </si>
  <si>
    <t>실제 관/부가세</t>
  </si>
  <si>
    <t>네이버페이수수료 3.8%</t>
  </si>
  <si>
    <t>스스수수료 2%</t>
  </si>
  <si>
    <t>쿠팡수수료10%</t>
  </si>
  <si>
    <t>카드수수료 1%</t>
  </si>
  <si>
    <t>유료배송 측정</t>
  </si>
  <si>
    <t>환율(유로화)</t>
  </si>
  <si>
    <t>자체 마진 1</t>
  </si>
  <si>
    <t>실제마진율</t>
  </si>
  <si>
    <t>스마트스토어</t>
  </si>
  <si>
    <t>배송비 측정 후 상품가</t>
  </si>
  <si>
    <t>환율</t>
  </si>
  <si>
    <t>상품무게(lb)</t>
  </si>
  <si>
    <t>상품무게(oz)</t>
  </si>
  <si>
    <t>상품무게(kg)</t>
  </si>
  <si>
    <t>결제수수료 3.8%</t>
  </si>
  <si>
    <t>유료배송 측정 가격</t>
  </si>
  <si>
    <t>유료배송비 뺀 상품비</t>
  </si>
  <si>
    <t>환율(위안화)</t>
  </si>
  <si>
    <t>환율(달러)</t>
  </si>
  <si>
    <t>네이처하이크 바퀴 달린 대용량 여행 캠핑 가방 캐리어형 가방(무료배송)</t>
  </si>
  <si>
    <t>NH折叠行李箱包带轮子大容量旅行包行李包收纳包户外装备收纳袋</t>
  </si>
  <si>
    <t>L 블랙</t>
  </si>
  <si>
    <t>후지 여행용 목베개 쿠션 - Huzi Infinity Pillow</t>
  </si>
  <si>
    <t xml:space="preserve">Huzi Infinity Pillow - Travel Pillow - Versatile Soft Neck Pillow for Sleep in Airplane, Train, Bus, Office (Tan)
</t>
  </si>
  <si>
    <t>알레시 앵무새 와인오프너 Allessi Parror Corkscrew AAM32 (무료배송)</t>
  </si>
  <si>
    <t>A di Alessi Parrot Corkscrew</t>
  </si>
  <si>
    <t>Green</t>
  </si>
  <si>
    <t>L 그레이</t>
  </si>
  <si>
    <t>Black</t>
  </si>
  <si>
    <t>M 블랙</t>
  </si>
  <si>
    <t>접히는 포켓 사이즈 여행용 물병 - HYDAWAY New Collapsible Pocket-sized Travel Water Bottle - 21 oz.</t>
  </si>
  <si>
    <t>Blue</t>
  </si>
  <si>
    <t>M 그레이</t>
  </si>
  <si>
    <t>품절</t>
  </si>
  <si>
    <t>Hand-Decorated</t>
  </si>
  <si>
    <t>제이린드버그파우치 골프클러치백 Jlindeberg(무료배송)</t>
  </si>
  <si>
    <t xml:space="preserve">jlindeberg高尔夫手抓包收纳包多功能工具包防水手提包小球袋
</t>
  </si>
  <si>
    <t>그레이</t>
  </si>
  <si>
    <t>Vont 강력한 자전거 라이트 - Vont Bike Light, Comes with Free Tail Light</t>
  </si>
  <si>
    <t>Vont Bike Light, Comes with Free Tail Light, Bicycle Light Installs in Seconds Without Tools, Powerful Bike Headlight Compatible with: Mountain, Kids, Street, Bikes, Front and Back Illumination</t>
  </si>
  <si>
    <t>알레시 매직버니 이쑤시개통 이쑤시개함 Alessi Magic Bunny Toothpick Holder (무료배송)</t>
  </si>
  <si>
    <t>A Di Alessi Magic Bunny Toothpick Holder in Thermoplastic Resin</t>
  </si>
  <si>
    <t>로얄블루</t>
  </si>
  <si>
    <t>Yello</t>
  </si>
  <si>
    <t>화이트</t>
  </si>
  <si>
    <t>나이키 골프 모자 다크 그레이 Nike L91 Cap Tech Hat Dark Grey</t>
  </si>
  <si>
    <t>Nike L91 Cap Tech Hat Dark Grey/Anthracite/Black</t>
  </si>
  <si>
    <t>타이틀리스트파우치 방수 골프클러치백 골프공가방 TA6SDPCH(무료배송)</t>
  </si>
  <si>
    <t xml:space="preserve">高尔夫小球袋Titleist TA6SDPCH 防水附件包 手提包 手抓包
</t>
  </si>
  <si>
    <t>블렉/레드</t>
  </si>
  <si>
    <t>Rose</t>
  </si>
  <si>
    <t>카시오 흑새치 다이버 시계 Casio MDV106-1A</t>
  </si>
  <si>
    <t>Casio Men's Black Analog Anti Reverse Bezel Watch</t>
  </si>
  <si>
    <t>블루/화이트</t>
  </si>
  <si>
    <t xml:space="preserve">타이틀리스트파우치 남성골프파우치 TA8CLLDK-0 (무료배송)
</t>
  </si>
  <si>
    <t>Titleist高尔夫包 随身包 收纳包 旅行收纳golf小包 手包功能包</t>
  </si>
  <si>
    <t>카시오 MDV-106-1A 흑새치 다이버워치 전용 액정 보호필름 (5팩)</t>
  </si>
  <si>
    <t>사이즈:소</t>
  </si>
  <si>
    <t>[5-Pack] for Casio MDV106-1A Watch Screen Protector,Full Coverage Screen Protector for Casio MDV106-1A Watch HD Clear Anti-Bubble and Anti-Scratch</t>
  </si>
  <si>
    <t>알레시 플리세 전기포트 물병 블랙 Plissé Kettle Black Alessi (무료배송)</t>
  </si>
  <si>
    <t>Plissé Kettle Black Alessi</t>
  </si>
  <si>
    <t>사이즈:대</t>
  </si>
  <si>
    <t>그림그리는 태블릿 그림용 태블릿 12인치 8.5인치 컬러풀 (무료배송)</t>
  </si>
  <si>
    <t xml:space="preserve">小米小寻液晶手写板儿童涂鸦画板家用写字板智能电子小黑板手绘板
</t>
  </si>
  <si>
    <t>12인치 블루</t>
  </si>
  <si>
    <t>Red</t>
  </si>
  <si>
    <t>카시오 MDV-106-1A 흑새치 다이버시계 전용 액정 보호필름(5팩) 포함</t>
  </si>
  <si>
    <t>12인치 핑크</t>
  </si>
  <si>
    <t>써모스 캠핑용 스테인레스 식품 보온병 Thermos Stainless King 16 Ounce Food Jar with Folding Spoon</t>
  </si>
  <si>
    <t>Thermos Stainless King 16 Ounce Food Jar with Folding Spoon, Stainless Steel</t>
  </si>
  <si>
    <t>12인치 블루 컬러버전</t>
  </si>
  <si>
    <t>White</t>
  </si>
  <si>
    <t>12인치 핑크 컬러버전</t>
  </si>
  <si>
    <t>8.5인치 블루</t>
  </si>
  <si>
    <t>코닥 미니 휴대용 포토 프린터 Kodak Mini Portable Mobile Instant Photo Printer</t>
  </si>
  <si>
    <t>Kodak Mini Portable Mobile Instant Photo Printer - Wi-Fi &amp; NFC Compatible - Wirelessly Prints 2.1 x 3.4 Images, Advanced DyeSub Printing Technology (Black) Compatible with Android &amp; iOS</t>
  </si>
  <si>
    <t>알레시 루피타 자동 애견 사료그릇 식기 밥그릇Alessi Lupita Dog Bowl (무료배송)</t>
  </si>
  <si>
    <t>Alessi Lupita Dog Bowl – Plastic – Stainless Steel – Black, Ø 32 cm</t>
  </si>
  <si>
    <t>타이맥스 심플한 가죽 스트랩 시계 Timex T2M441</t>
  </si>
  <si>
    <t>Timex Men's Easy Reader Date Leather Strap Watch</t>
  </si>
  <si>
    <t>8.5인치 핑크</t>
  </si>
  <si>
    <t>알레시 안나 G 자막 콕스크류 와인따개 와인오프너 Alessi Anna G Zamak Corkscrew (무료배송)</t>
  </si>
  <si>
    <t>Alessi Anna G Zamak Corkscrew by Alessandro Mendini</t>
  </si>
  <si>
    <t>타이맥스 여성 가죽 시계 Timex T2H331</t>
  </si>
  <si>
    <t>Timex Women's Indiglo Easy Reader Quartz Analog Leather Strap Watch with Date Feature</t>
  </si>
  <si>
    <t>Burgundy</t>
  </si>
  <si>
    <t>그림그리는 태블릿 샤오미 그림용 태블릿 10인치 13.5인치 (무료배송)</t>
  </si>
  <si>
    <t xml:space="preserve">小米米家液晶黑板电子画板儿童宝宝手绘手写绘画写字家用彩色涂鸦
</t>
  </si>
  <si>
    <t>10인치</t>
  </si>
  <si>
    <t>타이맥스 남자 손목 시계 Timex Watch T20461</t>
  </si>
  <si>
    <t>Timex Men's Easy Reader Day-Date Expansion Band Watch</t>
  </si>
  <si>
    <t>Yellow</t>
  </si>
  <si>
    <t>13.5인치</t>
  </si>
  <si>
    <t>부레이 남자 패션 손목 시계 BUREI Men's Fashion Watch 19003</t>
  </si>
  <si>
    <t>BUREI Men's Fashion Minimalist Wrist Watch Analog Deep Gray Date with Black Milanese Mesh/Leather Band</t>
  </si>
  <si>
    <t>Mint</t>
  </si>
  <si>
    <t>여자 타이맥스 가죽 손목 시계 Timex Leather Strap Watch T20041</t>
  </si>
  <si>
    <t>Timex Easy Reader Day-Date Leather Strap Watch</t>
  </si>
  <si>
    <t>Dark Brown/Natural</t>
  </si>
  <si>
    <t>Purple</t>
  </si>
  <si>
    <t>휴대용 돋보기 안경 할머니 안경 (무료배송)</t>
  </si>
  <si>
    <t xml:space="preserve">冠豪复古老花镜 男女超轻圆框老花眼镜 舒适清晰老视镜包邮
</t>
  </si>
  <si>
    <t>모든 옵션</t>
  </si>
  <si>
    <t>타이맥스 남자 익스페디션 손목 시계 Timex TW4B04700</t>
  </si>
  <si>
    <t>Timex Men's Expedition Scout 40 Watch</t>
  </si>
  <si>
    <t>무선 키보드 마우스 세트 휴대용 제품 inphic V780 (무료배송)</t>
  </si>
  <si>
    <t xml:space="preserve">英菲克V780可充电无线键盘鼠标套装台式办公家用笔记本平板电脑USB外设男女生小超薄便携静音无声游戏键鼠
</t>
  </si>
  <si>
    <t>실버</t>
  </si>
  <si>
    <t>Silver</t>
  </si>
  <si>
    <t>메탈 그레이</t>
  </si>
  <si>
    <t>세이코 남자 손목 시계 Seiko SNE102</t>
  </si>
  <si>
    <t>Seiko Men's SNE102 Stainless Steel Solar Watch with Brown Leather Strap</t>
  </si>
  <si>
    <t>골프 팔 고정 골프 자세 교정 연습 도구(무료배송)</t>
  </si>
  <si>
    <t xml:space="preserve">伴米高尔夫智慧球充气球挥杆练习推杆固定手臂纠正辅助矫正训练器
</t>
  </si>
  <si>
    <t>타이맥스 익스피디션 남자 손목 시계 Timex Watch T49905</t>
  </si>
  <si>
    <t>Timex Men's Expedition Field Chronograph Watch</t>
  </si>
  <si>
    <t>타이맥스 남자 익스피디션 손목 시계 Timex Men's T49961</t>
  </si>
  <si>
    <t>블랙</t>
  </si>
  <si>
    <t>A</t>
  </si>
  <si>
    <t>아이맥 27인치 휴대용 케이스 Lavolta iMac 27-inch Case</t>
  </si>
  <si>
    <t>Lavolta Carrying Case Bag for Apple iMac 27-inch - Handmade Genuine Leather and Wool Felt - fits iMac 27" Retina 5K &amp; 27" Thunderbolt Display - with Protective Lining &amp; Pockets for iMac Accessories</t>
  </si>
  <si>
    <t>골프 스윙밴드 골프 자세 교정 밴드(무료배송)</t>
  </si>
  <si>
    <t xml:space="preserve">高尔夫挥杆训练器健身拉力带挥杆练球器材教学体能练习器阻力带
</t>
  </si>
  <si>
    <t>까눌레동틀 까눌레틀 12구 홈베이킹(무료배송)</t>
  </si>
  <si>
    <t xml:space="preserve">学厨 金色12连杯可露丽不粘蛋糕模具可丽露烤箱家用烘焙 天使之铃
</t>
  </si>
  <si>
    <t>옥소 과일,채소 써는 기계 OXO Good Grips 3-Blade Spiralizer</t>
  </si>
  <si>
    <t>OXO Good Grips 3-Blade Tabletop Spiralizer with StrongHold Suction</t>
  </si>
  <si>
    <t>베큐빈 남은 와인 보관 와인 세이버 진공펌프1개, 와인 스토퍼 4개(무료배송)</t>
  </si>
  <si>
    <t xml:space="preserve">荷兰Vacu Vin红酒塞 葡萄酒真空瓶塞香槟塞家用保鲜塞 啤酒瓶塞子
</t>
  </si>
  <si>
    <t>옥소 스파이럴 라이저 OXO Good Grips Handheld Spiralizer</t>
  </si>
  <si>
    <t>OXO Good Grips Handheld Spiralizer, Green, 1 Blade</t>
  </si>
  <si>
    <t>빔프로젝터 선반 거치대 브라켓 스피커 선반 35x25 cm (무료배송)</t>
  </si>
  <si>
    <t xml:space="preserve">投影机壁架挂架投影仪吊架音箱墙面托架通用型大托盘床头支架钢板
</t>
  </si>
  <si>
    <t>35 * 25 cm</t>
  </si>
  <si>
    <t>옥소 쿠키 메이커 OXO Cookie Press with Disks and Case</t>
  </si>
  <si>
    <t>OXO Good Grips Cookie Press with Stainless Steel Disks and Storage Case</t>
  </si>
  <si>
    <t xml:space="preserve">조개접시 조개트레이 수제그릇(무료배송)
</t>
  </si>
  <si>
    <t>日式创意陶瓷餐具贝壳碟装菜盘商用摆盘水果沙拉盘子小吃蛋糕碟子</t>
  </si>
  <si>
    <t>스타일1</t>
  </si>
  <si>
    <t>스타일2</t>
  </si>
  <si>
    <t>조셉조셉 조절가능한 반죽 밀대 Joseph Joseph Rolling Pin</t>
  </si>
  <si>
    <t>Joseph Joseph 20085 Adjustable Rolling Pin with Removable Rings, Multicolored</t>
  </si>
  <si>
    <t>Multicolored</t>
  </si>
  <si>
    <t>윌튼 팁 세트 24팁 꽃잎 윌튼 깍지</t>
  </si>
  <si>
    <t>베이킹용 저울 계량컵형 저울 베이킹 용품</t>
  </si>
  <si>
    <t xml:space="preserve">베이킹용 저울 계량컵형 저울 베이킹 용품	</t>
  </si>
  <si>
    <t xml:space="preserve">厨房秤家用食物烘焙秤蛋糕电子称小台秤天平称精准称重带量杯
</t>
  </si>
  <si>
    <t>레드</t>
  </si>
  <si>
    <t>타이맥스 아이언맨 남자 손목 시계 Timex Ironman Watch</t>
  </si>
  <si>
    <t>Timex Ironman Essential 30 Watch</t>
  </si>
  <si>
    <t>그린</t>
  </si>
  <si>
    <t>베이킹믹싱볼 핸드믹서 덮개믹싱볼 (무료배송)</t>
  </si>
  <si>
    <t>VicTsing 휴대용 블루투스 방수 스피커(green,blue)</t>
  </si>
  <si>
    <t>不锈钢打蛋盆加深家用和面揉面盆带盖水果沙拉洗菜盆烘焙厨房工具</t>
  </si>
  <si>
    <t>VicTsing Shower Speaker, Wireless Waterproof Speaker with 5W Drive, Suction Cup, Buit-in Mic, Hands-Free Speakerphone-Blue</t>
  </si>
  <si>
    <t>18CM</t>
  </si>
  <si>
    <t>24CM</t>
  </si>
  <si>
    <t>Light Grey</t>
  </si>
  <si>
    <t>휘핑크림기계 카페휘핑크림 500ml (무료배송)</t>
  </si>
  <si>
    <t xml:space="preserve">冰激凌奶油枪发泡器 咖啡奶油裱花枪奶油瓶250ml 500ml 多色可选
</t>
  </si>
  <si>
    <t>Pure Black</t>
  </si>
  <si>
    <t>Orange</t>
  </si>
  <si>
    <t>퍼플</t>
  </si>
  <si>
    <t>옐로우</t>
  </si>
  <si>
    <t>디젤 도미네이션 블랙 손목 시계 Domination Black Watch DZ1437</t>
  </si>
  <si>
    <t>Color Domination Black Dial Black Silicone Unisex Watch</t>
  </si>
  <si>
    <t>사이드라인스크래퍼 케이크스크래퍼 5개 세트</t>
  </si>
  <si>
    <t>【展艺蛋糕软刮板5件套】奶油抹面锯齿刮片塑料家用厨房烘焙工具</t>
  </si>
  <si>
    <t>LENTION 알루미늄 노트북 거치대 Aluminum Laptop Stand</t>
  </si>
  <si>
    <t>LENTION Aluminum Laptop Stand Compatible with MacBook Air/Pro 13 15, iPad Pro 12.9, Dell, HP, Lenovo, Acer, Surface, Chromebook and 11 to 15-inch Laptop/Notebook (Gray)</t>
  </si>
  <si>
    <t>유료배송비 측정</t>
  </si>
  <si>
    <t>커피잔 세트 북유럽 스타일 마카롱 컬러 (무료배송)</t>
  </si>
  <si>
    <t xml:space="preserve">马卡龙色陶瓷咖啡杯欧式咖啡杯碟套装家用简约下午茶花茶茶杯带勺
</t>
  </si>
  <si>
    <t>사테치 알루미늄 휴대용 노트북 거치대 Satechi Laptop Stand</t>
  </si>
  <si>
    <t>Satechi Lightweight Aluminum Portable Laptop Stand - Compatible with MacBook, MacBook Pro, Microsoft Surface Pro and more</t>
  </si>
  <si>
    <t>다양한색상(가격동일)</t>
  </si>
  <si>
    <t>iClever 휴대용 접이식 블루투스 키보드 - ios, 윈도우, 안드로이드 무선연결</t>
  </si>
  <si>
    <t>iClever Wireless Folding Keyboard with 3-Color Backlight, Tri-Folding Bluetooth Keyboard with Aluminum Alloy Base for iOS Windows Android Tablets, Smartphones, Laptops, PC and More</t>
  </si>
  <si>
    <t>붕어빵마들렌틀 붕들렌 미니붕어빵 미니돼지 고양이발바닥</t>
  </si>
  <si>
    <t>붕어빵틀</t>
  </si>
  <si>
    <t>높이 조절 노트북, 태블릿 거치대 스탠드 Executive Office Solutions</t>
  </si>
  <si>
    <t>Executive Office Solutions Portable Adjustable Aluminum Laptop Desk/Stand/Table Vented w/CPU Fans Mouse Pad Side Mount-Notebook-MacBook-Light Weight Ergonomic TV Bed Lap Tray Stand Up/Sitting-Black</t>
  </si>
  <si>
    <t>고양이발바닥틀</t>
  </si>
  <si>
    <t>아이패드프로&amp;펜 스탠드 Elevation Lab DraftTable Kit for iPad Pro</t>
  </si>
  <si>
    <t>Elevation Lab DraftTable Kit for iPad Pro - Adjustable Stand for iPad Pro &amp; Pencil, Designed for Professionals and Designers. Includes PencilStand &amp; ArmRest</t>
  </si>
  <si>
    <t>미니돼지틀</t>
  </si>
  <si>
    <t>콜맨 쿨러백팩 아이스백팩 소프트백팩 Coleman C003</t>
  </si>
  <si>
    <t>Coleman C003 Soft Backpack Cooler</t>
  </si>
  <si>
    <t>아인슈페너잔 카페 유리잔 플랫화이트잔(무료배송)</t>
  </si>
  <si>
    <t>175ml</t>
  </si>
  <si>
    <t>오리엔트 마코2 청마코2 남자 오토매틱 다이버시계</t>
  </si>
  <si>
    <t>Orient Men's 'Mako II' Japanese Automatic Stainless Steel Diving Watch</t>
  </si>
  <si>
    <t>275ml</t>
  </si>
  <si>
    <t>비치의자 해수욕장의자 캠핑의자 Lightspeed Outdoors</t>
  </si>
  <si>
    <t>Lightspeed Outdoors 2-Pack Lounger Park and Beach Chair</t>
  </si>
  <si>
    <t>Aquamarine</t>
  </si>
  <si>
    <t>335ml</t>
  </si>
  <si>
    <t>베트남 손잡이 원형 트레이 커피 트레이(무료배송)</t>
  </si>
  <si>
    <t xml:space="preserve">假日午后 | 越南手工藤编面包篮果篮收纳筐烘焙面包筐点心篮茶盘
</t>
  </si>
  <si>
    <t>Seaglass</t>
  </si>
  <si>
    <t>홈카페 과일 빵 바구니 커피 디저트 트레이(무료배송)</t>
  </si>
  <si>
    <t>早上好 | 森林的风 | 手作日式藤编篮面包篮 水果篮点心篮收纳篮</t>
  </si>
  <si>
    <t>비치용 그늘막 텐트 우산 Sport-Brella</t>
  </si>
  <si>
    <t>Sport-Brella Vented SPF 50+ Sun and Rain Canopy Umbrella for Beach and Sports Events (8-Foot)</t>
  </si>
  <si>
    <t>티라미수 용기 포크 50개입(무료배송)</t>
  </si>
  <si>
    <t>직사각형 340ml</t>
  </si>
  <si>
    <t>직사각형 340ml + 포크</t>
  </si>
  <si>
    <t>콜맨 비치 그늘막 텐트 Coleman Beach Shade</t>
  </si>
  <si>
    <t>Coleman Beach Shade</t>
  </si>
  <si>
    <t>Lime</t>
  </si>
  <si>
    <t>코도리 노즈워머 코가리개 5개 세트</t>
  </si>
  <si>
    <t>Blue/White</t>
  </si>
  <si>
    <t>핑크</t>
  </si>
  <si>
    <t>Naturehike 네이쳐하이크 초경량 방수 등산백팩 자전거백팩 여행백팩 25L</t>
  </si>
  <si>
    <t>Naturehike Rainproof Lightweight Packable Backpack for Climbing Camping Backpacking Cycling Bicycle Travel Airplane, 18L 25L Ultralight Foldable Small Daypack for Men Women</t>
  </si>
  <si>
    <t>black</t>
  </si>
  <si>
    <t>코도리 노즈워머 코가리개 빨간코 5개 세트</t>
  </si>
  <si>
    <t>오렌지</t>
  </si>
  <si>
    <t>gray</t>
  </si>
  <si>
    <t>에그타르트틀 알루미늄 계란타르트틀 10개 세트</t>
  </si>
  <si>
    <t>Naturehike 네이쳐하이크 초경량 방수 등산백팩 자전거백팩 여행백팩 18L</t>
  </si>
  <si>
    <t>Gray</t>
  </si>
  <si>
    <t>앤프로2 60% 키보드 체리 게이트론 카일 블루투스 기계식 키보드 Anne Pro2 bluetooth keyboard (무료배송)</t>
  </si>
  <si>
    <t>화이트 X 게이트론 청축</t>
  </si>
  <si>
    <t>Indigo</t>
  </si>
  <si>
    <t>유료배송 15,000원</t>
  </si>
  <si>
    <t>블랙 X 게이트론 청축</t>
  </si>
  <si>
    <t>화이트 X 게이트론 적축</t>
  </si>
  <si>
    <t>Klymit 클라이미트 아웃도어 캠핑배게, 여행, 휴대용배게, 공기배게</t>
  </si>
  <si>
    <t>Klymit 12PLTL01D, Pillow Large, Turquoise</t>
  </si>
  <si>
    <t>블랙 X 게이트론 적축</t>
  </si>
  <si>
    <t>화이트 X 게이트론 갈축</t>
  </si>
  <si>
    <t>블랙 X 게이트론 갈축</t>
  </si>
  <si>
    <t>다크아이언 휘트니스 가죽 프로 무게 리프팅 허리 보호대 벨트 Dark Iron Belt</t>
  </si>
  <si>
    <t>Dark Iron Fitness Genuine Leather Pro Weight Lifting Belt for Men and Women | Durable Comfortable &amp; Adjustable with Buckle | Stabilizing Lower Back Support for Weightlifting</t>
  </si>
  <si>
    <t>화이트 X 카일 백축</t>
  </si>
  <si>
    <t>블랙 X 카일 백축</t>
  </si>
  <si>
    <t>요일별 오전오후 알약케이스 휴대용약통 Fit Healthy</t>
  </si>
  <si>
    <t>Fit &amp; Healthy Portable Pill Organizer Pod Containers</t>
  </si>
  <si>
    <t>화이트 X 카일 적축</t>
  </si>
  <si>
    <t>블랙 X 카일 적축</t>
  </si>
  <si>
    <t>블랙 X 카일 흑축</t>
  </si>
  <si>
    <t>오토토 체,국자,티인퓨저 주방용품 네시 가족 OTOTO The Nessie Family</t>
  </si>
  <si>
    <t>The Nessie Family</t>
  </si>
  <si>
    <t>화이트 X 카일 갈축</t>
  </si>
  <si>
    <t>블랙 X 카일 갈축</t>
  </si>
  <si>
    <t>화이트 X 체리 청축</t>
  </si>
  <si>
    <t>Btunes BOSS 보스 QC15용 블루투스 어댑터 bluetooth adapter</t>
  </si>
  <si>
    <t>블랙 X 체리 청축</t>
  </si>
  <si>
    <t>화이트 X 체리 적축</t>
  </si>
  <si>
    <t>오리엔트 마코2 블랙 오토매틱 다이버시계 남자 시계</t>
  </si>
  <si>
    <t>블랙 X 체리 적축</t>
  </si>
  <si>
    <t>화이트 X 체리 갈축</t>
  </si>
  <si>
    <t>moft 맥북 태블릿 거치대 노트북 휴대용 스탠드</t>
  </si>
  <si>
    <t>MOFT Laptop Stand, Invisible Lightweight Laptop Computer Stand, Compatible with MacBook, Air, Pro, Tablets and Laptops up to 15.6”, Patented (Silvery)</t>
  </si>
  <si>
    <t>블랙 X 체리 갈축</t>
  </si>
  <si>
    <t>화이트 X 체리 은축</t>
  </si>
  <si>
    <t>쌤소나이트 테크토닉 라이프스타일 백팩 Samsonite Tectonic Backpack</t>
  </si>
  <si>
    <t xml:space="preserve">쌤소나이트 테크토닉 라이프스타일 백팩
</t>
  </si>
  <si>
    <t>Samsonite Tectonic Lifestyle Sweetwater Backpack</t>
  </si>
  <si>
    <t>블랙 X 체리 은축</t>
  </si>
  <si>
    <t>타이틀리스트 겨울모자 골프 방한 모자(무료배송)</t>
  </si>
  <si>
    <t>Iron Grey</t>
  </si>
  <si>
    <t>타이틀리스트 골프 색백 보조 가방 백팩 TA8CSSP(무료배송)</t>
  </si>
  <si>
    <t>스털링 오리지날 남자 다이버 시계 Stuhrling Dive Watch 3950A</t>
  </si>
  <si>
    <t>Stuhrling Original Mens Dive Watch - Pro Sport Diver with Screw Down Crown and Water Resistant to 330 Ft. - Analog Dial, Quartz Movement - Depthmaster Watches for Men Collection</t>
  </si>
  <si>
    <t>티라미수용기 베이킹 포장 용기 25개 세트 (무료배송)</t>
  </si>
  <si>
    <t>라운드</t>
  </si>
  <si>
    <t>사각형</t>
  </si>
  <si>
    <t>하트</t>
  </si>
  <si>
    <t>Inateck 노트북 비즈니스 백팩 CB1001 Inateck Backpack</t>
  </si>
  <si>
    <t>Inateck Laptop Backpack with USB Charging Port, Anti-Theft Business Travel Backpack Fits Up to 15 Inch Laptops and 15.4" Macbook Pro Retina, College Rucksack with Rain Cover and Luggage Belt</t>
  </si>
  <si>
    <t>기네스 전용 맥주잔 500ml Guinness 500ml</t>
  </si>
  <si>
    <t>AMINY 아미니 블루투스5.0 무선 이어폰 5647447917</t>
  </si>
  <si>
    <t>Wireless Earbuds, AMINY U-Winner Bluetooth 5.0 True Wireless Bluetooth Earbuds with Charging Case 20H Play time 3D Stereo Sound Wireless Headphones for iOS Android, Built-in Microphone</t>
  </si>
  <si>
    <t>뽀모도로공부법 타이머 공부에 집중이 안 될 때 시간 활용(무료배송)</t>
  </si>
  <si>
    <t>뽀모도로공부법 타이머 집중이 안 될 때 공부법(무료배송)</t>
  </si>
  <si>
    <t>모킨 USB-C 허브 (MOKiN USB-C HDMI Adapter)</t>
  </si>
  <si>
    <t>기본사이즈</t>
  </si>
  <si>
    <t xml:space="preserve">USB C HDMI Adapter for MacBook Pro 2016/2017, 5 in 1 USB-C to HDMI Output, Sd+Microsd Card Reader and 2-Ports USB 3.0 </t>
  </si>
  <si>
    <t>큰사이즈</t>
  </si>
  <si>
    <t>사이드라인 스크래퍼 케이크 스크래퍼 3종 세트</t>
  </si>
  <si>
    <t>티쏘 남자 가죽 시계 TISSOT PR100 T1014512603100</t>
  </si>
  <si>
    <t>TISSOT PR100 Silver Dial Brown Leather Men's Watch T1014512603100</t>
  </si>
  <si>
    <t>펠리시타 아크 에스프레소 전자 저울 Felicita Arc (무료배송)</t>
  </si>
  <si>
    <t>1688소싱이므로 알리패이 중국계좌 연결이후 재확인</t>
  </si>
  <si>
    <t>샘소나이트 오픈로드 랩탑 15.6 브리프 케이스 Samsonite OpenRoad Briefcase</t>
  </si>
  <si>
    <t>Samsonite OpenRoad Laptop 15.6" Briefcase</t>
  </si>
  <si>
    <t>Jet Black</t>
  </si>
  <si>
    <t>홈서대 눕서대 접히는 독서대 (무료배송)</t>
  </si>
  <si>
    <t>Space Blue</t>
  </si>
  <si>
    <t>블랙+마우스패드</t>
  </si>
  <si>
    <t>타이맥스 아이언맨 어센셜 30 블랙 시계 Timex Ironman Essential 30</t>
  </si>
  <si>
    <t>화이트+마우스패드</t>
  </si>
  <si>
    <t>샘소나이트 테크토닉 라이프스타일 이지 라이더 백팩 Samsonite B07MSKJLJ1</t>
  </si>
  <si>
    <t>Samsonite Tectonic Lifestyle Easy Rider Business Backpack Steel Grey One Size</t>
  </si>
  <si>
    <t>명품 가방진열장 가방틈새수납함 (무료배송)</t>
  </si>
  <si>
    <t>녹색 / 문X / 1층 1열</t>
  </si>
  <si>
    <t>언더아머 백팩 허슬 4.0 Under Armour Hustle 4.0 Backpack</t>
  </si>
  <si>
    <t>Under Armour Unisex Hustle 4.0 Backpack</t>
  </si>
  <si>
    <t>녹색 / 문X / 1층 2열</t>
  </si>
  <si>
    <t>녹색 / 문X / 2층 2열</t>
  </si>
  <si>
    <t>녹색 / 문X / 3층 2열</t>
  </si>
  <si>
    <t>언더아머 게임데이 백팩 Under Armour Unisex Gameday Backpack</t>
  </si>
  <si>
    <t>Under Armour Unisex Gameday Backpack</t>
  </si>
  <si>
    <t>녹색 / 문X / 4층 2열</t>
  </si>
  <si>
    <t>녹색 / 문X / 1층 3열</t>
  </si>
  <si>
    <t>녹색 / 문X / 1층 4열</t>
  </si>
  <si>
    <t>녹색 / 문X / 1층 5열</t>
  </si>
  <si>
    <t>카시오 메탈시계 남자시계 Casio EQS-920DB-1BVCR</t>
  </si>
  <si>
    <t>Casio Men's Edifice Quartz Watch with Stainless-Steel Strap, Silver, 28.5 (Model: EQS-920DB-1BVCR</t>
  </si>
  <si>
    <t>녹색 / 문O / 1층 2열</t>
  </si>
  <si>
    <t>녹색 / 문O / 2층 2열</t>
  </si>
  <si>
    <t>녹색 / 문O / 3층 2열</t>
  </si>
  <si>
    <t>page</t>
  </si>
  <si>
    <t>코닥 미니2 포토 프린터</t>
  </si>
  <si>
    <t>Kodak HD Wireless Portable Mobile Instant Photo Printer, Print Social Media Photos, Premium Quality Full Color Prints. Compatible w/iOS and Android Devices (Black)</t>
  </si>
  <si>
    <t>품절로 인한 상품삭제</t>
  </si>
  <si>
    <t>녹색 / 문O / 4층 2열</t>
  </si>
  <si>
    <t>녹색 / 문O / 1층 3열</t>
  </si>
  <si>
    <t>L 추가상품 코닥 미니2 30팩</t>
  </si>
  <si>
    <t>Kodak Mini 2 Photo Printer Cartridge MC All-in-One Paper and Color Ink Cartridge Refill - Compatible with Mini Shot Camera, Mini 2 Printer (Not Original Mini)</t>
  </si>
  <si>
    <t>녹색 / 문O / 1층 4열</t>
  </si>
  <si>
    <t>녹색 / 문O / 1층 5열</t>
  </si>
  <si>
    <t>L 추가상품 코닥 미니2 50팩</t>
  </si>
  <si>
    <t>분홍 / 문X / 2층 2열</t>
  </si>
  <si>
    <t>분홍 / 문X / 3층 2열</t>
  </si>
  <si>
    <t>코닥 미니2 30팩</t>
  </si>
  <si>
    <t>분홍 / 문X / 4층 2열</t>
  </si>
  <si>
    <t>코닥 미니2 50팩</t>
  </si>
  <si>
    <t>분홍 / 문O / 2층 2열</t>
  </si>
  <si>
    <t>분홍 / 문O / 3층 2열</t>
  </si>
  <si>
    <t>타이거너 백팩 노트북 백팩 비즈니스 백팩 Tigernu Laptop Backpack</t>
  </si>
  <si>
    <t>Tigernu Laptop Backpack Business Backpack with USB Charging Port Computer Backpack with Laptop Compartment Anti-theft Waterproof for Travel School Business Men Women Fit Under 15.6 inch Laptop/Macbook</t>
  </si>
  <si>
    <t>분홍 / 문O / 4층 2열</t>
  </si>
  <si>
    <t>분홍 / 문O / 1층 3열</t>
  </si>
  <si>
    <t>Grey</t>
  </si>
  <si>
    <t>분홍 / 문O / 1층 4열</t>
  </si>
  <si>
    <t>아디다스 산티아고 미니 백팩 여성 백팩 유치원 가방 adidas Mini Backpack</t>
  </si>
  <si>
    <t>adidas Originals Santiago Mini Backpack</t>
  </si>
  <si>
    <t>분홍 / 문O / 1층 5열</t>
  </si>
  <si>
    <t>Dust Pink</t>
  </si>
  <si>
    <t>명품가방보관 가방틈새수납함 가방정리</t>
  </si>
  <si>
    <t>타이맥스 피너츠 스누피 컬렉션 손목시계</t>
  </si>
  <si>
    <t>Timex Weekender Peanuts Collection</t>
  </si>
  <si>
    <t>Lucy</t>
  </si>
  <si>
    <t>Linus</t>
  </si>
  <si>
    <t>Charle brown</t>
  </si>
  <si>
    <t>미니 도넛틀 도너츠 만들기</t>
  </si>
  <si>
    <t>snoopy</t>
  </si>
  <si>
    <t>세이코 베이비스모 다이버 메탈 시계 SNZF17K1</t>
  </si>
  <si>
    <t>Seiko 5 Black Dial Stainless Steel Automatic Mens Watch SNZF17</t>
  </si>
  <si>
    <t>티라미수 용기 50개 (무료배송)</t>
  </si>
  <si>
    <t>280ml 10개</t>
  </si>
  <si>
    <t>샘소나이트 테크토닉 라이프스타일 크로스파이어 회사원 백팩</t>
  </si>
  <si>
    <t>Samsonite Tectonic Lifestyle Crossfire Business Backpack, Green/Black, One Size</t>
  </si>
  <si>
    <t>280ml 50개</t>
  </si>
  <si>
    <t>타이틀리스트 남자골프모자 Titleist TH9ATPSFN2 TH9ATPCHN2</t>
  </si>
  <si>
    <t>Titleist Men's Tour Performance Golf Hat</t>
  </si>
  <si>
    <t>White/Black</t>
  </si>
  <si>
    <t>340ml 10개</t>
  </si>
  <si>
    <t>Charcoal/Grey</t>
  </si>
  <si>
    <t>340ml 50개</t>
  </si>
  <si>
    <t>아디다스 투어 테니스 라켓 가방 adidas Tennis Racquet Backpack</t>
  </si>
  <si>
    <t>adidas Tour Tennis Racquet Backpack</t>
  </si>
  <si>
    <t>Black/White/Scarlet</t>
  </si>
  <si>
    <t>wicueboard 그림 그리는 태블릿</t>
  </si>
  <si>
    <t>흑백</t>
  </si>
  <si>
    <t>레인보우</t>
  </si>
  <si>
    <t>타다 체어 지팡이겸의자 TADA chair</t>
  </si>
  <si>
    <t>Black/White/Silver</t>
  </si>
  <si>
    <t>코닥 미니 포토 프린터 전용 카트리지 KODPMC50</t>
  </si>
  <si>
    <t>Kodak Mini Photo Printer Cartridge PMC - All-in-One Paper &amp; Color Ink Cartridge Refill - 50 Pack (Compatible ONLY with Original Mini Printer, NOT Mini2, Mini Shot)</t>
  </si>
  <si>
    <t>30매</t>
  </si>
  <si>
    <t>라임</t>
  </si>
  <si>
    <t>블루</t>
  </si>
  <si>
    <t>50매</t>
  </si>
  <si>
    <t>씨투써밋클로스라인 캠핑 배낭여행 튼튼한 빨랫줄</t>
  </si>
  <si>
    <t>샤오미 포켓 포토 스마트폰 사진 인화 휴대용 포토프린터</t>
  </si>
  <si>
    <t>프린터</t>
  </si>
  <si>
    <t>시티즌 프로마이스터 나이트호크 남자시계 BJ7000-52E</t>
  </si>
  <si>
    <t>Citizen Men's Eco-Drive Promaster Nighthawk Dual Time Watch with Date, BJ7000-52E</t>
  </si>
  <si>
    <t>프린터+인화지20매</t>
  </si>
  <si>
    <t>샘소나이트 미니 백팩 회사원 백팩</t>
  </si>
  <si>
    <t>Samsonite Modern Utility Mini Laptop Backpack</t>
  </si>
  <si>
    <t>Blue Chambray</t>
  </si>
  <si>
    <t>숫자틀 숫자케이크틀 생일케이크만들기</t>
  </si>
  <si>
    <t>6인치</t>
  </si>
  <si>
    <t>8인치</t>
  </si>
  <si>
    <t>Charcoal Heather</t>
  </si>
  <si>
    <t>Olive</t>
  </si>
  <si>
    <t>12인치</t>
  </si>
  <si>
    <t>14인치</t>
  </si>
  <si>
    <t>콜맨 스테인레스 휴대용 캠핑 와인 잔</t>
  </si>
  <si>
    <t>Coleman Claret Insulated Stainless Steel Wine Glass 13 oz</t>
  </si>
  <si>
    <t>로미아스깍지 2세트 모양깍지 꽃잎 모양 쿠키만들기</t>
  </si>
  <si>
    <t>Seafoam</t>
  </si>
  <si>
    <t>롱부츠흘러내림 방지 부츠 미끄럼 고정 스티커</t>
  </si>
  <si>
    <t>스티커 8개</t>
  </si>
  <si>
    <t>스티커 18개</t>
  </si>
  <si>
    <t>Slate</t>
  </si>
  <si>
    <t>스티커 28개</t>
  </si>
  <si>
    <t>Heritage Red</t>
  </si>
  <si>
    <t>후리스 공룡 파자마 공룡잠옷 여성실내복 수면잠옷</t>
  </si>
  <si>
    <t>Heritage Green</t>
  </si>
  <si>
    <t>Pink</t>
  </si>
  <si>
    <t>Cream</t>
  </si>
  <si>
    <t>클래식 와인잔거치대</t>
  </si>
  <si>
    <t>Wine Glass Holder, Coffee4u Classic Stainless Steel Wine Glass Cup Holder with 6 Hooks, Freestanding Tabletop Stemware Storage Rack with Air Dry System, Suit for Home and Bar Storage, Bronze</t>
  </si>
  <si>
    <t>Spiral</t>
  </si>
  <si>
    <t>신발 커스텀 물감 운동화 물감 12색 18색 24색 36색 세트</t>
  </si>
  <si>
    <t>12색</t>
  </si>
  <si>
    <t>Heart by heart(삭제됨)</t>
  </si>
  <si>
    <t>18색</t>
  </si>
  <si>
    <t>24색</t>
  </si>
  <si>
    <t>시티즌 에코드라이브 크로노그래프 남자시계 Citizen AT2141-52L</t>
  </si>
  <si>
    <t>Citizen Men's Eco-Drive Chronograph Stainless Steel Watch with Date, AT2141-52L</t>
  </si>
  <si>
    <t>36색</t>
  </si>
  <si>
    <t>남자다운펌기계 구렛나루다운펌 옆머리 누르기</t>
  </si>
  <si>
    <t>나사 로고 모자 NASA Insignia Embroidered Washed Cap</t>
  </si>
  <si>
    <t>e4Hats.com NASA Insignia Embroidered Washed Cap</t>
  </si>
  <si>
    <t xml:space="preserve">남자다운펌기계 옆머리눌러주는 구레나룻다운펌 </t>
  </si>
  <si>
    <t>네이처하이크우모바지 겨울 캠핑 백패킹우모바지</t>
  </si>
  <si>
    <t>250g S</t>
  </si>
  <si>
    <t>250g M</t>
  </si>
  <si>
    <t>BMW 남자 반지갑 가죽 지갑 BMW Bifold Wallet</t>
  </si>
  <si>
    <t>BMW Bifold Wallet with 3 Credit Card Slots and ID Window - Genuine Leather</t>
  </si>
  <si>
    <t>250g L</t>
  </si>
  <si>
    <t>마세라티 남자 반지갑 가죽 지갑 Maserati Bifold Wallet</t>
  </si>
  <si>
    <t>Maserati Bifold Wallet with 3 Card Slots and ID Window - Genuine Leather</t>
  </si>
  <si>
    <t>250g XL</t>
  </si>
  <si>
    <t>메르세데스 벤츠 남자 반지갑 가죽 지갑 Mercedes Benz Bifold Wallet</t>
  </si>
  <si>
    <t>Mercedes Benz Bifold Wallet with 3 Card Slots and ID Window - Genuine Leather</t>
  </si>
  <si>
    <t>250g XXL</t>
  </si>
  <si>
    <t>픽디자인 테크 파우치 전자제품 여행용 파우치 Peak Design Tech Pouch Black</t>
  </si>
  <si>
    <t>Peak Design Tech Pouch (Black)</t>
  </si>
  <si>
    <t>340g S</t>
  </si>
  <si>
    <t>BOSE QC25 보스 노이즈 캔슬링 헤드폰 Headphones (무료배송)</t>
  </si>
  <si>
    <t>Bose QuietComfort 25 Acoustic Noise Cancelling Headphones for Apple devices - Black (wired, 3.5mm)</t>
  </si>
  <si>
    <t>애플</t>
  </si>
  <si>
    <t>340g M</t>
  </si>
  <si>
    <t>340g L</t>
  </si>
  <si>
    <t>안드로이드</t>
  </si>
  <si>
    <t>340g XL</t>
  </si>
  <si>
    <t>BOSS QC25 블루투스 무선 어뎁터 Bolle&amp;Raven Wireless Bluetooth Adapter</t>
  </si>
  <si>
    <t>Bolle&amp;Raven Wireless Bluetooth Adapter for Bose QuietComfort 25 Headphones (QC25)</t>
  </si>
  <si>
    <t>340g XXL</t>
  </si>
  <si>
    <t xml:space="preserve">캉골 푸들 버킷백 뽀글이가방 양털가방 블랙 화이트 </t>
  </si>
  <si>
    <t>잔스포츠 하프 핀트 FX 미니 백팩 블랙/골드 JanSport Mini Backpack</t>
  </si>
  <si>
    <t>JanSport Half Pint FX Mini Backpack - Black/Gold</t>
  </si>
  <si>
    <t>JBL 바이크 자전거 라이딩용 블루투스 스피커 B074JHPR2X</t>
  </si>
  <si>
    <t>JBL 바이크 자전거 라이딩용 블루투스 스피커</t>
  </si>
  <si>
    <t>JBL Wind Bike Portable Bluetooth Speaker with FM Radio and Supports A Micro SD Card</t>
  </si>
  <si>
    <t>캉골 테디 버킷백 뽀글이가방 3772 베이지 블랙</t>
  </si>
  <si>
    <t>베이지</t>
  </si>
  <si>
    <t>타이맥스 아이언맨 시계 Timex Ironman Analog 42mm Watch</t>
  </si>
  <si>
    <t>Timex Ironman Essential Urban Analog 42mm Watch</t>
  </si>
  <si>
    <t>Black/Red Accents</t>
  </si>
  <si>
    <t>뷰큐브디스펜서 네스프레소 돌체구스토 커피캡슐 보관함 홀더</t>
  </si>
  <si>
    <t>Gray/Orange Accents</t>
  </si>
  <si>
    <t>딸기 우유 보틀 플라밍고 밀크보틀 우유곽 우유병</t>
  </si>
  <si>
    <t>Navy/Red Accents</t>
  </si>
  <si>
    <t>딸기</t>
  </si>
  <si>
    <t>플라밍고1</t>
  </si>
  <si>
    <t>플라밍고2</t>
  </si>
  <si>
    <t>헨지독 아이폰 아이패드 도킹 스테이션 충전 거치대 Henge Docks</t>
  </si>
  <si>
    <t>Gravitas² - Dock for iPhone and iPad by Henge Docks - Heavy, Compact Footprint Allows Single-Handed undocking with Built-in Lightning Connector</t>
  </si>
  <si>
    <t>PICTEK 픽텍 침대용 LED 스크린 디지털 알람 시계</t>
  </si>
  <si>
    <t>PICTEK Digital Alarm Clock, 5" Curved Dimmable LED Screen Digital Clock for Kids Bedroom, White Large Number Clock, 6 Brightness, Snooze, 12/24 Hour, USB Port(Without Adapter)</t>
  </si>
  <si>
    <t>White Red</t>
  </si>
  <si>
    <t>가성비 블루투스 무선 이어폰 Linpa 5.0</t>
  </si>
  <si>
    <t>Bluetooth Earbuds Wireless Headphones, Linpa 5.0 True Wireless Earphone 20H Playtime, HiFi Stereo Mini in-Ear Earbuds w/Mic, Auto Pairing, Noise Cancelling, Single &amp;Couple Ears Modes for Cellphone</t>
  </si>
  <si>
    <t>밀리터리 전술 미군 군용 백팩 야외 캠핑 낚시용 백팩</t>
  </si>
  <si>
    <t>CVLIFE Military Tactical Backpacks 3 Day Assault Pack Molle Bag Army Rucksacks for Outdoor Hiking Camping Fishing Hunting with Tactical Flag Patch</t>
  </si>
  <si>
    <t>CP</t>
  </si>
  <si>
    <t>New Black</t>
  </si>
  <si>
    <t>PS4-Slim/Pro 컨트롤러 충전기 독 스테이션 oivo ps4 Dual Shock 4</t>
  </si>
  <si>
    <t>PS4/PS4 Slim/PS4 Pro Controller Charger Dock Station, OIVO PS4 Dual Shock 4 Charging Docking Station for Sony Playstation 4 Controller- 1.8hours Fast Charger with Updated Copper Sheet</t>
  </si>
  <si>
    <t>휴대용 미니 소형 감시 카메라 HD 1080P</t>
  </si>
  <si>
    <t>Spy Camera, Wireless Hidden HD 1080P Mini Portable Home Security Battery Powered Covert Nanny Cam, Small Indoor WiFi Video Recorder- Motion Activated/Night Vision Remote Monitor Phone App</t>
  </si>
  <si>
    <t>집, 사무실 선 정리 벨크로 케이블 밴드 100개</t>
  </si>
  <si>
    <t>VELCRO Brand ONE WRAP Thin Ties | Strong &amp; Reusable | Perfect for Fastening Wires &amp; Organizing Cords | Black, 8 x 1/2-Inch | 100 Count</t>
  </si>
  <si>
    <t>닌텐도 스위치 조이콘 프로 컨트롤러 충전독 충전거치대</t>
  </si>
  <si>
    <t>PowerA Joy-Con &amp; Pro Controller Charging Dock - Nintendo Switch</t>
  </si>
  <si>
    <t>샘소나이트 회사원 직장인 학생 여행용 백팩 Samsonite</t>
  </si>
  <si>
    <t>Samsonite Modern Utility GT Laptop Backpack - RFID-Blocking Passport Pocket - Fits Up To 15.6" Laptops &amp; Tablets</t>
  </si>
  <si>
    <t xml:space="preserve">세이코 남성 손목 시계 세이코5 SNK805 </t>
  </si>
  <si>
    <t>Seiko Men's SNK805 Seiko 5 Automatic Stainless Steel Watch with Green Canvas</t>
  </si>
  <si>
    <t>타이거너 USB스마트 백팩 학생 백팩 비즈니스 회사원 백팩</t>
  </si>
  <si>
    <t>Tigernu College Laptop Backpack School Bookbag with USB Charging Port for Women Men Water Resistant Travel Computer Bag Fits 15.6 inch Laptop/MacBook - Black</t>
  </si>
  <si>
    <t>언더아머 스톰 컨텐더 백팩 스포츠 운동 백팩 City Khaki (299)/Black</t>
  </si>
  <si>
    <t>Under Armour Storm Contender Backpack</t>
  </si>
  <si>
    <t>타이거너 여행용 슬링백 숄더백</t>
  </si>
  <si>
    <t>Tigernu Sling Bag, Crossbody with Headphone Port Water Resistant Bags Men Women</t>
  </si>
  <si>
    <t>언더아머 리크루트 백팩 2.0</t>
  </si>
  <si>
    <t>Under Armour Unisex-Adult Recruit Backpack 2.0</t>
  </si>
  <si>
    <t>언더아머 스톰 리크루트 백팩 B01M272Q37</t>
  </si>
  <si>
    <t>Under Armour Storm Recruit Backpack</t>
  </si>
  <si>
    <t>시티즌 남자 시계 BN0151-09L 프로마스터 다이버시계</t>
  </si>
  <si>
    <t>Citizen Watches Men's BN0151-09L Promaster Professional Diver</t>
  </si>
  <si>
    <t>FLPSDE 듀얼 이중 운동 텀블러</t>
  </si>
  <si>
    <t>FLPSDE Dual Chamber Water Bottle | Drink+Snack | Vacuum Insulated Stainless Steel | Made for Adventure (Matte Black)</t>
  </si>
  <si>
    <t>Matt Black</t>
  </si>
  <si>
    <t>Ocean View</t>
  </si>
  <si>
    <t>Storm Trooper</t>
  </si>
  <si>
    <t>시티즌 일본 쿼츠 여성 캐쥬얼 시계 Citizen EZ7000-50A</t>
  </si>
  <si>
    <t>Citizen Women's Japanese-Quartz Stainless-Steel Strap, Silver, 10 Casual Watch (Model: EZ7000-50A)</t>
  </si>
  <si>
    <t>시티즌 에코드라이브 남자 캐주얼 시계 Citizen CA7027-08E</t>
  </si>
  <si>
    <t>Citizen Men's Eco-Drive Stainless Steel Japanese-Quartz Leather Calfskin Strap, Black, 21 Casual Watch (Model: CA7027-08E)</t>
  </si>
  <si>
    <t>시티즌 메탈 손목 시계 Citizen Watches Unisex BL6000-55E Axiom</t>
  </si>
  <si>
    <t>Citizen Watches Unisex BL6000-55E Axiom</t>
  </si>
  <si>
    <t>시티즌 에코드라이브 남자 시계 Citizen AW1490-50E (무료배송/관부가세포함)</t>
  </si>
  <si>
    <t>Citizen Men's Eco-Drive Titanium Watch with Date, AW1490-50E</t>
  </si>
  <si>
    <t>보스 사운드스포츠 이어폰 애플 안드로이드 Bose SoundSport in-ear headphones</t>
  </si>
  <si>
    <t>Bose SoundSport in-ear headphones for Samsung and Android devices, Charcoal</t>
  </si>
  <si>
    <t>samsung</t>
  </si>
  <si>
    <t>apple</t>
  </si>
  <si>
    <t>타이틀리스트 남자 투어 골프 모자 Titleist Golf Visor</t>
  </si>
  <si>
    <t>Titleist Men's Tour Performance Golf Visor</t>
  </si>
  <si>
    <t>타이틀리스트 남자 낸터킷 골프 모자 Titleist Men's Nantucket</t>
  </si>
  <si>
    <t>Titleist Men's Nantucket Golf Hat</t>
  </si>
  <si>
    <t>아오키 맥북 노트북 PC USB 4 포트 USB허브</t>
  </si>
  <si>
    <t>AUKEY USB Hub 3.0 Portable Aluminum 4 Port USB 3.0 Data Hub with 1.6ft USB Cable for MacBook Air, Mac Mini, iMac, Laptop, PC, USB Flash Drives, HDD Hard Drive (Grey)</t>
  </si>
  <si>
    <t>아오키 블루투스 스테레오 스피커 메탈 디자인 10시간 재생</t>
  </si>
  <si>
    <t>AUKEY Bluetooth Stereo Speaker 16W, Metal Wireless Speaker with Enhanced Bass, 10 Hours Playtime Compatible with Smartphones</t>
  </si>
  <si>
    <t>마이크로소프트 서피스고 케이스 킥스탠드 충격방지</t>
  </si>
  <si>
    <t>Youtec for Surface Go Case, Microsoft Surface Go Case, Shockproof Rugged Folio Stand Protective Covers with Kickstand Case + Pencil Holder Compatible with Microsoft Surface Go 10 inch 2018</t>
  </si>
  <si>
    <t>Burgundy Red</t>
  </si>
  <si>
    <t>Cobalt Blue</t>
  </si>
  <si>
    <t>Arteck 마이크로소프트 서피스고 타입커버 블루투스 무선 키보드</t>
  </si>
  <si>
    <t>Arteck Microsoft Surface Go Type Cover, Ultra-Slim Portable Bluetooth Wireless Keyboard with Touchpad Built-in Rechargeable Battery</t>
  </si>
  <si>
    <t>서피스고 USB Type-C 허브 SD카드 어댑터</t>
  </si>
  <si>
    <t>Microsoft Surface Go USB Hub Type-C&amp; 3-Slot Card Reader Adapter, Eletrand 6 in 1 USB C Combo Dock with SD/Micro SD(TF) Card Writer, High-Speed USB 3.0 Up to 5Gbps for U Disk Surface Go Keyboard&amp;Mouse</t>
  </si>
  <si>
    <t>서피스고 USB HDMI SD 허브 어댑터 (무료배송)</t>
  </si>
  <si>
    <t>Surfacekit Surface Go USB C Hub HDMI Docking Station</t>
  </si>
  <si>
    <t>2 USB 3.0, 1 HDMI, 2 Type C, 1 Audio</t>
  </si>
  <si>
    <t>HDMI,2xUSB 3.0 SD/micor SD</t>
  </si>
  <si>
    <t>HDMI,Ethernet,2xUSB 3.0</t>
  </si>
  <si>
    <t>에어익스펙트 휴대용 LED 메이크업 화장대 거울</t>
  </si>
  <si>
    <t>Makeup Mirror Vanity Mirror with Lights - 3 Color Lighting Modes 72 LED Trifold Mirror, Touch Control Design, 1x/2x/3x Magnification, Portable High Definition Cosmetic Lighted Up Mirror</t>
  </si>
  <si>
    <t>타이거너 노트북 백팩 여행용 회사원 직장인 백팩 Tigernu B07R191VDB</t>
  </si>
  <si>
    <t>Tigernu Laptop Backpack Travel Business Anti Theft Laptops Backpacks with USB Charging Port,Water Resistant Computer Bag Fits 15.6 Inch Laptop</t>
  </si>
  <si>
    <t>타이거너 노트북 백팩 여행용 회사원 직장인 백팩 Tigernu B07R3H75R7</t>
  </si>
  <si>
    <t>Tigernu Travel Laptop Backpack Business Anti Theft Slim Backpacks with USB Charging Port Water Resistant Bookbag for Women &amp; Men Fits 15.6 Inch Laptop - Black</t>
  </si>
  <si>
    <t>타이거너 노트북 백팩 여행용 회사원 직장인 백팩 Tigernu T-B3221-B-123</t>
  </si>
  <si>
    <t>Tigernu Travel Laptop Backpack with USB Charging Port Business Computer Backpack with Laptop Compartment Anti-Theft Waterproof Work Backpack for Men Women Fit 15.6 inch Laptop/MacBook</t>
  </si>
  <si>
    <t xml:space="preserve">위카포 캠핑클럽 풍선식 에어소파 해먹 </t>
  </si>
  <si>
    <t>WEKAPO Inflatable Lounger Air Sofa Hammock-Portable,Water Proof&amp; Anti-Air Leaking Design-Ideal Couch for Backyard Lakeside Beach Traveling Camping Picnics &amp; Music Festivals</t>
  </si>
  <si>
    <t xml:space="preserve">black </t>
  </si>
  <si>
    <t>green</t>
  </si>
  <si>
    <t>orange</t>
  </si>
  <si>
    <t>pink</t>
  </si>
  <si>
    <t>purple</t>
  </si>
  <si>
    <t>blue</t>
  </si>
  <si>
    <t>서피스고 USB C 타입 허브 어댑터 동글 4k hdmi 오디오잭 Purgo</t>
  </si>
  <si>
    <t>Purgo USB Type C Hub Adapter Dongle for Surface Go, with 4K HDMI, USB 3.0, USB-C and 3.5mm Audio Jack.</t>
  </si>
  <si>
    <t>서피스프로4 전용 USB 3.0 허브 sd 카드 리더 HDMI 어댑터</t>
  </si>
  <si>
    <t>Surface Pro 4 USB 3.0 Hub and Card Reader Combo with Build-in Mini DP to HDMI Adapter, Dual USB 3.0 Port and SD &amp; 2 TF/Micro SD Memory Card Reader for Microsoft Surface Pro 4</t>
  </si>
  <si>
    <t>카메라 흡착 마운트 자동차 석션 마운트 Delkin Fat Gecko Triple</t>
  </si>
  <si>
    <t>Delkin DDMNT-TRIPLE Fat Gecko Three-Arm Suction Mount (Black)</t>
  </si>
  <si>
    <t>마이크로소프트 서피스고 케이스 핸드 스트랩 케이스</t>
  </si>
  <si>
    <t>MoKo Case for Microsoft Surface Go 10, All-in-One Protective Rugged Cover Case with Pen Holder, Hand Strap, Compatible with Type Cover Keyboard for Surface Go 10 Inch 2018 Release Tablet - Black</t>
  </si>
  <si>
    <t>마이크로소프트 서피스고 보호 범퍼 케이스 펜 홀더 포함</t>
  </si>
  <si>
    <t>Microsoft Surface Go Case, i-Blason [Cosmo] Slim Glitter Protective Bumper Case Cover with Pen Holder Compatible with Type Cover Keyboard for Surface Go Tablet 10 Inch (2018 Release) (Marble)</t>
  </si>
  <si>
    <t>마이크로소프트 서피스고 전용 보호 케이스 블랙 그레이 네이비</t>
  </si>
  <si>
    <t>ProCase Protective Case for Surface Go, Slim Light Smart Cover Stand Hard Shell for Microsoft Surface Go 2018 with Built-in Surface Pen Holder, Compatible with Surface Type Cover -Navy</t>
  </si>
  <si>
    <t>Navy</t>
  </si>
  <si>
    <t>Camelbak 카멜백 슈트 맥 버큠 보온 보냉 캠핑물통 텀블러 1L</t>
  </si>
  <si>
    <t>CamelBak Chute Mag Water Bottle, Insulated Stainless Steel</t>
  </si>
  <si>
    <t>Cobalt</t>
  </si>
  <si>
    <t>Coral</t>
  </si>
  <si>
    <t>Iris</t>
  </si>
  <si>
    <t>Jet</t>
  </si>
  <si>
    <t>Cardinal</t>
  </si>
  <si>
    <t>Mossy Oak</t>
  </si>
  <si>
    <t>Real Tree Edge</t>
  </si>
  <si>
    <t>카멜백 에디 플러스 보냉 캠핑물통 CamelBak Eddy+ 0.6-Liter Insulated Water Bottle</t>
  </si>
  <si>
    <t>CamelBak Eddy+ 0.6-Liter Insulated Water Bottle - 25 Percent More Water Flow - Leak-Proof Water Bottle - Easy-To-Carry Insulated Bottle - BPA-Free Materials - 20 Ounces</t>
  </si>
  <si>
    <t>Amethyst</t>
  </si>
  <si>
    <t>Ocean</t>
  </si>
  <si>
    <t>Starburst</t>
  </si>
  <si>
    <t>아이맥 부착 usb 허브 어댑터 SD 카드 리더기 2017 iMac and iMac Pro</t>
  </si>
  <si>
    <t>Rocketek iMac Hub Aluminum 3-Port USB 3.0 Hub Adapter with SD &amp; Micro SD Card Reader Combo - Compatible with 2017 iMac and iMac Pro (Silver)</t>
  </si>
  <si>
    <t>사테치 아이맥 부착 알루미늄 usb c타입 허브 어댑터 SD 카드 리더기</t>
  </si>
  <si>
    <t>Satechi Aluminum Type-C Clamp Hub Pro with USB-C Data Port, 3 USB 3.0, Micro/SD Card Reader - Compatible with 2017 iMac and iMac Pro</t>
  </si>
  <si>
    <t>Space Gray</t>
  </si>
  <si>
    <t>맥북 서피스프로 4 5 6 충전기 케이블 수납 여행용 케이스</t>
  </si>
  <si>
    <t>IUNION Electronic Accessory Organizer Panel for Cable Hard Drive USB Hub Power Bank, Management Sleeve for 13” 2018 New MacBook Air &amp; Pro | Surface Pro 6/5/4 | 9.7”-11” iPad</t>
  </si>
  <si>
    <t>카멜백 에디 플러스 스텐레스 보냉 캠핑물통 1L</t>
  </si>
  <si>
    <t>CamelBak Eddy+ Insulated Water Bottle with Straw - Water Bottle – 25 Percent More Water Flow - Leak-Proof Water Bottle - Easy To Carry Reusable Water Bottles - BPA-Free Materials</t>
  </si>
  <si>
    <t>콜맨 썬돔 4인용 텐트</t>
  </si>
  <si>
    <t>Coleman Sundome Tent</t>
  </si>
  <si>
    <t>Navy/Grey</t>
  </si>
  <si>
    <t>맥북에어 맥북프로 서피스프로 6 5 4 파우치 케이스 12-13.5인치 호환</t>
  </si>
  <si>
    <t>Audirex Water Drop Proof Laptop Tablet Sleeve Handbag for 12 - 13.3 Inch MacBook Air | MacBook Pro Retina 2012 - 2019 | 12.9 Inch iPad Pro | Surface Pro 6 5 4 | New Surface Pro (Grey)</t>
  </si>
  <si>
    <t>13인치 맥북 에어 맥북 프로 서피스프로 6 5 4 커버 케이스 파우치 세트</t>
  </si>
  <si>
    <t>HYZUO 13 Inch Laptop Sleeve Case Compatible with 2018 MacBook Air 13 A1932/ MacBook Pro 13 Retina 2016 2017 2018/ Surface Pro 6 5 4/ Dell XPS/Huawei MateBook 13 Pro with Small Bag, Faux Suede Leather</t>
  </si>
  <si>
    <t>Dark Grey</t>
  </si>
  <si>
    <t>Navy Blue</t>
  </si>
  <si>
    <t>휴대용 접이식 노트북 거치대 받침대 Steklo X-Stand</t>
  </si>
  <si>
    <t>Steklo MacBook Pro Stand - X-Stand Aluminum Laptop Stand for 12 13 15 17 inch - Adjustable Laptop Stand for Desk Portable Foldable Compact Universal Computer Cooling MacBook Stand (New Version 2019)</t>
  </si>
  <si>
    <t>마이크로소프트 서피스프로 5 6 케이스 충격방지 보호 스탠드 펜 홀더</t>
  </si>
  <si>
    <t>MAXCases Extreme Shell for Microsoft Surface Pro 5 2017 / Surface Pro 6 2018 Rugged Protective Case (Black) Military Drop Tested - Protective Stand, Stylus Pen Holder, Laptop Case</t>
  </si>
  <si>
    <t>마이크로소프트 서피스프로 4 5 6 케이스 킥스탠드 충격방지</t>
  </si>
  <si>
    <t>Youtec for Surface Pro 6 Case, Surface Pro 5 Case, Surface Pro 4 Case, Shockproof Rugged Folio Stand Protective Cover with Kickstand Case+Pencil Holder Compatible Microsoft Surface Pro 6/5/4(Platinum)</t>
  </si>
  <si>
    <t>Platinum Grey</t>
  </si>
  <si>
    <t>Trekology 접이식 휴대용 캠핑 테이블 피크닉</t>
  </si>
  <si>
    <t>Trekology Foldable Camping Picnic Tables - Portable Compact Lightweight Folding Roll-up Table in a Bag - Small, Light Easy to Carry Camp, Beach, Outdoor</t>
  </si>
  <si>
    <t xml:space="preserve">가죽 노트북 슬리브 13인치 맥북 에어 프로 레티나 </t>
  </si>
  <si>
    <t>13 Inch PU Leather Laptop Sleeve Bag with Stand Function,GOLP Compatible with 13.3 2018 2017 2016 for MacBook Air/Pro/Retina/Touch Bar,Black</t>
  </si>
  <si>
    <t>Brown</t>
  </si>
  <si>
    <t>구글 타임타이머 공부 집중력 향상 타이머 5/20/60/120분</t>
  </si>
  <si>
    <t>Time Timer PLUS 5 Minute Visual Analog Timer Optional Alert (VolumeControl Dial) No Loud Ticking; Time Management Tool</t>
  </si>
  <si>
    <t>5분 화이트</t>
  </si>
  <si>
    <t>20분 화이트</t>
  </si>
  <si>
    <t>60분 화이트</t>
  </si>
  <si>
    <t>120분 화이트</t>
  </si>
  <si>
    <t>60분 차콜그레이</t>
  </si>
  <si>
    <t>시티즌 프로마스터 다이버 시계 Citizen Promaster BJ8050-08E</t>
  </si>
  <si>
    <t>Citizen Men's Eco-Drive Promaster Diver Watch with Date, BJ8050-08E</t>
  </si>
  <si>
    <t>시티즌 에코드라이브 남자 시계 Citizen BM7251-53L</t>
  </si>
  <si>
    <t>Citizen Eco-Drive Men's Stainless Steel Corso Watch</t>
  </si>
  <si>
    <t>타이맥스 남자 정장 시계 Timex TW2T58900JT</t>
  </si>
  <si>
    <t>Timex Men's Dress Analog 44mm Stainless Steel Multifunction Bracelet Watch</t>
  </si>
  <si>
    <t>시티즌 에코드라이브 남자 시계 Citizen AW7030-06E</t>
  </si>
  <si>
    <t>Citizen Watches Men's AW7030-06E Eco-Drive</t>
  </si>
  <si>
    <t>인빅타 프로 다이버 남자 시계 블랙 Invicta 8932OB</t>
  </si>
  <si>
    <t>Invicta Men's 8932OB Pro Diver Analog Quartz Silver; Dial color - Black Stainless Steel Watch</t>
  </si>
  <si>
    <t>파슬 남자 시계 그랜트 스포츠 크로노그래프 쿼츠 시계 FS5237</t>
  </si>
  <si>
    <t>Fossil Men's Grant Sport Stainless Steel and Leather Chronograph Quartz Watch</t>
  </si>
  <si>
    <t>rose gold</t>
  </si>
  <si>
    <t>gold</t>
  </si>
  <si>
    <t>파슬 여성 손목시계 테일러 쿼츠 시계 로즈 골드 ES3713 B00M7NEPDG</t>
  </si>
  <si>
    <t>Fossil Women's Tailor Quartz Stainless Steel Dress Watch, Color: Rose Gold-Tone (Model: ES3713)</t>
  </si>
  <si>
    <t>다니엘웰링턴 여자 시계 클래식 가죽 시계 화이트 DW00500481</t>
  </si>
  <si>
    <t>Daniel Wellington Women's Classic Petite Stainless Steel Japanese Quartz Watch with Leather Strap, White, 12 (Model: DW00500481)</t>
  </si>
  <si>
    <t>28mm</t>
  </si>
  <si>
    <t>32mm</t>
  </si>
  <si>
    <t>마이크로소프트 서피스고 케이스 충격방지 초경량 슬림 케이스</t>
  </si>
  <si>
    <t>Compatible with Microsoft Surface Go Tablet, Ultra Lightweight Protective Slim Smart Protective Cover Case for New Microsoft Surface Go Accessories 2018 Released Tablet</t>
  </si>
  <si>
    <t xml:space="preserve">마이크로소프트 서피스고 충격방지 휴대용 케이스 슬리브 </t>
  </si>
  <si>
    <t>USA Gear Sleeve Carrying Case Compatible with Microsoft Surface Go - XNEO XXL Padded Neoprene Protective Tablet Cover with Shock Protection, Small Accessory Zipper Pocket (Black)</t>
  </si>
  <si>
    <t>쌤소나이트 30대 회사원 노트북 백팩 8541573494 (무료배송)</t>
  </si>
  <si>
    <t>Samsonite Novex Perfect Fit Laptop Backpack Black</t>
  </si>
  <si>
    <t xml:space="preserve">쌤소나이트 접이식 여행용 보조 더플백 </t>
  </si>
  <si>
    <t>Samsonite Foldaway Duffle Extra Large Duffel Bag, Black, One Size</t>
  </si>
  <si>
    <t>타이거너 30대 회사원 비즈니스 백팩 15인치 노트북 가방 B07V3Q1NYL (무료배송)</t>
  </si>
  <si>
    <t>Tigernu Series Business Laptop Backpack Slim Anti Theft Travel Computer Backpacks Environmentally Waterproof Laptops Bag for Men/Women 15.6 Inch (Black)</t>
  </si>
  <si>
    <t>Silver Grey</t>
  </si>
  <si>
    <t>타이맥스 위켄더 여성시계 컬러러쉬 박스 세트 Color Rush Box Set (무료배송)</t>
  </si>
  <si>
    <t>Timex Weekender Color Rush Box Set</t>
  </si>
  <si>
    <t>Navy/Green</t>
  </si>
  <si>
    <t>Blue/Splash</t>
  </si>
  <si>
    <t>Pink/Splash</t>
  </si>
  <si>
    <t>White/Splash</t>
  </si>
  <si>
    <t>마이크로소프트 서피스고 케이스 킥스탠드 충격방지 스크래치 보호</t>
  </si>
  <si>
    <t>Surface Go Case,Microsoft Surface Go Case,Surface Go Keyboard Case, Multiple Angle Viewing Business Cover for Microsoft Surface go with Pen Holder and Type Cover Strap,Blue</t>
  </si>
  <si>
    <t>서피스고 도킹 스테이션 HDMI 4K USB 3.0 USB C 허브 오디오/헤드폰 연결 잭</t>
  </si>
  <si>
    <t>CharJenPro Surface Go Docking Station, HDMI 4K, USB 3.0, USB C Power Delivery Port, 3.5mm Audio/Headphone Jack Surface Go USB C Hub, Surface Stick</t>
  </si>
  <si>
    <t>서피스고 서피스프로 충전기 케이블 액세서리 휴대용 파우치</t>
  </si>
  <si>
    <t>Surface Power Adapter Organizer, ProCase Portable Hard Carrying Cover Shockproof Travel Storage Bag Accessory Pouch for Microsoft Surface Go Laptop Pro 5 4 3 Book 2 Power Adaptor and Cords –Black</t>
  </si>
  <si>
    <t>사테치 블루투스 무선 마우스 M1 맥북 아이맥 서피스프로(무료배송)</t>
  </si>
  <si>
    <t>Satechi Aluminum M1 Bluetooth Wireless Mouse with Rechargeable Type-C Port - Compatible with Mac Mini, iMac, iMac Pro, MacBook Pro/Air, Microsoft Surface Go and More</t>
  </si>
  <si>
    <t>Gold</t>
  </si>
  <si>
    <t>Rose Gold</t>
  </si>
  <si>
    <t>위딩스 Withings 스틸 HR 하이브리드 스마트워치 HWA03-36 (무료배송)</t>
  </si>
  <si>
    <t>Withings | Steel HR Hybrid Smartwatch</t>
  </si>
  <si>
    <t>사테치 친환경 가죽 데스크매트 마우스패드</t>
  </si>
  <si>
    <t xml:space="preserve">Satechi Eco-Leather Deskmate 23” x 12.2” - Desk Blotter &amp; Protector - Safe for Lacquered &amp; Varnished Wooden Surfaces </t>
  </si>
  <si>
    <t>위딩스 Withings 무브 하이브리드 스마트워치 (무료배송)</t>
  </si>
  <si>
    <t>Withings Move Hybrid Smartwatch - Activity Tracker with Connected GPS, Sleep Monitor, Water Resistant with 18-month battery life</t>
  </si>
  <si>
    <t>Black/Mint</t>
  </si>
  <si>
    <t>Black/Yellow</t>
  </si>
  <si>
    <t>White/Blue</t>
  </si>
  <si>
    <t>White,Black/Mint</t>
  </si>
  <si>
    <t>VOAMOKO 메탈 마우스 패드 usb허브(무료배송)</t>
  </si>
  <si>
    <t>VOAMOKO Metal Mouse Pad – Aluminum Thin Pad with USB Hub – Gaming Mouse Stand – Practical &amp; Stylish – SD &amp; Micro SD Slots – Stable Connection &amp; Fast Data Transfer – Ergonomic &amp; Compact Design</t>
  </si>
  <si>
    <t>usb type-a</t>
  </si>
  <si>
    <t>usb type-c</t>
  </si>
  <si>
    <t>큐브 키 파인더 분실 방지 애완동물 지갑 소지품 추적장치(무료배송)</t>
  </si>
  <si>
    <t>Cube Pro Key Finder Smart Tracker Bluetooth Tracker for Dogs, Kids, Cats, Luggage, Wallet, with app for Phone, Replaceable Battery Waterproof Tracking Device</t>
  </si>
  <si>
    <t>2019 최신 로켓북 에버라스트 퓨전 재사용 스마트 노트(무료배송)</t>
  </si>
  <si>
    <t>Rocketbook Everlast Fusion</t>
  </si>
  <si>
    <t>Executive (6x8.8")</t>
  </si>
  <si>
    <t>Letter (8.5x11")</t>
  </si>
  <si>
    <t>쌤소나이트 콤비 4스퀘어 비즈니스 백팩 회사원 백팩 Samsonite Kombi</t>
  </si>
  <si>
    <t>Samsonite Kombi Business Backpack with SmartSleeve 4 Square Black/Brown</t>
  </si>
  <si>
    <t>4 Square</t>
  </si>
  <si>
    <t>쌤소나이트 콤비 라지 비즈니스 백팩 회사원 백팩 Samsonite Kombi</t>
  </si>
  <si>
    <t>Samsonite Kombi Business Backpack with SmartSleeve Large Black/Brown</t>
  </si>
  <si>
    <t>Large</t>
  </si>
  <si>
    <t>쌤소나이트 콤비 스몰 비즈니스 백팩 회사원 백팩 Samsonite Kombi</t>
  </si>
  <si>
    <t>Samsonite Kombi Business Backpack with SmartSleeve Small Black/Brown</t>
  </si>
  <si>
    <t>small</t>
  </si>
  <si>
    <t>벤큐 스크린바 E-리딩 모니터 작업 LED 램프 모니터용/노트북용(무료배송)</t>
  </si>
  <si>
    <t xml:space="preserve">BenQ ScreenBar e-Reading LED Task Lamp with Auto-Dimming and Hue Adjustment Features, Matte Black USB Powered Office Lamp </t>
  </si>
  <si>
    <t>ScreenBar</t>
  </si>
  <si>
    <t>ScreenBar for Laptop</t>
  </si>
  <si>
    <t>하만카돈 오닉스 스튜디오4 블루투스 스피커 Harman kardon onyx studio4 (무료배송)</t>
  </si>
  <si>
    <t>Harman Kardon Onyx Studio 4 Wireless Bluetooth Speaker</t>
  </si>
  <si>
    <t>(추가상품) 케이스</t>
  </si>
  <si>
    <t>Caseling Hard CASE for Harman Kardon Onyx Studio 1, 2, 3 &amp; 4 Wireless Speaker System</t>
  </si>
  <si>
    <t>합</t>
  </si>
  <si>
    <t>Logitech 로지텍 keys to go 블루투스 키보드 (무료배송)</t>
  </si>
  <si>
    <t>Logitech Keys-to-Go Ultra-Portable, Stand-Alone Keyboard COMPATIBLE DEVICES all iOS devices including iPad, iPhone and Apple TV 920-006701</t>
  </si>
  <si>
    <t>최저가보다 쌈</t>
  </si>
  <si>
    <t>애플 아이패드용 펜슬 어도닛 노트 Adonit Note(무료배송)</t>
  </si>
  <si>
    <t>애플 아이패드용 펜슬 어도닛 노트 Adonit Note</t>
  </si>
  <si>
    <t>Adonit Note Natural Palm Rejection Stylus for iPad Pro (3rd Gen), iPad (6th Gen), iPad Air (3rd Gen) and iPad Mini (5th Gen) - Black,Gold</t>
  </si>
  <si>
    <t>어도닛노트 펜팁 3팩</t>
  </si>
  <si>
    <t>Adonit Note Tips 3 Pack Sensitive Nibs Extra Stylus Pen Tips for iPad Pro, iPad Mini, iPad Air</t>
  </si>
  <si>
    <t>추가상품</t>
  </si>
  <si>
    <t>VIVO 조절가능한 듀얼모니터암 STAND-V002 STAND-V102F (무료배송)</t>
  </si>
  <si>
    <t>VIVO Dual LCD Monitor Desk Mount Stand Heavy Duty Fully Adjustable fits 2 /Two Screens up to 27" (STAND-V002)</t>
  </si>
  <si>
    <t>Dual Monitor - Desk Mount</t>
  </si>
  <si>
    <t>VIVO Full Motion Dual Monitor Free-Standing Desk Stand VESA Mount with Articulating Double Center Arm Joint | Holds 2 Screens up to 30 inches (STAND-V102F)</t>
  </si>
  <si>
    <t>Dual Monitor - Freestanding</t>
  </si>
  <si>
    <t>타이틀리스트 골프 모자 클래식 볼마커 골프 모자</t>
  </si>
  <si>
    <t>Titleist Classic Golf Ball Marker Hat (Adjustable)</t>
  </si>
  <si>
    <t>Black/White</t>
  </si>
  <si>
    <t>Charcoal/Black</t>
  </si>
  <si>
    <t>Navy/White</t>
  </si>
  <si>
    <t>Red/White</t>
  </si>
  <si>
    <t>Royal/White</t>
  </si>
  <si>
    <t>White/Red</t>
  </si>
  <si>
    <t>템퍼 베개 템퍼 심포니 꿀잠베개 15390515P</t>
  </si>
  <si>
    <t>Tempur-Pedic TEMPUR-ProForm Symphony Luxury Pillow for Sleeping, Soft Premium Foam, Washable Cover, Standard, White</t>
  </si>
  <si>
    <t>오하이오 빈티지 화장실 액자 화장실 인테리어(무료배송)</t>
  </si>
  <si>
    <t>Ohio Wholesale Vintage Bath Advertising Wall Art, from our Americana Collection, from our Americana Collection</t>
  </si>
  <si>
    <t>Multi-colored</t>
  </si>
  <si>
    <t>아마존 베이직 싱글 모니터암 Amazon basic single monitor arm</t>
  </si>
  <si>
    <t>AmazonBasics Single Computer Monitor Stand – Height Adjustable Desk Arm Mount, Steel</t>
  </si>
  <si>
    <t>GGMM M3 스마트 와이파이 블루투스 스피커(무료배송)</t>
  </si>
  <si>
    <t>GGMM M3 WiFi Bluetooth Speaker, Smart WiFi Speaker for Streaming Music, HiFi Audio Stereo Surround Powerful Bass Speaker, AirPlay Speaker Wooden Cabinet</t>
  </si>
  <si>
    <t>CAMEL</t>
  </si>
  <si>
    <t>VIVO 조절가능한 듀얼 모니터암 monitor arm STAND-V002D (무료배송)</t>
  </si>
  <si>
    <t>VIVO Black Dual LCD Monitor Height Adjustable Desk Mount Stand, Deluxe Pneumatic Arms | Holds 2 Screens up to 27 inches (STAND-V002D)</t>
  </si>
  <si>
    <t>기본</t>
  </si>
  <si>
    <t>기본 + USB 2 port</t>
  </si>
  <si>
    <t>템퍼페딕 싯쿠션 메모리폼 방석 temper-pedic seat cushion</t>
  </si>
  <si>
    <t>TEMPUR-Seat Cushion</t>
  </si>
  <si>
    <t>템퍼페딕 꿀잠 숙면 전신쿠션 바디쿠션 Tempur-Pedic TEMPUR-Body Pillow</t>
  </si>
  <si>
    <t>Tempur-Pedic TEMPUR-Body Pillow, Soft Support, Pressure Relief, Adaptable Comfort Washable Cover, Assembled in the USA, 5 YR Warranty, Standard</t>
  </si>
  <si>
    <t>템퍼페딕 유니버셜 허리 건강 쿠션 TEMPUR-Universal Cushion</t>
  </si>
  <si>
    <t>얼티메이트 이어 붐2 방수 스피커 Ultimate Ears BOOM 2</t>
  </si>
  <si>
    <t>Ultimate Ears BOOM 2 Portable Waterproof &amp; Shockproof Bluetooth Speaker - Patches</t>
  </si>
  <si>
    <t xml:space="preserve">얼티밋이어 붐3 방수 스피커 Ultimate Ears BOOM 3 </t>
  </si>
  <si>
    <t>Ultimate Ears BOOM 3 Portable Waterproof Bluetooth Speaker</t>
  </si>
  <si>
    <t>Lagoon Blue</t>
  </si>
  <si>
    <t>Night Black</t>
  </si>
  <si>
    <t>Sunset Red</t>
  </si>
  <si>
    <t>Ultraviolet Purple</t>
  </si>
  <si>
    <t>애플 아이패드용 펜슬 짭플펜슬2 (무료배송)</t>
  </si>
  <si>
    <t>접히는 휴대용 돋보기 안경 띤옵틱스 ThinOptics Glasses (무료배송)</t>
  </si>
  <si>
    <t>ThinOptics Reading Glasses + Keychain Case</t>
  </si>
  <si>
    <t>black 1.0</t>
  </si>
  <si>
    <t>black 1.5</t>
  </si>
  <si>
    <t>black 2.0</t>
  </si>
  <si>
    <t>black 2.5</t>
  </si>
  <si>
    <t>clear 1.0</t>
  </si>
  <si>
    <t>clear 1.5</t>
  </si>
  <si>
    <t>clear 2.0</t>
  </si>
  <si>
    <t>clear 2.5</t>
  </si>
  <si>
    <t>휴대용 돋보기 안경 띤옵틱스 ThinOptics Glasses (무료배송)</t>
  </si>
  <si>
    <t>ThinOptics Manhattan reading glasses + Milano anodized aluminum, magnetic case</t>
  </si>
  <si>
    <t>모든옵션</t>
  </si>
  <si>
    <t>타이틀리스트 스냅백 남자골프모자 Titleist TH9ATSMN2</t>
  </si>
  <si>
    <t>Titleist Men's Tour Snapback Mesh Golf Hat</t>
  </si>
  <si>
    <t>Black/Charcoal</t>
  </si>
  <si>
    <t>나이트라이트 블루투스 스피커 LED 무드등 SHAVA 7</t>
  </si>
  <si>
    <t>Night Light Bluetooth Speaker, Portable Wireless Bluetooth Speakers, Touch Control, Color LED Speaker, Bedside Table Light, Speakerphone/TF Card/AUX-in Supported (White), SHAVA 7</t>
  </si>
  <si>
    <t>유비사이즈 스마트폰 유투브 촬영용 삼각대 링조명 Ubeesize Ring Light Tripod Stand Youtube (무료배송)</t>
  </si>
  <si>
    <t>8" Selfie Ring Light with Tripod Stand &amp; Cell Phone Holder for Live Stream/Makeup, UBeesize Mini Led Camera Ringlight for YouTube Video/Photography Compatible with iPhone Xs Max XR Android (Upgraded)</t>
  </si>
  <si>
    <t>그림그리는 태블릿 10인치 드로잉태블릿 드로잉패드 ZBHT(무료배송)</t>
  </si>
  <si>
    <t>Drawing Tablet 10 Inches LCD Writing Tablet Colorful Screen, Doodle Board Electronic Doodle Pads Writing Board for Kids and Adults</t>
  </si>
  <si>
    <t>CHESONA 아이패드 프로 3세대 키보드 케이스 (무료배송)</t>
  </si>
  <si>
    <t>iPad Pro 12.9 Case with Keyboard 2018-3rd Gen [Support Apple Pencil Charging] [with Pencil Holder] Magnetically Detachable Wireless Keyboard for iPad Pro 12.9 2018 (Not for 2017/2015), Black</t>
  </si>
  <si>
    <t>Black + KeyLED</t>
  </si>
  <si>
    <t>타이틀리스트 백팩 가벼운 미니 백팩 Titleist Sack Pack(무료배송)</t>
  </si>
  <si>
    <t>Titleist Essential Sack Pack</t>
  </si>
  <si>
    <t>ROKU Stick Plus 넷플릭스 유투브 스트리밍 스틱 (무료배송)</t>
  </si>
  <si>
    <t>Roku Streaming Stick | HD/4K/HDR Streaming Device with Long-range Wireless and Voice Remote with TV Power and Volume</t>
  </si>
  <si>
    <t>ROKU Stick 넷플릭스 유투브 스트리밍 스틱 (무료배송)</t>
  </si>
  <si>
    <t>ROKU Express 넷플릭스 유투브 스트리밍 스틱 (무료배송)</t>
  </si>
  <si>
    <t>ROKU Express 넷플릭스 유투브 스트리밍 스틱</t>
  </si>
  <si>
    <t>Roku Express | Easy High Definition (HD) Streaming Media Player</t>
  </si>
  <si>
    <t>예티 데이트립 런치백 미니 보냉백 피크닉 도시락 가방(무료배송)</t>
  </si>
  <si>
    <t>YETI Daytrip Packable Lunch Bag</t>
  </si>
  <si>
    <t>Charcoal</t>
  </si>
  <si>
    <t>River Green</t>
  </si>
  <si>
    <t>키크론 맥북 usb c 허브 멀티포트 어댑터 Keychron USB C Hub(무료배송)</t>
  </si>
  <si>
    <t>USB C Hub Adapter for MacBook Pro 2019 / MacBook 2018, Keychron 10 in 1 Thunderbolt 3 Type C Hub with 4K HDMI/Ethernet Port / 4 USB 3.0 Ports / 1080P VGA/SD/TF Card Reader/Power Fast Delivery</t>
  </si>
  <si>
    <t>키크론 K2 무선 기계식 키보드 게이트론 블루 스위치 청축 텐키리스 Keychron K2</t>
  </si>
  <si>
    <t>RGB / Grey / AL</t>
  </si>
  <si>
    <t>RGB / Black / AL</t>
  </si>
  <si>
    <t>RGB / Grey / PL</t>
  </si>
  <si>
    <t>RGB / Black / PL</t>
  </si>
  <si>
    <t>RGB / Mix Grey / AL</t>
  </si>
  <si>
    <t>RGB / Pure Grey / AL</t>
  </si>
  <si>
    <t>White / Grey / AL</t>
  </si>
  <si>
    <t>White / Black / AL</t>
  </si>
  <si>
    <t>White / Grey / PL</t>
  </si>
  <si>
    <t>White / Black / PL</t>
  </si>
  <si>
    <t>키크론 K2 무선 기계식 키보드 게이트론 갈축 텐키리스 Keychron K2</t>
  </si>
  <si>
    <t>Keychron K2 RGB Wireless Mechanical Gaming Keyboard with Gateron Brown Switch/USB Wired/Anti Ghosting /84 Key N-Key Rollover, Bluetooth Computer Keyboard for Mac Windows PC Gamer</t>
  </si>
  <si>
    <t>키크론 K2 무선 기계식 키보드 게이트론 레드 스위치 적축 텐키리스 Keychron K2</t>
  </si>
  <si>
    <t>Keychron K2 Wireless Bluetooth/USB Wired TKL Mechanical Keyboard, 84 Keys RGB LED Backlit Red Switch N-Key Rollover, Aluminum Frame for Gaming and Typing</t>
  </si>
  <si>
    <t>아카소 액션캠 4K 방수 AKASO EK7000</t>
  </si>
  <si>
    <t>AKASO EK7000 4K WiFi Sports Action Camera Ultra HD Waterproof DV Camcorder 12MP 170 Degree Wide Angle</t>
  </si>
  <si>
    <t>Royal Blue</t>
  </si>
  <si>
    <t>Sage/Silver</t>
  </si>
  <si>
    <t>Astro C40 TR 아스트로 커스터마이징 플스4 조이스틱 (무료배송)</t>
  </si>
  <si>
    <t>ASTRO Gaming C40 TR Controller - PlayStation 4</t>
  </si>
  <si>
    <t>카시오 빈티지 쿼츠 플라스틱 손목시계 CASIO F-91WM-3ACF (무료배송)</t>
  </si>
  <si>
    <t>Casio Men's 'Vintage' Quartz Plastic and Resin Casual Watch, Color:Black (Model: F-91WM-3ACF)</t>
  </si>
  <si>
    <t>휴대용 구강세정기 치간세정기 여행용 파우치 포함 AquaSonic Aqua Flosser</t>
  </si>
  <si>
    <t>AquaSonic Aqua Flosser - Professional Cordless Oral Irrigator with 4 Tips and Travel Bag, IPX7 Waterproof with 3 Modes</t>
  </si>
  <si>
    <t>Plantronics 플랜트로닉스 무선 노이즈켄슬링 헤드폰 Backbeat Pro 2 (무료배송)</t>
  </si>
  <si>
    <t>Plantronics Wireless Noise Cancelling Backbeat - Headphones (Black &amp; Tan) (Pro 2)</t>
  </si>
  <si>
    <t>Iridesce SmartHalo2 스마트할로2 자전거 스마트 네비 도난방지 속도계</t>
  </si>
  <si>
    <t>Iridesce™ - Make Your Bike Smarter</t>
  </si>
  <si>
    <t>로지텍 무선 게이밍 마우스 Logitech G604</t>
  </si>
  <si>
    <t>Logitech G604 Lightspeed Wireless Gaming Mouse</t>
  </si>
  <si>
    <t>샘소나이트 테크토닉2 라지 여행용 백팩 Samsonite tectonic2</t>
  </si>
  <si>
    <t>Samsonite Tectonic 2 Large Backpack, Black</t>
  </si>
  <si>
    <t>Black/Orange</t>
  </si>
  <si>
    <t>아마존 에코쇼 5 알렉사 스마트 홈 디스플레이 Echo Show 5</t>
  </si>
  <si>
    <t>Introducing Echo Show 5 – Compact smart display with Alexa - Charcoal</t>
  </si>
  <si>
    <t>Sandstone</t>
  </si>
  <si>
    <t>L 추가상품 : 전용스탠드</t>
  </si>
  <si>
    <t>Configuration: with Adjustable Stand</t>
  </si>
  <si>
    <t>휴대용 돋보기 안경 Nooz Armless Reading Glasses (무료배송)</t>
  </si>
  <si>
    <t>Nooz - Armless Reading Glasses - Wherever you go - Rectangular 6 Colours 5 diopters</t>
  </si>
  <si>
    <t>Fitdom 테크닉 남성용 아웃도어 대용량 슬링백 크로스백</t>
  </si>
  <si>
    <t>Fitdom Tactical Sling Bag for Men. Made from Heavy Duty Nylon &amp; Built Tough for Outdoor. Also Use As EDC, Backpack, Fanny Waist Pack, Crossbody, Shoulder or Chest Bag for Travel Cycling</t>
  </si>
  <si>
    <t xml:space="preserve">샘소나이트 서류가방 회사원가방 바체타레더2 Vachetta Leather 2 </t>
  </si>
  <si>
    <t>Samsonite Vachetta Leather 2 Pocket Business Case Black</t>
  </si>
  <si>
    <t>갤럭시 노트 10 가죽 지갑형 휴대폰 케이스 거치대 케이스(무료배송)</t>
  </si>
  <si>
    <t>Maxboost mWallet Designed for Galaxy Note 10 Case [Folio Cover] [Stand Feature] Premium Samsung Note10 Wallet Case Credit Card Holder [Black] PU Leather Wallet + Side Pocket Magnetic Closure</t>
  </si>
  <si>
    <t>갤럭시 노트 10 플러스 가죽 지갑형 휴대폰 케이스 거치대 케이스(무료배송)</t>
  </si>
  <si>
    <t>Maxboost mWallet Designed for Galaxy Note 10 Plus/Note 10 Plus 5G Case - Premium Note10+ / Note10+ 5G Wallet Case Credit Card Holder [Black] PU Leather Wallet + Side Pocket Magnetic Closure</t>
  </si>
  <si>
    <t>아이폰 11 가죽 지갑형 케이스 카드 케이스 iPhone 11 Leather Case</t>
  </si>
  <si>
    <t>iPhone 11 Leather Wallet Case, Ansiwee Leather Slim Back Wallet Phone Case Cover with Credit Card Holder for Apple iPhone 11</t>
  </si>
  <si>
    <t>Infiland 갤럭시 탭 S6 10.5 케이스 각도조절 케이스 (무료배송)</t>
  </si>
  <si>
    <t>Infiland Galaxy Tab S6 10.5 Case, Multiple Angle Stand Case Fit Samsung Galaxy Tab S6 10.5 Inch Model SM-T860/T865/T867 2019 Release, Support S Pen Wireless Charging, Auto Wake/Sleep</t>
  </si>
  <si>
    <t>Mint Green</t>
  </si>
  <si>
    <t>Dark Red</t>
  </si>
  <si>
    <t>Galaxy</t>
  </si>
  <si>
    <t>Blossom</t>
  </si>
  <si>
    <t>Jabra Elite 65t 자브라 엘리트 65t 블루투스 코드리스 이어폰</t>
  </si>
  <si>
    <t>Jabra Elite 65t Earbuds – Alexa Enabled, True Wireless Earbuds with Charging Case, Titanium Black – Bluetooth Earbuds Engineered for The Best True Wireless Calls and Music Experience</t>
  </si>
  <si>
    <t>Gold Beige</t>
  </si>
  <si>
    <t>Jabra Elite Active 65t 자브라 엘리트 엑티브 65t 블루투스 코드리스 이어폰</t>
  </si>
  <si>
    <t>Jabra Elite Active 65t Earbuds – True Wireless Earbuds with Charging Case – Bluetooth Earbuds with a Secure Fit and Superior Sound, Long Battery Life and More</t>
  </si>
  <si>
    <t>Copper Black</t>
  </si>
  <si>
    <t>Copper Blue</t>
  </si>
  <si>
    <t>Copper Red</t>
  </si>
  <si>
    <t>캐스퍼 강아지 매트리스 메모리폼 침대</t>
  </si>
  <si>
    <t>Casper Dog Bed, Plush Memory Foam</t>
  </si>
  <si>
    <t>medium</t>
  </si>
  <si>
    <t>캐스퍼 중독 배게 쿨링 배게 (무료배송)</t>
  </si>
  <si>
    <t>Casper Sleep Pillow for Sleeping, Standard, White</t>
  </si>
  <si>
    <t>standard</t>
  </si>
  <si>
    <t>king</t>
  </si>
  <si>
    <t>롯지 무쇠팬 무쇠웍 14인치 Lodge Iron Wok</t>
  </si>
  <si>
    <t>Lodge P14W3 Pro-Logic Cast Iron Wok, 14-inch, Black</t>
  </si>
  <si>
    <t>IKANZI 블루투스 무선 이어폰 iPX7 방수 72H 블랙, 화이트</t>
  </si>
  <si>
    <t>[Updated Version] Wireless Earbuds Bluetooth Headphones IKANZI iPX7 Waterproof 72H Cycle Play Time, 2200mAh Bluetooth 5.0 Auto Pairing Wireless Earphones Bluetooth Headset with Charging (Bright Black)</t>
  </si>
  <si>
    <t>Bright Black</t>
  </si>
  <si>
    <t>TOZO T1 무선 블루투스5.0 IPX8 방수 무선충전 이어폰</t>
  </si>
  <si>
    <t>TOZO T10 Bluetooth 5.0 Wireless Earbuds with 【Wireless Charging Case】 IPX8 Waterproof TWS Stereo Headphones in-Ear Built-in Mic Headset Premium Sound with Deep Bass for Sport</t>
  </si>
  <si>
    <t>Khaki</t>
  </si>
  <si>
    <t xml:space="preserve">커세어 헤드셋 거치대 USB 포트 CORSAIR ST100 </t>
  </si>
  <si>
    <t>CORSAIR ST100 RGB Premium Headset Stand with 7.1 Surround Sound - 3.5mm and 2xUSB 3.0</t>
  </si>
  <si>
    <t>다초점 렌즈 돋보기 안경 블루라이트 차단</t>
  </si>
  <si>
    <t>Progressive Multifocus Computer Reading Glasses Blue Light Blocking Titanium Alloy Spring Hinge Multifocal Readers Eyeglasses Anti Glare Eye Strain Light Weight for Men and Women</t>
  </si>
  <si>
    <t>Kuhn Rikon 쿤리콘 간편 안전 통조림 다용도 오프너 병따개</t>
  </si>
  <si>
    <t>Kuhn Rikon Auto Safety Smooth Touch Can Opener, No Sharp Edges, Lid Lifter</t>
  </si>
  <si>
    <t>조디박 이어폰 청소기 Jodi-Vac(무료배송)</t>
  </si>
  <si>
    <t>Jodi Consumer Hearing Aid Vacuum Cleaner</t>
  </si>
  <si>
    <t>메제 99 시리즈 2.5 밸런스 케이블 MEZE Balanced Cable</t>
  </si>
  <si>
    <t>99 Series 2.5 mm Balanced Cable</t>
  </si>
  <si>
    <t>Plantronics BackBeat FIT 3100 플랜트로닉스 백비트 핏 3100 블루투스 이어폰</t>
  </si>
  <si>
    <t>Plantronics BackBeat FIT 3100 True Wireless Earbuds, Sweatproof and Waterproof in Ear Workout Headphones, Grey</t>
  </si>
  <si>
    <t>엔커 사운드코어 운동 블루투스 무선 이어폰 헤드폰</t>
  </si>
  <si>
    <t>Soundcore Wireless Headphones Anker Spirit Pro, Dual EQ, 10 Hour Playtime, IP68, SweatGuard Technology, aptX Hi-Fi Sound, Built-in Mic, Bluetooth Earphones, Earbuds for Running, Sports, Workout, Gym</t>
  </si>
  <si>
    <t>소니 보이스 레코더 목소리 녹음 유튜버 장비 Sony ICD-TX650</t>
  </si>
  <si>
    <t>Sony ICD-TX650 IC Recorder (16GB) - Black</t>
  </si>
  <si>
    <t>엔커 사운드코어 웨이키 블루투스 스피커 Anker Soundcore Wakey</t>
  </si>
  <si>
    <t>Soundcore Wakey Bluetooth Speakers Powered by Anker with Alarm Clock, Stereo Sound, FM Radio, White Noise, Qi Wireless Charger with 7.5W Charging for iPhone and 10W for Samsung</t>
  </si>
  <si>
    <t>SKG 휴대용 경추 목 마사지 무선 미니 안마기</t>
  </si>
  <si>
    <t>SKG Smart Neck Massager with Heating Function, Wireless 3D Travel Neck Massage Equipment</t>
  </si>
  <si>
    <t>윌슨 어드벤티지 테니스 라켓 가방 Wilson Advantage Tennis(무료배송)</t>
  </si>
  <si>
    <t>윌슨 어드벤티지 테니스 라켓 가방 Wilson Advantage Tennis</t>
  </si>
  <si>
    <t>Wilson Advantage Tennis Bag Series</t>
  </si>
  <si>
    <t>Black/Red</t>
  </si>
  <si>
    <t>Pink/White</t>
  </si>
  <si>
    <t xml:space="preserve">Dunlop Performance 8 던롭 퍼포먼스 8 테니스 라켓백 라켓가방 (무료배송) </t>
  </si>
  <si>
    <t>DUNLOP Performance 8 Racquet Bag</t>
  </si>
  <si>
    <t>Wilson 윌슨 여성용 테니스 백팩 (무료배송)</t>
  </si>
  <si>
    <t>Wilson Women's Tennis Bag</t>
  </si>
  <si>
    <t>던롭 2019 테니스 백팩 라켓 수납 DUNLOP Backpack (무료배송)</t>
  </si>
  <si>
    <t>DUNLOP 2019 CX Performance Backpack (Black)</t>
  </si>
  <si>
    <t>헤드 코어 콤비 테니스 라켓 가방 HEAD Core Combi(무료배송)</t>
  </si>
  <si>
    <t>HEAD Core Combi 6 Racquet Bag</t>
  </si>
  <si>
    <t>Blue/Orange</t>
  </si>
  <si>
    <t>Red/Black</t>
  </si>
  <si>
    <t>윌슨 여성용 테니스 라켓 백팩 Wilson Backpack WRZ863995(무료 배송)</t>
  </si>
  <si>
    <t>윌슨 여성용 테니스 토트백 Wilson Women's Tennis Bag (무료배송)</t>
  </si>
  <si>
    <t>이어스튜디오 고해상도 이어폰 HE100 선명한 사운드 3.5mm 인이어 이어폰</t>
  </si>
  <si>
    <t>New: HE100, EarStudio High-Resolution Earphones, 3.5mm in-Ear Headphones, Distinctive Clear Sound, Single Powerful Hi-Res Dynamic Driver, Comfort Fit, in-line Microphone</t>
  </si>
  <si>
    <t>로지텍 크래프트 무선키보드 Logitech Craft (무료배송)</t>
  </si>
  <si>
    <t>Logitech Craft Advanced Wireless Keyboard with Creative Input Dial and Backlit Keys, Dark grey and aluminum</t>
  </si>
  <si>
    <t>로지텍 슬림폴리오 아이패드 5세대 6세대 키보드 케이스 Logitech Slim Folio (무료배송)</t>
  </si>
  <si>
    <t>Logitech Slim Folio with Integrated Bluetooth Keyboard for iPad (5th and 6th Generation)</t>
  </si>
  <si>
    <t xml:space="preserve">피오 FiiO Q1 Mark II 휴대용 DAC 엠프  </t>
  </si>
  <si>
    <t>FiiO Q1 Mark II Native DSD DAC &amp; Amplifier for iPhone, iPod, iPad and Computers</t>
  </si>
  <si>
    <t xml:space="preserve">필로 FiiO K3 헤드폰 엠프 DAC </t>
  </si>
  <si>
    <t>FiiO K3 DSD256 | 384K/32Bit USB-C DAC and Headphone Amplifier for Home and Computer(3.5mm Single Ended/2.5mm Balanced/Coaxial and Optical Digital Outs)</t>
  </si>
  <si>
    <t>베놈 usb 케이블 선야타리서치 (1.5m,3m) (무료배송)</t>
  </si>
  <si>
    <t xml:space="preserve">베놈 usb 케이블 선야타리서치
</t>
  </si>
  <si>
    <t>Shunyata - Venom USB (1.5m)</t>
  </si>
  <si>
    <t>1.5m</t>
  </si>
  <si>
    <t>3m</t>
  </si>
  <si>
    <t>로데와이어리스고 무선마이크 유튜브마이크 Rode Wireless Go</t>
  </si>
  <si>
    <t>Rode Wireless Go - Compact Wireless Microphone System, Transmitter and Receiver</t>
  </si>
  <si>
    <t>슈어 MV88 아이폰 스테레오 마이크 Shure MV88</t>
  </si>
  <si>
    <t>Shure MV88 iOS Digital Stereo Condenser Microphone</t>
  </si>
  <si>
    <t>로지텍 슬림폴리오 아이패드 프로 3세대 11인치 키보드 케이스 Logitech Slim Folio (무료배송)</t>
  </si>
  <si>
    <t>Logitech Slim Folio PRO for iPad Pro 11-inch</t>
  </si>
  <si>
    <t>브릿지프로 12.9인치 아이패드 무선 블루투스 키보드 Brydge Pro Keyboard</t>
  </si>
  <si>
    <t>Brydge Pro 12.9 Keyboard for iPad Pro 12.9 inch 3rd Generation 2018 Model | Aluminum Wireless Bluetooth Keyboard with Backlit Keys | Long Battery Life</t>
  </si>
  <si>
    <t>Sliver</t>
  </si>
  <si>
    <t>브릿지프로 11인치 아이패드 무선 블루투스 키보드 Brydge Pro Keyboard</t>
  </si>
  <si>
    <t>Brydge Pro 11.0 Keyboard for 11.0 inch iPad Pro 3rd Generation 2018 Model | Aluminum Wireless Bluetooth Keyboard with Backlit Keys | Long Battery Life</t>
  </si>
  <si>
    <t>로지텍 슬림폴리오 아이패드 프로 3세대 12.9인치 키보드 케이스 Logitech Slim Folio (무료배송)</t>
  </si>
  <si>
    <t>Logitech Slim Folio PRO for iPad Pro 12.9-inch (3rd Generation)</t>
  </si>
  <si>
    <t>마크라이든 회사원 백팩 15인치 노트북 가방 Markryden B07W6DQDZ1</t>
  </si>
  <si>
    <t>Markryden Laptop Backpack Business Bags with USB Charging Port Water-Resistant School Travel Work Bag Fits 15.6 Inch Laptop</t>
  </si>
  <si>
    <t>2-Pockets</t>
  </si>
  <si>
    <t>3-Pockets</t>
  </si>
  <si>
    <t>마크라이든 회사원 백팩 15인치 노트북 가방 Markryden B07PMR1TG6</t>
  </si>
  <si>
    <t>Markryden 2019 Laptop Backpack Business Bags with USB Charging Port School Travel Pack Fits Under 15.6 Inch Laptop</t>
  </si>
  <si>
    <t>TEWELL 클래식 빈티지 레트로록 블루투스 스피커 B06XT5R7CJ</t>
  </si>
  <si>
    <t>TEWELL Bluetooth Speaker with HD 24W Audio, Extended Bass and Treble, Knob for Volume Control, Toggle Switch and 3.5mm AUX Input</t>
  </si>
  <si>
    <t xml:space="preserve">컴퓨터 모니터 스크린바 LED 램프 모니터 조명 LOFTer </t>
  </si>
  <si>
    <t>Computer Monitor Light, LOFTer Screen Light Bar e-Reading LED Task Lamp with No Glare on Screen, USB Powered Monitor Lamps for Office/Home, Adjustable Brightness/Color Temperature Reading Light</t>
  </si>
  <si>
    <t>로지텍 MX 마스터 3 무선 블루투스 마우스 Logitech MX Master 3 wireless (무료배송)</t>
  </si>
  <si>
    <t>Logitech MX Master 3 Advanced Wireless Mouse - Graphite</t>
  </si>
  <si>
    <t>Graphite</t>
  </si>
  <si>
    <t>Mid Grey</t>
  </si>
  <si>
    <t>보스 사운드웨어 컴패니언 무선 웨어러블 스피커 Bose Soundwear(무료배송)</t>
  </si>
  <si>
    <t>Bose Soundwear Companion Wireless Wearable Speaker - Black</t>
  </si>
  <si>
    <t xml:space="preserve">아소부 콜드부르 휴대용 커피메이커 40oz Asobu </t>
  </si>
  <si>
    <t>Asobu Coldbrew Portable Cold Brew Coffee Maker With a Vacuum Insulated 40oz Stainless Steel 18/8 Carafe Bpa Free</t>
  </si>
  <si>
    <t>copper</t>
  </si>
  <si>
    <t>silver</t>
  </si>
  <si>
    <r>
      <rPr>
        <b/>
        <sz val="18"/>
        <color rgb="FFFF0000"/>
        <rFont val="Arial"/>
        <family val="2"/>
      </rPr>
      <t>직구닷컴(미국)</t>
    </r>
    <r>
      <rPr>
        <b/>
        <sz val="10"/>
        <color rgb="FFFF0000"/>
        <rFont val="Arial"/>
        <family val="2"/>
      </rPr>
      <t xml:space="preserve">
※ 부피무게 적용</t>
    </r>
    <r>
      <rPr>
        <sz val="10"/>
        <color rgb="FF000000"/>
        <rFont val="Arial"/>
        <family val="2"/>
      </rPr>
      <t xml:space="preserve">
오레곤, 캘리포니아 물류센터 모두 같은 방식으로 적용_x000B_- 부피무게가 20파운드(세변의 합이 45인치) 이하시 실무게로 적용_x000B_- 단, 실무게와 부피의 차가 3배 이상일 경우 부피무게 60%적용._x000B_- 부피무게가 20파운드 이상시 부피무게의 60% 적용_x000B_예) 실무게 8파운드 부피무게 20파운드 일때 실무게 20 * 0.6 = 12 파운드. (부피무게의 60%가 적용됨)_x000B_예) 실무게 13파운드 부피무게 20파운드 일때 실무게 실무게 13파운드 적용
</t>
    </r>
  </si>
  <si>
    <t>단위 : 달러/lb</t>
  </si>
  <si>
    <t>&lt;직구닷컴&gt;</t>
  </si>
  <si>
    <t>로켓배송</t>
  </si>
  <si>
    <t>ROYAL패밀리</t>
  </si>
  <si>
    <t>white</t>
  </si>
  <si>
    <t>직구1단</t>
  </si>
  <si>
    <t>직구2단</t>
  </si>
  <si>
    <t>직구3단</t>
  </si>
  <si>
    <t>직구4단</t>
  </si>
  <si>
    <t>직구5단</t>
  </si>
  <si>
    <t>직구6단</t>
  </si>
  <si>
    <t>직구7단</t>
  </si>
  <si>
    <t>직구8단</t>
  </si>
  <si>
    <t>직구9단</t>
  </si>
  <si>
    <t>로지텍 Logitech MX keys 무선 키보드 (무료배송)</t>
  </si>
  <si>
    <t>Logitech MX Keys Advanced Wireless Illuminated Keyboard - Graphite</t>
  </si>
  <si>
    <t>직구명인</t>
  </si>
  <si>
    <r>
      <rPr>
        <b/>
        <sz val="18"/>
        <color rgb="FFFF0000"/>
        <rFont val="Arial"/>
        <family val="2"/>
      </rPr>
      <t>산타빌리지 (로얄로 가즈아!!!)</t>
    </r>
    <r>
      <rPr>
        <b/>
        <sz val="10"/>
        <color rgb="FFFF0000"/>
        <rFont val="Arial"/>
        <family val="2"/>
      </rPr>
      <t xml:space="preserve">
※ 중량무게 적용
배송요금에는 중국통관 +국제배송비(항공,해상)+국내(한국)배송비가 포함
(관부가세, 부가수수료, 대형화물 착불택배비 별도)</t>
    </r>
    <r>
      <rPr>
        <b/>
        <sz val="10"/>
        <rFont val="Arial"/>
        <family val="2"/>
      </rPr>
      <t xml:space="preserve">
</t>
    </r>
    <r>
      <rPr>
        <sz val="10"/>
        <color rgb="FF000000"/>
        <rFont val="Arial"/>
        <family val="2"/>
      </rPr>
      <t>- 1kg당 기준, 0.5kg당 절상(반올림, 1.3kg -&gt; 1.5kg)
- 부피무게는 적용되지 않으며, only 중량무게(kg)로 배송비 측정됨
(kg무게와 cbm(cubic meter : 1m X 1m X 1m = 1cbm)간 차이가 클 경우, 고객 협의후 cbm부피무게 적용됨.)</t>
    </r>
  </si>
  <si>
    <t>단위 : 원</t>
  </si>
  <si>
    <t>무게(kg)</t>
  </si>
  <si>
    <t xml:space="preserve">산타빌리지
</t>
  </si>
  <si>
    <t>추가상품 : 팜레스트</t>
  </si>
  <si>
    <t>Logitech MX Palm Rest</t>
  </si>
  <si>
    <t>VIP
(50건 이상)</t>
  </si>
  <si>
    <t>VVIP
(100건 이상)</t>
  </si>
  <si>
    <t>ROYAL
(매월 100건 이상)</t>
  </si>
  <si>
    <r>
      <rPr>
        <b/>
        <sz val="18"/>
        <color rgb="FFFF0000"/>
        <rFont val="Arial"/>
        <family val="2"/>
      </rPr>
      <t>직구닷컴(독일)</t>
    </r>
    <r>
      <rPr>
        <b/>
        <sz val="10"/>
        <color rgb="FFFF0000"/>
        <rFont val="Arial"/>
        <family val="2"/>
      </rPr>
      <t xml:space="preserve">
※ 부피무게 적용</t>
    </r>
    <r>
      <rPr>
        <sz val="10"/>
        <color rgb="FF000000"/>
        <rFont val="Arial"/>
        <family val="2"/>
      </rPr>
      <t xml:space="preserve">
실중량과 부피무게를 비교하여 더 높은 쪽 무게를 기준으로 청구됩니다._x000B_- 독일 부피무게 계산공식: 가로(Cm) x 세로(Cm) x 높이(Cm) / 6000 단위:Kg
</t>
    </r>
  </si>
  <si>
    <t>단위 : 달러/kg</t>
  </si>
  <si>
    <t>타이맥스 이지리더 남자 가죽시계 40주년 한정판 블랙 38mm Timex Easy Reader (무료배송)</t>
  </si>
  <si>
    <t>Timex Men's Easy Reader Leather Strap 38mm Watch 40th Anniversary Edition</t>
  </si>
  <si>
    <t>타이맥스 이지리더 남자 가죽시계 40주년 한정판 탄 38mm Timex Easy Reader (무료배송)</t>
  </si>
  <si>
    <t>Tan</t>
  </si>
  <si>
    <t>바볼랏 윔블던 테니스 라켓 가방 Babolat 753079</t>
  </si>
  <si>
    <t>Babolat Pure Line Wimbledon Backpack</t>
  </si>
  <si>
    <t>상품명 한글</t>
  </si>
  <si>
    <t>상품 URL</t>
  </si>
  <si>
    <t>구매(위안)</t>
  </si>
  <si>
    <t>해외 배송비(위안)</t>
  </si>
  <si>
    <t>사입비합계(달러)</t>
  </si>
  <si>
    <t>사입비(한화)</t>
  </si>
  <si>
    <t>나의 판매가격</t>
  </si>
  <si>
    <t>예상배송비</t>
  </si>
  <si>
    <t>배송비 포함 최종 판매가</t>
  </si>
  <si>
    <t>네이버수수료 2%</t>
  </si>
  <si>
    <t>실제 배송비</t>
  </si>
  <si>
    <t>나이키 코트 테니스 가방 Nike BA5452(무료배송)</t>
  </si>
  <si>
    <t>Nike Court Tennis Backpack</t>
  </si>
  <si>
    <t>후지 목베개 쿠션</t>
  </si>
  <si>
    <t>https://www.amazon.com/Huzi-Infinity-Pillow-Design-Travel/dp/B077ZLHXXZ</t>
  </si>
  <si>
    <t>Midnight Navy/Black/White</t>
  </si>
  <si>
    <t>아마존 파이어 큐브 알렉사 All-new Fire TV Cube 4K Ultra HD</t>
  </si>
  <si>
    <t>All-new Fire TV Cube, hands-free with Alexa and 4K Ultra HD, streaming media player</t>
  </si>
  <si>
    <t>달러 기준 (1위안/170원) 으로 만들어졌으며, 환율에 따라 변형하여 사용하세요</t>
  </si>
  <si>
    <t>X - (X-0.1X-0.033X) = 0.3Y</t>
  </si>
  <si>
    <t>판매수수료 10%</t>
  </si>
  <si>
    <t>배송비 3.3%</t>
  </si>
  <si>
    <t>RHA 무선 플라이트 어댑터 블루투스 오디오 송신기(무료배송)</t>
  </si>
  <si>
    <t>RHA Wireless Flight Adapter: Bluetooth 5 Audio Transmitter</t>
  </si>
  <si>
    <t>0.133X = 0.3Y</t>
  </si>
  <si>
    <t>X= 2.25Y</t>
  </si>
  <si>
    <t>0.1X = 0.3Y</t>
  </si>
  <si>
    <t>하이퍼X 쿼드케스트 콘덴서 게이밍 마이크 HyperX QuadCast</t>
  </si>
  <si>
    <t>HyperX QuadCast - USB Condenser Gaming Microphone, for PC, PS4 and Mac, Anti-Vibration Shock Mount, Four Polar Patterns, Pop Filter, Gain Control, Podcasts, Twitch, YouTube, Discord, Red LED - Black</t>
  </si>
  <si>
    <t>로지텍 MX 애니웨어 2S 휴대용 무선 마우스 Logitech MX Anywhere 2S</t>
  </si>
  <si>
    <t>Logitech MX Anywhere 2S Wireless Mouse – Use on Any Surface, Hyper-Fast Scrolling, Rechargeable, Control up to 3 Apple Mac and Windows Computers and Laptops (Bluetooth or USB), Graphite</t>
  </si>
  <si>
    <t>Midnight Teal</t>
  </si>
  <si>
    <t>샘소나이트 모던 유틸리티 더블샷 노트북 회사원 백팩 Samsonite Modern Utility Double Shot</t>
  </si>
  <si>
    <t>Samsonite Modern Utility Double Shot Laptop Backpack</t>
  </si>
  <si>
    <t>True Navy</t>
  </si>
  <si>
    <t>칼디지트 USB C 프로독 85w 충전 듀얼 4K60Hz 기가비트 인터넷 CalDigit</t>
  </si>
  <si>
    <t>CalDigit USB-C Pro Dock - 85W Charging, Thunderbolt 3, UHS II SD Card Slot, USB C Gen 2, USB A x 3, Dual DisplayPort 1.2, LAN, 3.5mm Audio for Thunderbolt and USB-C Computers (0.7 Meter Cable - Gray)</t>
  </si>
  <si>
    <t>케이스티파이 아이폰 11 충격방지케이스 CASETiFY iPhone 11, White</t>
  </si>
  <si>
    <t>CASETiFY Impact Case, Military-Grade Dual-Layer Shockproof Protective Case for iPhones, iPhone 11, White</t>
  </si>
  <si>
    <t>iphone 11</t>
  </si>
  <si>
    <t>iphone 11 pro</t>
  </si>
  <si>
    <t>iphone 11 pro max</t>
  </si>
  <si>
    <t>애플워치 여행용 마그네틱 USB 충전기 어댑터</t>
  </si>
  <si>
    <t>Watch Charger,ChiHope Magnetic Portable Wireless iWatch Charger Compatible for Apple Watch Series 4 3 2 1 44 mm 42 mm 40 mm 38mm (Black)</t>
  </si>
  <si>
    <t xml:space="preserve">로데 다용도 유투브 스튜디오 마이크 Rode NT-USB Versatile USB Microphone (무료배송) </t>
  </si>
  <si>
    <t>Rode NT-USB Versatile Studio-Quality USB Cardioid Condenser Microphone</t>
  </si>
  <si>
    <t>타일 슬림 블루투스 소형 위치 추적기 Tile Slim(무료배송)</t>
  </si>
  <si>
    <t>Tile Slim (2020) - 1 Pack</t>
  </si>
  <si>
    <t>타일 메이트 블루투스 소형 위치 추적기 Tile Mate 4pack</t>
  </si>
  <si>
    <t>Tile Mate (2020) - 4 Pack</t>
  </si>
  <si>
    <t>로쿠 스트리밍 플레이어 넷플릭스 티비연결 Roku (무료배송)</t>
  </si>
  <si>
    <t>Roku Express HD Streaming Media Player 2019</t>
  </si>
  <si>
    <t xml:space="preserve">백패킹 미니 돗자리 등산용 초소형 돗자리 마타도르(무료배송) </t>
  </si>
  <si>
    <t>Matador Mini Pocket Blanket, Ultralight Hiking Picnic Blanket/Beach Blanket</t>
  </si>
  <si>
    <t xml:space="preserve">백패킹 미니 돗자리 피크닉 초소형 돗자리 마타도르(무료배송) </t>
  </si>
  <si>
    <t>Matador Pocket Blanket 2.0 New Version, Picnic, Beach, Hiking, Camping. Water Resistant with Built-in Ground Stakes</t>
  </si>
  <si>
    <t>Alpine Green</t>
  </si>
  <si>
    <t>Original Red</t>
  </si>
  <si>
    <t>소형 관찰 카메라 실시간 감시 Ring Indoor Cam(무료배송)</t>
  </si>
  <si>
    <t>Introducing Ring Indoor Cam, Compact Plug-In HD security camera with two-way talk, White, Works with Alex</t>
  </si>
  <si>
    <t>레이저 헌츠맨 토너먼트 게이밍 광축 키보드 Razer Huntsman Tournament Edition (무료배송)</t>
  </si>
  <si>
    <t>Razer Huntsman Tournament Edition TKL Tenkeyless Gaming Keyboard: Linear Optical Switches - Instant Actuation - Customizable Chroma RGB Lighting - Programmable Macro Functionality - Matte Black</t>
  </si>
  <si>
    <t>Matte Black</t>
  </si>
  <si>
    <t>MXL 2006 Large Gold Diaphragm Condenser Microphone with MXL-57 Shock Mount (무료배송)</t>
  </si>
  <si>
    <t>MXL 2006 Large Gold Diaphragm Condenser Microphone with MXL-57 Shock Mount and Carrying Case</t>
  </si>
  <si>
    <t>마샬 메이저 3 블루투스 무선 온이어 헤드폰 Marshal Major 3 Bluetooth(무료배송)</t>
  </si>
  <si>
    <t>Marshall Major III Bluetooth Wireless On-Ear Headphones</t>
  </si>
  <si>
    <t>캠핑커틀러리 1인식기세트(무료배송)</t>
  </si>
  <si>
    <t>Devico Portable Utensils, Travel Camping Cutlery Set, 8-Piece including Knife Fork Spoon Chopsticks Cleaning Brush Straws Portable Case, Stainless Steel Flatware set</t>
  </si>
  <si>
    <t>Rainbow</t>
  </si>
  <si>
    <t>아마존베이직 AmazonBasics 빈티지 레트로 블루투스 스피커 (무료배송)</t>
  </si>
  <si>
    <t>AmazonBasics Vintage Retro Bluetooth Speaker</t>
  </si>
  <si>
    <t>써모스 스테인레스 텀블러 오래가는 텀블러 Thermos (무료배송)</t>
  </si>
  <si>
    <t>Thermos Staineless Steel King 16 Ounce Travel Tumbler</t>
  </si>
  <si>
    <t>Army Green</t>
  </si>
  <si>
    <t>Cranberry</t>
  </si>
  <si>
    <t>Electric Blue</t>
  </si>
  <si>
    <t>Midnight Blue</t>
  </si>
  <si>
    <t>Pine Green</t>
  </si>
  <si>
    <t>Stainless Steel</t>
  </si>
  <si>
    <t>챔피언 메뉴스트립트 남자 백팩 Champion Men's Manuscript (무료배송)</t>
  </si>
  <si>
    <t>Champion Men's Manuscript Backpack</t>
  </si>
  <si>
    <t>Heather Grey</t>
  </si>
  <si>
    <t>위딩스 바디플러스 스마트 와이파이 디지털 체중계 Withings Body+ (무료배송)</t>
  </si>
  <si>
    <t>Withings Body+ - Smart Body Composition Wi-Fi Digital Scale with smartphone app</t>
  </si>
  <si>
    <t>Pastel Sand</t>
  </si>
  <si>
    <t>투미 얇은 남자 카드지갑 TUMI 93707-1041 (무료배송)</t>
  </si>
  <si>
    <t>TUMI - Delta Slim Card Case Wallet with RFID ID Lock for Men - Black</t>
  </si>
  <si>
    <t>투미 보야져 여자손목파우치 TUMI Voyageur 110003-0658 (무료배송)</t>
  </si>
  <si>
    <t>TUMI - Voyageur Abilene Double Zip Pouch - Clutch Wristlet Wallet for Women</t>
  </si>
  <si>
    <t>Sunset</t>
  </si>
  <si>
    <t>Ultramarine</t>
  </si>
  <si>
    <t>블루 예티 USB 마이크 유튜브 개인 방송 마이크</t>
  </si>
  <si>
    <t>Blue Microphones Yeti USB Microphone</t>
  </si>
  <si>
    <t>Blackout</t>
  </si>
  <si>
    <t>Platinum</t>
  </si>
  <si>
    <t>Aztec Copper</t>
  </si>
  <si>
    <t>Satin Red</t>
  </si>
  <si>
    <t>Teal</t>
  </si>
  <si>
    <t>피셔 스페이스펜 무중력펜 우주펜 EDC 아이템 400BCL(무료배송)</t>
  </si>
  <si>
    <t xml:space="preserve">Fisher Space Pen Bullet Space Pen with Clip - Matte Black, Gift Boxed (400BCL)
</t>
  </si>
  <si>
    <t>로켓 카인 202 Aimo 게이밍 마우스 Roccat Kain Aimo 202 Aimo (무료배송)</t>
  </si>
  <si>
    <t>Kain 202 Aimo RGB Gaming Mouse - White</t>
  </si>
  <si>
    <t>해밀턴 비치 싱글잔 커피메이커 Hamilton Beach 49981A (무료배송)</t>
  </si>
  <si>
    <t>Hamilton Beach The Scoop Single Serve Coffee Maker, Fast Brewing, Stainless Steel (49981A)</t>
  </si>
  <si>
    <t>아이클립 3 아이패드 악보 거치대 태블릿 거치대 iKlip 3(무료배송)</t>
  </si>
  <si>
    <t>IK Multimedia 3 universal tablet mount for microphone and music stands, Mic (IP-IKLIP-3-IN</t>
  </si>
  <si>
    <t>Stand mount</t>
  </si>
  <si>
    <t>아이클립 아이패드 악보 거치대 태블릿 거치대 iKlip (무료배송)</t>
  </si>
  <si>
    <t>IK Multimedia iKlip Xpand universal mic stand support for iPad and tablets</t>
  </si>
  <si>
    <t>해밀턴 비치 2-way 싱글 커피포트 커피메이커  Hamilton Beach 49980A (무료배송)</t>
  </si>
  <si>
    <t>Hamilton Beach 2-Way Brewer Coffee Maker, Single-Serve with 12 Cup Carafe, Stainless Steel (49980A)</t>
  </si>
  <si>
    <t>디테일한 고정과 방향 조절이 자유로운 아이폰 스마트폰 거치대 아이클립 미니 (무료배송)</t>
  </si>
  <si>
    <t>IK Multimedia iKlip Xpand Mini universal mic stand support for iPhone, iPod touch and smartphone</t>
  </si>
  <si>
    <t>엔드게임 기어 XM1 게이밍마우스 ENDGAME GEAR XM1(무료배송)</t>
  </si>
  <si>
    <t>ENDGAME GEAR XM1 Gaming Mouse - Optical PMW3389 Sensor - Up to 16,000 DPI - 5 Buttons - Omron Switches - Black</t>
  </si>
  <si>
    <t>쿨러마스터 초경량 울트라 게이밍마우스 MM710 (무료배송)</t>
  </si>
  <si>
    <t>Cooler Master MM710 53G Gaming Mouse with Lightweight Honeycomb Shell, Ultralight Ultraweave Cable, Pixart 3389 16000 DPI Optical Sensor</t>
  </si>
  <si>
    <t>케미컬가이 빅마우스 폼 캐논 EQP322(무료배송)</t>
  </si>
  <si>
    <t>Chemical Guys EQP322 Big Mouth Professional Foam Canno</t>
  </si>
  <si>
    <t>inphic V780 울트라 슬림 초경량 무선 키보드 마우스 세트(무료배송)</t>
  </si>
  <si>
    <t>Wireless Keyboard and Mouse Combo, Inphic Rechargeable Wireless Mouse and Keyboard Combo Set with 2.4GHz USB Nano, Silent Click</t>
  </si>
  <si>
    <t>챔피온 메뉴스크립트 더플백 듀플백 Champion(무료배송)</t>
  </si>
  <si>
    <t>Champion Manuscript Duffe</t>
  </si>
  <si>
    <t>샘소나이트 여행용 토트백 Samsonite Unisex Travel Tote (무료배송)</t>
  </si>
  <si>
    <t>Samsonite Unisex Lineate Travel Tote</t>
  </si>
  <si>
    <t>Obsidian Black</t>
  </si>
  <si>
    <t>쌤소나이트 17인치 노트북 파우치 B004FH977Q (무료배송)</t>
  </si>
  <si>
    <t>Samsonite Unisex-Adult 17-Inch, Black</t>
  </si>
  <si>
    <t>티타늄 무한 리필 펜 Ti Arto EDC (무료배송)</t>
  </si>
  <si>
    <t xml:space="preserve">BIG IDEA DESIGN Ti Arto EDC : The Ultimate Refill Friendly Everyday Carry Pen
</t>
  </si>
  <si>
    <t>Machined Raw</t>
  </si>
  <si>
    <t>Midnight Black</t>
  </si>
  <si>
    <t>Stonewashed</t>
  </si>
  <si>
    <t>인케이스 슬링백 Incase CL55603 (무료배송)</t>
  </si>
  <si>
    <t>Incase Sling Pack - Diamond Wire</t>
  </si>
  <si>
    <t>사테치 알루미늄 블루투스 키보드 맥북 아이패드 Satechi Aluminum Bluetooth Keyboard (무료배송)</t>
  </si>
  <si>
    <t>Satechi Aluminum Bluetooth Keyboard with Numeric Keypad - Compatible with iMac Pro/iMac, 2018 Mac Mini, 2019 MacBook Pro, 2018 MacBook Air, 2019 iPad/2018 iPad Pro (English, Space Gray)</t>
  </si>
  <si>
    <t>Space Grey</t>
  </si>
  <si>
    <t>사테치 알루미늄 슬림 휴대용 블루투스 키보드 맥북 아이패드 Satechi Aluminum Bluetooth Keyboard (무료배송)</t>
  </si>
  <si>
    <t>Satechi Aluminum Slim Wireless Keyboard with Numeric Keypad - Compatible with iMac Pro/iMac, 2018 Mac Mini, 2019 MacBook Pro, 2018 MacBook Air, 2019 iPad/2018 iPad Pro</t>
  </si>
  <si>
    <t>만능펜 멀티툴 펜 남자를 위한 선물 Atech Multifunction Pen</t>
  </si>
  <si>
    <t>Atech Multifunction Pen 7 in 1 Tech Tool Pen with Ruler, Stylus, Bottle Opener, 2 Screw Driver, and Phone Stand, Multi Tool Fit for Mens Survival</t>
  </si>
  <si>
    <t>5 in 1 Key Ring [Black]</t>
  </si>
  <si>
    <t>6 in 1 Pen with Level [Black]</t>
  </si>
  <si>
    <t>7 in 1 Pen [Black]</t>
  </si>
  <si>
    <t>7 in 1 Pen [Gun Metal]</t>
  </si>
  <si>
    <t>해리포터 스프머그 Harry Potter Soup Mug (무료배송)</t>
  </si>
  <si>
    <t>Harry Potter 48013 Cauldron Soup Mug with Spoon, Standard, Black</t>
  </si>
  <si>
    <t>필립스 X2HR 피델리오 오버이어 헤드폰 Philips X2HR Fidelio (무료배송)</t>
  </si>
  <si>
    <t>Philips X2HR Fidelio Over Ear Headphone, Black</t>
  </si>
  <si>
    <t>안드로이드 애플 펜슬 어도닛 대쉬 3 Adonit Dash 3 (무료배송)</t>
  </si>
  <si>
    <t>Adonit Dash 3 - Capacitive Fine Point Stylus Pencil for iPad, iPad Pro, iPhone, Android, and Touch Screen Tablets</t>
  </si>
  <si>
    <t>Bronze</t>
  </si>
  <si>
    <t>인스턴트 팟 듀오 미니 3 Qt 7 in 1 멀티 프로그래머블 압력솥 Instant Pot Duo Mini 3 Qt (무료배송)</t>
  </si>
  <si>
    <t>Instant Pot Duo Mini 3 Qt 7-in-1 Multi- Use Programmable Pressure Cooker, Slow Cooker, Rice Cooker, Steamer, Sauté, Yogurt Maker and Warmer</t>
  </si>
  <si>
    <t>타이틀리스트 백팩 클럽 라이프 트래블 기어 TA8CLBP-0 (무료배송)</t>
  </si>
  <si>
    <t>Titleist Club Life Backpack</t>
  </si>
  <si>
    <t>올뉴 아마존 파이어 HD10 9세대 태블릿 PC Amazon Fire HD10 (무료배송)</t>
  </si>
  <si>
    <t>All-New Fire HD 10 Tablet (10.1" 1080p full HD display, 32 GB / 64GB)</t>
  </si>
  <si>
    <t>32 GB / Black</t>
  </si>
  <si>
    <t>32 GB / Plum</t>
  </si>
  <si>
    <t>32 GB / Twilight Blue</t>
  </si>
  <si>
    <t>32 GB / White</t>
  </si>
  <si>
    <t>64 GB / Black</t>
  </si>
  <si>
    <t>64 GB / Plum</t>
  </si>
  <si>
    <t>64 GB / Twilight Blue</t>
  </si>
  <si>
    <t>64 GB / White</t>
  </si>
  <si>
    <t>센세이텐 스틸시리즈 게이밍마우스 SENSEI TEN(무료배송)</t>
  </si>
  <si>
    <t xml:space="preserve">SteelSeries Sensei Ten Gaming Mouse – 18,000 CPI TrueMove Pro Optical Sensor – Ambidextrous Design – 8 Programmable Buttons – 60M Click Mechanical Switches – RGB Lighting
</t>
  </si>
  <si>
    <t>얼티밋 이어스 원더붐 2 라이딩용 아웃도어용 스피커 ULTIMATE EARS WONDERBOOM 2 (무료배송)</t>
  </si>
  <si>
    <t>`</t>
  </si>
  <si>
    <t>ULTIMATE EARS WONDERBOOM 2</t>
  </si>
  <si>
    <t>Bermuda Blue</t>
  </si>
  <si>
    <t>Crushed Ice Grey</t>
  </si>
  <si>
    <t>Deep Space</t>
  </si>
  <si>
    <t>Just Peach</t>
  </si>
  <si>
    <t>Radical Red</t>
  </si>
  <si>
    <t>빅트롤라 레트로 턴테이블 CD 블루투스 플레이어 Victrola 50's Retro 3-Speed Bluetooth Turntable (무료배송)</t>
  </si>
  <si>
    <t>Victrola 50's Retro 3-Speed Bluetooth Turntable with Stereo, CD Player and Speakers</t>
  </si>
  <si>
    <t>DSLR 스마트폰 삼각대 셀카봉 스위치 포드 SWITCHPOD (무료배송)</t>
  </si>
  <si>
    <t>SWITCHPOD Switchpod DSLR/Smartphone Handheld Stabilized Tripod</t>
  </si>
  <si>
    <t>로쿠 프리미어 유투브 넷플릭스 스트리밍 스틱 HD 4K HDR 지원 Roku Premiere (무료배송)</t>
  </si>
  <si>
    <t>Roku Premiere | HD/4K/HDR Streaming Media Player with Simple Remote and Premium HDMI Cable</t>
  </si>
  <si>
    <t>해운대 이민기 시계 타이맥스 T2N720(무료배송)</t>
  </si>
  <si>
    <t xml:space="preserve">Timex Intelligent Quartz Tide Temp Compass Watch
</t>
  </si>
  <si>
    <t>빅트롤라 모던 턴테이블 블루투스 플레이어 검정 Victrola Modern 3-Speed Bluetooth Turntable, Black(무료배송)</t>
  </si>
  <si>
    <t xml:space="preserve"> Victrola Modern 3-Speed Bluetooth Turntable with 50 Watt Speakers, Black Piano Finish</t>
  </si>
  <si>
    <t>빅트롤라 모던 턴테이블 블루투스 플레이어 그린 Victrola Modern 3-Speed Bluetooth Turntable, Green(무료배송)</t>
  </si>
  <si>
    <t>Victrola Modern 3-Speed Bluetooth Turntable with 50 Watt Speakers, Green Piano Finish</t>
  </si>
  <si>
    <t>빅트롤라 모던 턴테이블 블루투스 플레이어 핑크 Victrola Modern 3-Speed Bluetooth Turntable, Pink(무료배송)</t>
  </si>
  <si>
    <t>Victrola Modern 3-Speed Bluetooth Turntable with 50 Watt Speakers, Pink Piano Finish</t>
  </si>
  <si>
    <t>빅트롤라 모던 턴테이블 블루투스 플레이어 화이트 Victrola Modern 3-Speed Bluetooth Turntable, White(무료배송)</t>
  </si>
  <si>
    <t>Victrola Modern 3-Speed Bluetooth Turntable with 50 Watt Speakers, White Piano Finish</t>
  </si>
  <si>
    <t>아마존 에코버즈 Amazon Echo Buds</t>
  </si>
  <si>
    <t>Echo Buds – Wireless earbuds with immersive sound, active noise reduction, and Alexa</t>
  </si>
  <si>
    <t>인케이스 슬링백 카메라 슬링백 카메라 가방</t>
  </si>
  <si>
    <t>Incase Camera Sling Pack</t>
  </si>
  <si>
    <t>인케이스 사이드백 크로스바디 힙셋</t>
  </si>
  <si>
    <t>Incase Side Bag [Nylon] - Crossbody, Over the Shoulder Multi-Purpose Bag -</t>
  </si>
  <si>
    <t>핀티 마이크로소프트 서피스 프로 7 6 5 4 3  슬림 키보드 케이스 Fintie Microsoft Surface pro keybboard case (무료배송)</t>
  </si>
  <si>
    <t>Fintie Microsoft Surface Pro 7 / Pro 6 / Pro 5 / Pro 4 / Pro 3 Type Cover, Ultra-Slim Portable Wireless Bluetooth Keyboard with Two-Button Trackpad and Built-in Rechargeable Battery</t>
  </si>
  <si>
    <t>폴라로이드 원스텝2 VF i-Type 화이트 / 썸머블루 / 그라파이트 + 카메라 필름세트 + 렌즈클리너 세트 \(무료배송)</t>
  </si>
  <si>
    <t>Polaroid OneStep 2 Viewfinder i-Type Camera 9008 White Bundle with a Color i-Type Film Pack 4668 (8 Instant Photos) and a Lumintrail Cleaning Cloth</t>
  </si>
  <si>
    <t>Summer Blue</t>
  </si>
  <si>
    <t>폴라로이드 원스텝2 VF i-type 카메라 Polaroid OneStep 2 Viewfinder i-Type CameraVF i-Type (무료배송)</t>
  </si>
  <si>
    <t>Polaroid Originals OneStep 2 VF</t>
  </si>
  <si>
    <t>Strager Thins</t>
  </si>
  <si>
    <t>베큐빈 남은 와인 보관 와인세이버 스토퍼 세트 6개 그레이 (무료배송)</t>
  </si>
  <si>
    <t xml:space="preserve">Vacu Vin Wine Saver Vacuum Stoppers Set of 6 – Grey
</t>
  </si>
  <si>
    <t>구글 와이파이 네스트 라우터 2세대 구글 공유기 (무료배송)</t>
  </si>
  <si>
    <t>Google Nest Wifi Router - 4x4 AC2200 Wi-Fi Mesh System with 2200 Sq ft Coverage</t>
  </si>
  <si>
    <t>어도닛노트 플러스 팜리젝션 아이패드용 펜슬(무료배송)</t>
  </si>
  <si>
    <t xml:space="preserve">Adonit Note+ Plus with Native Palm Rejection, Pressure Sensitivity, Programmable Shortcut Buttons, Support Tilt Work for iPad Pro (3rd Gen), iPad (6th, 7th Gen), iPad Air (3rd Gen) iPad Mini (5th Gen)
</t>
  </si>
  <si>
    <t>위키드본 스마트본 애견 인터렉티브 토이 장난감 Wickedbone Smart Bone, Automatic &amp; Interactive Toys for Dogs (무료배송)</t>
  </si>
  <si>
    <t>Wickedbone Smart Bone, Automatic &amp; Interactive Toys for Dogs, Puppy and Cats, App Control, Safe &amp; Durable, Keep Your Pets Entertained All Day</t>
  </si>
  <si>
    <t>브레오 일렉트릭 휴대용 두피마사지기 Breo Electric Portable Scalp Head Massager (무료배송)</t>
  </si>
  <si>
    <t>Breo Electric Portable Scalp Head Massager IPX7 Waterproof Rechargeable Neck and Body Massager with Bamboo Wood Charging Base, Removable Massage Nodes (White-Robot)</t>
  </si>
  <si>
    <t>아이패드프로 키보드 케이스 블루투스 연결 Inateck KB02010 (무료배송)</t>
  </si>
  <si>
    <t xml:space="preserve">Inateck iPad Pro 12.9 Inch Keyboard Case 2018 3rd Gen Only, Flexible and Stable Kickstand, with Pencil Holder, Detachable, for 2018 3rd Gen Only (No Home Button), KB02010
</t>
  </si>
  <si>
    <t>에그타르트틀 알루미늄 계란타르트틀 20개 세트</t>
  </si>
  <si>
    <t>타입A</t>
  </si>
  <si>
    <t>유료배송측정</t>
  </si>
  <si>
    <t>타입B</t>
  </si>
  <si>
    <t>에그타르트틀 계란타르트틀 카본 12개 세트(무료배송)</t>
  </si>
  <si>
    <t>Amytalk 12 Packs Egg Tart Mold, Upgrade Bigger Size 3 x 0.9inch, Cupcake Cake Muffin Mold Tin Pan Baking Tool, Carbon Steel</t>
  </si>
  <si>
    <t>2.6인치</t>
  </si>
  <si>
    <t>3인치</t>
  </si>
  <si>
    <t>사테치 맥미니 스탠드 허브 Satechi Type-C Aluminum Stand &amp; Hub ST-ABHFM(무료배송)</t>
  </si>
  <si>
    <t xml:space="preserve">Satechi Type-C Aluminum Stand &amp; Hub - USB-C Data Port, Micro/SD Card Readers, USB 3.0 &amp; Headphone Jack Port - Compatible with Mac Mini (2018 &amp; Later)
</t>
  </si>
  <si>
    <t>라크 자동세척 자동정수 적외선 위생 텀블러 LARQ Bottle (무료배송)</t>
  </si>
  <si>
    <t>LARQ Bottle - Self-Cleaning Water Bottle and Water Purification System</t>
  </si>
  <si>
    <t>Granite White</t>
  </si>
  <si>
    <t>Himalayan Pink</t>
  </si>
  <si>
    <t>Monaco Blue</t>
  </si>
  <si>
    <t>Seaside Mint</t>
  </si>
  <si>
    <t xml:space="preserve">필립스 피델리오 X2HR </t>
  </si>
  <si>
    <t xml:space="preserve">Philips Fidelio X2HR Over-Ear Open-Air Headphone 50mm Drivers- Black
</t>
  </si>
  <si>
    <t>로쿠 울트라 유투브 넷플릭스 스트리밍 4K Roku Ultra 4K HD HDR (무료배송)</t>
  </si>
  <si>
    <t>Roku Ultra | Streaming Media Player 4K/HD/HDR 2019 with Premium JBL Headphones</t>
  </si>
  <si>
    <t xml:space="preserve">Sea to Summit Lite Line Clothesline
</t>
  </si>
  <si>
    <t>쉴드 tv 2019 엔비디아 4K HDR Streaming</t>
  </si>
  <si>
    <t xml:space="preserve">NVIDIA Shield TV | 4K HDR Streaming Media Player, High Performance, Dolby Vision, Works with Alexa
</t>
  </si>
  <si>
    <t xml:space="preserve">넬리 드라이어 볼 Nellie's All-Natural Dryerballs - 2 ct(무료배송) </t>
  </si>
  <si>
    <t>Nellie's All-Natural Dryerballs - 2 ct</t>
  </si>
  <si>
    <t>아마존 에코닷 3세대 Amazon Echo Dot (3rd gen)</t>
  </si>
  <si>
    <t>Echo Dot (3rd Gen) - Smart speaker with Alexa</t>
  </si>
  <si>
    <t>픽디자인 슬링백 5L 캐논카메라가방(무료배송)</t>
  </si>
  <si>
    <t xml:space="preserve">Peak Design Everyday Sling 5L (Camera Bag)
</t>
  </si>
  <si>
    <t>Ash</t>
  </si>
  <si>
    <t>JBL Pro 104 입문용 모니터 스피커</t>
  </si>
  <si>
    <t xml:space="preserve">JBL Professional 1 Series, 104 Compact Powered Desktop Reference Monitors (sold as pair), Black (JBL104)
</t>
  </si>
  <si>
    <t xml:space="preserve">아수스 로그 델타 USB C 타입 게이밍 헤드셋 ASUS ROG Delta </t>
  </si>
  <si>
    <t xml:space="preserve">ASUS ROG DELTA USB-C Gaming Headset for PC, Mac, PlayStation 4, Teamspeak, and Discord with Hi-Res ESS Quad-DAC, Digital Microphone, and Aura Sync RGB Lighting
</t>
  </si>
  <si>
    <t>아수스 로그 델타 코어 게이밍 헤드셋 ASUS ROG DELTA CORE</t>
  </si>
  <si>
    <t>ASUS ROG DELTA CORE Gaming Headset for PC, Mac, PlayStation 4, Xbox One and Nintendo Switch with Hi-Res Audio, and Exclusive Airtight-Chamber Design</t>
  </si>
  <si>
    <t>g502se 로지텍 게이밍 마우스 910-005728</t>
  </si>
  <si>
    <t>레이버 맘바 크로마 무선 게이밍 마우스 크로마 RGB Razer Mamba Wireless Gaming Mouse Chroma RGB</t>
  </si>
  <si>
    <t>Razer Mamba Wireless Gaming Mouse: 16,000 DPI Optical Sensor - Chroma RGB Lighting - 7 Programmable Buttons - Mechanical Switches - Up to 50 Hr Battery Life</t>
  </si>
  <si>
    <t>RGB 마우스메트</t>
  </si>
  <si>
    <t>에볼루언트 버티컬마우스 VM4SW 스몰 사이즈</t>
  </si>
  <si>
    <t xml:space="preserve">Evoluent VM4SW VerticalMouse 4 Right Hand Ergonomic Mouse with Wireless Connection (Small Size)
</t>
  </si>
  <si>
    <t>웨이퍼페이퍼 오아시스 공급 20매 Oasis Supply Wafer Paper</t>
  </si>
  <si>
    <t>20매</t>
  </si>
  <si>
    <t>웨이퍼페이퍼 오아시스 공급 100매 Oasis Supply Wafer Paper</t>
  </si>
  <si>
    <t>Fg</t>
  </si>
  <si>
    <t>100매</t>
  </si>
  <si>
    <t>인케이스 슬링백 dslr 가방 Incase CL58067</t>
  </si>
  <si>
    <t xml:space="preserve">Incase Designs DSLR Sling Pack, Black 2, One Size
</t>
  </si>
  <si>
    <t>인케이스 슬링백 카메라 맥북 수납 가능 Incase CL58067</t>
  </si>
  <si>
    <t xml:space="preserve">Incase DSLR Sling Pack
</t>
  </si>
  <si>
    <t>Anthracite</t>
  </si>
  <si>
    <t>커세어 K70 RGB MK.2 SE 레피드파이어 기계식 게이밍 키보드 스페셜 에디션</t>
  </si>
  <si>
    <t>CORSAIR K70 RGB MK.2 SE Mechanical RAPIDFIRE Gaming Keyboard - USB Passthrough &amp; Media Controls - PBT Double-Shot Keycaps - Cherry MX Speed - RGB LED Backlit</t>
  </si>
  <si>
    <t>A</t>
    <phoneticPr fontId="60" type="noConversion"/>
  </si>
  <si>
    <t>"https://www.coupang.com/vp/products/332583056","332583056")</t>
  </si>
  <si>
    <t>품절</t>
    <phoneticPr fontId="60" type="noConversion"/>
  </si>
  <si>
    <r>
      <rPr>
        <sz val="9"/>
        <rFont val="맑은 고딕"/>
        <family val="3"/>
        <charset val="129"/>
      </rPr>
      <t>서피스킷</t>
    </r>
    <r>
      <rPr>
        <sz val="9"/>
        <rFont val="Arial"/>
        <family val="2"/>
      </rPr>
      <t xml:space="preserve"> </t>
    </r>
    <r>
      <rPr>
        <sz val="9"/>
        <rFont val="맑은 고딕"/>
        <family val="3"/>
        <charset val="129"/>
      </rPr>
      <t>서피스고</t>
    </r>
    <r>
      <rPr>
        <sz val="9"/>
        <rFont val="Arial"/>
        <family val="2"/>
      </rPr>
      <t xml:space="preserve"> </t>
    </r>
    <r>
      <rPr>
        <sz val="9"/>
        <rFont val="맑은 고딕"/>
        <family val="3"/>
        <charset val="129"/>
      </rPr>
      <t xml:space="preserve">어댑터 </t>
    </r>
    <r>
      <rPr>
        <sz val="9"/>
        <rFont val="Arial"/>
        <family val="2"/>
      </rPr>
      <t>USB</t>
    </r>
    <r>
      <rPr>
        <sz val="9"/>
        <rFont val="맑은 고딕"/>
        <family val="3"/>
        <charset val="129"/>
      </rPr>
      <t>허브</t>
    </r>
    <phoneticPr fontId="60" type="noConversion"/>
  </si>
  <si>
    <t>재고유무
(Tool)</t>
    <phoneticPr fontId="60" type="noConversion"/>
  </si>
  <si>
    <t>매입단가
(Tool)</t>
    <phoneticPr fontId="6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</si>
</sst>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quot;원&quot;"/>
    <numFmt numFmtId="177" formatCode="_-[$₩-412]* #,##0_-;\-[$₩-412]* #,##0_-;_-[$₩-412]* &quot;-&quot;_-;_-@"/>
  </numFmts>
  <fonts count="68">
    <font>
      <sz val="10"/>
      <color rgb="FF000000"/>
      <name val="Arial"/>
    </font>
    <font>
      <b/>
      <sz val="9"/>
      <color rgb="FF000000"/>
      <name val="나눔고딕"/>
      <family val="3"/>
      <charset val="129"/>
    </font>
    <font>
      <b/>
      <sz val="9"/>
      <name val="Arial"/>
      <family val="2"/>
    </font>
    <font>
      <sz val="9"/>
      <name val="Arial"/>
      <family val="2"/>
    </font>
    <font>
      <sz val="10"/>
      <name val="Arial"/>
      <family val="2"/>
    </font>
    <font>
      <sz val="9"/>
      <color rgb="FF000000"/>
      <name val="나눔고딕"/>
      <family val="3"/>
      <charset val="129"/>
    </font>
    <font>
      <b/>
      <u/>
      <sz val="10"/>
      <color rgb="FFFFFFFF"/>
      <name val="Arial"/>
      <family val="2"/>
    </font>
    <font>
      <b/>
      <sz val="9"/>
      <color rgb="FF000000"/>
      <name val="Arial"/>
      <family val="2"/>
    </font>
    <font>
      <u/>
      <sz val="9"/>
      <color rgb="FF0000FF"/>
      <name val="Arial"/>
      <family val="2"/>
    </font>
    <font>
      <u/>
      <sz val="9"/>
      <color rgb="FF0000FF"/>
      <name val="Arial"/>
      <family val="2"/>
    </font>
    <font>
      <u/>
      <sz val="9"/>
      <color rgb="FF0000FF"/>
      <name val="Arial"/>
      <family val="2"/>
    </font>
    <font>
      <u/>
      <sz val="9"/>
      <color rgb="FF0000FF"/>
      <name val="Arial"/>
      <family val="2"/>
    </font>
    <font>
      <sz val="9"/>
      <name val="Arial"/>
      <family val="2"/>
    </font>
    <font>
      <u/>
      <sz val="9"/>
      <color rgb="FF0000FF"/>
      <name val="Arial"/>
      <family val="2"/>
    </font>
    <font>
      <u/>
      <sz val="9"/>
      <color rgb="FF0000FF"/>
      <name val="Arial"/>
      <family val="2"/>
    </font>
    <font>
      <u/>
      <sz val="9"/>
      <color rgb="FF0000FF"/>
      <name val="Arial"/>
      <family val="2"/>
    </font>
    <font>
      <sz val="9"/>
      <color rgb="FF000000"/>
      <name val="Arial"/>
      <family val="2"/>
    </font>
    <font>
      <u/>
      <sz val="9"/>
      <color rgb="FF0000FF"/>
      <name val="Arial"/>
      <family val="2"/>
    </font>
    <font>
      <sz val="10"/>
      <color rgb="FF000000"/>
      <name val="Arial"/>
      <family val="2"/>
    </font>
    <font>
      <sz val="9"/>
      <color rgb="FF111111"/>
      <name val="Arial"/>
      <family val="2"/>
    </font>
    <font>
      <sz val="10"/>
      <color rgb="FF111111"/>
      <name val="Arial"/>
      <family val="2"/>
    </font>
    <font>
      <u/>
      <sz val="9"/>
      <color rgb="FF0000FF"/>
      <name val="Arial"/>
      <family val="2"/>
    </font>
    <font>
      <u/>
      <sz val="9"/>
      <color rgb="FF0000FF"/>
      <name val="Arial"/>
      <family val="2"/>
    </font>
    <font>
      <u/>
      <sz val="9"/>
      <color rgb="FF0000FF"/>
      <name val="Arial"/>
      <family val="2"/>
    </font>
    <font>
      <sz val="10"/>
      <color rgb="FF000000"/>
      <name val="Roboto"/>
    </font>
    <font>
      <u/>
      <sz val="9"/>
      <color rgb="FF0000FF"/>
      <name val="Arial"/>
      <family val="2"/>
    </font>
    <font>
      <u/>
      <sz val="9"/>
      <color rgb="FF0000FF"/>
      <name val="Arial"/>
      <family val="2"/>
    </font>
    <font>
      <u/>
      <sz val="9"/>
      <color rgb="FF0000FF"/>
      <name val="Arial"/>
      <family val="2"/>
    </font>
    <font>
      <sz val="10"/>
      <name val="Arial"/>
      <family val="2"/>
    </font>
    <font>
      <u/>
      <sz val="9"/>
      <color rgb="FF0000FF"/>
      <name val="Arial"/>
      <family val="2"/>
    </font>
    <font>
      <u/>
      <sz val="9"/>
      <color rgb="FF0000FF"/>
      <name val="Arial"/>
      <family val="2"/>
    </font>
    <font>
      <u/>
      <sz val="9"/>
      <color rgb="FF0000FF"/>
      <name val="Arial"/>
      <family val="2"/>
    </font>
    <font>
      <b/>
      <sz val="9"/>
      <color rgb="FF111111"/>
      <name val="Arial"/>
      <family val="2"/>
    </font>
    <font>
      <u/>
      <sz val="9"/>
      <color rgb="FF0000FF"/>
      <name val="Arial"/>
      <family val="2"/>
    </font>
    <font>
      <u/>
      <sz val="9"/>
      <color rgb="FF0000FF"/>
      <name val="Arial"/>
      <family val="2"/>
    </font>
    <font>
      <u/>
      <sz val="9"/>
      <color rgb="FF0000FF"/>
      <name val="Arial"/>
      <family val="2"/>
    </font>
    <font>
      <u/>
      <sz val="9"/>
      <color rgb="FF0000FF"/>
      <name val="Arial"/>
      <family val="2"/>
    </font>
    <font>
      <u/>
      <sz val="9"/>
      <color rgb="FF0000FF"/>
      <name val="Arial"/>
      <family val="2"/>
    </font>
    <font>
      <u/>
      <sz val="9"/>
      <color rgb="FF1155CC"/>
      <name val="Arial"/>
      <family val="2"/>
    </font>
    <font>
      <u/>
      <sz val="9"/>
      <color rgb="FF1155CC"/>
      <name val="Arial"/>
      <family val="2"/>
    </font>
    <font>
      <b/>
      <sz val="9"/>
      <color rgb="FF000000"/>
      <name val="Arial"/>
      <family val="2"/>
    </font>
    <font>
      <u/>
      <sz val="9"/>
      <color rgb="FF1155CC"/>
      <name val="Arial"/>
      <family val="2"/>
    </font>
    <font>
      <u/>
      <sz val="9"/>
      <color rgb="FF0000FF"/>
      <name val="Arial"/>
      <family val="2"/>
    </font>
    <font>
      <b/>
      <sz val="11"/>
      <color rgb="FFFF0000"/>
      <name val="Arial"/>
      <family val="2"/>
    </font>
    <font>
      <sz val="11"/>
      <color rgb="FF000000"/>
      <name val="Arial"/>
      <family val="2"/>
    </font>
    <font>
      <b/>
      <sz val="11"/>
      <color rgb="FF000000"/>
      <name val="Arial"/>
      <family val="2"/>
    </font>
    <font>
      <b/>
      <sz val="11"/>
      <color rgb="FFFF0000"/>
      <name val="Arial"/>
      <family val="2"/>
    </font>
    <font>
      <b/>
      <sz val="9"/>
      <color rgb="FF707070"/>
      <name val="Arial"/>
      <family val="2"/>
    </font>
    <font>
      <sz val="9"/>
      <color rgb="FFF89A20"/>
      <name val="Arial"/>
      <family val="2"/>
    </font>
    <font>
      <b/>
      <sz val="10"/>
      <name val="Arial"/>
      <family val="2"/>
    </font>
    <font>
      <u/>
      <sz val="10"/>
      <color rgb="FF0000FF"/>
      <name val="Arial"/>
      <family val="2"/>
    </font>
    <font>
      <strike/>
      <sz val="9"/>
      <name val="Arial"/>
      <family val="2"/>
    </font>
    <font>
      <strike/>
      <sz val="9"/>
      <color rgb="FF000000"/>
      <name val="나눔고딕"/>
      <family val="3"/>
      <charset val="129"/>
    </font>
    <font>
      <b/>
      <strike/>
      <sz val="9"/>
      <color rgb="FF000000"/>
      <name val="나눔고딕"/>
      <family val="3"/>
      <charset val="129"/>
    </font>
    <font>
      <i/>
      <sz val="11"/>
      <color rgb="FF000000"/>
      <name val="나눔고딕"/>
      <family val="3"/>
      <charset val="129"/>
    </font>
    <font>
      <u/>
      <sz val="9"/>
      <color rgb="FF0000FF"/>
      <name val="Arial"/>
      <family val="2"/>
    </font>
    <font>
      <u/>
      <sz val="9"/>
      <color rgb="FF0000FF"/>
      <name val="Arial"/>
      <family val="2"/>
    </font>
    <font>
      <b/>
      <sz val="18"/>
      <color rgb="FFFF0000"/>
      <name val="Arial"/>
      <family val="2"/>
    </font>
    <font>
      <b/>
      <sz val="10"/>
      <color rgb="FFFF0000"/>
      <name val="Arial"/>
      <family val="2"/>
    </font>
    <font>
      <u/>
      <sz val="10"/>
      <color theme="10"/>
      <name val="Arial"/>
      <family val="2"/>
    </font>
    <font>
      <sz val="8"/>
      <name val="돋움"/>
      <family val="3"/>
      <charset val="129"/>
    </font>
    <font>
      <sz val="10"/>
      <name val="돋움"/>
      <family val="2"/>
      <charset val="129"/>
    </font>
    <font>
      <sz val="9"/>
      <name val="돋움"/>
      <family val="3"/>
      <charset val="129"/>
    </font>
    <font>
      <sz val="9"/>
      <name val="Arial Unicode MS"/>
      <family val="2"/>
    </font>
    <font>
      <i/>
      <sz val="9"/>
      <name val="Arial"/>
      <family val="2"/>
    </font>
    <font>
      <sz val="9"/>
      <name val="Arial"/>
      <family val="2"/>
    </font>
    <font>
      <sz val="9"/>
      <name val="맑은 고딕"/>
      <family val="3"/>
      <charset val="129"/>
    </font>
    <font>
      <sz val="9"/>
      <name val="Arial"/>
      <family val="3"/>
      <charset val="129"/>
    </font>
  </fonts>
  <fills count="31">
    <fill>
      <patternFill patternType="none"/>
    </fill>
    <fill>
      <patternFill patternType="gray125"/>
    </fill>
    <fill>
      <patternFill patternType="solid">
        <fgColor rgb="FFD9EAD3"/>
        <bgColor rgb="FFD9EAD3"/>
      </patternFill>
    </fill>
    <fill>
      <patternFill patternType="solid">
        <fgColor rgb="FFDCEED1"/>
        <bgColor rgb="FFDCEED1"/>
      </patternFill>
    </fill>
    <fill>
      <patternFill patternType="solid">
        <fgColor rgb="FFEFEFEF"/>
        <bgColor rgb="FFEFEFEF"/>
      </patternFill>
    </fill>
    <fill>
      <patternFill patternType="solid">
        <fgColor rgb="FFFF00FF"/>
        <bgColor rgb="FFFF00FF"/>
      </patternFill>
    </fill>
    <fill>
      <patternFill patternType="solid">
        <fgColor rgb="FFFFFFFF"/>
        <bgColor rgb="FFFFFFFF"/>
      </patternFill>
    </fill>
    <fill>
      <patternFill patternType="solid">
        <fgColor rgb="FFFADFCD"/>
        <bgColor rgb="FFFADFCD"/>
      </patternFill>
    </fill>
    <fill>
      <patternFill patternType="solid">
        <fgColor rgb="FFF4CCCC"/>
        <bgColor rgb="FFF4CCCC"/>
      </patternFill>
    </fill>
    <fill>
      <patternFill patternType="solid">
        <fgColor rgb="FFFFF2CB"/>
        <bgColor rgb="FFFFF2CB"/>
      </patternFill>
    </fill>
    <fill>
      <patternFill patternType="solid">
        <fgColor rgb="FFFFF2CC"/>
        <bgColor rgb="FFFFF2CC"/>
      </patternFill>
    </fill>
    <fill>
      <patternFill patternType="solid">
        <fgColor rgb="FFC9DAF8"/>
        <bgColor rgb="FFC9DAF8"/>
      </patternFill>
    </fill>
    <fill>
      <patternFill patternType="solid">
        <fgColor rgb="FFCFE2F3"/>
        <bgColor rgb="FFCFE2F3"/>
      </patternFill>
    </fill>
    <fill>
      <patternFill patternType="solid">
        <fgColor rgb="FFEAD1DC"/>
        <bgColor rgb="FFEAD1DC"/>
      </patternFill>
    </fill>
    <fill>
      <patternFill patternType="solid">
        <fgColor rgb="FF999999"/>
        <bgColor rgb="FF999999"/>
      </patternFill>
    </fill>
    <fill>
      <patternFill patternType="solid">
        <fgColor rgb="FFF3F3F3"/>
        <bgColor rgb="FFF3F3F3"/>
      </patternFill>
    </fill>
    <fill>
      <patternFill patternType="solid">
        <fgColor rgb="FFFF9900"/>
        <bgColor rgb="FFFF9900"/>
      </patternFill>
    </fill>
    <fill>
      <patternFill patternType="solid">
        <fgColor rgb="FFFF0000"/>
        <bgColor rgb="FFFF0000"/>
      </patternFill>
    </fill>
    <fill>
      <patternFill patternType="solid">
        <fgColor rgb="FFFFFF00"/>
        <bgColor rgb="FFFFFF00"/>
      </patternFill>
    </fill>
    <fill>
      <patternFill patternType="solid">
        <fgColor rgb="FFB7B7B7"/>
        <bgColor rgb="FFB7B7B7"/>
      </patternFill>
    </fill>
    <fill>
      <patternFill patternType="solid">
        <fgColor rgb="FF666666"/>
        <bgColor rgb="FF666666"/>
      </patternFill>
    </fill>
    <fill>
      <patternFill patternType="solid">
        <fgColor rgb="FF00FF00"/>
        <bgColor rgb="FF00FF00"/>
      </patternFill>
    </fill>
    <fill>
      <patternFill patternType="solid">
        <fgColor rgb="FFCCCCCC"/>
        <bgColor rgb="FFCCCCCC"/>
      </patternFill>
    </fill>
    <fill>
      <patternFill patternType="solid">
        <fgColor rgb="FFE6B8AF"/>
        <bgColor rgb="FFE6B8AF"/>
      </patternFill>
    </fill>
    <fill>
      <patternFill patternType="solid">
        <fgColor rgb="FF434343"/>
        <bgColor rgb="FF434343"/>
      </patternFill>
    </fill>
    <fill>
      <patternFill patternType="solid">
        <fgColor rgb="FFF8F8F8"/>
        <bgColor rgb="FFF8F8F8"/>
      </patternFill>
    </fill>
    <fill>
      <patternFill patternType="solid">
        <fgColor rgb="FFF2F2F2"/>
        <bgColor rgb="FFF2F2F2"/>
      </patternFill>
    </fill>
    <fill>
      <patternFill patternType="solid">
        <fgColor rgb="FF00FFFF"/>
        <bgColor rgb="FF00FFFF"/>
      </patternFill>
    </fill>
    <fill>
      <patternFill patternType="solid">
        <fgColor theme="0" tint="-0.249977111117893"/>
        <bgColor indexed="64"/>
      </patternFill>
    </fill>
    <fill>
      <patternFill patternType="solid">
        <fgColor theme="0" tint="-0.249977111117893"/>
        <bgColor rgb="FFFFFFFF"/>
      </patternFill>
    </fill>
    <fill>
      <patternFill patternType="solid">
        <fgColor theme="0" tint="-0.249977111117893"/>
        <bgColor rgb="FFEFEFEF"/>
      </patternFill>
    </fill>
  </fills>
  <borders count="6">
    <border>
      <left/>
      <right/>
      <top/>
      <bottom/>
      <diagonal/>
    </border>
    <border>
      <left style="thin">
        <color rgb="FF000000"/>
      </left>
      <right style="thin">
        <color rgb="FFEAEAEA"/>
      </right>
      <top style="thin">
        <color rgb="FFFFFFFF"/>
      </top>
      <bottom style="thin">
        <color rgb="FFEAEAEA"/>
      </bottom>
      <diagonal/>
    </border>
    <border>
      <left style="thin">
        <color rgb="FF000000"/>
      </left>
      <right style="thin">
        <color rgb="FF000000"/>
      </right>
      <top style="thin">
        <color rgb="FF000000"/>
      </top>
      <bottom style="thin">
        <color rgb="FF000000"/>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s>
  <cellStyleXfs count="2">
    <xf numFmtId="0" fontId="0" fillId="0" borderId="0"/>
    <xf numFmtId="0" fontId="59" fillId="0" borderId="0" applyNumberFormat="0" applyFill="0" applyBorder="0" applyAlignment="0" applyProtection="0"/>
  </cellStyleXfs>
  <cellXfs count="375">
    <xf numFmtId="0" fontId="0" fillId="0" borderId="0" xfId="0" applyFont="1" applyAlignment="1"/>
    <xf numFmtId="0" fontId="3" fillId="2" borderId="0" xfId="0" applyFont="1" applyFill="1" applyAlignment="1">
      <alignment horizontal="center" vertical="center"/>
    </xf>
    <xf numFmtId="0" fontId="3" fillId="2" borderId="0" xfId="0" applyFont="1" applyFill="1" applyAlignment="1">
      <alignment horizontal="center" vertical="center"/>
    </xf>
    <xf numFmtId="176" fontId="1" fillId="3" borderId="0" xfId="0" applyNumberFormat="1" applyFont="1" applyFill="1" applyAlignment="1">
      <alignment horizontal="center"/>
    </xf>
    <xf numFmtId="0" fontId="3" fillId="0" borderId="0" xfId="0" applyFont="1"/>
    <xf numFmtId="0" fontId="3" fillId="4" borderId="0" xfId="0" applyFont="1" applyFill="1"/>
    <xf numFmtId="0" fontId="4" fillId="0" borderId="0" xfId="0" applyFont="1" applyAlignment="1">
      <alignment horizontal="center" vertical="center"/>
    </xf>
    <xf numFmtId="0" fontId="3" fillId="0" borderId="0" xfId="0" applyFont="1" applyAlignment="1">
      <alignment horizontal="center"/>
    </xf>
    <xf numFmtId="0" fontId="5" fillId="0" borderId="0" xfId="0" applyFont="1" applyAlignment="1">
      <alignment horizontal="center"/>
    </xf>
    <xf numFmtId="0" fontId="3" fillId="0" borderId="0" xfId="0" applyFont="1" applyAlignment="1">
      <alignment horizontal="left"/>
    </xf>
    <xf numFmtId="176" fontId="5" fillId="0" borderId="0" xfId="0" applyNumberFormat="1" applyFont="1" applyAlignment="1">
      <alignment horizontal="center"/>
    </xf>
    <xf numFmtId="0" fontId="3" fillId="0" borderId="0" xfId="0" applyFont="1" applyAlignment="1">
      <alignment horizontal="center"/>
    </xf>
    <xf numFmtId="0" fontId="4" fillId="0" borderId="0" xfId="0" applyFont="1" applyAlignment="1">
      <alignment horizontal="center"/>
    </xf>
    <xf numFmtId="176" fontId="5" fillId="7" borderId="0" xfId="0" applyNumberFormat="1" applyFont="1" applyFill="1" applyAlignment="1">
      <alignment horizontal="center"/>
    </xf>
    <xf numFmtId="176" fontId="5" fillId="9" borderId="0" xfId="0" applyNumberFormat="1" applyFont="1" applyFill="1" applyAlignment="1">
      <alignment horizontal="center"/>
    </xf>
    <xf numFmtId="176" fontId="1" fillId="0" borderId="0" xfId="0" applyNumberFormat="1" applyFont="1" applyAlignment="1">
      <alignment horizontal="center"/>
    </xf>
    <xf numFmtId="176" fontId="3" fillId="0" borderId="0" xfId="0" applyNumberFormat="1" applyFont="1"/>
    <xf numFmtId="0" fontId="3" fillId="6" borderId="0" xfId="0" applyFont="1" applyFill="1"/>
    <xf numFmtId="176" fontId="3" fillId="6" borderId="0" xfId="0" applyNumberFormat="1" applyFont="1" applyFill="1"/>
    <xf numFmtId="0" fontId="3" fillId="14" borderId="0" xfId="0" applyFont="1" applyFill="1" applyAlignment="1">
      <alignment horizontal="center" vertical="center"/>
    </xf>
    <xf numFmtId="0" fontId="3" fillId="6" borderId="0" xfId="0" applyFont="1" applyFill="1" applyAlignment="1">
      <alignment horizontal="center" vertical="center"/>
    </xf>
    <xf numFmtId="0" fontId="3" fillId="6" borderId="0" xfId="0" applyFont="1" applyFill="1" applyAlignment="1">
      <alignment vertical="top"/>
    </xf>
    <xf numFmtId="0" fontId="3" fillId="0" borderId="0" xfId="0" applyFont="1" applyAlignment="1">
      <alignment horizontal="center" vertical="center"/>
    </xf>
    <xf numFmtId="0" fontId="3" fillId="6" borderId="0" xfId="0" applyFont="1" applyFill="1" applyAlignment="1">
      <alignment horizontal="center" vertical="center"/>
    </xf>
    <xf numFmtId="0" fontId="3" fillId="12" borderId="0" xfId="0" applyFont="1" applyFill="1" applyAlignment="1">
      <alignment horizontal="center" vertical="center"/>
    </xf>
    <xf numFmtId="0" fontId="3" fillId="14" borderId="0" xfId="0" applyFont="1" applyFill="1" applyAlignment="1">
      <alignment horizontal="center" vertical="center"/>
    </xf>
    <xf numFmtId="0" fontId="3" fillId="0" borderId="0" xfId="0" applyFont="1" applyAlignment="1">
      <alignment horizontal="left" vertical="center"/>
    </xf>
    <xf numFmtId="0" fontId="3" fillId="6" borderId="0" xfId="0" applyFont="1" applyFill="1" applyAlignment="1"/>
    <xf numFmtId="0" fontId="4" fillId="0" borderId="0" xfId="0" applyFont="1" applyAlignment="1"/>
    <xf numFmtId="0" fontId="3" fillId="0" borderId="0" xfId="0" applyFont="1" applyAlignment="1">
      <alignment horizontal="left"/>
    </xf>
    <xf numFmtId="0" fontId="3" fillId="17" borderId="0" xfId="0" applyFont="1" applyFill="1" applyAlignment="1">
      <alignment horizontal="center" vertical="center"/>
    </xf>
    <xf numFmtId="0" fontId="3" fillId="18" borderId="0" xfId="0" applyFont="1" applyFill="1" applyAlignment="1">
      <alignment horizontal="center" vertical="center"/>
    </xf>
    <xf numFmtId="0" fontId="3" fillId="0" borderId="0" xfId="0" applyFont="1" applyAlignment="1">
      <alignment horizontal="left"/>
    </xf>
    <xf numFmtId="0" fontId="3" fillId="19" borderId="0" xfId="0" applyFont="1" applyFill="1" applyAlignment="1">
      <alignment horizontal="center" vertical="center"/>
    </xf>
    <xf numFmtId="0" fontId="3" fillId="19" borderId="0" xfId="0" applyFont="1" applyFill="1"/>
    <xf numFmtId="176" fontId="3" fillId="0" borderId="0" xfId="0" applyNumberFormat="1" applyFont="1" applyAlignment="1"/>
    <xf numFmtId="0" fontId="3" fillId="0" borderId="0" xfId="0" applyFont="1" applyAlignment="1"/>
    <xf numFmtId="0" fontId="3" fillId="20" borderId="0" xfId="0" applyFont="1" applyFill="1" applyAlignment="1">
      <alignment horizontal="center" vertical="center"/>
    </xf>
    <xf numFmtId="0" fontId="3" fillId="14" borderId="0" xfId="0" applyFont="1" applyFill="1"/>
    <xf numFmtId="0" fontId="3" fillId="22" borderId="0" xfId="0" applyFont="1" applyFill="1" applyAlignment="1">
      <alignment horizontal="center" vertical="center"/>
    </xf>
    <xf numFmtId="0" fontId="3" fillId="23" borderId="0" xfId="0" applyFont="1" applyFill="1" applyAlignment="1">
      <alignment horizontal="center" vertical="center"/>
    </xf>
    <xf numFmtId="0" fontId="28" fillId="14" borderId="0" xfId="0" applyFont="1" applyFill="1" applyAlignment="1"/>
    <xf numFmtId="0" fontId="43" fillId="0" borderId="0" xfId="0" applyFont="1" applyAlignment="1"/>
    <xf numFmtId="0" fontId="44" fillId="0" borderId="0" xfId="0" applyFont="1" applyAlignment="1">
      <alignment horizontal="right"/>
    </xf>
    <xf numFmtId="0" fontId="44" fillId="0" borderId="0" xfId="0" applyFont="1" applyAlignment="1"/>
    <xf numFmtId="0" fontId="45" fillId="0" borderId="0" xfId="0" applyFont="1" applyAlignment="1"/>
    <xf numFmtId="0" fontId="46" fillId="0" borderId="0" xfId="0" applyFont="1" applyAlignment="1"/>
    <xf numFmtId="0" fontId="47" fillId="25" borderId="1" xfId="0" applyFont="1" applyFill="1" applyBorder="1" applyAlignment="1">
      <alignment horizontal="center"/>
    </xf>
    <xf numFmtId="0" fontId="47" fillId="25" borderId="1" xfId="0" applyFont="1" applyFill="1" applyBorder="1" applyAlignment="1">
      <alignment horizontal="center"/>
    </xf>
    <xf numFmtId="0" fontId="47" fillId="25" borderId="2" xfId="0" applyFont="1" applyFill="1" applyBorder="1" applyAlignment="1">
      <alignment horizontal="center"/>
    </xf>
    <xf numFmtId="3" fontId="48" fillId="6" borderId="0" xfId="0" applyNumberFormat="1" applyFont="1" applyFill="1" applyAlignment="1">
      <alignment horizontal="right"/>
    </xf>
    <xf numFmtId="0" fontId="49" fillId="0" borderId="0" xfId="0" applyFont="1" applyAlignment="1"/>
    <xf numFmtId="0" fontId="1" fillId="3" borderId="0" xfId="0" applyFont="1" applyFill="1" applyAlignment="1">
      <alignment horizontal="center"/>
    </xf>
    <xf numFmtId="0" fontId="1" fillId="3" borderId="0" xfId="0" applyFont="1" applyFill="1" applyAlignment="1">
      <alignment horizontal="left"/>
    </xf>
    <xf numFmtId="0" fontId="1" fillId="3" borderId="0" xfId="0" applyFont="1" applyFill="1" applyAlignment="1">
      <alignment horizontal="center"/>
    </xf>
    <xf numFmtId="176" fontId="1" fillId="3" borderId="0" xfId="0" applyNumberFormat="1" applyFont="1" applyFill="1" applyAlignment="1">
      <alignment horizontal="center"/>
    </xf>
    <xf numFmtId="177" fontId="1" fillId="3" borderId="0" xfId="0" applyNumberFormat="1" applyFont="1" applyFill="1" applyAlignment="1">
      <alignment horizontal="center"/>
    </xf>
    <xf numFmtId="0" fontId="50" fillId="0" borderId="0" xfId="0" applyFont="1" applyAlignment="1">
      <alignment horizontal="left"/>
    </xf>
    <xf numFmtId="176" fontId="5" fillId="9" borderId="0" xfId="0" applyNumberFormat="1" applyFont="1" applyFill="1" applyAlignment="1">
      <alignment horizontal="center"/>
    </xf>
    <xf numFmtId="177" fontId="5" fillId="3" borderId="0" xfId="0" applyNumberFormat="1" applyFont="1" applyFill="1" applyAlignment="1">
      <alignment horizontal="center"/>
    </xf>
    <xf numFmtId="0" fontId="51" fillId="0" borderId="0" xfId="0" applyFont="1" applyAlignment="1">
      <alignment horizontal="center"/>
    </xf>
    <xf numFmtId="0" fontId="51" fillId="0" borderId="0" xfId="0" applyFont="1" applyAlignment="1">
      <alignment horizontal="left"/>
    </xf>
    <xf numFmtId="0" fontId="52" fillId="0" borderId="0" xfId="0" applyFont="1" applyAlignment="1">
      <alignment horizontal="center"/>
    </xf>
    <xf numFmtId="176" fontId="52" fillId="7" borderId="0" xfId="0" applyNumberFormat="1" applyFont="1" applyFill="1" applyAlignment="1">
      <alignment horizontal="center"/>
    </xf>
    <xf numFmtId="176" fontId="52" fillId="9" borderId="0" xfId="0" applyNumberFormat="1" applyFont="1" applyFill="1" applyAlignment="1">
      <alignment horizontal="center"/>
    </xf>
    <xf numFmtId="176" fontId="52" fillId="9" borderId="0" xfId="0" applyNumberFormat="1" applyFont="1" applyFill="1" applyAlignment="1">
      <alignment horizontal="center"/>
    </xf>
    <xf numFmtId="176" fontId="53" fillId="0" borderId="0" xfId="0" applyNumberFormat="1" applyFont="1" applyAlignment="1">
      <alignment horizontal="center"/>
    </xf>
    <xf numFmtId="176" fontId="52" fillId="0" borderId="0" xfId="0" applyNumberFormat="1" applyFont="1" applyAlignment="1">
      <alignment horizontal="center"/>
    </xf>
    <xf numFmtId="176" fontId="51" fillId="0" borderId="0" xfId="0" applyNumberFormat="1" applyFont="1" applyAlignment="1"/>
    <xf numFmtId="177" fontId="52" fillId="3" borderId="0" xfId="0" applyNumberFormat="1" applyFont="1" applyFill="1" applyAlignment="1">
      <alignment horizontal="center"/>
    </xf>
    <xf numFmtId="0" fontId="51" fillId="0" borderId="0" xfId="0" applyFont="1"/>
    <xf numFmtId="176" fontId="1" fillId="2" borderId="3" xfId="0" applyNumberFormat="1" applyFont="1" applyFill="1" applyBorder="1" applyAlignment="1">
      <alignment horizontal="center" vertical="center"/>
    </xf>
    <xf numFmtId="176" fontId="3" fillId="2" borderId="3" xfId="0" applyNumberFormat="1" applyFont="1" applyFill="1" applyBorder="1" applyAlignment="1">
      <alignment horizontal="center" vertical="center"/>
    </xf>
    <xf numFmtId="0" fontId="3" fillId="2" borderId="3" xfId="0" applyFont="1" applyFill="1" applyBorder="1" applyAlignment="1">
      <alignment horizontal="center" vertical="center"/>
    </xf>
    <xf numFmtId="0" fontId="1" fillId="2" borderId="3" xfId="0" applyFont="1" applyFill="1" applyBorder="1" applyAlignment="1">
      <alignment horizontal="center" vertical="center"/>
    </xf>
    <xf numFmtId="10" fontId="2" fillId="2" borderId="3" xfId="0" applyNumberFormat="1" applyFont="1" applyFill="1" applyBorder="1" applyAlignment="1">
      <alignment horizontal="center" vertical="center"/>
    </xf>
    <xf numFmtId="176" fontId="2" fillId="2" borderId="3" xfId="0" applyNumberFormat="1" applyFont="1" applyFill="1" applyBorder="1" applyAlignment="1">
      <alignment horizontal="center" vertical="center"/>
    </xf>
    <xf numFmtId="0" fontId="3" fillId="4" borderId="3"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3" xfId="0" applyFont="1" applyFill="1" applyBorder="1" applyAlignment="1">
      <alignment horizontal="left" vertical="center"/>
    </xf>
    <xf numFmtId="0" fontId="3" fillId="4" borderId="3" xfId="0" applyFont="1" applyFill="1" applyBorder="1" applyAlignment="1">
      <alignment horizontal="left"/>
    </xf>
    <xf numFmtId="0" fontId="3" fillId="4" borderId="3" xfId="0" applyFont="1" applyFill="1" applyBorder="1" applyAlignment="1">
      <alignment horizontal="center"/>
    </xf>
    <xf numFmtId="0" fontId="4" fillId="4" borderId="3" xfId="0" applyFont="1" applyFill="1" applyBorder="1" applyAlignment="1">
      <alignment horizontal="center"/>
    </xf>
    <xf numFmtId="0" fontId="5" fillId="4" borderId="3" xfId="0" applyFont="1" applyFill="1" applyBorder="1" applyAlignment="1">
      <alignment horizontal="center"/>
    </xf>
    <xf numFmtId="176" fontId="5" fillId="4" borderId="3" xfId="0" applyNumberFormat="1" applyFont="1" applyFill="1" applyBorder="1" applyAlignment="1">
      <alignment horizontal="center"/>
    </xf>
    <xf numFmtId="176" fontId="1" fillId="4" borderId="3" xfId="0" applyNumberFormat="1" applyFont="1" applyFill="1" applyBorder="1" applyAlignment="1">
      <alignment horizontal="center"/>
    </xf>
    <xf numFmtId="10" fontId="3" fillId="4" borderId="3" xfId="0" applyNumberFormat="1" applyFont="1" applyFill="1" applyBorder="1"/>
    <xf numFmtId="176" fontId="3" fillId="4" borderId="3" xfId="0" applyNumberFormat="1" applyFont="1" applyFill="1" applyBorder="1"/>
    <xf numFmtId="0" fontId="3" fillId="4" borderId="3" xfId="0" applyFont="1" applyFill="1" applyBorder="1"/>
    <xf numFmtId="0" fontId="9" fillId="6" borderId="3" xfId="0" applyFont="1" applyFill="1" applyBorder="1" applyAlignment="1">
      <alignment horizontal="center" vertical="center"/>
    </xf>
    <xf numFmtId="0" fontId="4" fillId="6" borderId="3" xfId="0" applyFont="1" applyFill="1" applyBorder="1" applyAlignment="1">
      <alignment horizontal="left" vertical="center"/>
    </xf>
    <xf numFmtId="0" fontId="3" fillId="6" borderId="3" xfId="0" applyFont="1" applyFill="1" applyBorder="1" applyAlignment="1">
      <alignment horizontal="left"/>
    </xf>
    <xf numFmtId="0" fontId="11" fillId="6" borderId="3" xfId="0" applyFont="1" applyFill="1" applyBorder="1" applyAlignment="1">
      <alignment horizontal="center"/>
    </xf>
    <xf numFmtId="0" fontId="3" fillId="6" borderId="3" xfId="0" applyFont="1" applyFill="1" applyBorder="1" applyAlignment="1">
      <alignment horizontal="center"/>
    </xf>
    <xf numFmtId="0" fontId="4" fillId="6" borderId="3" xfId="0" applyFont="1" applyFill="1" applyBorder="1" applyAlignment="1">
      <alignment horizontal="center"/>
    </xf>
    <xf numFmtId="0" fontId="5" fillId="6" borderId="3" xfId="0" applyFont="1" applyFill="1" applyBorder="1" applyAlignment="1">
      <alignment horizontal="center"/>
    </xf>
    <xf numFmtId="176" fontId="5" fillId="8" borderId="3" xfId="0" applyNumberFormat="1" applyFont="1" applyFill="1" applyBorder="1" applyAlignment="1">
      <alignment horizontal="center"/>
    </xf>
    <xf numFmtId="176" fontId="5" fillId="10" borderId="3" xfId="0" applyNumberFormat="1" applyFont="1" applyFill="1" applyBorder="1" applyAlignment="1">
      <alignment horizontal="center"/>
    </xf>
    <xf numFmtId="176" fontId="5" fillId="12" borderId="3" xfId="0" applyNumberFormat="1" applyFont="1" applyFill="1" applyBorder="1" applyAlignment="1">
      <alignment horizontal="center"/>
    </xf>
    <xf numFmtId="176" fontId="1" fillId="6" borderId="3" xfId="0" applyNumberFormat="1" applyFont="1" applyFill="1" applyBorder="1" applyAlignment="1">
      <alignment horizontal="center"/>
    </xf>
    <xf numFmtId="176" fontId="5" fillId="2" borderId="3" xfId="0" applyNumberFormat="1" applyFont="1" applyFill="1" applyBorder="1" applyAlignment="1">
      <alignment horizontal="center"/>
    </xf>
    <xf numFmtId="176" fontId="5" fillId="3" borderId="3" xfId="0" applyNumberFormat="1" applyFont="1" applyFill="1" applyBorder="1" applyAlignment="1">
      <alignment horizontal="center"/>
    </xf>
    <xf numFmtId="10" fontId="3" fillId="13" borderId="3" xfId="0" applyNumberFormat="1" applyFont="1" applyFill="1" applyBorder="1"/>
    <xf numFmtId="176" fontId="3" fillId="6" borderId="3" xfId="0" applyNumberFormat="1" applyFont="1" applyFill="1" applyBorder="1"/>
    <xf numFmtId="0" fontId="3" fillId="6" borderId="3" xfId="0" applyFont="1" applyFill="1" applyBorder="1"/>
    <xf numFmtId="0" fontId="13" fillId="14" borderId="3" xfId="0" applyFont="1" applyFill="1" applyBorder="1" applyAlignment="1">
      <alignment horizontal="center" vertical="center"/>
    </xf>
    <xf numFmtId="0" fontId="3" fillId="14" borderId="3" xfId="0" applyFont="1" applyFill="1" applyBorder="1" applyAlignment="1">
      <alignment horizontal="center" vertical="center"/>
    </xf>
    <xf numFmtId="0" fontId="3" fillId="14" borderId="3" xfId="0" applyFont="1" applyFill="1" applyBorder="1" applyAlignment="1">
      <alignment horizontal="left" vertical="center"/>
    </xf>
    <xf numFmtId="0" fontId="3" fillId="14" borderId="3" xfId="0" applyFont="1" applyFill="1" applyBorder="1" applyAlignment="1">
      <alignment horizontal="left"/>
    </xf>
    <xf numFmtId="0" fontId="14" fillId="14" borderId="3" xfId="0" applyFont="1" applyFill="1" applyBorder="1" applyAlignment="1">
      <alignment horizontal="center"/>
    </xf>
    <xf numFmtId="0" fontId="3" fillId="14" borderId="3" xfId="0" applyFont="1" applyFill="1" applyBorder="1" applyAlignment="1">
      <alignment horizontal="center"/>
    </xf>
    <xf numFmtId="0" fontId="4" fillId="15" borderId="3" xfId="0" applyFont="1" applyFill="1" applyBorder="1" applyAlignment="1">
      <alignment horizontal="center"/>
    </xf>
    <xf numFmtId="0" fontId="3" fillId="6" borderId="3" xfId="0" applyFont="1" applyFill="1" applyBorder="1" applyAlignment="1">
      <alignment vertical="top"/>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17" fillId="12" borderId="3" xfId="0" applyFont="1" applyFill="1" applyBorder="1" applyAlignment="1">
      <alignment horizontal="center" vertical="center"/>
    </xf>
    <xf numFmtId="0" fontId="3" fillId="12" borderId="3" xfId="0" applyFont="1" applyFill="1" applyBorder="1" applyAlignment="1">
      <alignment horizontal="left" vertical="center"/>
    </xf>
    <xf numFmtId="0" fontId="3" fillId="0" borderId="3" xfId="0" applyFont="1" applyBorder="1" applyAlignment="1">
      <alignment horizontal="left" vertical="center"/>
    </xf>
    <xf numFmtId="176" fontId="3" fillId="6" borderId="3" xfId="0" applyNumberFormat="1" applyFont="1" applyFill="1" applyBorder="1" applyAlignment="1"/>
    <xf numFmtId="0" fontId="8" fillId="0" borderId="3" xfId="0" applyFont="1" applyBorder="1" applyAlignment="1">
      <alignment horizontal="center" vertical="center"/>
    </xf>
    <xf numFmtId="0" fontId="3" fillId="0" borderId="3" xfId="0" applyFont="1" applyBorder="1" applyAlignment="1">
      <alignment horizontal="center" vertical="center"/>
    </xf>
    <xf numFmtId="176" fontId="1" fillId="0" borderId="3" xfId="0" applyNumberFormat="1" applyFont="1" applyBorder="1" applyAlignment="1">
      <alignment horizontal="center"/>
    </xf>
    <xf numFmtId="0" fontId="3" fillId="6" borderId="3" xfId="0" applyFont="1" applyFill="1" applyBorder="1" applyAlignment="1"/>
    <xf numFmtId="0" fontId="3" fillId="0" borderId="3" xfId="0" applyFont="1" applyBorder="1" applyAlignment="1">
      <alignment horizontal="left"/>
    </xf>
    <xf numFmtId="0" fontId="10" fillId="0" borderId="3" xfId="0" applyFont="1" applyBorder="1" applyAlignment="1">
      <alignment horizontal="center"/>
    </xf>
    <xf numFmtId="0" fontId="3" fillId="0" borderId="3" xfId="0" applyFont="1" applyBorder="1" applyAlignment="1">
      <alignment horizontal="center"/>
    </xf>
    <xf numFmtId="0" fontId="20" fillId="6" borderId="3" xfId="0" applyFont="1" applyFill="1" applyBorder="1" applyAlignment="1">
      <alignment vertical="center"/>
    </xf>
    <xf numFmtId="0" fontId="19" fillId="6" borderId="3" xfId="0" applyFont="1" applyFill="1" applyBorder="1" applyAlignment="1">
      <alignment horizontal="left"/>
    </xf>
    <xf numFmtId="0" fontId="4" fillId="0" borderId="3" xfId="0" applyFont="1" applyBorder="1" applyAlignment="1">
      <alignment vertical="center"/>
    </xf>
    <xf numFmtId="0" fontId="0" fillId="0" borderId="3" xfId="0" applyFont="1" applyBorder="1" applyAlignment="1"/>
    <xf numFmtId="0" fontId="4" fillId="0" borderId="3" xfId="0" applyFont="1" applyBorder="1" applyAlignment="1"/>
    <xf numFmtId="0" fontId="20" fillId="0" borderId="3" xfId="0" applyFont="1" applyBorder="1" applyAlignment="1">
      <alignment vertical="center"/>
    </xf>
    <xf numFmtId="0" fontId="19" fillId="0" borderId="3" xfId="0" applyFont="1" applyBorder="1" applyAlignment="1">
      <alignment horizontal="left"/>
    </xf>
    <xf numFmtId="176" fontId="1" fillId="14" borderId="3" xfId="0" applyNumberFormat="1" applyFont="1" applyFill="1" applyBorder="1" applyAlignment="1">
      <alignment horizontal="center"/>
    </xf>
    <xf numFmtId="0" fontId="3" fillId="16" borderId="3" xfId="0" applyFont="1" applyFill="1" applyBorder="1" applyAlignment="1">
      <alignment horizontal="left" vertical="center"/>
    </xf>
    <xf numFmtId="176" fontId="4" fillId="6" borderId="3" xfId="0" applyNumberFormat="1" applyFont="1" applyFill="1" applyBorder="1"/>
    <xf numFmtId="0" fontId="16" fillId="6" borderId="3" xfId="0" applyFont="1" applyFill="1" applyBorder="1" applyAlignment="1">
      <alignment horizontal="left" vertical="center"/>
    </xf>
    <xf numFmtId="0" fontId="23" fillId="19" borderId="3" xfId="0" applyFont="1" applyFill="1" applyBorder="1" applyAlignment="1">
      <alignment horizontal="center" vertical="center"/>
    </xf>
    <xf numFmtId="0" fontId="3" fillId="19" borderId="3" xfId="0" applyFont="1" applyFill="1" applyBorder="1" applyAlignment="1">
      <alignment horizontal="center" vertical="center"/>
    </xf>
    <xf numFmtId="0" fontId="3" fillId="19" borderId="3" xfId="0" applyFont="1" applyFill="1" applyBorder="1" applyAlignment="1">
      <alignment horizontal="left" vertical="center"/>
    </xf>
    <xf numFmtId="0" fontId="4" fillId="19" borderId="3" xfId="0" applyFont="1" applyFill="1" applyBorder="1" applyAlignment="1">
      <alignment vertical="center"/>
    </xf>
    <xf numFmtId="0" fontId="3" fillId="19" borderId="3" xfId="0" applyFont="1" applyFill="1" applyBorder="1" applyAlignment="1">
      <alignment horizontal="left"/>
    </xf>
    <xf numFmtId="176" fontId="1" fillId="19" borderId="3" xfId="0" applyNumberFormat="1" applyFont="1" applyFill="1" applyBorder="1" applyAlignment="1">
      <alignment horizontal="center"/>
    </xf>
    <xf numFmtId="0" fontId="24" fillId="19" borderId="3" xfId="0" applyFont="1" applyFill="1" applyBorder="1" applyAlignment="1">
      <alignment vertical="center"/>
    </xf>
    <xf numFmtId="0" fontId="25" fillId="6" borderId="3" xfId="0" applyFont="1" applyFill="1" applyBorder="1" applyAlignment="1">
      <alignment horizontal="center" vertical="center"/>
    </xf>
    <xf numFmtId="0" fontId="26" fillId="19" borderId="3" xfId="0" applyFont="1" applyFill="1" applyBorder="1" applyAlignment="1">
      <alignment horizontal="center" vertical="center"/>
    </xf>
    <xf numFmtId="0" fontId="3" fillId="19" borderId="3" xfId="0" applyFont="1" applyFill="1" applyBorder="1" applyAlignment="1">
      <alignment horizontal="center"/>
    </xf>
    <xf numFmtId="0" fontId="4" fillId="19" borderId="3" xfId="0" applyFont="1" applyFill="1" applyBorder="1" applyAlignment="1">
      <alignment horizontal="center"/>
    </xf>
    <xf numFmtId="0" fontId="5" fillId="19" borderId="3" xfId="0" applyFont="1" applyFill="1" applyBorder="1" applyAlignment="1">
      <alignment horizontal="center"/>
    </xf>
    <xf numFmtId="176" fontId="5" fillId="19" borderId="3" xfId="0" applyNumberFormat="1" applyFont="1" applyFill="1" applyBorder="1" applyAlignment="1">
      <alignment horizontal="center"/>
    </xf>
    <xf numFmtId="10" fontId="3" fillId="19" borderId="3" xfId="0" applyNumberFormat="1" applyFont="1" applyFill="1" applyBorder="1"/>
    <xf numFmtId="176" fontId="3" fillId="19" borderId="3" xfId="0" applyNumberFormat="1" applyFont="1" applyFill="1" applyBorder="1"/>
    <xf numFmtId="0" fontId="3" fillId="19" borderId="3" xfId="0" applyFont="1" applyFill="1" applyBorder="1"/>
    <xf numFmtId="0" fontId="4" fillId="14" borderId="3" xfId="0" applyFont="1" applyFill="1" applyBorder="1" applyAlignment="1">
      <alignment horizontal="center"/>
    </xf>
    <xf numFmtId="0" fontId="5" fillId="14" borderId="3" xfId="0" applyFont="1" applyFill="1" applyBorder="1" applyAlignment="1">
      <alignment horizontal="center"/>
    </xf>
    <xf numFmtId="176" fontId="5" fillId="14" borderId="3" xfId="0" applyNumberFormat="1" applyFont="1" applyFill="1" applyBorder="1" applyAlignment="1">
      <alignment horizontal="center"/>
    </xf>
    <xf numFmtId="10" fontId="3" fillId="14" borderId="3" xfId="0" applyNumberFormat="1" applyFont="1" applyFill="1" applyBorder="1"/>
    <xf numFmtId="0" fontId="30" fillId="0" borderId="3" xfId="0" applyFont="1" applyBorder="1" applyAlignment="1">
      <alignment horizontal="center" vertical="center"/>
    </xf>
    <xf numFmtId="0" fontId="20" fillId="6" borderId="3" xfId="0" applyFont="1" applyFill="1" applyBorder="1" applyAlignment="1"/>
    <xf numFmtId="0" fontId="31" fillId="20" borderId="3" xfId="0" applyFont="1" applyFill="1" applyBorder="1" applyAlignment="1">
      <alignment horizontal="center" vertical="center"/>
    </xf>
    <xf numFmtId="0" fontId="3" fillId="20" borderId="3" xfId="0" applyFont="1" applyFill="1" applyBorder="1" applyAlignment="1">
      <alignment horizontal="left" vertical="center"/>
    </xf>
    <xf numFmtId="176" fontId="3" fillId="14" borderId="3" xfId="0" applyNumberFormat="1" applyFont="1" applyFill="1" applyBorder="1"/>
    <xf numFmtId="0" fontId="3" fillId="14" borderId="3" xfId="0" applyFont="1" applyFill="1" applyBorder="1"/>
    <xf numFmtId="0" fontId="22" fillId="18" borderId="3" xfId="0" applyFont="1" applyFill="1" applyBorder="1" applyAlignment="1">
      <alignment horizontal="center" vertical="center"/>
    </xf>
    <xf numFmtId="0" fontId="3" fillId="18" borderId="3" xfId="0" applyFont="1" applyFill="1" applyBorder="1" applyAlignment="1">
      <alignment horizontal="center" vertical="center"/>
    </xf>
    <xf numFmtId="0" fontId="3" fillId="18" borderId="3" xfId="0" applyFont="1" applyFill="1" applyBorder="1" applyAlignment="1">
      <alignment horizontal="left" vertical="center"/>
    </xf>
    <xf numFmtId="0" fontId="4" fillId="18" borderId="3" xfId="0" applyFont="1" applyFill="1" applyBorder="1" applyAlignment="1">
      <alignment horizontal="center"/>
    </xf>
    <xf numFmtId="176" fontId="1" fillId="18" borderId="3" xfId="0" applyNumberFormat="1" applyFont="1" applyFill="1" applyBorder="1" applyAlignment="1">
      <alignment horizontal="center"/>
    </xf>
    <xf numFmtId="0" fontId="3" fillId="0" borderId="3" xfId="0" applyFont="1" applyBorder="1" applyAlignment="1"/>
    <xf numFmtId="0" fontId="3" fillId="16" borderId="3" xfId="0" applyFont="1" applyFill="1" applyBorder="1" applyAlignment="1">
      <alignment horizontal="center"/>
    </xf>
    <xf numFmtId="0" fontId="4" fillId="17" borderId="3" xfId="0" applyFont="1" applyFill="1" applyBorder="1" applyAlignment="1">
      <alignment horizontal="center"/>
    </xf>
    <xf numFmtId="0" fontId="32" fillId="6" borderId="3" xfId="0" applyFont="1" applyFill="1" applyBorder="1" applyAlignment="1"/>
    <xf numFmtId="0" fontId="4" fillId="0" borderId="3" xfId="0" applyFont="1" applyBorder="1" applyAlignment="1">
      <alignment horizontal="center"/>
    </xf>
    <xf numFmtId="0" fontId="5" fillId="0" borderId="3" xfId="0" applyFont="1" applyBorder="1" applyAlignment="1">
      <alignment horizontal="center"/>
    </xf>
    <xf numFmtId="0" fontId="3" fillId="14" borderId="3" xfId="0" applyFont="1" applyFill="1" applyBorder="1" applyAlignment="1"/>
    <xf numFmtId="0" fontId="19" fillId="6" borderId="3" xfId="0" applyFont="1" applyFill="1" applyBorder="1" applyAlignment="1"/>
    <xf numFmtId="0" fontId="33" fillId="22" borderId="3" xfId="0" applyFont="1" applyFill="1" applyBorder="1" applyAlignment="1">
      <alignment horizontal="center" vertical="center"/>
    </xf>
    <xf numFmtId="0" fontId="3" fillId="22" borderId="3" xfId="0" applyFont="1" applyFill="1" applyBorder="1" applyAlignment="1">
      <alignment horizontal="left" vertical="center"/>
    </xf>
    <xf numFmtId="0" fontId="3" fillId="22" borderId="3" xfId="0" applyFont="1" applyFill="1" applyBorder="1" applyAlignment="1"/>
    <xf numFmtId="0" fontId="34" fillId="22" borderId="3" xfId="0" applyFont="1" applyFill="1" applyBorder="1" applyAlignment="1">
      <alignment horizontal="center"/>
    </xf>
    <xf numFmtId="0" fontId="3" fillId="22" borderId="3" xfId="0" applyFont="1" applyFill="1" applyBorder="1" applyAlignment="1">
      <alignment horizontal="center"/>
    </xf>
    <xf numFmtId="0" fontId="4" fillId="22" borderId="3" xfId="0" applyFont="1" applyFill="1" applyBorder="1" applyAlignment="1">
      <alignment horizontal="center"/>
    </xf>
    <xf numFmtId="176" fontId="1" fillId="22" borderId="3" xfId="0" applyNumberFormat="1" applyFont="1" applyFill="1" applyBorder="1" applyAlignment="1">
      <alignment horizontal="center"/>
    </xf>
    <xf numFmtId="0" fontId="35" fillId="0" borderId="3" xfId="0" applyFont="1" applyBorder="1" applyAlignment="1">
      <alignment horizontal="center"/>
    </xf>
    <xf numFmtId="0" fontId="36" fillId="11" borderId="3" xfId="0" applyFont="1" applyFill="1" applyBorder="1" applyAlignment="1">
      <alignment horizontal="center" vertical="center"/>
    </xf>
    <xf numFmtId="0" fontId="3" fillId="11" borderId="3" xfId="0" applyFont="1" applyFill="1" applyBorder="1" applyAlignment="1">
      <alignment horizontal="left" vertical="center"/>
    </xf>
    <xf numFmtId="0" fontId="37" fillId="14" borderId="3" xfId="0" applyFont="1" applyFill="1" applyBorder="1" applyAlignment="1">
      <alignment horizontal="center" vertical="center"/>
    </xf>
    <xf numFmtId="0" fontId="3" fillId="20" borderId="3" xfId="0" applyFont="1" applyFill="1" applyBorder="1" applyAlignment="1">
      <alignment horizontal="left"/>
    </xf>
    <xf numFmtId="0" fontId="3" fillId="17" borderId="3" xfId="0" applyFont="1" applyFill="1" applyBorder="1" applyAlignment="1">
      <alignment horizontal="left"/>
    </xf>
    <xf numFmtId="0" fontId="4" fillId="14" borderId="3" xfId="0" applyFont="1" applyFill="1" applyBorder="1" applyAlignment="1"/>
    <xf numFmtId="0" fontId="28" fillId="14" borderId="3" xfId="0" applyFont="1" applyFill="1" applyBorder="1" applyAlignment="1"/>
    <xf numFmtId="0" fontId="12" fillId="14" borderId="3" xfId="0" applyFont="1" applyFill="1" applyBorder="1" applyAlignment="1">
      <alignment vertical="center"/>
    </xf>
    <xf numFmtId="0" fontId="39" fillId="14" borderId="3" xfId="0" applyFont="1" applyFill="1" applyBorder="1" applyAlignment="1">
      <alignment horizontal="center"/>
    </xf>
    <xf numFmtId="0" fontId="12" fillId="14" borderId="3" xfId="0" applyFont="1" applyFill="1" applyBorder="1" applyAlignment="1">
      <alignment horizontal="center"/>
    </xf>
    <xf numFmtId="0" fontId="28" fillId="14" borderId="3" xfId="0" applyFont="1" applyFill="1" applyBorder="1" applyAlignment="1">
      <alignment horizontal="center"/>
    </xf>
    <xf numFmtId="0" fontId="16" fillId="14" borderId="3" xfId="0" applyFont="1" applyFill="1" applyBorder="1" applyAlignment="1">
      <alignment horizontal="center"/>
    </xf>
    <xf numFmtId="176" fontId="16" fillId="14" borderId="3" xfId="0" applyNumberFormat="1" applyFont="1" applyFill="1" applyBorder="1" applyAlignment="1">
      <alignment horizontal="center"/>
    </xf>
    <xf numFmtId="176" fontId="40" fillId="14" borderId="3" xfId="0" applyNumberFormat="1" applyFont="1" applyFill="1" applyBorder="1" applyAlignment="1">
      <alignment horizontal="center"/>
    </xf>
    <xf numFmtId="176" fontId="28" fillId="14" borderId="3" xfId="0" applyNumberFormat="1" applyFont="1" applyFill="1" applyBorder="1" applyAlignment="1"/>
    <xf numFmtId="0" fontId="41" fillId="14" borderId="3" xfId="0" applyFont="1" applyFill="1" applyBorder="1" applyAlignment="1">
      <alignment horizontal="center"/>
    </xf>
    <xf numFmtId="0" fontId="3" fillId="24" borderId="3" xfId="0" applyFont="1" applyFill="1" applyBorder="1" applyAlignment="1">
      <alignment horizontal="left"/>
    </xf>
    <xf numFmtId="0" fontId="3" fillId="17" borderId="3" xfId="0" applyFont="1" applyFill="1" applyBorder="1" applyAlignment="1">
      <alignment horizontal="center"/>
    </xf>
    <xf numFmtId="0" fontId="12" fillId="0" borderId="3" xfId="0" applyFont="1" applyBorder="1" applyAlignment="1">
      <alignment horizontal="center"/>
    </xf>
    <xf numFmtId="0" fontId="28" fillId="4" borderId="3" xfId="0" applyFont="1" applyFill="1" applyBorder="1" applyAlignment="1">
      <alignment horizontal="center"/>
    </xf>
    <xf numFmtId="0" fontId="12" fillId="6" borderId="3" xfId="0" applyFont="1" applyFill="1" applyBorder="1" applyAlignment="1">
      <alignment horizontal="center"/>
    </xf>
    <xf numFmtId="0" fontId="16" fillId="6" borderId="3" xfId="0" applyFont="1" applyFill="1" applyBorder="1" applyAlignment="1">
      <alignment horizontal="center"/>
    </xf>
    <xf numFmtId="176" fontId="16" fillId="8" borderId="3" xfId="0" applyNumberFormat="1" applyFont="1" applyFill="1" applyBorder="1" applyAlignment="1">
      <alignment horizontal="center"/>
    </xf>
    <xf numFmtId="176" fontId="16" fillId="10" borderId="3" xfId="0" applyNumberFormat="1" applyFont="1" applyFill="1" applyBorder="1" applyAlignment="1">
      <alignment horizontal="center"/>
    </xf>
    <xf numFmtId="176" fontId="16" fillId="12" borderId="3" xfId="0" applyNumberFormat="1" applyFont="1" applyFill="1" applyBorder="1" applyAlignment="1">
      <alignment horizontal="center"/>
    </xf>
    <xf numFmtId="176" fontId="40" fillId="0" borderId="3" xfId="0" applyNumberFormat="1" applyFont="1" applyBorder="1" applyAlignment="1">
      <alignment horizontal="center"/>
    </xf>
    <xf numFmtId="176" fontId="16" fillId="2" borderId="3" xfId="0" applyNumberFormat="1" applyFont="1" applyFill="1" applyBorder="1" applyAlignment="1">
      <alignment horizontal="center"/>
    </xf>
    <xf numFmtId="0" fontId="3" fillId="0" borderId="3" xfId="0" applyFont="1" applyBorder="1" applyAlignment="1">
      <alignment vertical="center"/>
    </xf>
    <xf numFmtId="176" fontId="3" fillId="0" borderId="3" xfId="0" applyNumberFormat="1" applyFont="1" applyBorder="1"/>
    <xf numFmtId="0" fontId="3" fillId="0" borderId="3" xfId="0" applyFont="1" applyBorder="1"/>
    <xf numFmtId="0" fontId="55" fillId="27" borderId="3" xfId="0" applyFont="1" applyFill="1" applyBorder="1" applyAlignment="1">
      <alignment horizontal="center" vertical="center"/>
    </xf>
    <xf numFmtId="176" fontId="3" fillId="0" borderId="3" xfId="0" applyNumberFormat="1" applyFont="1" applyBorder="1" applyAlignment="1"/>
    <xf numFmtId="0" fontId="56" fillId="16" borderId="3" xfId="0" applyFont="1" applyFill="1" applyBorder="1" applyAlignment="1">
      <alignment horizontal="center" vertical="center"/>
    </xf>
    <xf numFmtId="0" fontId="4" fillId="8" borderId="3" xfId="0" applyFont="1" applyFill="1" applyBorder="1"/>
    <xf numFmtId="0" fontId="59" fillId="0" borderId="3" xfId="1" applyBorder="1" applyAlignment="1">
      <alignment horizontal="center"/>
    </xf>
    <xf numFmtId="4" fontId="1" fillId="3" borderId="3" xfId="0" applyNumberFormat="1" applyFont="1" applyFill="1" applyBorder="1" applyAlignment="1">
      <alignment horizontal="center" vertical="center"/>
    </xf>
    <xf numFmtId="176" fontId="2" fillId="2" borderId="3" xfId="0" applyNumberFormat="1" applyFont="1" applyFill="1" applyBorder="1"/>
    <xf numFmtId="0" fontId="2" fillId="2" borderId="3" xfId="0" applyFont="1" applyFill="1" applyBorder="1"/>
    <xf numFmtId="0" fontId="1" fillId="3" borderId="3" xfId="0" applyFont="1" applyFill="1" applyBorder="1" applyAlignment="1">
      <alignment horizontal="center" vertical="center"/>
    </xf>
    <xf numFmtId="176" fontId="1" fillId="3" borderId="3" xfId="0" applyNumberFormat="1" applyFont="1" applyFill="1" applyBorder="1" applyAlignment="1">
      <alignment horizontal="center"/>
    </xf>
    <xf numFmtId="176" fontId="1" fillId="3" borderId="3" xfId="0" applyNumberFormat="1" applyFont="1" applyFill="1" applyBorder="1" applyAlignment="1">
      <alignment horizontal="center" vertical="center"/>
    </xf>
    <xf numFmtId="176" fontId="2" fillId="2" borderId="3" xfId="0" applyNumberFormat="1" applyFont="1" applyFill="1" applyBorder="1" applyAlignment="1"/>
    <xf numFmtId="0" fontId="2" fillId="2" borderId="3" xfId="0" applyFont="1" applyFill="1" applyBorder="1" applyAlignment="1"/>
    <xf numFmtId="0" fontId="3" fillId="4" borderId="3" xfId="0" applyFont="1" applyFill="1" applyBorder="1" applyAlignment="1">
      <alignment horizontal="left" vertical="center"/>
    </xf>
    <xf numFmtId="4" fontId="3" fillId="4" borderId="3" xfId="0" applyNumberFormat="1" applyFont="1" applyFill="1" applyBorder="1" applyAlignment="1">
      <alignment horizontal="center"/>
    </xf>
    <xf numFmtId="49" fontId="5" fillId="4" borderId="3" xfId="0" applyNumberFormat="1" applyFont="1" applyFill="1" applyBorder="1" applyAlignment="1">
      <alignment horizontal="center"/>
    </xf>
    <xf numFmtId="49" fontId="5" fillId="0" borderId="3" xfId="0" applyNumberFormat="1" applyFont="1" applyBorder="1" applyAlignment="1">
      <alignment horizontal="center"/>
    </xf>
    <xf numFmtId="176" fontId="5" fillId="7" borderId="3" xfId="0" applyNumberFormat="1" applyFont="1" applyFill="1" applyBorder="1" applyAlignment="1">
      <alignment horizontal="center"/>
    </xf>
    <xf numFmtId="176" fontId="5" fillId="9" borderId="3" xfId="0" applyNumberFormat="1" applyFont="1" applyFill="1" applyBorder="1" applyAlignment="1">
      <alignment horizontal="center"/>
    </xf>
    <xf numFmtId="176" fontId="1" fillId="11" borderId="3" xfId="0" applyNumberFormat="1" applyFont="1" applyFill="1" applyBorder="1" applyAlignment="1">
      <alignment horizontal="center"/>
    </xf>
    <xf numFmtId="176" fontId="5" fillId="0" borderId="3" xfId="0" applyNumberFormat="1" applyFont="1" applyBorder="1" applyAlignment="1">
      <alignment horizontal="center"/>
    </xf>
    <xf numFmtId="10" fontId="5" fillId="3" borderId="3" xfId="0" applyNumberFormat="1" applyFont="1" applyFill="1" applyBorder="1" applyAlignment="1">
      <alignment horizontal="center"/>
    </xf>
    <xf numFmtId="4" fontId="12" fillId="4" borderId="3" xfId="0" applyNumberFormat="1" applyFont="1" applyFill="1" applyBorder="1" applyAlignment="1">
      <alignment horizontal="center"/>
    </xf>
    <xf numFmtId="0" fontId="15" fillId="6" borderId="3" xfId="0" applyFont="1" applyFill="1" applyBorder="1" applyAlignment="1">
      <alignment horizontal="center"/>
    </xf>
    <xf numFmtId="49" fontId="16" fillId="0" borderId="3" xfId="0" applyNumberFormat="1" applyFont="1" applyBorder="1" applyAlignment="1">
      <alignment horizontal="center"/>
    </xf>
    <xf numFmtId="0" fontId="19" fillId="6" borderId="3" xfId="0" applyFont="1" applyFill="1" applyBorder="1" applyAlignment="1">
      <alignment vertical="center"/>
    </xf>
    <xf numFmtId="0" fontId="3" fillId="6" borderId="3" xfId="0" applyFont="1" applyFill="1" applyBorder="1" applyAlignment="1">
      <alignment vertical="center"/>
    </xf>
    <xf numFmtId="0" fontId="21" fillId="14" borderId="3" xfId="0" applyFont="1" applyFill="1" applyBorder="1" applyAlignment="1">
      <alignment horizontal="center"/>
    </xf>
    <xf numFmtId="0" fontId="3" fillId="18" borderId="3" xfId="0" applyFont="1" applyFill="1" applyBorder="1" applyAlignment="1">
      <alignment horizontal="left"/>
    </xf>
    <xf numFmtId="0" fontId="27" fillId="20" borderId="3" xfId="0" applyFont="1" applyFill="1" applyBorder="1" applyAlignment="1">
      <alignment horizontal="center"/>
    </xf>
    <xf numFmtId="0" fontId="2" fillId="2" borderId="3" xfId="0" applyFont="1" applyFill="1" applyBorder="1" applyAlignment="1">
      <alignment horizontal="center" vertical="center"/>
    </xf>
    <xf numFmtId="4" fontId="4"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176" fontId="5" fillId="4" borderId="3" xfId="0" applyNumberFormat="1" applyFont="1" applyFill="1" applyBorder="1" applyAlignment="1">
      <alignment horizontal="center" vertical="center"/>
    </xf>
    <xf numFmtId="176" fontId="1" fillId="4" borderId="3" xfId="0" applyNumberFormat="1" applyFont="1" applyFill="1" applyBorder="1" applyAlignment="1">
      <alignment horizontal="center" vertical="center"/>
    </xf>
    <xf numFmtId="177" fontId="5" fillId="4" borderId="3" xfId="0" applyNumberFormat="1" applyFont="1" applyFill="1" applyBorder="1" applyAlignment="1">
      <alignment horizontal="center" vertical="center"/>
    </xf>
    <xf numFmtId="0" fontId="6" fillId="5" borderId="3" xfId="0" applyFont="1" applyFill="1" applyBorder="1" applyAlignment="1">
      <alignment horizontal="center" vertical="center"/>
    </xf>
    <xf numFmtId="0" fontId="4" fillId="0" borderId="3" xfId="0" applyFont="1" applyBorder="1" applyAlignment="1">
      <alignment horizontal="center" vertical="center"/>
    </xf>
    <xf numFmtId="0" fontId="4" fillId="0" borderId="3" xfId="0" applyFont="1" applyBorder="1" applyAlignment="1">
      <alignment horizontal="left" vertical="center"/>
    </xf>
    <xf numFmtId="4" fontId="4" fillId="0" borderId="3" xfId="0" applyNumberFormat="1" applyFont="1" applyBorder="1" applyAlignment="1">
      <alignment horizontal="center" vertical="center"/>
    </xf>
    <xf numFmtId="49" fontId="5" fillId="0" borderId="3" xfId="0" applyNumberFormat="1" applyFont="1" applyBorder="1" applyAlignment="1">
      <alignment horizontal="center" vertical="center"/>
    </xf>
    <xf numFmtId="176" fontId="5" fillId="0" borderId="3" xfId="0" applyNumberFormat="1" applyFont="1" applyBorder="1" applyAlignment="1">
      <alignment horizontal="center" vertical="center"/>
    </xf>
    <xf numFmtId="176" fontId="1" fillId="0" borderId="3" xfId="0" applyNumberFormat="1" applyFont="1" applyBorder="1" applyAlignment="1">
      <alignment horizontal="center" vertical="center"/>
    </xf>
    <xf numFmtId="176" fontId="5" fillId="6" borderId="3" xfId="0" applyNumberFormat="1" applyFont="1" applyFill="1" applyBorder="1" applyAlignment="1">
      <alignment horizontal="center"/>
    </xf>
    <xf numFmtId="176" fontId="4" fillId="0" borderId="3" xfId="0" applyNumberFormat="1" applyFont="1" applyBorder="1"/>
    <xf numFmtId="0" fontId="59" fillId="14" borderId="3" xfId="1" applyFill="1" applyBorder="1" applyAlignment="1">
      <alignment horizontal="center"/>
    </xf>
    <xf numFmtId="49" fontId="1" fillId="2"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49" fontId="61" fillId="6" borderId="3" xfId="0" applyNumberFormat="1" applyFont="1" applyFill="1" applyBorder="1" applyAlignment="1">
      <alignment horizontal="center" vertical="center"/>
    </xf>
    <xf numFmtId="49" fontId="3" fillId="14"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12" borderId="3" xfId="0" applyNumberFormat="1" applyFont="1" applyFill="1" applyBorder="1" applyAlignment="1">
      <alignment horizontal="center" vertical="center"/>
    </xf>
    <xf numFmtId="49" fontId="3" fillId="0" borderId="3" xfId="0" applyNumberFormat="1" applyFont="1" applyBorder="1" applyAlignment="1">
      <alignment horizontal="center" vertical="center"/>
    </xf>
    <xf numFmtId="49" fontId="62" fillId="0" borderId="3" xfId="0" applyNumberFormat="1" applyFont="1" applyBorder="1" applyAlignment="1">
      <alignment horizontal="center" vertical="center"/>
    </xf>
    <xf numFmtId="49" fontId="63" fillId="0" borderId="3" xfId="0" applyNumberFormat="1" applyFont="1" applyBorder="1" applyAlignment="1">
      <alignment horizontal="center" vertical="center"/>
    </xf>
    <xf numFmtId="49" fontId="0" fillId="0" borderId="0" xfId="0" applyNumberFormat="1" applyFont="1" applyAlignment="1"/>
    <xf numFmtId="49" fontId="3" fillId="19" borderId="3" xfId="0" applyNumberFormat="1" applyFont="1" applyFill="1" applyBorder="1" applyAlignment="1">
      <alignment horizontal="center" vertical="center"/>
    </xf>
    <xf numFmtId="49" fontId="3" fillId="20" borderId="3" xfId="0" applyNumberFormat="1" applyFont="1" applyFill="1" applyBorder="1" applyAlignment="1">
      <alignment horizontal="center" vertical="center"/>
    </xf>
    <xf numFmtId="49" fontId="3" fillId="18" borderId="3" xfId="0" applyNumberFormat="1" applyFont="1" applyFill="1" applyBorder="1" applyAlignment="1">
      <alignment horizontal="center" vertical="center"/>
    </xf>
    <xf numFmtId="49" fontId="3" fillId="22" borderId="3" xfId="0" applyNumberFormat="1" applyFont="1" applyFill="1" applyBorder="1" applyAlignment="1">
      <alignment horizontal="center" vertical="center"/>
    </xf>
    <xf numFmtId="49" fontId="3" fillId="11" borderId="3" xfId="0" applyNumberFormat="1" applyFont="1" applyFill="1" applyBorder="1" applyAlignment="1">
      <alignment horizontal="center" vertical="center"/>
    </xf>
    <xf numFmtId="49" fontId="8" fillId="0" borderId="3" xfId="0" applyNumberFormat="1" applyFont="1" applyBorder="1" applyAlignment="1">
      <alignment horizontal="center" vertical="center"/>
    </xf>
    <xf numFmtId="49" fontId="3" fillId="0" borderId="3" xfId="0" applyNumberFormat="1" applyFont="1" applyBorder="1" applyAlignment="1">
      <alignment horizontal="left" vertical="center"/>
    </xf>
    <xf numFmtId="49" fontId="12" fillId="14" borderId="3" xfId="0" applyNumberFormat="1" applyFont="1" applyFill="1" applyBorder="1" applyAlignment="1">
      <alignment horizontal="center" vertical="center"/>
    </xf>
    <xf numFmtId="49" fontId="0" fillId="0" borderId="3" xfId="0" applyNumberFormat="1" applyFont="1" applyBorder="1" applyAlignment="1"/>
    <xf numFmtId="0" fontId="59" fillId="6" borderId="3" xfId="1" applyFill="1" applyBorder="1" applyAlignment="1">
      <alignment horizontal="center"/>
    </xf>
    <xf numFmtId="0" fontId="63" fillId="0" borderId="3" xfId="0" applyFont="1" applyBorder="1" applyAlignment="1">
      <alignment horizontal="left"/>
    </xf>
    <xf numFmtId="0" fontId="59" fillId="0" borderId="3" xfId="1" applyBorder="1" applyAlignment="1">
      <alignment horizontal="center" vertical="center"/>
    </xf>
    <xf numFmtId="0" fontId="59" fillId="6" borderId="3" xfId="1" applyFill="1" applyBorder="1" applyAlignment="1">
      <alignment horizontal="center" vertical="center"/>
    </xf>
    <xf numFmtId="0" fontId="64" fillId="6" borderId="3" xfId="0" applyFont="1" applyFill="1" applyBorder="1" applyAlignment="1">
      <alignment horizontal="center"/>
    </xf>
    <xf numFmtId="0" fontId="13" fillId="0" borderId="3" xfId="0" applyFont="1" applyFill="1" applyBorder="1" applyAlignment="1">
      <alignment horizontal="center" vertical="center"/>
    </xf>
    <xf numFmtId="0" fontId="0" fillId="0" borderId="3" xfId="0" applyFont="1" applyBorder="1" applyAlignment="1"/>
    <xf numFmtId="49" fontId="3" fillId="28" borderId="3" xfId="0" applyNumberFormat="1" applyFont="1" applyFill="1" applyBorder="1" applyAlignment="1">
      <alignment horizontal="center" vertical="center"/>
    </xf>
    <xf numFmtId="0" fontId="3" fillId="28" borderId="3" xfId="0" applyFont="1" applyFill="1" applyBorder="1" applyAlignment="1">
      <alignment horizontal="left" vertical="center"/>
    </xf>
    <xf numFmtId="0" fontId="3" fillId="28" borderId="3" xfId="0" applyFont="1" applyFill="1" applyBorder="1" applyAlignment="1">
      <alignment horizontal="left"/>
    </xf>
    <xf numFmtId="0" fontId="42" fillId="28" borderId="3" xfId="0" applyFont="1" applyFill="1" applyBorder="1" applyAlignment="1">
      <alignment horizontal="center"/>
    </xf>
    <xf numFmtId="0" fontId="3" fillId="29" borderId="3" xfId="0" applyFont="1" applyFill="1" applyBorder="1" applyAlignment="1">
      <alignment horizontal="center"/>
    </xf>
    <xf numFmtId="0" fontId="4" fillId="30" borderId="3" xfId="0" applyFont="1" applyFill="1" applyBorder="1" applyAlignment="1">
      <alignment horizontal="center"/>
    </xf>
    <xf numFmtId="0" fontId="5" fillId="29" borderId="3" xfId="0" applyFont="1" applyFill="1" applyBorder="1" applyAlignment="1">
      <alignment horizontal="center"/>
    </xf>
    <xf numFmtId="0" fontId="10" fillId="28" borderId="3" xfId="0" applyFont="1" applyFill="1" applyBorder="1" applyAlignment="1">
      <alignment horizontal="center"/>
    </xf>
    <xf numFmtId="0" fontId="65" fillId="28" borderId="4" xfId="0" applyFont="1" applyFill="1" applyBorder="1" applyAlignment="1">
      <alignment horizontal="center" vertical="center"/>
    </xf>
    <xf numFmtId="0" fontId="3" fillId="28" borderId="5" xfId="0" applyFont="1" applyFill="1" applyBorder="1" applyAlignment="1">
      <alignment horizontal="center" vertical="center"/>
    </xf>
    <xf numFmtId="0" fontId="3" fillId="0" borderId="0" xfId="0" applyFont="1" applyAlignment="1">
      <alignment horizontal="center" vertical="center"/>
    </xf>
    <xf numFmtId="0" fontId="0" fillId="0" borderId="0" xfId="0" applyFont="1" applyAlignment="1"/>
    <xf numFmtId="0" fontId="3" fillId="11" borderId="0" xfId="0" applyFont="1" applyFill="1" applyAlignment="1">
      <alignment horizontal="center" vertical="center"/>
    </xf>
    <xf numFmtId="0" fontId="3" fillId="12" borderId="0" xfId="0" applyFont="1" applyFill="1" applyAlignment="1">
      <alignment horizontal="center" vertical="center"/>
    </xf>
    <xf numFmtId="0" fontId="3" fillId="6" borderId="0" xfId="0" applyFont="1" applyFill="1" applyAlignment="1">
      <alignment horizontal="center" vertical="center"/>
    </xf>
    <xf numFmtId="0" fontId="9" fillId="6" borderId="3" xfId="0" applyFont="1" applyFill="1" applyBorder="1" applyAlignment="1">
      <alignment horizontal="center" vertical="center"/>
    </xf>
    <xf numFmtId="0" fontId="0" fillId="0" borderId="3" xfId="0" applyFont="1" applyBorder="1" applyAlignment="1"/>
    <xf numFmtId="0" fontId="8" fillId="0" borderId="3" xfId="0" applyFont="1" applyBorder="1" applyAlignment="1">
      <alignment horizontal="center" vertical="center"/>
    </xf>
    <xf numFmtId="0" fontId="3" fillId="0" borderId="3" xfId="0" applyFont="1" applyBorder="1" applyAlignment="1">
      <alignment horizontal="left" vertical="center"/>
    </xf>
    <xf numFmtId="49" fontId="3" fillId="0" borderId="3" xfId="0" applyNumberFormat="1" applyFont="1" applyBorder="1" applyAlignment="1">
      <alignment horizontal="center" vertical="center"/>
    </xf>
    <xf numFmtId="49" fontId="0" fillId="0" borderId="3" xfId="0" applyNumberFormat="1" applyFont="1" applyBorder="1" applyAlignment="1"/>
    <xf numFmtId="0" fontId="3" fillId="6" borderId="3" xfId="0" applyFont="1" applyFill="1" applyBorder="1" applyAlignment="1">
      <alignment horizontal="left" vertical="center"/>
    </xf>
    <xf numFmtId="0" fontId="3" fillId="17" borderId="0" xfId="0" applyFont="1" applyFill="1" applyAlignment="1">
      <alignment horizontal="center" vertical="center"/>
    </xf>
    <xf numFmtId="0" fontId="23" fillId="19" borderId="3" xfId="0" applyFont="1" applyFill="1" applyBorder="1" applyAlignment="1">
      <alignment horizontal="center" vertical="center"/>
    </xf>
    <xf numFmtId="0" fontId="3" fillId="19" borderId="3" xfId="0" applyFont="1" applyFill="1" applyBorder="1" applyAlignment="1">
      <alignment horizontal="left" vertical="center"/>
    </xf>
    <xf numFmtId="0" fontId="3" fillId="19" borderId="0" xfId="0" applyFont="1" applyFill="1" applyAlignment="1">
      <alignment horizontal="center" vertical="center"/>
    </xf>
    <xf numFmtId="10" fontId="3" fillId="13" borderId="3" xfId="0" applyNumberFormat="1" applyFont="1" applyFill="1" applyBorder="1" applyAlignment="1">
      <alignment vertical="center"/>
    </xf>
    <xf numFmtId="0" fontId="3" fillId="16" borderId="3" xfId="0" applyFont="1" applyFill="1" applyBorder="1" applyAlignment="1">
      <alignment horizontal="left" vertical="center"/>
    </xf>
    <xf numFmtId="176" fontId="5" fillId="10" borderId="3" xfId="0" applyNumberFormat="1" applyFont="1" applyFill="1" applyBorder="1" applyAlignment="1">
      <alignment horizontal="center" vertical="center"/>
    </xf>
    <xf numFmtId="176" fontId="5" fillId="12" borderId="3" xfId="0" applyNumberFormat="1" applyFont="1" applyFill="1" applyBorder="1" applyAlignment="1">
      <alignment horizontal="center" vertical="center"/>
    </xf>
    <xf numFmtId="176" fontId="5" fillId="2" borderId="3"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3" xfId="0" applyFont="1" applyFill="1" applyBorder="1" applyAlignment="1">
      <alignment horizontal="center" vertical="center" wrapText="1"/>
    </xf>
    <xf numFmtId="176" fontId="5" fillId="8" borderId="3" xfId="0" applyNumberFormat="1" applyFont="1" applyFill="1" applyBorder="1" applyAlignment="1">
      <alignment horizontal="center" vertical="center"/>
    </xf>
    <xf numFmtId="0" fontId="1" fillId="2" borderId="4" xfId="0" applyFont="1" applyFill="1" applyBorder="1" applyAlignment="1">
      <alignment horizontal="center" vertical="center" wrapText="1"/>
    </xf>
    <xf numFmtId="176" fontId="1" fillId="2" borderId="3" xfId="0" applyNumberFormat="1" applyFont="1" applyFill="1" applyBorder="1" applyAlignment="1">
      <alignment horizontal="center" vertical="center"/>
    </xf>
    <xf numFmtId="10" fontId="2" fillId="2" borderId="3" xfId="0" applyNumberFormat="1" applyFont="1" applyFill="1" applyBorder="1" applyAlignment="1">
      <alignment horizontal="center" vertical="center"/>
    </xf>
    <xf numFmtId="0" fontId="16" fillId="6" borderId="3" xfId="0" applyFont="1" applyFill="1" applyBorder="1" applyAlignment="1">
      <alignment horizontal="left" vertical="center"/>
    </xf>
    <xf numFmtId="0" fontId="20" fillId="6" borderId="3" xfId="0" applyFont="1" applyFill="1" applyBorder="1" applyAlignment="1">
      <alignment vertical="center"/>
    </xf>
    <xf numFmtId="0" fontId="17" fillId="12" borderId="3" xfId="0" applyFont="1" applyFill="1" applyBorder="1" applyAlignment="1">
      <alignment horizontal="center" vertical="center"/>
    </xf>
    <xf numFmtId="49" fontId="9" fillId="6" borderId="3" xfId="0" applyNumberFormat="1" applyFont="1" applyFill="1" applyBorder="1" applyAlignment="1">
      <alignment horizontal="center" vertical="center"/>
    </xf>
    <xf numFmtId="0" fontId="3" fillId="12" borderId="3" xfId="0" applyFont="1" applyFill="1" applyBorder="1" applyAlignment="1">
      <alignment horizontal="left" vertical="center"/>
    </xf>
    <xf numFmtId="49" fontId="63" fillId="0" borderId="3" xfId="0" applyNumberFormat="1" applyFont="1" applyBorder="1" applyAlignment="1">
      <alignment horizontal="center" vertical="center"/>
    </xf>
    <xf numFmtId="0" fontId="3" fillId="0" borderId="0" xfId="0" applyFont="1" applyAlignment="1">
      <alignment horizontal="left" vertical="center"/>
    </xf>
    <xf numFmtId="0" fontId="3" fillId="14" borderId="0" xfId="0" applyFont="1" applyFill="1" applyAlignment="1">
      <alignment horizontal="center" vertical="center"/>
    </xf>
    <xf numFmtId="0" fontId="12" fillId="14" borderId="0" xfId="0" applyFont="1" applyFill="1" applyAlignment="1">
      <alignment horizontal="center" vertical="center"/>
    </xf>
    <xf numFmtId="0" fontId="29" fillId="0" borderId="3" xfId="0" applyFont="1" applyBorder="1" applyAlignment="1">
      <alignment horizontal="left" vertical="center"/>
    </xf>
    <xf numFmtId="0" fontId="25" fillId="6" borderId="3" xfId="0" applyFont="1" applyFill="1" applyBorder="1" applyAlignment="1">
      <alignment horizontal="center" vertical="center"/>
    </xf>
    <xf numFmtId="49" fontId="17" fillId="12" borderId="3" xfId="0" applyNumberFormat="1" applyFont="1" applyFill="1" applyBorder="1" applyAlignment="1">
      <alignment horizontal="center" vertical="center"/>
    </xf>
    <xf numFmtId="49" fontId="8" fillId="0" borderId="3" xfId="0" applyNumberFormat="1" applyFont="1" applyBorder="1" applyAlignment="1">
      <alignment horizontal="center" vertical="center"/>
    </xf>
    <xf numFmtId="0" fontId="4" fillId="0" borderId="3" xfId="0" applyFont="1" applyBorder="1" applyAlignment="1">
      <alignment vertical="center"/>
    </xf>
    <xf numFmtId="0" fontId="3" fillId="28" borderId="3" xfId="0" applyFont="1" applyFill="1" applyBorder="1" applyAlignment="1">
      <alignment horizontal="left" vertical="center"/>
    </xf>
    <xf numFmtId="0" fontId="0" fillId="28" borderId="3" xfId="0" applyFont="1" applyFill="1" applyBorder="1" applyAlignment="1"/>
    <xf numFmtId="0" fontId="3" fillId="20" borderId="3" xfId="0" applyFont="1" applyFill="1" applyBorder="1" applyAlignment="1">
      <alignment horizontal="left" vertical="center"/>
    </xf>
    <xf numFmtId="0" fontId="3" fillId="14" borderId="3" xfId="0" applyFont="1" applyFill="1" applyBorder="1" applyAlignment="1">
      <alignment horizontal="left" vertical="center"/>
    </xf>
    <xf numFmtId="0" fontId="12" fillId="14" borderId="3" xfId="0" applyFont="1" applyFill="1" applyBorder="1" applyAlignment="1">
      <alignment vertical="center"/>
    </xf>
    <xf numFmtId="0" fontId="3" fillId="0" borderId="3" xfId="0" applyFont="1" applyBorder="1" applyAlignment="1">
      <alignment vertical="center"/>
    </xf>
    <xf numFmtId="0" fontId="8" fillId="28" borderId="3" xfId="0" applyFont="1" applyFill="1" applyBorder="1" applyAlignment="1">
      <alignment horizontal="center" vertical="center"/>
    </xf>
    <xf numFmtId="0" fontId="31" fillId="20" borderId="3" xfId="0" applyFont="1" applyFill="1" applyBorder="1" applyAlignment="1">
      <alignment horizontal="center" vertical="center"/>
    </xf>
    <xf numFmtId="0" fontId="13" fillId="14" borderId="3" xfId="0" applyFont="1" applyFill="1" applyBorder="1" applyAlignment="1">
      <alignment horizontal="center" vertical="center"/>
    </xf>
    <xf numFmtId="0" fontId="3" fillId="0" borderId="3" xfId="0" applyFont="1" applyBorder="1" applyAlignment="1">
      <alignment horizontal="center" vertical="center"/>
    </xf>
    <xf numFmtId="0" fontId="22" fillId="18" borderId="3" xfId="0" applyFont="1" applyFill="1" applyBorder="1" applyAlignment="1">
      <alignment horizontal="center" vertical="center"/>
    </xf>
    <xf numFmtId="0" fontId="38" fillId="14" borderId="3" xfId="0" applyFont="1" applyFill="1" applyBorder="1" applyAlignment="1">
      <alignment horizontal="center" vertical="center"/>
    </xf>
    <xf numFmtId="0" fontId="25" fillId="20" borderId="3" xfId="0" applyFont="1" applyFill="1" applyBorder="1" applyAlignment="1">
      <alignment horizontal="center" vertical="center"/>
    </xf>
    <xf numFmtId="0" fontId="36" fillId="11" borderId="3" xfId="0" applyFont="1" applyFill="1" applyBorder="1" applyAlignment="1">
      <alignment horizontal="center" vertical="center"/>
    </xf>
    <xf numFmtId="49" fontId="36" fillId="11" borderId="3" xfId="0" applyNumberFormat="1" applyFont="1" applyFill="1" applyBorder="1" applyAlignment="1">
      <alignment horizontal="center" vertical="center"/>
    </xf>
    <xf numFmtId="0" fontId="3" fillId="11" borderId="3" xfId="0" applyFont="1" applyFill="1" applyBorder="1" applyAlignment="1">
      <alignment horizontal="left" vertical="center"/>
    </xf>
    <xf numFmtId="49" fontId="3" fillId="6" borderId="3" xfId="0" applyNumberFormat="1" applyFont="1" applyFill="1" applyBorder="1" applyAlignment="1">
      <alignment horizontal="center" vertical="center"/>
    </xf>
    <xf numFmtId="0" fontId="3" fillId="21" borderId="3" xfId="0" applyFont="1" applyFill="1" applyBorder="1" applyAlignment="1">
      <alignment horizontal="left" vertical="center"/>
    </xf>
    <xf numFmtId="0" fontId="67" fillId="6" borderId="3" xfId="0" applyFont="1" applyFill="1" applyBorder="1" applyAlignment="1">
      <alignment horizontal="left" vertical="center" wrapText="1"/>
    </xf>
    <xf numFmtId="0" fontId="65" fillId="28" borderId="4" xfId="0" applyFont="1" applyFill="1" applyBorder="1" applyAlignment="1">
      <alignment horizontal="center" vertical="center"/>
    </xf>
    <xf numFmtId="0" fontId="3" fillId="28" borderId="5" xfId="0" applyFont="1" applyFill="1" applyBorder="1" applyAlignment="1">
      <alignment horizontal="center" vertical="center"/>
    </xf>
    <xf numFmtId="0" fontId="3" fillId="6" borderId="3" xfId="0" applyFont="1" applyFill="1" applyBorder="1" applyAlignment="1">
      <alignment horizontal="center" vertical="center"/>
    </xf>
    <xf numFmtId="0" fontId="19" fillId="6" borderId="3" xfId="0" applyFont="1" applyFill="1" applyBorder="1" applyAlignment="1">
      <alignment vertical="center"/>
    </xf>
    <xf numFmtId="0" fontId="1" fillId="3" borderId="3" xfId="0" applyFont="1" applyFill="1" applyBorder="1" applyAlignment="1">
      <alignment horizontal="center" vertical="center"/>
    </xf>
    <xf numFmtId="0" fontId="3" fillId="4" borderId="3" xfId="0" applyFont="1" applyFill="1" applyBorder="1" applyAlignment="1">
      <alignment horizontal="center" vertical="center"/>
    </xf>
    <xf numFmtId="0" fontId="7" fillId="4" borderId="3" xfId="0" applyFont="1" applyFill="1" applyBorder="1" applyAlignment="1">
      <alignment horizontal="center" vertical="center"/>
    </xf>
    <xf numFmtId="176" fontId="1" fillId="3" borderId="3" xfId="0" applyNumberFormat="1" applyFont="1" applyFill="1" applyBorder="1" applyAlignment="1">
      <alignment horizontal="center" vertical="center"/>
    </xf>
    <xf numFmtId="49" fontId="1" fillId="3" borderId="3" xfId="0" applyNumberFormat="1" applyFont="1" applyFill="1" applyBorder="1" applyAlignment="1">
      <alignment horizontal="center" vertical="center"/>
    </xf>
    <xf numFmtId="176" fontId="1" fillId="3" borderId="3" xfId="0" applyNumberFormat="1" applyFont="1" applyFill="1" applyBorder="1" applyAlignment="1">
      <alignment horizontal="center"/>
    </xf>
    <xf numFmtId="0" fontId="4" fillId="0" borderId="3" xfId="0" applyFont="1" applyBorder="1" applyAlignment="1">
      <alignment horizontal="left" vertical="center"/>
    </xf>
    <xf numFmtId="0" fontId="4" fillId="0" borderId="3" xfId="0" applyFont="1" applyBorder="1" applyAlignment="1">
      <alignment horizontal="center" vertical="center"/>
    </xf>
    <xf numFmtId="0" fontId="18" fillId="6" borderId="3" xfId="0" applyFont="1" applyFill="1" applyBorder="1" applyAlignment="1">
      <alignment horizontal="left" vertical="center"/>
    </xf>
    <xf numFmtId="0" fontId="4" fillId="0" borderId="0" xfId="0" applyFont="1" applyAlignment="1">
      <alignment horizontal="left" vertical="top"/>
    </xf>
    <xf numFmtId="0" fontId="4" fillId="0" borderId="0" xfId="0" applyFont="1" applyAlignment="1">
      <alignment vertical="top"/>
    </xf>
    <xf numFmtId="0" fontId="54" fillId="26" borderId="0" xfId="0" applyFont="1" applyFill="1" applyAlignment="1">
      <alignment horizontal="left"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amazon.com/Surface-Go-Case-Microsoft-Blue/dp/B07PMBR3N7/ref=mp_s_a_1_37_sspa?keywords=surface+go+case&amp;qid=1566305135&amp;s=gateway&amp;sr=8-37-spons&amp;psc=1&amp;spLa=ZW5jcnlwdGVkUXVhbGlmaWVyPUExTThOMlYzOFRKNzZUJmVuY3J5cHRlZElkPUEwNzk1MDg2MlZHUjA0OEc2RzJYOCZ&amp;lbmNyeXB0ZWRBZElkPUEwNDY3ODkxMVhPNUZaRzBXNzRJVSZ3aWRnZXROYW1lPXNwX3Bob25lX3NlYXJjaF9tdGYmYWN0aW9uPWNsaWNrUmVkaXJlY3QmZG9Ob3RMb2dDbGljaz10cnVl" TargetMode="External"/><Relationship Id="rId21" Type="http://schemas.openxmlformats.org/officeDocument/2006/relationships/hyperlink" Target="https://www.amazon.com/dp/B06XG8VRSD/ref=pd_luc_rh_sspa_dk_huc_pt_expsub_1?spLa=ZW5jcnlwdGVkUXVhbGlmaWVyPUEzVVRJUkYwOFM5Q0xEJmVuY3J5cHRlZElkPUEwNTEyNDQ2NTkzWUk2N1pQMVRBJmVuY3J5cHRlZEFkSWQ9QTA1NDU2NzMzUzFPMTJOSVJUR1A1JndpZGdldE5hbWU9c3BfaHVjX21yYWkmYWN0aW9&amp;uPWNsaWNrUmVkaXJlY3QmZG9Ob3RMb2dDbGljaz10cnVl&amp;th=1" TargetMode="External"/><Relationship Id="rId42" Type="http://schemas.openxmlformats.org/officeDocument/2006/relationships/hyperlink" Target="https://www.amazon.com/Maxboost-mWallet-Designed-Galaxy-Note/dp/B07V25NT1H/ref=pd_cp_107_1/146-8978066-9628062?_encoding=UTF8&amp;pd_rd_i=B07V25NT1H&amp;pd_rd_r=680041e3-ef8a-499c-95f5-9c7f656877d5&amp;pd_rd_w=RJjbH&amp;pd_rd_wg=yTsXM&amp;pf_rd_p=ef4dc990-a9ca-4945-ae0b-f8d5&amp;49198ed6&amp;pf_rd_r=DKPKRSBTREJR1JGAW6HQ&amp;psc=1&amp;refRID=DKPKRSBTREJR1JGAW6HQ" TargetMode="External"/><Relationship Id="rId47" Type="http://schemas.openxmlformats.org/officeDocument/2006/relationships/hyperlink" Target="https://www.amazon.com/Infiland-Multiple-Samsung-SM-T860-Charging/dp/B07WYXW4LV/ref=sr_1_1_sspa?keywords=Galaxy%2Btab%2Bs6%2Bcase&amp;qid=1569668849&amp;s=gateway&amp;sr=8-1-spons&amp;spLa=ZW5jcnlwdGVkUXVhbGlmaWVyPUExM0RFRDAyRTg0MFhVJmVuY3J5cHRlZElkPUEwNDUxNDM1MjlZT1pGV1&amp;FaRkY4MSZlbmNyeXB0ZWRBZElkPUEwMTY4NTM1MkhWVDdSOVFQUjRHQSZ3aWRnZXROYW1lPXNwX2F0ZiZhY3Rpb249Y2xpY2tSZWRpcmVjdCZkb05vdExvZ0NsaWNrPXRydWU&amp;th=1" TargetMode="External"/><Relationship Id="rId63" Type="http://schemas.openxmlformats.org/officeDocument/2006/relationships/hyperlink" Target="https://www.amazon.com/dp/B010W6W8OW?aaxitk=M04FPpxtEpBnDUX-rEE4Lw&amp;pd_rd_i=B010W6W8OW&amp;pf_rd_p=44fc3e0f-4b9e-4ed8-b33b-363a7257163d&amp;hsa_cr_id=7022892800201&amp;sb-ci-n=asinImage&amp;sb-ci-v=https%3A%2F%2Fm.media-amazon.com%2Fimages%2FI%2F71QLK3YvJYL.jpg&amp;sb-ci-a=B0&amp;10W6W8OW" TargetMode="External"/><Relationship Id="rId68" Type="http://schemas.openxmlformats.org/officeDocument/2006/relationships/hyperlink" Target="https://www.amazon.com/Asobu-Coldbrew-Portable-Insulated-Stainless/dp/B075X411RP/ref=mp_s_a_1_2_sspa?keywords=Asobu&amp;qid=1566041865&amp;s=gateway&amp;sr=8-2-spons&amp;spLa=ZW5jcnlwdGVkUXVhbGlmaWVyPUExSVRDOEJEWEY2MERGJmVuY3J5cHRlZElkPUEwNjMwMzg1S05PN1MzMTAxMUQxJmVuY3J5&amp;cHRlZEFkSWQ9QTA0MDU3OTkzMlFaWlZOUTg4RUpOJndpZGdldE5hbWU9c3BfcGhvbmVfc2VhcmNoX2F0ZiZhY3Rpb249Y2xpY2tSZWRpcmVjdCZkb05vdExvZ0NsaWNrPXRydWU&amp;th=1" TargetMode="External"/><Relationship Id="rId84" Type="http://schemas.openxmlformats.org/officeDocument/2006/relationships/hyperlink" Target="https://www.amazon.com/Satechi-Aluminum-Bluetooth-Keyboard-3-Device/dp/B07G1XV2FQ/ref=ya_od_pd_dx_qp_2/141-3649162-7485647?_encoding=UTF8&amp;pd_rd_i=B07F2RW6PJ&amp;pd_rd_r=b4862f20-76c2-446f-8d98-726c4af05e3e&amp;pd_rd_w=u2X7l&amp;pd_rd_wg=RmSj8&amp;refRID=FAVWAWMH8FTEV7792&amp;JPQ&amp;th=1" TargetMode="External"/><Relationship Id="rId89" Type="http://schemas.openxmlformats.org/officeDocument/2006/relationships/hyperlink" Target="https://www.amazon.com/dp/B07SS1ZT11/ref=sspa_dk_detail_2?psc=1&amp;pd_rd_i=B07SS1ZT11&amp;pd_rd_w=cIN2c&amp;pf_rd_p=45a72588-80f7-4414-9851-786f6c16d42b&amp;pd_rd_wg=WhxI2&amp;pf_rd_r=6WX5M312P8PWZA97SXAV&amp;pd_rd_r=131aa8d9-dc60-47f9-a036-6cfa1f109032&amp;spLa=ZW5jcnlwdGVkUXVhbGl&amp;maWVyPUEyTkVaQlFDTUIzT1cyJmVuY3J5cHRlZElkPUEwOTEzMDI4MzNYVUVVUDM5UFJEOCZlbmNyeXB0ZWRBZElkPUEwNjQ3MjM3MTk3RUdHOFJTSENSWCZ3aWRnZXROYW1lPXNwX2RldGFpbCZhY3Rpb249Y2xpY2tSZWRpcmVjdCZkb05vdExvZ0NsaWNrPXRydWU=" TargetMode="External"/><Relationship Id="rId16" Type="http://schemas.openxmlformats.org/officeDocument/2006/relationships/hyperlink" Target="https://www.amazon.com/Youtec-Shockproof-Protective-Kickstand-Compatible/dp/B07MC736KP/ref=sr_1_58_sspa?keywords=surface%2Bpro%2B6%2Bcase&amp;qid=1565783812&amp;s=gateway&amp;sr=8-58-spons&amp;spLa=ZW5jcnlwdGVkUXVhbGlmaWVyPUEySjMzVUpZR0wzTEo3JmVuY3J5cHRlZElkPUEwMDc4NzEyM&amp;jU3VVlYNkhMSU40MCZlbmNyeXB0ZWRBZElkPUEwMjYyMzE0MkRNMDFaM1BGUUtUTSZ3aWRnZXROYW1lPXNwX2J0ZiZhY3Rpb249Y2xpY2tSZWRpcmVjdCZkb05vdExvZ0NsaWNrPXRydWU&amp;th=1" TargetMode="External"/><Relationship Id="rId11" Type="http://schemas.openxmlformats.org/officeDocument/2006/relationships/hyperlink" Target="https://www.amazon.com/CVLIFE-Military-Tactical-Backpacks-Rucksacks/dp/B07KY7BFKC/ref=sr_1_1?keywords=CVLIFE%2BMilitary%2BTactical%2BMolle%2BBackpacks%2B3%2BDay%2BAssault%2BPack%2BBug%2BOut%2BBag%2BArmy%2BRucksacks%2Bfor%2BOutdoor%2BHiking%2BCamping%2BFis%22&amp;%22hing%2BHunting%2Bwith%2BTactical%2BFlag%2BPatch&amp;qid=1562312614&amp;s=gateway&amp;sr=8-1&amp;th=1" TargetMode="External"/><Relationship Id="rId32" Type="http://schemas.openxmlformats.org/officeDocument/2006/relationships/hyperlink" Target="https://www.amazon.com/iPad-Pro-12-9-Magnetically-2018/dp/B07QB5V7P5/ref=sr_1_1_sspa?crid=4PG7S43NNHSQ&amp;keywords=ipad%2Bpro%2B12.9%2Bkeyboard&amp;qid=1567869426&amp;s=electronics&amp;sprefix=ipad%2Bpro%2B12.9%2Celectronics%2C331&amp;sr=1-1-spons&amp;spLa=ZW5jcnlwdGVkUXVhbGlma&amp;WVyPUEzNTY3VElDUlVKQTk0JmVuY3J5cHRlZElkPUEwOTc1Njg1MkJGSFhCMVBGWEdOMiZlbmNyeXB0ZWRBZElkPUEwNjk1MDkxMUI0R1NUT1lKNFZNNyZ3aWRnZXROYW1lPXNwX2F0ZiZhY3Rpb249Y2xpY2tSZWRpcmVjdCZkb05vdExvZ0NsaWNrPXRydWU&amp;th=1" TargetMode="External"/><Relationship Id="rId37" Type="http://schemas.openxmlformats.org/officeDocument/2006/relationships/hyperlink" Target="https://www.amazon.com/Nooz-Armless-Reading-Rectangular-Wherever/dp/B079M79W12/ref=sr_1_5?keywords=nooz&amp;pd_rd_r=c869fe96-7949-4d25-b5f0-b9ae0cc2e78e&amp;pd_rd_w=LulmW&amp;pd_rd_wg=PQVKw&amp;pf_rd_p=67c9d84c-d98a-4415-a549-dd3360e9d207&amp;pf_rd_r=TEENF981P3C3GSSYF087&amp;qid&amp;=1568792786&amp;s=gateway&amp;sr=8-5&amp;th=1" TargetMode="External"/><Relationship Id="rId53" Type="http://schemas.openxmlformats.org/officeDocument/2006/relationships/hyperlink" Target="https://www.amazon.com/Infiland-Multiple-Samsung-SM-T860-Charging/dp/B07XNXBFY7/ref=sr_1_1_sspa?keywords=Galaxy%2Btab%2Bs6%2Bcase&amp;qid=1569668849&amp;s=gateway&amp;sr=8-1-spons&amp;spLa=ZW5jcnlwdGVkUXVhbGlmaWVyPUExM0RFRDAyRTg0MFhVJmVuY3J5cHRlZElkPUEwNDUxNDM1MjlZT1pGV1&amp;FaRkY4MSZlbmNyeXB0ZWRBZElkPUEwMTY4NTM1MkhWVDdSOVFQUjRHQSZ3aWRnZXROYW1lPXNwX2F0ZiZhY3Rpb249Y2xpY2tSZWRpcmVjdCZkb05vdExvZ0NsaWNrPXRydWU&amp;th=1" TargetMode="External"/><Relationship Id="rId58" Type="http://schemas.openxmlformats.org/officeDocument/2006/relationships/hyperlink" Target="https://www.amazon.com/Wilson-Advantage-II-Tennis-Bag/dp/B00I14X9PU/ref=sr_1_1?crid=1SA02EKDVVKXV&amp;keywords=wilson%2Btennis%2Bbag&amp;qid=1569990916&amp;refinements=p_89%3AWilson%2Cp_72%3A2661618011&amp;rnid=2661617011&amp;s=gateway&amp;sprefix=wilson%2Btennis%2Bba%2Caps%2C33&amp;0&amp;sr=8-1&amp;th=1" TargetMode="External"/><Relationship Id="rId74" Type="http://schemas.openxmlformats.org/officeDocument/2006/relationships/hyperlink" Target="https://www.amazon.com/Portable-Utensils-including-Chopsticks-Stainless/dp/B07PG1M8VG/ref=pd_rhf_dp_s_bmx_0_1/146-8978066-9628062?_encoding=UTF8&amp;pd_rd_i=B07PG1M8VG&amp;pd_rd_r=b6b131de-b4a9-49af-8be0-89e0cbea785a&amp;pd_rd_w=bzEqq&amp;pd_rd_wg=K4NAb&amp;pf_rd_p=2684f94a-&amp;14cb-42dd-922b-fb62d142690f&amp;pf_rd_r=H5KYGD3BBNXXARJGBJKG&amp;psc=1&amp;refRID=H5KYGD3BBNXXARJGBJKG" TargetMode="External"/><Relationship Id="rId79" Type="http://schemas.openxmlformats.org/officeDocument/2006/relationships/hyperlink" Target="https://www.amazon.com/Portable-Utensils-including-Chopsticks-Stainless/dp/B07FR7LNXY/ref=pd_rhf_dp_s_bmx_0_1/146-8978066-9628062?_encoding=UTF8&amp;pd_rd_i=B07PG1M8VG&amp;pd_rd_r=b6b131de-b4a9-49af-8be0-89e0cbea785a&amp;pd_rd_w=bzEqq&amp;pd_rd_wg=K4NAb&amp;pf_rd_p=2684f94a-&amp;14cb-42dd-922b-fb62d142690f&amp;pf_rd_r=H5KYGD3BBNXXARJGBJKG&amp;refRID=H5KYGD3BBNXXARJGBJKG&amp;th=1" TargetMode="External"/><Relationship Id="rId5" Type="http://schemas.openxmlformats.org/officeDocument/2006/relationships/hyperlink" Target="https://www.amazon.com/Kodak-Wireless-Portable-Instant-Printer/dp/B077BFDT2V/ref=pd_bxgy_229_img_3/141-0729808-3547103?_encoding=UTF8&amp;pd_rd_i=B077BFDT2V&amp;pd_rd_r=25268ec4-85a6-11e9-9b09-4f16de09a724&amp;pd_rd_w=4Yg00&amp;pd_rd_wg=mxuaB&amp;pf_rd_p=a2006322-0bc0-4db9-a%22&amp;%2208e-d168c18ce6f0&amp;pf_rd_r=QYZSMVG8TX0K15ADADD2&amp;psc=1&amp;refRID=QYZSMVG8TX0K15ADADD2" TargetMode="External"/><Relationship Id="rId90" Type="http://schemas.openxmlformats.org/officeDocument/2006/relationships/hyperlink" Target="https://www.amazon.com/dp/B07PN6V83T/ref=sspa_dk_detail_0?psc=1&amp;pd_rd_i=B07PN6V83T&amp;pd_rd_w=cIN2c&amp;pf_rd_p=45a72588-80f7-4414-9851-786f6c16d42b&amp;pd_rd_wg=WhxI2&amp;pf_rd_r=6WX5M312P8PWZA97SXAV&amp;pd_rd_r=131aa8d9-dc60-47f9-a036-6cfa1f109032&amp;spLa=ZW5jcnlwdGVkUXVhbGl&amp;maWVyPUEyTkVaQlFDTUIzT1cyJmVuY3J5cHRlZElkPUEwOTEzMDI4MzNYVUVVUDM5UFJEOCZlbmNyeXB0ZWRBZElkPUEwNjQyMzYyM0dSR0hDRzFPUVhXMiZ3aWRnZXROYW1lPXNwX2RldGFpbCZhY3Rpb249Y2xpY2tSZWRpcmVjdCZkb05vdExvZ0NsaWNrPXRydWU=" TargetMode="External"/><Relationship Id="rId95" Type="http://schemas.openxmlformats.org/officeDocument/2006/relationships/hyperlink" Target="https://www.amazon.com/dp/B079G8LTNV/ref=sspa_dk_detail_0?spLa=ZW5jcnlwdGVkUXVhbGlmaWVyPUFCS1dPWjg4TERESTkmZW5jcnlwdGVkSWQ9QTAzMDYyNjRVODZCRFRLNVBKS1omZW5jcnlwdGVkQWRJZD1BMDE2NjY5MTFVRzJTMEhaUThESEMmd2lkZ2V0TmFtZT1zcF9kZXRhaWwyJmFjdGlvbj1jbGlja1JlZGlyZWN0&amp;JmRvTm90TG9nQ2xpY2s9dHJ1ZQ&amp;th=1" TargetMode="External"/><Relationship Id="rId22" Type="http://schemas.openxmlformats.org/officeDocument/2006/relationships/hyperlink" Target="https://www.amazon.com/dp/B079HXN8TM/ref=sspa_dk_detail_2?pd_rd_i=B079HXBVMX&amp;pd_rd_w=ywnZj&amp;pf_rd_p=45a72588-80f7-4414-9851-786f6c16d42b&amp;pd_rd_wg=Th5jn&amp;pf_rd_r=KY3P5R7QXYEEQG7897XT&amp;pd_rd_r=5f903a92-738a-4518-8174-0069fc3c186d&amp;spLa=ZW5jcnlwdGVkUXVhbGlmaWVyP&amp;UEzR1VUTlhaWkZSRVZQJmVuY3J5cHRlZElkPUEwNjQ3NDEzM0tKMFVKQVdNMDVOJmVuY3J5cHRlZEFkSWQ9QTAxNjEwOTAyRDQ5T1JFQzZISTZSJndpZGdldE5hbWU9c3BfZGV0YWlsJmFjdGlvbj1jbGlja1JlZGlyZWN0JmRvTm90TG9nQ2xpY2s9dHJ1ZQ&amp;th=1" TargetMode="External"/><Relationship Id="rId27" Type="http://schemas.openxmlformats.org/officeDocument/2006/relationships/hyperlink" Target="https://www.amazon.com/CharJenPro-Surface-Docking-Delivery-Headphone/dp/B07PXWWQVM/ref=sr_1_53_sspa?crid=5JX2IAGBIL21&amp;keywords=surface+go+accessories&amp;qid=1566308363&amp;s=gateway&amp;sprefix=surface+go+a%2Caps%2C365&amp;sr=8-53-spons&amp;psc=1&amp;spLa=ZW5jcnlwdGVkUXVhbGlmaW&amp;VyPUEyMVVCSkIxMTA2OE9IJmVuY3J5cHRlZElkPUEwNzIxMjkzMkI4NEM2STk4WEcwNiZlbmNyeXB0ZWRBZElkPUEwMDU3NjA5MjY3Ukc4ODJYSldXNyZ3aWRnZXROYW1lPXNwX2J0ZiZhY3Rpb249Y2xpY2tSZWRpcmVjdCZkb05vdExvZ0NsaWNrPXRydWU=" TargetMode="External"/><Relationship Id="rId43" Type="http://schemas.openxmlformats.org/officeDocument/2006/relationships/hyperlink" Target="https://www.amazon.com/dp/B07X7YN7V3/ref=sspa_dk_detail_6?pd_rd_i=B07X943VN8&amp;pd_rd_w=cPp14&amp;pf_rd_p=45a72588-80f7-4414-9851-786f6c16d42b&amp;pd_rd_wg=FwZsv&amp;pf_rd_r=E5REA5XB6R4BACRS51RH&amp;pd_rd_r=9a2d3104-85e5-42fb-a78d-8490c31753f1&amp;spLa=ZW5jcnlwdGVkUXVhbGlmaWVyP&amp;UExSFpIQVZVN0tUMTQmZW5jcnlwdGVkSWQ9QTAxNDc1OTEyNkU0OTcyQk5IQ0FRJmVuY3J5cHRlZEFkSWQ9QTA0NzQzNjUzUlNTQ0ExVUdEMERFJndpZGdldE5hbWU9c3BfZGV0YWlsJmFjdGlvbj1jbGlja1JlZGlyZWN0JmRvTm90TG9nQ2xpY2s9dHJ1ZQ&amp;th=1" TargetMode="External"/><Relationship Id="rId48" Type="http://schemas.openxmlformats.org/officeDocument/2006/relationships/hyperlink" Target="https://www.amazon.com/Infiland-Multiple-Samsung-SM-T860-Charging/dp/B07X3G8LRV/ref=sr_1_1_sspa?keywords=Galaxy%2Btab%2Bs6%2Bcase&amp;qid=1569668849&amp;s=gateway&amp;sr=8-1-spons&amp;spLa=ZW5jcnlwdGVkUXVhbGlmaWVyPUExM0RFRDAyRTg0MFhVJmVuY3J5cHRlZElkPUEwNDUxNDM1MjlZT1pGV1&amp;FaRkY4MSZlbmNyeXB0ZWRBZElkPUEwMTY4NTM1MkhWVDdSOVFQUjRHQSZ3aWRnZXROYW1lPXNwX2F0ZiZhY3Rpb249Y2xpY2tSZWRpcmVjdCZkb05vdExvZ0NsaWNrPXRydWU&amp;th=1" TargetMode="External"/><Relationship Id="rId64" Type="http://schemas.openxmlformats.org/officeDocument/2006/relationships/hyperlink" Target="https://www.amazon.com/Brydge-Keyboard-12-9-inch-Generation-Bluetooth/dp/B07MJCMN14/ref=sr_1_2_sspa?keywords=Brydge+Pro+12.9+Bluetooth+Keyboard&amp;qid=1570422624&amp;sr=8-2-spons&amp;psc=1&amp;spLa=ZW5jcnlwdGVkUXVhbGlmaWVyPUEyM05ETVpWVEIwM1JPJmVuY3J5cHRlZElkPUEwMDcyNTg4&amp;MUo3UUhBNFg2U0tESyZlbmNyeXB0ZWRBZElkPUEwNzM4NTMwMTFFUTlQNjE3RzdMOSZ3aWRnZXROYW1lPXNwX2F0ZiZhY3Rpb249Y2xpY2tSZWRpcmVjdCZkb05vdExvZ0NsaWNrPXRydWU=" TargetMode="External"/><Relationship Id="rId69" Type="http://schemas.openxmlformats.org/officeDocument/2006/relationships/hyperlink" Target="https://www.amazon.com/Asobu-Coldbrew-Portable-Insulated-Stainless/dp/B075X48Z98/ref=mp_s_a_1_2_sspa?keywords=Asobu&amp;qid=1566041865&amp;s=gateway&amp;sr=8-2-spons&amp;spLa=ZW5jcnlwdGVkUXVhbGlmaWVyPUExSVRDOEJEWEY2MERGJmVuY3J5cHRlZElkPUEwNjMwMzg1S05PN1MzMTAxMUQxJmVuY3J5&amp;cHRlZEFkSWQ9QTA0MDU3OTkzMlFaWlZOUTg4RUpOJndpZGdldE5hbWU9c3BfcGhvbmVfc2VhcmNoX2F0ZiZhY3Rpb249Y2xpY2tSZWRpcmVjdCZkb05vdExvZ0NsaWNrPXRydWU&amp;th=1" TargetMode="External"/><Relationship Id="rId80" Type="http://schemas.openxmlformats.org/officeDocument/2006/relationships/hyperlink" Target="https://www.amazon.com/Fisher-Space-Pen-Bullet-Clip/dp/B0002ZQB4M/ref=sr_1_2_sspa?crid=19YZQR89L8YG1&amp;keywords=fisher+space+pen&amp;qid=1570972158&amp;sprefix=Fisher+%2Caps%2C364&amp;sr=8-2-spons&amp;psc=1&amp;spLa=ZW5jcnlwdGVkUXVhbGlmaWVyPUExUTVSVksxWlRaUFVaJmVuY3J5cHRlZElkP&amp;UExMDIxNjExMlE1RllQS1BNMDZDNSZlbmNyeXB0ZWRBZElkPUEwMDUwNzExMjNIWjFXUFlFQlJYUyZ3aWRnZXROYW1lPXNwX2F0ZiZhY3Rpb249Y2xpY2tSZWRpcmVjdCZkb05vdExvZ0NsaWNrPXRydWU=" TargetMode="External"/><Relationship Id="rId85" Type="http://schemas.openxmlformats.org/officeDocument/2006/relationships/hyperlink" Target="https://www.amazon.com/Satechi-Aluminum-Bluetooth-Keyboard-3-Device/dp/B07G29LQ8Y/ref=ya_od_pd_dx_qp_2/141-3649162-7485647?_encoding=UTF8&amp;pd_rd_i=B07F2RW6PJ&amp;pd_rd_r=b4862f20-76c2-446f-8d98-726c4af05e3e&amp;pd_rd_w=u2X7l&amp;pd_rd_wg=RmSj8&amp;refRID=FAVWAWMH8FTEV7792&amp;JPQ&amp;th=1" TargetMode="External"/><Relationship Id="rId3" Type="http://schemas.openxmlformats.org/officeDocument/2006/relationships/hyperlink" Target="https://www.amazon.com/Klymit-12PLTL01D-Pillow-Large-Turquoise/dp/B071159267/ref=pd_sbs_468_1/141-0729808-3547103?_encoding=UTF8&amp;pd_rd_i=B071159267&amp;pd_rd_r=08e1f942-6cb8-11e9-aa9e-d325bbd273f6&amp;pd_rd_w=neCPb&amp;pd_rd_wg=qjBrF&amp;pf_rd_p=588939de-d3f8-42f1-a3d8-d%22&amp;%22556eae5797d&amp;pf_rd_r=2F6MK08JT0QCD6RBGGGW&amp;psc=1&amp;refRID=2F6MK08JT0QCD6RBGGGW" TargetMode="External"/><Relationship Id="rId12" Type="http://schemas.openxmlformats.org/officeDocument/2006/relationships/hyperlink" Target="https://www.amazon.com/Backpack-Charging-Compartment-Anti-Theft-Waterproof/dp/B07Q1GN3VG/ref=sr_1_4?keywords=Tigernu+Travel+Laptop+Backpack+with+USB+Charging+Port+Business+Computer+Backpack+with+Laptop+Compartment+Anti-Theft+Waterproof+Work+Backpack+for+M&amp;en+Women+Fit+15.6+inch+Laptop%2FMacBook&amp;qid=1567065292&amp;s=gateway&amp;sr=8-4" TargetMode="External"/><Relationship Id="rId17" Type="http://schemas.openxmlformats.org/officeDocument/2006/relationships/hyperlink" Target="https://www.amazon.com/Youtec-Shockproof-Protective-Kickstand-Compatible/dp/B07MTTH21Y/ref=sr_1_58_sspa?keywords=surface%2Bpro%2B6%2Bcase&amp;qid=1565783812&amp;s=gateway&amp;sr=8-58-spons&amp;spLa=ZW5jcnlwdGVkUXVhbGlmaWVyPUEySjMzVUpZR0wzTEo3JmVuY3J5cHRlZElkPUEwMDc4NzEyM&amp;jU3VVlYNkhMSU40MCZlbmNyeXB0ZWRBZElkPUEwMjYyMzE0MkRNMDFaM1BGUUtUTSZ3aWRnZXROYW1lPXNwX2J0ZiZhY3Rpb249Y2xpY2tSZWRpcmVjdCZkb05vdExvZ0NsaWNrPXRydWU&amp;th=1" TargetMode="External"/><Relationship Id="rId25" Type="http://schemas.openxmlformats.org/officeDocument/2006/relationships/hyperlink" Target="https://www.amazon.com/dp/B079J9R4KD/ref=sspa_dk_detail_2?pd_rd_i=B079HXBVMX&amp;pd_rd_w=ywnZj&amp;pf_rd_p=45a72588-80f7-4414-9851-786f6c16d42b&amp;pd_rd_wg=Th5jn&amp;pf_rd_r=KY3P5R7QXYEEQG7897XT&amp;pd_rd_r=5f903a92-738a-4518-8174-0069fc3c186d&amp;spLa=ZW5jcnlwdGVkUXVhbGlmaWVyP&amp;UEzR1VUTlhaWkZSRVZQJmVuY3J5cHRlZElkPUEwNjQ3NDEzM0tKMFVKQVdNMDVOJmVuY3J5cHRlZEFkSWQ9QTAxNjEwOTAyRDQ5T1JFQzZISTZSJndpZGdldE5hbWU9c3BfZGV0YWlsJmFjdGlvbj1jbGlja1JlZGlyZWN0JmRvTm90TG9nQ2xpY2s9dHJ1ZQ&amp;th=1" TargetMode="External"/><Relationship Id="rId33" Type="http://schemas.openxmlformats.org/officeDocument/2006/relationships/hyperlink" Target="https://www.amazon.com/iPad-Pro-12-9-Magnetically-2018/dp/B07QG925SZ/ref=sr_1_1_sspa?crid=4PG7S43NNHSQ&amp;keywords=ipad%2Bpro%2B12.9%2Bkeyboard&amp;qid=1567869426&amp;s=electronics&amp;sprefix=ipad%2Bpro%2B12.9%2Celectronics%2C331&amp;sr=1-1-spons&amp;spLa=ZW5jcnlwdGVkUXVhbGlma&amp;WVyPUEzNTY3VElDUlVKQTk0JmVuY3J5cHRlZElkPUEwOTc1Njg1MkJGSFhCMVBGWEdOMiZlbmNyeXB0ZWRBZElkPUEwNjk1MDkxMUI0R1NUT1lKNFZNNyZ3aWRnZXROYW1lPXNwX2F0ZiZhY3Rpb249Y2xpY2tSZWRpcmVjdCZkb05vdExvZ0NsaWNrPXRydWU&amp;th=1" TargetMode="External"/><Relationship Id="rId38" Type="http://schemas.openxmlformats.org/officeDocument/2006/relationships/hyperlink" Target="https://www.amazon.com/Nooz-Armless-Reading-Rectangular-Wherever/dp/B07171T3NC/ref=sr_1_5?keywords=nooz&amp;pd_rd_r=c869fe96-7949-4d25-b5f0-b9ae0cc2e78e&amp;pd_rd_w=LulmW&amp;pd_rd_wg=PQVKw&amp;pf_rd_p=67c9d84c-d98a-4415-a549-dd3360e9d207&amp;pf_rd_r=TEENF981P3C3GSSYF087&amp;qid&amp;=1568792786&amp;s=gateway&amp;sr=8-5&amp;th=1" TargetMode="External"/><Relationship Id="rId46" Type="http://schemas.openxmlformats.org/officeDocument/2006/relationships/hyperlink" Target="https://www.amazon.com/Infiland-Multiple-Samsung-SM-T860-Charging/dp/B07X1J2Y5Q/ref=sr_1_1_sspa?keywords=Galaxy%2Btab%2Bs6%2Bcase&amp;qid=1569668849&amp;s=gateway&amp;sr=8-1-spons&amp;spLa=ZW5jcnlwdGVkUXVhbGlmaWVyPUExM0RFRDAyRTg0MFhVJmVuY3J5cHRlZElkPUEwNDUxNDM1MjlZT1pGV1&amp;FaRkY4MSZlbmNyeXB0ZWRBZElkPUEwMTY4NTM1MkhWVDdSOVFQUjRHQSZ3aWRnZXROYW1lPXNwX2F0ZiZhY3Rpb249Y2xpY2tSZWRpcmVjdCZkb05vdExvZ0NsaWNrPXRydWU&amp;th=1" TargetMode="External"/><Relationship Id="rId59" Type="http://schemas.openxmlformats.org/officeDocument/2006/relationships/hyperlink" Target="https://www.amazon.com/Wilson-Advantage-II-Tennis-Bag/dp/B07X21XQXQ/ref=sr_1_1?crid=1SA02EKDVVKXV&amp;keywords=wilson%2Btennis%2Bbag&amp;qid=1569990916&amp;refinements=p_89%3AWilson%2Cp_72%3A2661618011&amp;rnid=2661617011&amp;s=gateway&amp;sprefix=wilson%2Btennis%2Bba%2Caps%2C33&amp;0&amp;sr=8-1&amp;th=1" TargetMode="External"/><Relationship Id="rId67" Type="http://schemas.openxmlformats.org/officeDocument/2006/relationships/hyperlink" Target="https://www.amazon.com/Asobu-Coldbrew-Portable-Insulated-Stainless/dp/B075X3CV1X/ref=mp_s_a_1_2_sspa?keywords=Asobu&amp;qid=1566041865&amp;s=gateway&amp;sr=8-2-spons&amp;spLa=ZW5jcnlwdGVkUXVhbGlmaWVyPUExSVRDOEJEWEY2MERGJmVuY3J5cHRlZElkPUEwNjMwMzg1S05PN1MzMTAxMUQxJmVuY3J5&amp;cHRlZEFkSWQ9QTA0MDU3OTkzMlFaWlZOUTg4RUpOJndpZGdldE5hbWU9c3BfcGhvbmVfc2VhcmNoX2F0ZiZhY3Rpb249Y2xpY2tSZWRpcmVjdCZkb05vdExvZ0NsaWNrPXRydWU&amp;th=1" TargetMode="External"/><Relationship Id="rId20" Type="http://schemas.openxmlformats.org/officeDocument/2006/relationships/hyperlink" Target="https://www.amazon.com/dp/B06XFXTG29/ref=pd_luc_rh_sspa_dk_huc_pt_expsub_1?spLa=ZW5jcnlwdGVkUXVhbGlmaWVyPUEzVVRJUkYwOFM5Q0xEJmVuY3J5cHRlZElkPUEwNTEyNDQ2NTkzWUk2N1pQMVRBJmVuY3J5cHRlZEFkSWQ9QTA1NDU2NzMzUzFPMTJOSVJUR1A1JndpZGdldE5hbWU9c3BfaHVjX21yYWkmYWN0aW9&amp;uPWNsaWNrUmVkaXJlY3QmZG9Ob3RMb2dDbGljaz10cnVl&amp;th=1" TargetMode="External"/><Relationship Id="rId41" Type="http://schemas.openxmlformats.org/officeDocument/2006/relationships/hyperlink" Target="https://www.amazon.com/Nooz-Armless-Reading-Rectangular-Wherever/dp/B079M6RQBM/ref=sr_1_5?keywords=nooz&amp;pd_rd_r=c869fe96-7949-4d25-b5f0-b9ae0cc2e78e&amp;pd_rd_w=LulmW&amp;pd_rd_wg=PQVKw&amp;pf_rd_p=67c9d84c-d98a-4415-a549-dd3360e9d207&amp;pf_rd_r=TEENF981P3C3GSSYF087&amp;qid&amp;=1568792786&amp;s=gateway&amp;sr=8-5&amp;th=1" TargetMode="External"/><Relationship Id="rId54" Type="http://schemas.openxmlformats.org/officeDocument/2006/relationships/hyperlink" Target="https://www.amazon.com/Headphones-Soundcore-SweatGuard-Technology-Bluetooth/dp/B07BMV5T2N/ref=sr_1_1_sspa?keywords=Anker%2BSoundcore%2BSpirit%2BPro&amp;qid=1569918348&amp;s=gateway&amp;sr=8-1-spons&amp;spLa=ZW5jcnlwdGVkUXVhbGlmaWVyPUEyQjdLTzgyT0o3NkomZW5jcnlwdGVkSWQ9QTAz&amp;ODkwMjVZOFUwMDhQMVk0SDUmZW5jcnlwdGVkQWRJZD1BMDE4MjQxMDNUQUIzWVE1U05ITTImd2lkZ2V0TmFtZT1zcF9hdGYmYWN0aW9uPWNsaWNrUmVkaXJlY3QmZG9Ob3RMb2dDbGljaz10cnVl&amp;th=1" TargetMode="External"/><Relationship Id="rId62" Type="http://schemas.openxmlformats.org/officeDocument/2006/relationships/hyperlink" Target="https://www.amazon.com/dp/B07BB54HXT/ref=sspa_dk_detail_0?psc=1&amp;pd_rd_i=B07BB54HXT&amp;pd_rd_w=OjQLt&amp;pf_rd_p=45a72588-80f7-4414-9851-786f6c16d42b&amp;pd_rd_wg=AqMKo&amp;pf_rd_r=8G4D5XEXX6C2YX04SHE0&amp;pd_rd_r=7cdf3142-38fc-4e09-a353-90146b185c32&amp;smid=A3PKSUAVGUP5IE&amp;spLa&amp;=ZW5jcnlwdGVkUXVhbGlmaWVyPUEzSUxJSkVLUU5YMEtIJmVuY3J5cHRlZElkPUEwNTQyOTk4Mkk4T1g0WUNZMURHVCZlbmNyeXB0ZWRBZElkPUEwNjgzMDgxMk5XSTZWRTI3RUhWSyZ3aWRnZXROYW1lPXNwX2RldGFpbCZhY3Rpb249Y2xpY2tSZWRpcmVjdCZkb05vdExvZ0NsaWNrPXRydWU=" TargetMode="External"/><Relationship Id="rId70" Type="http://schemas.openxmlformats.org/officeDocument/2006/relationships/hyperlink" Target="https://www.amazon.com/Asobu-Coldbrew-Portable-Insulated-Stainless/dp/B075X3ZVDY/ref=mp_s_a_1_2_sspa?keywords=Asobu&amp;qid=1566041865&amp;s=gateway&amp;sr=8-2-spons&amp;spLa=ZW5jcnlwdGVkUXVhbGlmaWVyPUExSVRDOEJEWEY2MERGJmVuY3J5cHRlZElkPUEwNjMwMzg1S05PN1MzMTAxMUQxJmVuY3J5&amp;cHRlZEFkSWQ9QTA0MDU3OTkzMlFaWlZOUTg4RUpOJndpZGdldE5hbWU9c3BfcGhvbmVfc2VhcmNoX2F0ZiZhY3Rpb249Y2xpY2tSZWRpcmVjdCZkb05vdExvZ0NsaWNrPXRydWU&amp;th=1" TargetMode="External"/><Relationship Id="rId75" Type="http://schemas.openxmlformats.org/officeDocument/2006/relationships/hyperlink" Target="https://www.amazon.com/Portable-Utensils-including-Chopsticks-Stainless/dp/B07RFRDJL9/ref=pd_rhf_dp_s_bmx_0_1/146-8978066-9628062?_encoding=UTF8&amp;pd_rd_i=B07PG1M8VG&amp;pd_rd_r=b6b131de-b4a9-49af-8be0-89e0cbea785a&amp;pd_rd_w=bzEqq&amp;pd_rd_wg=K4NAb&amp;pf_rd_p=2684f94a-&amp;14cb-42dd-922b-fb62d142690f&amp;pf_rd_r=H5KYGD3BBNXXARJGBJKG&amp;refRID=H5KYGD3BBNXXARJGBJKG&amp;th=1" TargetMode="External"/><Relationship Id="rId83" Type="http://schemas.openxmlformats.org/officeDocument/2006/relationships/hyperlink" Target="https://www.amazon.com/Satechi-Aluminum-Bluetooth-Keyboard-3-Device/dp/B07F2SF4RH/ref=ya_od_pd_dx_qp_2/141-3649162-7485647?_encoding=UTF8&amp;pd_rd_i=B07F2RW6PJ&amp;pd_rd_r=b4862f20-76c2-446f-8d98-726c4af05e3e&amp;pd_rd_w=u2X7l&amp;pd_rd_wg=RmSj8&amp;refRID=FAVWAWMH8FTEV7792&amp;JPQ&amp;th=1" TargetMode="External"/><Relationship Id="rId88" Type="http://schemas.openxmlformats.org/officeDocument/2006/relationships/hyperlink" Target="https://www.amazon.com/Titleist-TA8CLBP-0-Club-Backpack/dp/B0799CLCTK/ref=sxbs_sxwds-stvp?crid=1ZWQ4I9Y79IX9&amp;keywords=titleist+golf+pouch+bag&amp;pd_rd_i=B0799CLCTK&amp;pd_rd_r=85beda92-c05f-4164-a060-d44ceb2fa9c4&amp;pd_rd_w=YisAM&amp;pd_rd_wg=YQQWv&amp;pf_rd_p=a6d018ad-f20&amp;b-46c9-8920-433972c7d9b7&amp;pf_rd_r=N8GHWFHBZ3PHV6SKDNQ2&amp;qid=1572155716&amp;sprefix=titleist+golf+pouch%2Caps%2C392" TargetMode="External"/><Relationship Id="rId91" Type="http://schemas.openxmlformats.org/officeDocument/2006/relationships/hyperlink" Target="https://www.amazon.com/dp/B07MHQZV62?aaxitk=DpocuWOpaKLukB2ZKmX6Pg&amp;pd_rd_i=B07MHQZV62&amp;pf_rd_p=44fc3e0f-4b9e-4ed8-b33b-363a7257163d&amp;hsa_cr_id=8513576550401&amp;sb-ci-n=asinImage&amp;sb-ci-v=https%3A%2F%2Fm.media-amazon.com%2Fimages%2FI%2F81Xr3Lm2qrL.jpg&amp;sb-ci-a=B0&amp;7MHQZV62" TargetMode="External"/><Relationship Id="rId96" Type="http://schemas.openxmlformats.org/officeDocument/2006/relationships/hyperlink" Target="https://www.amazon.com/dp/B079G6W2GH/ref=sspa_dk_detail_0?spLa=ZW5jcnlwdGVkUXVhbGlmaWVyPUFCS1dPWjg4TERESTkmZW5jcnlwdGVkSWQ9QTAzMDYyNjRVODZCRFRLNVBKS1omZW5jcnlwdGVkQWRJZD1BMDE2NjY5MTFVRzJTMEhaUThESEMmd2lkZ2V0TmFtZT1zcF9kZXRhaWwyJmFjdGlvbj1jbGlja1JlZGlyZWN0&amp;JmRvTm90TG9nQ2xpY2s9dHJ1ZQ&amp;th=1" TargetMode="External"/><Relationship Id="rId1" Type="http://schemas.openxmlformats.org/officeDocument/2006/relationships/hyperlink" Target="http://e4hats.com/" TargetMode="External"/><Relationship Id="rId6" Type="http://schemas.openxmlformats.org/officeDocument/2006/relationships/hyperlink" Target="https://www.amazon.com/Kodak-Mini-Photo-Printer-Cartridge/dp/B01M6ZJJPB/ref=pd_bxgy_421_img_3/141-0729808-3547103?_encoding=UTF8&amp;pd_rd_i=B01M6ZJJPB&amp;pd_rd_r=4e03e703-8cd2-11e9-8305-b7ed7ab58cc3&amp;pd_rd_w=dwuUe&amp;pd_rd_wg=Ybuwm&amp;pf_rd_p=a2006322-0bc0-4db9-a08e-d%22&amp;%22168c18ce6f0&amp;pf_rd_r=VV8RD7B640Y32WGPF25Z&amp;psc=1&amp;refRID=VV8RD7B640Y32WGPF25Z" TargetMode="External"/><Relationship Id="rId15" Type="http://schemas.openxmlformats.org/officeDocument/2006/relationships/hyperlink" Target="https://www.amazon.com/Extreme-Microsoft-Surface-Protective-Military/dp/B07BZ5B8S5/ref=sr_1_49_sspa?keywords=surface+pro+6+case&amp;qid=1565711900&amp;s=gateway&amp;sr=8-49-spons&amp;psc=1&amp;spLa=ZW5jcnlwdGVkUXVhbGlmaWVyPUFGNExSUkZFVllTQzcmZW5jcnlwdGVkSWQ9QTAxOTA5OTQxSTVJS&amp;1dKWlNTMTNEJmVuY3J5cHRlZEFkSWQ9QTEwMDE3OTAyVFBWMThENlZCMTNDJndpZGdldE5hbWU9c3BfYnRmJmFjdGlvbj1jbGlja1JlZGlyZWN0JmRvTm90TG9nQ2xpY2s9dHJ1ZQ==" TargetMode="External"/><Relationship Id="rId23" Type="http://schemas.openxmlformats.org/officeDocument/2006/relationships/hyperlink" Target="https://www.amazon.com/dp/B079HXN8TM/ref=sspa_dk_detail_2?pd_rd_i=B079HXBVMX&amp;pd_rd_w=ywnZj&amp;pf_rd_p=45a72588-80f7-4414-9851-786f6c16d42b&amp;pd_rd_wg=Th5jn&amp;pf_rd_r=KY3P5R7QXYEEQG7897XT&amp;pd_rd_r=5f903a92-738a-4518-8174-0069fc3c186d&amp;spLa=ZW5jcnlwdGVkUXVhbGlmaWVyP&amp;UEzR1VUTlhaWkZSRVZQJmVuY3J5cHRlZElkPUEwNjQ3NDEzM0tKMFVKQVdNMDVOJmVuY3J5cHRlZEFkSWQ9QTAxNjEwOTAyRDQ5T1JFQzZISTZSJndpZGdldE5hbWU9c3BfZGV0YWlsJmFjdGlvbj1jbGlja1JlZGlyZWN0JmRvTm90TG9nQ2xpY2s9dHJ1ZQ&amp;th=1" TargetMode="External"/><Relationship Id="rId28" Type="http://schemas.openxmlformats.org/officeDocument/2006/relationships/hyperlink" Target="https://www.amazon.com/BenQ-ScreenBar-Auto-Dimming-Adjustment-ScreenBar_Black/dp/B076VNFZJG/ref=sr_1_1_sspa?crid=84IKYIV08DBD&amp;keywords=benq%2Bscreenbar&amp;qid=1567157221&amp;s=gateway&amp;sprefix=benq%2Bscreen%2Caps%2C500&amp;sr=8-1-spons&amp;spLa=ZW5jcnlwdGVkUXVhbGlmaWVyPU&amp;EzMEtVNThHN09EWlY0JmVuY3J5cHRlZElkPUExMDI2MTc2MzBWU0VCWjVTU0xUTiZlbmNyeXB0ZWRBZElkPUEwNjY4MjQ3MlRMS1Q2RFMzUVJQVSZ3aWRnZXROYW1lPXNwX2F0ZiZhY3Rpb249Y2xpY2tSZWRpcmVjdCZkb05vdExvZ0NsaWNrPXRydWU&amp;th=1" TargetMode="External"/><Relationship Id="rId36" Type="http://schemas.openxmlformats.org/officeDocument/2006/relationships/hyperlink" Target="https://www.amazon.com/Nooz-Armless-Reading-Rectangular-Wherever/dp/B071LG94J3/ref=sr_1_5?keywords=nooz&amp;pd_rd_r=c869fe96-7949-4d25-b5f0-b9ae0cc2e78e&amp;pd_rd_w=LulmW&amp;pd_rd_wg=PQVKw&amp;pf_rd_p=67c9d84c-d98a-4415-a549-dd3360e9d207&amp;pf_rd_r=TEENF981P3C3GSSYF087&amp;qid&amp;=1568792786&amp;s=gateway&amp;sr=8-5&amp;th=1&amp;psc=1" TargetMode="External"/><Relationship Id="rId49" Type="http://schemas.openxmlformats.org/officeDocument/2006/relationships/hyperlink" Target="https://www.amazon.com/Infiland-Multiple-Samsung-SM-T860-Charging/dp/B07X2GQMVT/ref=sr_1_1_sspa?keywords=Galaxy%2Btab%2Bs6%2Bcase&amp;qid=1569668849&amp;s=gateway&amp;sr=8-1-spons&amp;spLa=ZW5jcnlwdGVkUXVhbGlmaWVyPUExM0RFRDAyRTg0MFhVJmVuY3J5cHRlZElkPUEwNDUxNDM1MjlZT1pGV1&amp;FaRkY4MSZlbmNyeXB0ZWRBZElkPUEwMTY4NTM1MkhWVDdSOVFQUjRHQSZ3aWRnZXROYW1lPXNwX2F0ZiZhY3Rpb249Y2xpY2tSZWRpcmVjdCZkb05vdExvZ0NsaWNrPXRydWU&amp;th=1" TargetMode="External"/><Relationship Id="rId57" Type="http://schemas.openxmlformats.org/officeDocument/2006/relationships/hyperlink" Target="https://www.amazon.com/Wilson-Advantage-II-Tennis-Bag/dp/B01AYGLUHG/ref=sr_1_1?crid=1SA02EKDVVKXV&amp;keywords=wilson%2Btennis%2Bbag&amp;qid=1569990916&amp;refinements=p_89%3AWilson%2Cp_72%3A2661618011&amp;rnid=2661617011&amp;s=gateway&amp;sprefix=wilson%2Btennis%2Bba%2Caps%2C33&amp;0&amp;sr=8-1&amp;th=1" TargetMode="External"/><Relationship Id="rId10" Type="http://schemas.openxmlformats.org/officeDocument/2006/relationships/hyperlink" Target="https://www.amazon.com/CVLIFE-Military-Tactical-Backpacks-Rucksacks/dp/B075CHKRQ6/ref=sr_1_1?keywords=CVLIFE%2BMilitary%2BTactical%2BMolle%2BBackpacks%2B3%2BDay%2BAssault%2BPack%2BBug%2BOut%2BBag%2BArmy%2BRucksacks%2Bfor%2BOutdoor%2BHiking%2BCamping%2BFis%22&amp;%22hing%2BHunting%2Bwith%2BTactical%2BFlag%2BPatch&amp;qid=1562312614&amp;s=gateway&amp;sr=8-1&amp;th=1" TargetMode="External"/><Relationship Id="rId31" Type="http://schemas.openxmlformats.org/officeDocument/2006/relationships/hyperlink" Target="https://www.amazon.com/UBeesize-Ringlight-YouTube-Photography-Compatible/dp/B07GDC39Y2?ref_=Oct_MWishedForC_2335752011_6&amp;pf_rd_r=5MZZ7GX717FMDG4MGGAR&amp;pf_rd_p=820cc294-2d7a-563a-8c5f-4f4162b17a5a&amp;pf_rd_s=merchandised-search-10&amp;pf_rd_t=101&amp;pf_rd_i=233575201&amp;1&amp;pf_rd_m=ATVPDKIKX0DER" TargetMode="External"/><Relationship Id="rId44" Type="http://schemas.openxmlformats.org/officeDocument/2006/relationships/hyperlink" Target="https://www.amazon.com/dp/B07X943VN8/ref=sspa_dk_detail_6?pd_rd_i=B07X943VN8&amp;pd_rd_w=cPp14&amp;pf_rd_p=45a72588-80f7-4414-9851-786f6c16d42b&amp;pd_rd_wg=FwZsv&amp;pf_rd_r=E5REA5XB6R4BACRS51RH&amp;pd_rd_r=9a2d3104-85e5-42fb-a78d-8490c31753f1&amp;spLa=ZW5jcnlwdGVkUXVhbGlmaWVyP&amp;UExSFpIQVZVN0tUMTQmZW5jcnlwdGVkSWQ9QTAxNDc1OTEyNkU0OTcyQk5IQ0FRJmVuY3J5cHRlZEFkSWQ9QTA0NzQzNjUzUlNTQ0ExVUdEMERFJndpZGdldE5hbWU9c3BfZGV0YWlsJmFjdGlvbj1jbGlja1JlZGlyZWN0JmRvTm90TG9nQ2xpY2s9dHJ1ZQ&amp;th=1" TargetMode="External"/><Relationship Id="rId52" Type="http://schemas.openxmlformats.org/officeDocument/2006/relationships/hyperlink" Target="https://www.amazon.com/Infiland-Multiple-Samsung-SM-T860-Charging/dp/B07XNW18ZV/ref=sr_1_1_sspa?keywords=Galaxy%2Btab%2Bs6%2Bcase&amp;qid=1569668849&amp;s=gateway&amp;sr=8-1-spons&amp;spLa=ZW5jcnlwdGVkUXVhbGlmaWVyPUExM0RFRDAyRTg0MFhVJmVuY3J5cHRlZElkPUEwNDUxNDM1MjlZT1pGV1&amp;FaRkY4MSZlbmNyeXB0ZWRBZElkPUEwMTY4NTM1MkhWVDdSOVFQUjRHQSZ3aWRnZXROYW1lPXNwX2F0ZiZhY3Rpb249Y2xpY2tSZWRpcmVjdCZkb05vdExvZ0NsaWNrPXRydWU&amp;th=1" TargetMode="External"/><Relationship Id="rId60" Type="http://schemas.openxmlformats.org/officeDocument/2006/relationships/hyperlink" Target="https://www.amazon.com/Wilson-Advantage-II-Tennis-Bag/dp/B01BOU7868/ref=sr_1_1?crid=1SA02EKDVVKXV&amp;keywords=wilson%2Btennis%2Bbag&amp;qid=1569990916&amp;refinements=p_89%3AWilson%2Cp_72%3A2661618011&amp;rnid=2661617011&amp;s=gateway&amp;sprefix=wilson%2Btennis%2Bba%2Caps%2C33&amp;0&amp;sr=8-1&amp;th=1" TargetMode="External"/><Relationship Id="rId65" Type="http://schemas.openxmlformats.org/officeDocument/2006/relationships/hyperlink" Target="https://www.amazon.com/Brydge-Keyboard-12-9-inch-Generation-Bluetooth/dp/B07MSFMCSZ/ref=sr_1_2_sspa?keywords=Brydge%2BPro%2B12.9%2BBluetooth%2BKeyboard&amp;qid=1570422624&amp;sr=8-2-spons&amp;spLa=ZW5jcnlwdGVkUXVhbGlmaWVyPUEyM05ETVpWVEIwM1JPJmVuY3J5cHRlZElkPUEwMDcyNT&amp;g4MUo3UUhBNFg2U0tESyZlbmNyeXB0ZWRBZElkPUEwNzM4NTMwMTFFUTlQNjE3RzdMOSZ3aWRnZXROYW1lPXNwX2F0ZiZhY3Rpb249Y2xpY2tSZWRpcmVjdCZkb05vdExvZ0NsaWNrPXRydWU&amp;th=1" TargetMode="External"/><Relationship Id="rId73" Type="http://schemas.openxmlformats.org/officeDocument/2006/relationships/hyperlink" Target="https://www.amazon.com/Tile-RE-23001-Slim-1-Pack/dp/B07W73PTJB/ref=sr_1_1_sspa?keywords=tile%2BSlim&amp;qid=1570770274&amp;sr=8-1-spons&amp;spLa=ZW5jcnlwdGVkUXVhbGlmaWVyPUEyTVNDVThNQ1RSVDM1JmVuY3J5cHRlZElkPUEwNDg2NzkyMUY4QzBLMEZMTFlHNyZlbmNyeXB0ZWRBZElkPUEwMTIwODEyMz&amp;k4Q0I1RVVPWVU0NSZ3aWRnZXROYW1lPXNwX2F0ZiZhY3Rpb249Y2xpY2tSZWRpcmVjdCZkb05vdExvZ0NsaWNrPXRydWU&amp;th=1" TargetMode="External"/><Relationship Id="rId78" Type="http://schemas.openxmlformats.org/officeDocument/2006/relationships/hyperlink" Target="https://www.amazon.com/Portable-Utensils-including-Chopsticks-Stainless/dp/B07WLK12S3/ref=pd_rhf_dp_s_bmx_0_1/146-8978066-9628062?_encoding=UTF8&amp;pd_rd_i=B07PG1M8VG&amp;pd_rd_r=b6b131de-b4a9-49af-8be0-89e0cbea785a&amp;pd_rd_w=bzEqq&amp;pd_rd_wg=K4NAb&amp;pf_rd_p=2684f94a-&amp;14cb-42dd-922b-fb62d142690f&amp;pf_rd_r=H5KYGD3BBNXXARJGBJKG&amp;refRID=H5KYGD3BBNXXARJGBJKG&amp;th=1" TargetMode="External"/><Relationship Id="rId81" Type="http://schemas.openxmlformats.org/officeDocument/2006/relationships/hyperlink" Target="https://www.amazon.com/Cooler-Master-Lightweight-Ultralight-Ultraweave/dp/B07T4VW9WP/ref=sr_1_1_sspa?crid=2P2ECT9OXLS99&amp;keywords=mm710+mouse&amp;qid=1571576637&amp;sprefix=MM710+%2Caps%2C364&amp;sr=8-1-spons&amp;psc=1&amp;spLa=ZW5jcnlwdGVkUXVhbGlmaWVyPUEzNVUzM0xHRTE5RTdUJmVu&amp;Y3J5cHRlZElkPUEwODgxNzI3MzRUVUI2N1hGUjVYWCZlbmNyeXB0ZWRBZElkPUEwNTE3ODEyMTY1MEdGOEszUFVYOSZ3aWRnZXROYW1lPXNwX2F0ZiZhY3Rpb249Y2xpY2tSZWRpcmVjdCZkb05vdExvZ0NsaWNrPXRydWU=" TargetMode="External"/><Relationship Id="rId86" Type="http://schemas.openxmlformats.org/officeDocument/2006/relationships/hyperlink" Target="https://www.amazon.com/Satechi-Aluminum-Bluetooth-Keyboard-3-Device/dp/B07F2RW6PJ/ref=ya_od_pd_dx_qp_2/141-3649162-7485647?_encoding=UTF8&amp;pd_rd_i=B07F2RW6PJ&amp;pd_rd_r=b4862f20-76c2-446f-8d98-726c4af05e3e&amp;pd_rd_w=u2X7l&amp;pd_rd_wg=RmSj8&amp;refRID=FAVWAWMH8FTEV7792&amp;JPQ&amp;th=1" TargetMode="External"/><Relationship Id="rId94" Type="http://schemas.openxmlformats.org/officeDocument/2006/relationships/hyperlink" Target="https://www.amazon.com/dp/B00MCJOP3K/ref=sspa_dk_detail_0?spLa=ZW5jcnlwdGVkUXVhbGlmaWVyPUFCS1dPWjg4TERESTkmZW5jcnlwdGVkSWQ9QTAzMDYyNjRVODZCRFRLNVBKS1omZW5jcnlwdGVkQWRJZD1BMDE2NjY5MTFVRzJTMEhaUThESEMmd2lkZ2V0TmFtZT1zcF9kZXRhaWwyJmFjdGlvbj1jbGlja1JlZGlyZWN0&amp;JmRvTm90TG9nQ2xpY2s9dHJ1ZQ&amp;th=1" TargetMode="External"/><Relationship Id="rId4" Type="http://schemas.openxmlformats.org/officeDocument/2006/relationships/hyperlink" Target="https://www.amazon.com/Fit-Healthy-Portable-Organizer-Containers/dp/B003V5D4RC/ref=pd_sbs_121_1/132-5058687-4719452?_encoding=UTF8&amp;pd_rd_i=B003V5D4RC&amp;pd_rd_r=49b66215-6e71-11e9-8571-61275becdf34&amp;pd_rd_w=UApQ7&amp;pd_rd_wg=41XVV&amp;pf_rd_p=588939de-d3f8-42f1-a3d8%22&amp;%22-d556eae5797d&amp;pf_rd_r=Y13KYM2M7FDA3M8CKM70&amp;psc=1&amp;refRID=Y13KYM2M7FDA3M8CKM70" TargetMode="External"/><Relationship Id="rId9" Type="http://schemas.openxmlformats.org/officeDocument/2006/relationships/hyperlink" Target="https://www.amazon.com/Bose-QuietComfort-Acoustic-Cancelling-Headphones/dp/B00VW7U8X4/ref=sr_1_2?crid=36GR44VQSJ4IH&amp;keywords=bose%2Bqc25%2Bnoise%2Bcancelling%2Bheadphones&amp;qid=1561257446&amp;refinements=p_89%3ABose&amp;rnid=2528832011&amp;s=gateway&amp;sprefix=bose%2Bqc25%22&amp;%22%2Bno%2Caps%2C318&amp;sr=8-2&amp;th=1" TargetMode="External"/><Relationship Id="rId13" Type="http://schemas.openxmlformats.org/officeDocument/2006/relationships/hyperlink" Target="https://www.amazon.com/IUNION-Electronic-Accessory-Organizer-Management/dp/B07TJ51JSW/ref=sr_1_15_sspa?crid=AJ0640OO374T&amp;keywords=surface+pro+6&amp;qid=1565445144&amp;refinements=p_72%3A1248879011&amp;rnid=1248877011&amp;s=pc&amp;sprefix=surface%2Caps%2C378&amp;sr=1-15-spons&amp;psc&amp;=1&amp;spLa=ZW5jcnlwdGVkUXVhbGlmaWVyPUEyMTJXUVo2NE9ZUjVZJmVuY3J5cHRlZElkPUEwMTIzMDQ1R1lONktIRzlaSzNSJmVuY3J5cHRlZEFkSWQ9QTA0OTYzMDEyMlo0SDNUNEFXMUlSJndpZGdldE5hbWU9c3BfbXRmJmFjdGlvbj1jbGlja1JlZGlyZWN0JmRvTm90TG9nQ2xpY2s9dHJ1ZQ==" TargetMode="External"/><Relationship Id="rId18" Type="http://schemas.openxmlformats.org/officeDocument/2006/relationships/hyperlink" Target="https://www.amazon.com/Youtec-Shockproof-Protective-Kickstand-Compatible/dp/B07MTSZ7K1/ref=sr_1_58_sspa?keywords=surface%2Bpro%2B6%2Bcase&amp;qid=1565783812&amp;s=gateway&amp;sr=8-58-spons&amp;spLa=ZW5jcnlwdGVkUXVhbGlmaWVyPUEySjMzVUpZR0wzTEo3JmVuY3J5cHRlZElkPUEwMDc4NzEyM&amp;jU3VVlYNkhMSU40MCZlbmNyeXB0ZWRBZElkPUEwMjYyMzE0MkRNMDFaM1BGUUtUTSZ3aWRnZXROYW1lPXNwX2J0ZiZhY3Rpb249Y2xpY2tSZWRpcmVjdCZkb05vdExvZ0NsaWNrPXRydWU&amp;th=1" TargetMode="External"/><Relationship Id="rId39" Type="http://schemas.openxmlformats.org/officeDocument/2006/relationships/hyperlink" Target="https://www.amazon.com/Nooz-Armless-Reading-Rectangular-Wherever/dp/B0728DJBYC/ref=sr_1_5?keywords=nooz&amp;pd_rd_r=c869fe96-7949-4d25-b5f0-b9ae0cc2e78e&amp;pd_rd_w=LulmW&amp;pd_rd_wg=PQVKw&amp;pf_rd_p=67c9d84c-d98a-4415-a549-dd3360e9d207&amp;pf_rd_r=TEENF981P3C3GSSYF087&amp;qid&amp;=1568792786&amp;s=gateway&amp;sr=8-5&amp;th=1" TargetMode="External"/><Relationship Id="rId34" Type="http://schemas.openxmlformats.org/officeDocument/2006/relationships/hyperlink" Target="https://www.amazon.com/iPad-Pro-12-9-Magnetically-2018/dp/B07QF6BVDP/ref=sr_1_1_sspa?crid=4PG7S43NNHSQ&amp;keywords=ipad%2Bpro%2B12.9%2Bkeyboard&amp;qid=1567869426&amp;s=electronics&amp;sprefix=ipad%2Bpro%2B12.9%2Celectronics%2C331&amp;sr=1-1-spons&amp;spLa=ZW5jcnlwdGVkUXVhbGlma&amp;WVyPUEzNTY3VElDUlVKQTk0JmVuY3J5cHRlZElkPUEwOTc1Njg1MkJGSFhCMVBGWEdOMiZlbmNyeXB0ZWRBZElkPUEwNjk1MDkxMUI0R1NUT1lKNFZNNyZ3aWRnZXROYW1lPXNwX2F0ZiZhY3Rpb249Y2xpY2tSZWRpcmVjdCZkb05vdExvZ0NsaWNrPXRydWU&amp;th=1" TargetMode="External"/><Relationship Id="rId50" Type="http://schemas.openxmlformats.org/officeDocument/2006/relationships/hyperlink" Target="https://www.amazon.com/Infiland-Multiple-Samsung-SM-T860-Charging/dp/B07X2HQD7L/ref=sr_1_1_sspa?keywords=Galaxy%2Btab%2Bs6%2Bcase&amp;qid=1569668849&amp;s=gateway&amp;sr=8-1-spons&amp;spLa=ZW5jcnlwdGVkUXVhbGlmaWVyPUExM0RFRDAyRTg0MFhVJmVuY3J5cHRlZElkPUEwNDUxNDM1MjlZT1pGV1&amp;FaRkY4MSZlbmNyeXB0ZWRBZElkPUEwMTY4NTM1MkhWVDdSOVFQUjRHQSZ3aWRnZXROYW1lPXNwX2F0ZiZhY3Rpb249Y2xpY2tSZWRpcmVjdCZkb05vdExvZ0NsaWNrPXRydWU&amp;th=1" TargetMode="External"/><Relationship Id="rId55" Type="http://schemas.openxmlformats.org/officeDocument/2006/relationships/hyperlink" Target="https://www.amazon.com/Headphones-Soundcore-SweatGuard-Technology-Bluetooth/dp/B07HFQ1DX1/ref=sr_1_1_sspa?keywords=Anker%2BSoundcore%2BSpirit%2BPro&amp;qid=1569918348&amp;s=gateway&amp;sr=8-1-spons&amp;spLa=ZW5jcnlwdGVkUXVhbGlmaWVyPUEyQjdLTzgyT0o3NkomZW5jcnlwdGVkSWQ9QTAz&amp;ODkwMjVZOFUwMDhQMVk0SDUmZW5jcnlwdGVkQWRJZD1BMDE4MjQxMDNUQUIzWVE1U05ITTImd2lkZ2V0TmFtZT1zcF9hdGYmYWN0aW9uPWNsaWNrUmVkaXJlY3QmZG9Ob3RMb2dDbGljaz10cnVl&amp;th=1" TargetMode="External"/><Relationship Id="rId76" Type="http://schemas.openxmlformats.org/officeDocument/2006/relationships/hyperlink" Target="https://www.amazon.com/Portable-Utensils-including-Chopsticks-Stainless/dp/B07W5ZKVGP/ref=pd_rhf_dp_s_bmx_0_1/146-8978066-9628062?_encoding=UTF8&amp;pd_rd_i=B07PG1M8VG&amp;pd_rd_r=b6b131de-b4a9-49af-8be0-89e0cbea785a&amp;pd_rd_w=bzEqq&amp;pd_rd_wg=K4NAb&amp;pf_rd_p=2684f94a-&amp;14cb-42dd-922b-fb62d142690f&amp;pf_rd_r=H5KYGD3BBNXXARJGBJKG&amp;refRID=H5KYGD3BBNXXARJGBJKG&amp;th=1" TargetMode="External"/><Relationship Id="rId97" Type="http://schemas.openxmlformats.org/officeDocument/2006/relationships/vmlDrawing" Target="../drawings/vmlDrawing1.vml"/><Relationship Id="rId7" Type="http://schemas.openxmlformats.org/officeDocument/2006/relationships/hyperlink" Target="https://www.amazon.com/Kodak-Mini-Photo-Printer-Cartridge/dp/B01M6ZJJPB/ref=pd_bxgy_421_img_3/141-0729808-3547103?_encoding=UTF8&amp;pd_rd_i=B01M6ZJJPB&amp;pd_rd_r=4e03e703-8cd2-11e9-8305-b7ed7ab58cc3&amp;pd_rd_w=dwuUe&amp;pd_rd_wg=Ybuwm&amp;pf_rd_p=a2006322-0bc0-4db9-a08e-d%22&amp;%22168c18ce6f0&amp;pf_rd_r=VV8RD7B640Y32WGPF25Z&amp;psc=1&amp;refRID=VV8RD7B640Y32WGPF25Z" TargetMode="External"/><Relationship Id="rId71" Type="http://schemas.openxmlformats.org/officeDocument/2006/relationships/hyperlink" Target="https://www.amazon.com/CalDigit-USB-C-Pro-Dock-Thunderbolt/dp/B07VL675DT/ref=sr_1_1_sspa?keywords=Caldigit+USB-C+Pro&amp;qid=1570971547&amp;refinements=p_89%3ACalDigit&amp;rnid=2528832011&amp;sr=8-1-spons&amp;psc=1&amp;spLa=ZW5jcnlwdGVkUXVhbGlmaWVyPUEyUkY3WlNGN1BCVDVaJmVuY3J5cHR&amp;lZElkPUEwOTQ2NTQ1MzM3MVFIQVZaQjZGTCZlbmNyeXB0ZWRBZElkPUEwNjQ2NDIyMzY2S0s1WTlGUUtOWiZ3aWRnZXROYW1lPXNwX2F0ZiZhY3Rpb249Y2xpY2tSZWRpcmVjdCZkb05vdExvZ0NsaWNrPXRydWU=" TargetMode="External"/><Relationship Id="rId92" Type="http://schemas.openxmlformats.org/officeDocument/2006/relationships/hyperlink" Target="https://www.amazon.com/Oasis-Supply-Grade-Wafer-11-Inch/dp/B00GGLHXPM/ref=sr_1_1_sspa?keywords=Oasis%2BSupply%2BO-grade%2Bwafer%2Bpaper&amp;qid=1576730403&amp;sr=8-1-spons&amp;spLa=ZW5jcnlwdGVkUXVhbGlmaWVyPUEzQTZORlo1RUxNTlFCJmVuY3J5cHRlZElkPUEwOTc1OTgwMzhLRklKQzJMRV&amp;hWSCZlbmNyeXB0ZWRBZElkPUEwMzM1NzQ3M1BYSTRPMlY4SzZVSSZ3aWRnZXROYW1lPXNwX2F0ZiZhY3Rpb249Y2xpY2tSZWRpcmVjdCZkb05vdExvZ0NsaWNrPXRydWU&amp;th=1" TargetMode="External"/><Relationship Id="rId2" Type="http://schemas.openxmlformats.org/officeDocument/2006/relationships/hyperlink" Target="https://www.amazon.com/Polaroid-OneStep-Viewfinder-Lumintrail-Cleaning/dp/B07PKR18QB/ref=sr_1_1_sspa?keywords=polaroid+onestep+2&amp;qid=1573569296&amp;sr=8-1-spons&amp;psc=1&amp;spLa=ZW5jcnlwdGVkUXVhbGlmaWVyPUExRkdXTTBYWjVYN0ZPJmVuY3J5cHRlZElkPUEwMzA4ODkxMktZV1JSWEJLMjR%22&amp;%22NSCZlbmNyeXB0ZWRBZElkPUEwMjA0OTA5Mkk5MEhaUjJEWU5aVCZ3aWRnZXROYW1lPXNwX2F0ZiZhY3Rpb249Y2xpY2tSZWRpcmVjdCZkb05vdExvZ0NsaWNrPXRydWU=" TargetMode="External"/><Relationship Id="rId29" Type="http://schemas.openxmlformats.org/officeDocument/2006/relationships/hyperlink" Target="https://www.amazon.com/Caseling-Harman-Kardon-Wireless-Speaker/dp/B01LXC8L9W/ref=pd_bxgy_23_img_2/141-3649162-7485647?_encoding=UTF8&amp;pd_rd_i=B01LXC8L9W&amp;pd_rd_r=b3164885-2d7f-4ec3-acd2-384bde52af77&amp;pd_rd_w=za9rI&amp;pd_rd_wg=hJJmt&amp;pf_rd_p=a2006322-0bc0-4db9-a0&amp;8e-d168c18ce6f0&amp;pf_rd_r=P750FT5R5TR35M24X1Q4&amp;psc=1&amp;refRID=P750FT5R5TR35M24X1Q4" TargetMode="External"/><Relationship Id="rId24" Type="http://schemas.openxmlformats.org/officeDocument/2006/relationships/hyperlink" Target="https://www.amazon.com/dp/B079JB8FV7/ref=sspa_dk_detail_2?pd_rd_i=B079HXBVMX&amp;pd_rd_w=ywnZj&amp;pf_rd_p=45a72588-80f7-4414-9851-786f6c16d42b&amp;pd_rd_wg=Th5jn&amp;pf_rd_r=KY3P5R7QXYEEQG7897XT&amp;pd_rd_r=5f903a92-738a-4518-8174-0069fc3c186d&amp;spLa=ZW5jcnlwdGVkUXVhbGlmaWVyP&amp;UEzR1VUTlhaWkZSRVZQJmVuY3J5cHRlZElkPUEwNjQ3NDEzM0tKMFVKQVdNMDVOJmVuY3J5cHRlZEFkSWQ9QTAxNjEwOTAyRDQ5T1JFQzZISTZSJndpZGdldE5hbWU9c3BfZGV0YWlsJmFjdGlvbj1jbGlja1JlZGlyZWN0JmRvTm90TG9nQ2xpY2s9dHJ1ZQ&amp;th=1" TargetMode="External"/><Relationship Id="rId40" Type="http://schemas.openxmlformats.org/officeDocument/2006/relationships/hyperlink" Target="https://www.amazon.com/Nooz-Armless-Reading-Rectangular-Wherever/dp/B079MHXNNY/ref=sr_1_5?keywords=nooz&amp;pd_rd_r=c869fe96-7949-4d25-b5f0-b9ae0cc2e78e&amp;pd_rd_w=LulmW&amp;pd_rd_wg=PQVKw&amp;pf_rd_p=67c9d84c-d98a-4415-a549-dd3360e9d207&amp;pf_rd_r=TEENF981P3C3GSSYF087&amp;qid&amp;=1568792786&amp;s=gateway&amp;sr=8-5&amp;th=1" TargetMode="External"/><Relationship Id="rId45" Type="http://schemas.openxmlformats.org/officeDocument/2006/relationships/hyperlink" Target="https://www.amazon.com/dp/B07X7F7LTK/ref=sspa_dk_detail_6?pd_rd_i=B07X943VN8&amp;pd_rd_w=cPp14&amp;pf_rd_p=45a72588-80f7-4414-9851-786f6c16d42b&amp;pd_rd_wg=FwZsv&amp;pf_rd_r=E5REA5XB6R4BACRS51RH&amp;pd_rd_r=9a2d3104-85e5-42fb-a78d-8490c31753f1&amp;spLa=ZW5jcnlwdGVkUXVhbGlmaWVyP&amp;UExSFpIQVZVN0tUMTQmZW5jcnlwdGVkSWQ9QTAxNDc1OTEyNkU0OTcyQk5IQ0FRJmVuY3J5cHRlZEFkSWQ9QTA0NzQzNjUzUlNTQ0ExVUdEMERFJndpZGdldE5hbWU9c3BfZGV0YWlsJmFjdGlvbj1jbGlja1JlZGlyZWN0JmRvTm90TG9nQ2xpY2s9dHJ1ZQ&amp;th=1" TargetMode="External"/><Relationship Id="rId66" Type="http://schemas.openxmlformats.org/officeDocument/2006/relationships/hyperlink" Target="https://www.amazon.com/TEWELL-Bluetooth-Speaker-Extended-Control/dp/B06XT5R7CJ/ref=pd_bxgy_23_img_2/146-8978066-9628062?_encoding=UTF8&amp;pd_rd_i=B06XT5R7CJ&amp;pd_rd_r=38c407d0-802b-4712-ad88-52bfbc63a9ba&amp;pd_rd_w=fFI6E&amp;pd_rd_wg=t1nVN&amp;pf_rd_p=3edd75bb-e36e-488e-&amp;b666-80dd1a52c658&amp;pf_rd_r=AJYK0MZH9EY8SW4E9D6R&amp;psc=1&amp;refRID=AJYK0MZH9EY8SW4E9D6R" TargetMode="External"/><Relationship Id="rId87" Type="http://schemas.openxmlformats.org/officeDocument/2006/relationships/hyperlink" Target="https://www.amazon.com/Instant-Pot-Programmable-Pressure-Steamer/dp/B06Y1YD5W7/ref=sxin_2_osp127-eda72637_cov?ascsubtag=eda72637-4466-4487-8126-29ae2c2c2e9f&amp;creativeASIN=B01B1VC13K&amp;cv_ct_id=amzn1.osp.eda72637-4466-4487-8126-29ae2c2c2e9f&amp;cv_ct_pg=search&amp;cv&amp;_ct_wn=osp-search&amp;keywords=instant%2Bpot&amp;linkCode=oas&amp;pd_rd_i=B01B1VC13K&amp;pd_rd_r=926dfc11-13e4-48b0-821c-75e3c150e8d0&amp;pd_rd_w=NDN8j&amp;pd_rd_wg=OA80s&amp;pf_rd_p=a23a388c-add5-49df-b293-a31ade89c6bf&amp;pf_rd_r=6YZMRZXW9EM61XRJ9YRY&amp;qid=1572169828&amp;tag=betteryou_os-20&amp;&amp;th=1" TargetMode="External"/><Relationship Id="rId61" Type="http://schemas.openxmlformats.org/officeDocument/2006/relationships/hyperlink" Target="https://www.amazon.com/DUNLOP-Performance-8-Racquet-Bag/dp/B072YWWPK1/ref=sxbs_sxwds-stvp?keywords=Dunlop+tennis&amp;pd_rd_i=B072YWWPK1&amp;pd_rd_r=6d153e92-3c59-4ff9-907b-2d1734f7052d&amp;pd_rd_w=6Xdtd&amp;pd_rd_wg=BYuHS&amp;pf_rd_p=a6d018ad-f20b-46c9-8920-433972c7d9b7&amp;pf_r&amp;d_r=FWRBT9J5X1WND7HXESHT&amp;qid=1569990769&amp;refinements=p_89%3ADunlop%7CDunlop+Sports%2Cp_72%3A2661618011&amp;rnid=2661617011&amp;s=gateway" TargetMode="External"/><Relationship Id="rId82" Type="http://schemas.openxmlformats.org/officeDocument/2006/relationships/hyperlink" Target="https://www.amazon.com/Incase-CL55603-Sling-Pack-Diamond/dp/B01E6BAERM/ref=pd_sbs_147_8?_encoding=UTF8&amp;pd_rd_i=B01E6BAERM&amp;pd_rd_r=a8ce96ac-4313-48b7-8900-705cb13ebc3a&amp;pd_rd_w=EhPLR&amp;pd_rd_wg=IvPqA&amp;pf_rd_p=52b7592c-2dc9-4ac6-84d4-4bda6360045e&amp;pf_rd_r=3VMZ6K&amp;03RK3Y7Q1F8AAC&amp;psc=1&amp;refRID=3VMZ6K03RK3Y7Q1F8AAC" TargetMode="External"/><Relationship Id="rId19" Type="http://schemas.openxmlformats.org/officeDocument/2006/relationships/hyperlink" Target="https://www.amazon.com/Youtec-Shockproof-Protective-Kickstand-Compatible/dp/B07MTTJ92P/ref=sr_1_58_sspa?keywords=surface%2Bpro%2B6%2Bcase&amp;qid=1565783812&amp;s=gateway&amp;sr=8-58-spons&amp;spLa=ZW5jcnlwdGVkUXVhbGlmaWVyPUEySjMzVUpZR0wzTEo3JmVuY3J5cHRlZElkPUEwMDc4NzEyM&amp;jU3VVlYNkhMSU40MCZlbmNyeXB0ZWRBZElkPUEwMjYyMzE0MkRNMDFaM1BGUUtUTSZ3aWRnZXROYW1lPXNwX2J0ZiZhY3Rpb249Y2xpY2tSZWRpcmVjdCZkb05vdExvZ0NsaWNrPXRydWU&amp;th=1" TargetMode="External"/><Relationship Id="rId14" Type="http://schemas.openxmlformats.org/officeDocument/2006/relationships/hyperlink" Target="https://www.amazon.com/dp/B07JG7C6LX/ref=sspa_dk_detail_0?pd_rd_i=B07JG7C6LX&amp;pd_rd_w=SFaG0&amp;pf_rd_p=8a8f3917-7900-4ce8-ad90-adf0d53c0985&amp;pd_rd_wg=0pAdY&amp;pf_rd_r=36R5QRTQW05TFXD9M5CE&amp;pd_rd_r=6ad846e4-f12e-4668-b20c-dc5a0b96f9bc&amp;spLa=ZW5jcnlwdGVkUXVhbGlmaWVyP&amp;UEyOUpLSE1VR1AxR1M3JmVuY3J5cHRlZElkPUEwNDU4OTE0MUhCSk85NUZMNkJDRCZlbmNyeXB0ZWRBZElkPUEwMTM4NzQzMkwwTFgxSVNTTktCVyZ3aWRnZXROYW1lPXNwX2RldGFpbCZhY3Rpb249Y2xpY2tSZWRpcmVjdCZkb05vdExvZ0NsaWNrPXRydWU&amp;th=1" TargetMode="External"/><Relationship Id="rId30" Type="http://schemas.openxmlformats.org/officeDocument/2006/relationships/hyperlink" Target="https://www.amazon.com/dp/B07CMK551C/ref=sspa_dk_detail_0?pd_rd_i=B07CMK551C&amp;pd_rd_w=NSPTw&amp;pf_rd_p=45a72588-80f7-4414-9851-786f6c16d42b&amp;pd_rd_wg=Ugg1X&amp;pf_rd_r=0PG518VY4NGAWQTAD9TS&amp;pd_rd_r=6ce717c2-5983-43b7-840f-f89bb0926a1f&amp;spLa=ZW5jcnlwdGVkUXVhbGlmaWVyP&amp;UFXRDMxQUlCODRCQUcmZW5jcnlwdGVkSWQ9QTA5MTM4MjQzN0E3V0NVQ1NWN0dOJmVuY3J5cHRlZEFkSWQ9QTA1NDMyNjAzUlJHTFg5Q05FTEsmd2lkZ2V0TmFtZT1zcF9kZXRhaWwmYWN0aW9uPWNsaWNrUmVkaXJlY3QmZG9Ob3RMb2dDbGljaz10cnVl&amp;th=1" TargetMode="External"/><Relationship Id="rId35" Type="http://schemas.openxmlformats.org/officeDocument/2006/relationships/hyperlink" Target="https://www.amazon.com/iPad-Pro-12-9-Magnetically-2018/dp/B07T2B4B5D/ref=sr_1_1_sspa?crid=4PG7S43NNHSQ&amp;keywords=ipad%2Bpro%2B12.9%2Bkeyboard&amp;qid=1567869426&amp;s=electronics&amp;sprefix=ipad%2Bpro%2B12.9%2Celectronics%2C331&amp;sr=1-1-spons&amp;spLa=ZW5jcnlwdGVkUXVhbGlma&amp;WVyPUEzNTY3VElDUlVKQTk0JmVuY3J5cHRlZElkPUEwOTc1Njg1MkJGSFhCMVBGWEdOMiZlbmNyeXB0ZWRBZElkPUEwNjk1MDkxMUI0R1NUT1lKNFZNNyZ3aWRnZXROYW1lPXNwX2F0ZiZhY3Rpb249Y2xpY2tSZWRpcmVjdCZkb05vdExvZ0NsaWNrPXRydWU&amp;th=1" TargetMode="External"/><Relationship Id="rId56" Type="http://schemas.openxmlformats.org/officeDocument/2006/relationships/hyperlink" Target="https://www.amazon.com/Headphones-Soundcore-SweatGuard-Technology-Bluetooth/dp/B07HFQ7NPX/ref=sr_1_1_sspa?keywords=Anker%2BSoundcore%2BSpirit%2BPro&amp;qid=1569918348&amp;s=gateway&amp;sr=8-1-spons&amp;spLa=ZW5jcnlwdGVkUXVhbGlmaWVyPUEyQjdLTzgyT0o3NkomZW5jcnlwdGVkSWQ9QTAz&amp;ODkwMjVZOFUwMDhQMVk0SDUmZW5jcnlwdGVkQWRJZD1BMDE4MjQxMDNUQUIzWVE1U05ITTImd2lkZ2V0TmFtZT1zcF9hdGYmYWN0aW9uPWNsaWNrUmVkaXJlY3QmZG9Ob3RMb2dDbGljaz10cnVl&amp;th=1" TargetMode="External"/><Relationship Id="rId77" Type="http://schemas.openxmlformats.org/officeDocument/2006/relationships/hyperlink" Target="https://www.amazon.com/Portable-Utensils-including-Chopsticks-Stainless/dp/B07W7198TH/ref=pd_rhf_dp_s_bmx_0_1/146-8978066-9628062?_encoding=UTF8&amp;pd_rd_i=B07PG1M8VG&amp;pd_rd_r=b6b131de-b4a9-49af-8be0-89e0cbea785a&amp;pd_rd_w=bzEqq&amp;pd_rd_wg=K4NAb&amp;pf_rd_p=2684f94a-&amp;14cb-42dd-922b-fb62d142690f&amp;pf_rd_r=H5KYGD3BBNXXARJGBJKG&amp;refRID=H5KYGD3BBNXXARJGBJKG&amp;th=1" TargetMode="External"/><Relationship Id="rId8" Type="http://schemas.openxmlformats.org/officeDocument/2006/relationships/hyperlink" Target="https://www.amazon.com/Bose-QuietComfort-Acoustic-Cancelling-Headphones/dp/B00M1NEUKK/ref=sr_1_2?crid=36GR44VQSJ4IH&amp;keywords=bose%2Bqc25%2Bnoise%2Bcancelling%2Bheadphones&amp;qid=1561257446&amp;refinements=p_89%3ABose&amp;rnid=2528832011&amp;s=gateway&amp;sprefix=bose%2Bqc25%22&amp;%22%2Bno%2Caps%2C318&amp;sr=8-2&amp;th=1" TargetMode="External"/><Relationship Id="rId51" Type="http://schemas.openxmlformats.org/officeDocument/2006/relationships/hyperlink" Target="https://www.amazon.com/Infiland-Multiple-Samsung-SM-T860-Charging/dp/B07WPT7NTR/ref=sr_1_1_sspa?keywords=Galaxy%2Btab%2Bs6%2Bcase&amp;qid=1569668849&amp;s=gateway&amp;sr=8-1-spons&amp;spLa=ZW5jcnlwdGVkUXVhbGlmaWVyPUExM0RFRDAyRTg0MFhVJmVuY3J5cHRlZElkPUEwNDUxNDM1MjlZT1pGV1&amp;FaRkY4MSZlbmNyeXB0ZWRBZElkPUEwMTY4NTM1MkhWVDdSOVFQUjRHQSZ3aWRnZXROYW1lPXNwX2F0ZiZhY3Rpb249Y2xpY2tSZWRpcmVjdCZkb05vdExvZ0NsaWNrPXRydWU&amp;th=1" TargetMode="External"/><Relationship Id="rId72" Type="http://schemas.openxmlformats.org/officeDocument/2006/relationships/hyperlink" Target="https://www.amazon.com/Tile-RE-23001-Slim-1-Pack/dp/B07WLYYP9R/ref=sr_1_1_sspa?keywords=tile%2BSlim&amp;qid=1570770274&amp;sr=8-1-spons&amp;spLa=ZW5jcnlwdGVkUXVhbGlmaWVyPUEyTVNDVThNQ1RSVDM1JmVuY3J5cHRlZElkPUEwNDg2NzkyMUY4QzBLMEZMTFlHNyZlbmNyeXB0ZWRBZElkPUEwMTIwODEyMz&amp;k4Q0I1RVVPWVU0NSZ3aWRnZXROYW1lPXNwX2F0ZiZhY3Rpb249Y2xpY2tSZWRpcmVjdCZkb05vdExvZ0NsaWNrPXRydWU&amp;th=1" TargetMode="External"/><Relationship Id="rId93" Type="http://schemas.openxmlformats.org/officeDocument/2006/relationships/hyperlink" Target="https://www.amazon.com/Oasis-Supply-Grade-Wafer-11-Inch/dp/B00024WNVI/ref=sr_1_1_sspa?keywords=Oasis%2BSupply%2BO-grade%2Bwafer%2Bpaper&amp;qid=1576730403&amp;sr=8-1-spons&amp;spLa=ZW5jcnlwdGVkUXVhbGlmaWVyPUEzQTZORlo1RUxNTlFCJmVuY3J5cHRlZElkPUEwOTc1OTgwMzhLRklKQzJMRV&amp;hWSCZlbmNyeXB0ZWRBZElkPUEwMzM1NzQ3M1BYSTRPMlY4SzZVSSZ3aWRnZXROYW1lPXNwX2F0ZiZhY3Rpb249Y2xpY2tSZWRpcmVjdCZkb05vdExvZ0NsaWNrPXRydWU&amp;th=1" TargetMode="External"/><Relationship Id="rId98"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item.taobao.com/item.htm?spm=2013.1.0.0.cfd230eaLEntpA&amp;id=551005887400&amp;scm=1007.12144.95220.42296_0_0&amp;pvid=18821b6a-1096-4973-a232-5b45693a2036&amp;utparam=%7B%22x_hestia_source%22%3A%2242296%22%2C%22x_object_type%22%3A%22item%22%2C%22x_mt%22%3A0%2C%252%22&amp;%222x_src%22%3A%2242296%22%2C%22x_pos%22%3A1%2C%22x_pvid%22%3A%2218821b6a-1096-4973-a232-5b45693a2036%22%2C%22x_object_id%22%3A551005887400%7D" TargetMode="External"/><Relationship Id="rId1" Type="http://schemas.openxmlformats.org/officeDocument/2006/relationships/hyperlink" Target="https://detail.tmall.com/item.htm?spm=a220o.1000855.1998025129.2.4a3c617fV8P8Rs&amp;pvid=5f82906f-7dd9-4def-8ce2-315c89f50397&amp;pos=2&amp;acm=03054.1003.1.2768562&amp;id=535016569856&amp;scm=1007.16862.95220.23864_0_0&amp;utparam=%7B%22x_hestia_source%22:%2223864%22,%22x_objec%22&amp;%22t_type%22:%22item%22,%22x_mt%22:0,%22x_src%22:%2223864%22,%22x_pos%22:2,%22x_pvid%22:%225f82906f-7dd9-4def-8ce2-315c89f50397%22,%22x_object_id%22:535016569856%7D&amp;skuId=3193507581282"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amazon.com/Huzi-Infinity-Pillow-Design-Travel/dp/B077ZLHXXZ"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W1018"/>
  <sheetViews>
    <sheetView tabSelected="1" workbookViewId="0">
      <pane xSplit="5" ySplit="2" topLeftCell="F3" activePane="bottomRight" state="frozen"/>
      <selection pane="topRight" activeCell="F1" sqref="F1"/>
      <selection pane="bottomLeft" activeCell="A3" sqref="A3"/>
      <selection pane="bottomRight" activeCell="N19" sqref="N19"/>
    </sheetView>
  </sheetViews>
  <sheetFormatPr defaultColWidth="14.44140625" defaultRowHeight="15.75" customHeight="1" outlineLevelCol="1"/>
  <cols>
    <col min="1" max="1" width="10.88671875" style="129" customWidth="1"/>
    <col min="2" max="2" width="12.6640625" style="278" customWidth="1"/>
    <col min="3" max="4" width="23" style="129" customWidth="1"/>
    <col min="5" max="6" width="10.109375" style="129" customWidth="1"/>
    <col min="7" max="8" width="6.5546875" style="129" customWidth="1"/>
    <col min="9" max="9" width="7.5546875" style="285" customWidth="1"/>
    <col min="10" max="10" width="7.33203125" style="129" customWidth="1" collapsed="1"/>
    <col min="11" max="13" width="7.33203125" style="129" hidden="1" customWidth="1" outlineLevel="1"/>
    <col min="14" max="16" width="7.33203125" style="129" customWidth="1"/>
    <col min="17" max="17" width="12.6640625" style="129" bestFit="1" customWidth="1"/>
    <col min="18" max="19" width="9.6640625" style="129" bestFit="1" customWidth="1"/>
    <col min="20" max="20" width="8.6640625" style="129" customWidth="1"/>
    <col min="21" max="21" width="7.77734375" style="129" bestFit="1" customWidth="1"/>
    <col min="22" max="22" width="9.109375" style="129" bestFit="1" customWidth="1"/>
    <col min="23" max="25" width="9.6640625" style="129" bestFit="1" customWidth="1"/>
    <col min="26" max="26" width="16.6640625" style="129" bestFit="1" customWidth="1" outlineLevel="1"/>
    <col min="27" max="27" width="24.109375" style="129" bestFit="1" customWidth="1" outlineLevel="1"/>
    <col min="28" max="28" width="17.21875" style="129" bestFit="1" customWidth="1" outlineLevel="1"/>
    <col min="29" max="29" width="17.88671875" style="129" bestFit="1" customWidth="1" outlineLevel="1"/>
    <col min="30" max="31" width="9.6640625" style="129" bestFit="1" customWidth="1" outlineLevel="1"/>
    <col min="32" max="32" width="17.21875" style="129" bestFit="1" customWidth="1" outlineLevel="1"/>
    <col min="33" max="33" width="9.109375" style="129" bestFit="1" customWidth="1"/>
    <col min="34" max="34" width="9.6640625" style="129" bestFit="1" customWidth="1"/>
    <col min="35" max="36" width="9.109375" style="129" bestFit="1" customWidth="1"/>
    <col min="37" max="37" width="16.44140625" style="129" bestFit="1" customWidth="1"/>
    <col min="38" max="38" width="16.6640625" style="129" customWidth="1"/>
    <col min="49" max="49" width="14.44140625" hidden="1"/>
  </cols>
  <sheetData>
    <row r="1" spans="1:49" ht="18.75" customHeight="1">
      <c r="A1" s="318" t="s">
        <v>0</v>
      </c>
      <c r="B1" s="302"/>
      <c r="C1" s="318" t="s">
        <v>1</v>
      </c>
      <c r="D1" s="302"/>
      <c r="E1" s="318" t="s">
        <v>2</v>
      </c>
      <c r="F1" s="319" t="s">
        <v>3</v>
      </c>
      <c r="G1" s="318" t="s">
        <v>4</v>
      </c>
      <c r="H1" s="302"/>
      <c r="I1" s="323" t="s">
        <v>1297</v>
      </c>
      <c r="J1" s="321" t="s">
        <v>1298</v>
      </c>
      <c r="K1" s="318" t="s">
        <v>6</v>
      </c>
      <c r="L1" s="302"/>
      <c r="M1" s="302"/>
      <c r="N1" s="318" t="s">
        <v>7</v>
      </c>
      <c r="O1" s="318" t="s">
        <v>8</v>
      </c>
      <c r="P1" s="318" t="s">
        <v>9</v>
      </c>
      <c r="Q1" s="324" t="s">
        <v>10</v>
      </c>
      <c r="R1" s="324" t="s">
        <v>33</v>
      </c>
      <c r="S1" s="324" t="s">
        <v>12</v>
      </c>
      <c r="T1" s="324" t="s">
        <v>8</v>
      </c>
      <c r="U1" s="324" t="s">
        <v>13</v>
      </c>
      <c r="V1" s="324" t="s">
        <v>14</v>
      </c>
      <c r="W1" s="302"/>
      <c r="X1" s="324" t="s">
        <v>15</v>
      </c>
      <c r="Y1" s="302"/>
      <c r="Z1" s="324" t="s">
        <v>16</v>
      </c>
      <c r="AA1" s="302"/>
      <c r="AB1" s="302"/>
      <c r="AC1" s="302"/>
      <c r="AD1" s="324" t="s">
        <v>17</v>
      </c>
      <c r="AE1" s="302"/>
      <c r="AF1" s="71"/>
      <c r="AG1" s="324" t="s">
        <v>18</v>
      </c>
      <c r="AH1" s="302"/>
      <c r="AI1" s="325" t="s">
        <v>19</v>
      </c>
      <c r="AJ1" s="302"/>
      <c r="AK1" s="72"/>
      <c r="AL1" s="73"/>
      <c r="AM1" s="2"/>
      <c r="AN1" s="2"/>
      <c r="AO1" s="2"/>
      <c r="AP1" s="2"/>
      <c r="AQ1" s="2"/>
      <c r="AR1" s="2"/>
      <c r="AS1" s="2"/>
      <c r="AT1" s="2"/>
      <c r="AU1" s="2"/>
      <c r="AV1" s="2"/>
      <c r="AW1" s="2"/>
    </row>
    <row r="2" spans="1:49" ht="18.75" customHeight="1">
      <c r="A2" s="74" t="s">
        <v>35</v>
      </c>
      <c r="B2" s="260" t="s">
        <v>22</v>
      </c>
      <c r="C2" s="74" t="s">
        <v>35</v>
      </c>
      <c r="D2" s="74" t="s">
        <v>22</v>
      </c>
      <c r="E2" s="302"/>
      <c r="F2" s="320"/>
      <c r="G2" s="302"/>
      <c r="H2" s="302"/>
      <c r="I2" s="320"/>
      <c r="J2" s="302"/>
      <c r="K2" s="74" t="s">
        <v>23</v>
      </c>
      <c r="L2" s="74" t="s">
        <v>24</v>
      </c>
      <c r="M2" s="74" t="s">
        <v>25</v>
      </c>
      <c r="N2" s="302"/>
      <c r="O2" s="302"/>
      <c r="P2" s="302"/>
      <c r="Q2" s="302"/>
      <c r="R2" s="302"/>
      <c r="S2" s="302"/>
      <c r="T2" s="302"/>
      <c r="U2" s="302"/>
      <c r="V2" s="71" t="s">
        <v>21</v>
      </c>
      <c r="W2" s="71" t="s">
        <v>22</v>
      </c>
      <c r="X2" s="71" t="s">
        <v>21</v>
      </c>
      <c r="Y2" s="71" t="s">
        <v>22</v>
      </c>
      <c r="Z2" s="71" t="s">
        <v>26</v>
      </c>
      <c r="AA2" s="71" t="s">
        <v>27</v>
      </c>
      <c r="AB2" s="71" t="s">
        <v>28</v>
      </c>
      <c r="AC2" s="71" t="s">
        <v>29</v>
      </c>
      <c r="AD2" s="71" t="s">
        <v>21</v>
      </c>
      <c r="AE2" s="71" t="s">
        <v>22</v>
      </c>
      <c r="AF2" s="71" t="s">
        <v>30</v>
      </c>
      <c r="AG2" s="71" t="s">
        <v>21</v>
      </c>
      <c r="AH2" s="71" t="s">
        <v>22</v>
      </c>
      <c r="AI2" s="75" t="s">
        <v>21</v>
      </c>
      <c r="AJ2" s="75" t="s">
        <v>22</v>
      </c>
      <c r="AK2" s="76" t="s">
        <v>31</v>
      </c>
      <c r="AL2" s="73" t="s">
        <v>36</v>
      </c>
      <c r="AM2" s="2"/>
      <c r="AN2" s="2"/>
      <c r="AO2" s="2"/>
      <c r="AP2" s="2"/>
      <c r="AQ2" s="2"/>
      <c r="AR2" s="2"/>
      <c r="AS2" s="2"/>
      <c r="AT2" s="2"/>
      <c r="AU2" s="2"/>
      <c r="AV2" s="2"/>
      <c r="AW2" s="2"/>
    </row>
    <row r="3" spans="1:49" ht="13.2">
      <c r="A3" s="77" t="s">
        <v>37</v>
      </c>
      <c r="B3" s="261"/>
      <c r="C3" s="79">
        <v>1250</v>
      </c>
      <c r="D3" s="79"/>
      <c r="E3" s="79"/>
      <c r="F3" s="80"/>
      <c r="G3" s="81"/>
      <c r="H3" s="81"/>
      <c r="I3" s="81"/>
      <c r="J3" s="82"/>
      <c r="K3" s="82"/>
      <c r="L3" s="82"/>
      <c r="M3" s="82"/>
      <c r="N3" s="82"/>
      <c r="O3" s="82"/>
      <c r="P3" s="83"/>
      <c r="Q3" s="84"/>
      <c r="R3" s="84"/>
      <c r="S3" s="84"/>
      <c r="T3" s="84"/>
      <c r="U3" s="84"/>
      <c r="V3" s="84"/>
      <c r="W3" s="84"/>
      <c r="X3" s="84"/>
      <c r="Y3" s="84"/>
      <c r="Z3" s="85"/>
      <c r="AA3" s="85"/>
      <c r="AB3" s="85"/>
      <c r="AC3" s="85"/>
      <c r="AD3" s="85"/>
      <c r="AE3" s="85"/>
      <c r="AF3" s="85"/>
      <c r="AG3" s="84"/>
      <c r="AH3" s="84"/>
      <c r="AI3" s="86"/>
      <c r="AJ3" s="86"/>
      <c r="AK3" s="87"/>
      <c r="AL3" s="88"/>
      <c r="AM3" s="5"/>
      <c r="AN3" s="5"/>
      <c r="AO3" s="5"/>
      <c r="AP3" s="5"/>
      <c r="AQ3" s="5"/>
      <c r="AR3" s="5"/>
      <c r="AS3" s="5"/>
      <c r="AT3" s="5"/>
      <c r="AU3" s="5"/>
      <c r="AV3" s="5"/>
      <c r="AW3" s="5"/>
    </row>
    <row r="4" spans="1:49" ht="13.2">
      <c r="A4" s="89">
        <f>HYPERLINK("https://smartstore.naver.com/brickstore2019/products/4404573419",AW:AW)</f>
        <v>4404573419</v>
      </c>
      <c r="B4" s="262"/>
      <c r="C4" s="90" t="s">
        <v>49</v>
      </c>
      <c r="D4" s="90"/>
      <c r="E4" s="90" t="s">
        <v>50</v>
      </c>
      <c r="F4" s="91"/>
      <c r="G4" s="92" t="str">
        <f>HYPERLINK("https://www.amazon.com/Huzi-Infinity-Pillow-Design-Travel/dp/B077ZLHXXZ","A")</f>
        <v>A</v>
      </c>
      <c r="H4" s="93"/>
      <c r="I4" s="93"/>
      <c r="J4" s="94">
        <v>40</v>
      </c>
      <c r="K4" s="82">
        <f t="shared" ref="K4:K22" si="0">IF(L4&gt;0,L4*0.0625,)</f>
        <v>0.25</v>
      </c>
      <c r="L4" s="82">
        <v>4</v>
      </c>
      <c r="M4" s="82">
        <f t="shared" ref="M4:M272" si="1">IF(K4&gt;0,K4*0.453592,IF(L4&gt;0,L4*0.02835,))</f>
        <v>0.113398</v>
      </c>
      <c r="N4" s="94">
        <v>0</v>
      </c>
      <c r="O4" s="94">
        <v>0</v>
      </c>
      <c r="P4" s="95">
        <f t="shared" ref="P4:P332" si="2">J4+O4+N4</f>
        <v>40</v>
      </c>
      <c r="Q4" s="96">
        <f>P4*C3</f>
        <v>50000</v>
      </c>
      <c r="R4" s="96">
        <v>0</v>
      </c>
      <c r="S4" s="97">
        <f t="shared" ref="S4:S8" si="3">ROUND(SUM(Q4:R4), -2)</f>
        <v>50000</v>
      </c>
      <c r="T4" s="97">
        <f>ROUNDUP(HLOOKUP(ROUNDUP(K4,0),'배송비 조회'!A$10:U$22,7,0)*C$3,-2)</f>
        <v>9000</v>
      </c>
      <c r="U4" s="97">
        <v>0</v>
      </c>
      <c r="V4" s="97">
        <f t="shared" ref="V4:V5" si="4">ROUND(IF(R4&gt;0,0,(S4+T4)*0.3),-2)</f>
        <v>17700</v>
      </c>
      <c r="W4" s="97">
        <f>V4+(S4+T4)*0.1</f>
        <v>23600</v>
      </c>
      <c r="X4" s="98">
        <f>IF(R4&gt;0,SUM(S4:T4),SUM(S4:V4))</f>
        <v>76700</v>
      </c>
      <c r="Y4" s="98">
        <f t="shared" ref="Y4:Y9" si="5">IF(R4&gt;0,SUM(S4:T4),SUM(S4:U4)+W4)</f>
        <v>82600</v>
      </c>
      <c r="Z4" s="99">
        <v>0</v>
      </c>
      <c r="AA4" s="99">
        <f t="shared" ref="AA4:AA332" si="6">X4*0.038</f>
        <v>2914.6</v>
      </c>
      <c r="AB4" s="99">
        <f t="shared" ref="AB4:AB332" si="7">X4*0.02</f>
        <v>1534</v>
      </c>
      <c r="AC4" s="99">
        <f t="shared" ref="AC4:AC1018" si="8">Y4*0.1</f>
        <v>8260</v>
      </c>
      <c r="AD4" s="99">
        <f t="shared" ref="AD4:AD332" si="9">X4-AA4-AB4</f>
        <v>72251.399999999994</v>
      </c>
      <c r="AE4" s="99">
        <f t="shared" ref="AE4:AE1018" si="10">Y4-AC4</f>
        <v>74340</v>
      </c>
      <c r="AF4" s="99">
        <f t="shared" ref="AF4:AF332" si="11">AD4*0.01</f>
        <v>722.51400000000001</v>
      </c>
      <c r="AG4" s="100">
        <f t="shared" ref="AG4:AG9" si="12">AD4-Q4-AF4-T4</f>
        <v>12528.885999999995</v>
      </c>
      <c r="AH4" s="101">
        <f t="shared" ref="AH4:AH9" si="13">AE4-Q4-AF4-T4</f>
        <v>14617.486000000001</v>
      </c>
      <c r="AI4" s="102">
        <f t="shared" ref="AI4:AJ4" si="14">AG4/X4</f>
        <v>0.16334923076923069</v>
      </c>
      <c r="AJ4" s="102">
        <f t="shared" si="14"/>
        <v>0.17696714285714288</v>
      </c>
      <c r="AK4" s="103"/>
      <c r="AL4" s="104"/>
      <c r="AM4" s="17"/>
      <c r="AN4" s="17"/>
      <c r="AO4" s="17"/>
      <c r="AP4" s="17"/>
      <c r="AQ4" s="17"/>
      <c r="AR4" s="17"/>
      <c r="AS4" s="17"/>
      <c r="AT4" s="17"/>
      <c r="AU4" s="17"/>
      <c r="AV4" s="17"/>
      <c r="AW4" s="6">
        <v>4404573419</v>
      </c>
    </row>
    <row r="5" spans="1:49" ht="13.2">
      <c r="A5" s="105">
        <f>HYPERLINK("https://smartstore.naver.com/brickstore2019/products/4406500739",AW:AW)</f>
        <v>4406500739</v>
      </c>
      <c r="B5" s="263"/>
      <c r="C5" s="107" t="s">
        <v>57</v>
      </c>
      <c r="D5" s="107"/>
      <c r="E5" s="107"/>
      <c r="F5" s="108"/>
      <c r="G5" s="109" t="str">
        <f>HYPERLINK("https://www.amazon.com/HYDAWAY-Collapsible-Pocket-sized-Travel-Bottle/dp/B073R14BWS/ref=sr_1_21?keywords=que+Bottle&amp;qid=1554022418&amp;s=home-garden&amp;sr=1-21","A")</f>
        <v>A</v>
      </c>
      <c r="H5" s="110" t="s">
        <v>60</v>
      </c>
      <c r="I5" s="110"/>
      <c r="J5" s="93">
        <v>22.83</v>
      </c>
      <c r="K5" s="111">
        <f t="shared" si="0"/>
        <v>0.25</v>
      </c>
      <c r="L5" s="111">
        <v>4</v>
      </c>
      <c r="M5" s="111">
        <f t="shared" si="1"/>
        <v>0.113398</v>
      </c>
      <c r="N5" s="93">
        <v>0</v>
      </c>
      <c r="O5" s="93">
        <v>0</v>
      </c>
      <c r="P5" s="95">
        <f t="shared" si="2"/>
        <v>22.83</v>
      </c>
      <c r="Q5" s="96">
        <f t="shared" ref="Q5:Q36" si="15">P5*C$3</f>
        <v>28537.499999999996</v>
      </c>
      <c r="R5" s="96">
        <f>ROUND(Q5*0.5,-2)</f>
        <v>14300</v>
      </c>
      <c r="S5" s="97">
        <f t="shared" si="3"/>
        <v>42800</v>
      </c>
      <c r="T5" s="97">
        <f>ROUNDUP(HLOOKUP(ROUNDUP(K5,0),'배송비 조회'!A$10:U$22,7,0)*C$3,-2)</f>
        <v>9000</v>
      </c>
      <c r="U5" s="97">
        <v>0</v>
      </c>
      <c r="V5" s="97">
        <f t="shared" si="4"/>
        <v>0</v>
      </c>
      <c r="W5" s="97">
        <f>ROUND(IF(R5&gt;0,0,(S5+T5)*0.5),-2)</f>
        <v>0</v>
      </c>
      <c r="X5" s="98">
        <f>SUM(S5:T5)</f>
        <v>51800</v>
      </c>
      <c r="Y5" s="98">
        <f t="shared" si="5"/>
        <v>51800</v>
      </c>
      <c r="Z5" s="99">
        <v>0</v>
      </c>
      <c r="AA5" s="99">
        <f t="shared" si="6"/>
        <v>1968.3999999999999</v>
      </c>
      <c r="AB5" s="99">
        <f t="shared" si="7"/>
        <v>1036</v>
      </c>
      <c r="AC5" s="99">
        <f t="shared" si="8"/>
        <v>5180</v>
      </c>
      <c r="AD5" s="99">
        <f t="shared" si="9"/>
        <v>48795.6</v>
      </c>
      <c r="AE5" s="99">
        <f t="shared" si="10"/>
        <v>46620</v>
      </c>
      <c r="AF5" s="99">
        <f t="shared" si="11"/>
        <v>487.95600000000002</v>
      </c>
      <c r="AG5" s="100">
        <f t="shared" si="12"/>
        <v>10770.144000000004</v>
      </c>
      <c r="AH5" s="101">
        <f t="shared" si="13"/>
        <v>8594.5440000000053</v>
      </c>
      <c r="AI5" s="102">
        <f t="shared" ref="AI5:AJ5" si="16">AG5/X5</f>
        <v>0.2079178378378379</v>
      </c>
      <c r="AJ5" s="102">
        <f t="shared" si="16"/>
        <v>0.16591783783783795</v>
      </c>
      <c r="AK5" s="103"/>
      <c r="AL5" s="112"/>
      <c r="AM5" s="21"/>
      <c r="AN5" s="21"/>
      <c r="AO5" s="17"/>
      <c r="AP5" s="17"/>
      <c r="AQ5" s="17"/>
      <c r="AR5" s="17"/>
      <c r="AS5" s="17"/>
      <c r="AT5" s="17"/>
      <c r="AU5" s="17"/>
      <c r="AV5" s="17"/>
      <c r="AW5" s="19">
        <v>4406500739</v>
      </c>
    </row>
    <row r="6" spans="1:49" ht="13.2">
      <c r="A6" s="105">
        <f>HYPERLINK("https://smartstore.naver.com/brickstore2019/products/4409757318",AW:AW)</f>
        <v>4409757318</v>
      </c>
      <c r="B6" s="263"/>
      <c r="C6" s="107" t="s">
        <v>65</v>
      </c>
      <c r="D6" s="107"/>
      <c r="E6" s="107" t="s">
        <v>66</v>
      </c>
      <c r="F6" s="108"/>
      <c r="G6" s="109" t="str">
        <f>HYPERLINK("https://www.amazon.com/Vont-Bike-Light-Tools-Free-Installation/dp/B00KQSVRF8/ref=sr_1_1_sspa?keywords=bike+Light+-+Comes+With+FREE+TAIL+LIGHT&amp;qid=1554126436&amp;s=gateway&amp;sr=8-1-spons&amp;psc=1","A")</f>
        <v>A</v>
      </c>
      <c r="H6" s="110" t="s">
        <v>60</v>
      </c>
      <c r="I6" s="110"/>
      <c r="J6" s="93">
        <v>15</v>
      </c>
      <c r="K6" s="111">
        <f t="shared" si="0"/>
        <v>0.5</v>
      </c>
      <c r="L6" s="111">
        <v>8</v>
      </c>
      <c r="M6" s="111">
        <f t="shared" si="1"/>
        <v>0.226796</v>
      </c>
      <c r="N6" s="93">
        <v>0</v>
      </c>
      <c r="O6" s="93">
        <v>0</v>
      </c>
      <c r="P6" s="95">
        <f t="shared" si="2"/>
        <v>15</v>
      </c>
      <c r="Q6" s="96">
        <f t="shared" si="15"/>
        <v>18750</v>
      </c>
      <c r="R6" s="96">
        <v>0</v>
      </c>
      <c r="S6" s="97">
        <f t="shared" si="3"/>
        <v>18800</v>
      </c>
      <c r="T6" s="97">
        <f>ROUNDUP(HLOOKUP(ROUNDUP(K6,0),'배송비 조회'!A$10:U$22,7,0)*C$3,-2)</f>
        <v>9000</v>
      </c>
      <c r="U6" s="97">
        <v>0</v>
      </c>
      <c r="V6" s="97">
        <f t="shared" ref="V6:V7" si="17">ROUND(IF(R6&gt;0,0,(S6+T6)*0.5),-2)</f>
        <v>13900</v>
      </c>
      <c r="W6" s="97">
        <f>V6+(S6+T6)*0.1</f>
        <v>16680</v>
      </c>
      <c r="X6" s="98">
        <f t="shared" ref="X6:X9" si="18">IF(R6&gt;0,SUM(S6:T6),SUM(S6:V6))</f>
        <v>41700</v>
      </c>
      <c r="Y6" s="98">
        <f t="shared" si="5"/>
        <v>44480</v>
      </c>
      <c r="Z6" s="99">
        <v>0</v>
      </c>
      <c r="AA6" s="99">
        <f t="shared" si="6"/>
        <v>1584.6</v>
      </c>
      <c r="AB6" s="99">
        <f t="shared" si="7"/>
        <v>834</v>
      </c>
      <c r="AC6" s="99">
        <f t="shared" si="8"/>
        <v>4448</v>
      </c>
      <c r="AD6" s="99">
        <f t="shared" si="9"/>
        <v>39281.4</v>
      </c>
      <c r="AE6" s="99">
        <f t="shared" si="10"/>
        <v>40032</v>
      </c>
      <c r="AF6" s="99">
        <f t="shared" si="11"/>
        <v>392.81400000000002</v>
      </c>
      <c r="AG6" s="100">
        <f t="shared" si="12"/>
        <v>11138.586000000003</v>
      </c>
      <c r="AH6" s="101">
        <f t="shared" si="13"/>
        <v>11889.186000000002</v>
      </c>
      <c r="AI6" s="102">
        <f t="shared" ref="AI6:AJ6" si="19">AG6/X6</f>
        <v>0.26711237410071947</v>
      </c>
      <c r="AJ6" s="102">
        <f t="shared" si="19"/>
        <v>0.26729285071942449</v>
      </c>
      <c r="AK6" s="103"/>
      <c r="AL6" s="112"/>
      <c r="AM6" s="21"/>
      <c r="AN6" s="21"/>
      <c r="AO6" s="17"/>
      <c r="AP6" s="17"/>
      <c r="AQ6" s="17"/>
      <c r="AR6" s="17"/>
      <c r="AS6" s="17"/>
      <c r="AT6" s="17"/>
      <c r="AU6" s="17"/>
      <c r="AV6" s="17"/>
      <c r="AW6" s="22">
        <v>4409757318</v>
      </c>
    </row>
    <row r="7" spans="1:49" ht="13.2">
      <c r="A7" s="89">
        <f>HYPERLINK("https://smartstore.naver.com/brickstore2019/products/4415560840",AW:AW)</f>
        <v>4415560840</v>
      </c>
      <c r="B7" s="264"/>
      <c r="C7" s="114" t="s">
        <v>72</v>
      </c>
      <c r="D7" s="114"/>
      <c r="E7" s="114" t="s">
        <v>73</v>
      </c>
      <c r="F7" s="91"/>
      <c r="G7" s="92" t="str">
        <f>HYPERLINK("https://www.amazon.com/Nike-L91-Cap-Tech-Hat/dp/B0731ZKSCL/ref=sr_1_8?keywords=nike%2Bgolf%2Bhat&amp;qid=1554299549&amp;s=gateway&amp;sr=8-8&amp;th=1&amp;psc=1","A")</f>
        <v>A</v>
      </c>
      <c r="H7" s="93"/>
      <c r="I7" s="93"/>
      <c r="J7" s="93">
        <v>20</v>
      </c>
      <c r="K7" s="111">
        <f t="shared" si="0"/>
        <v>0.3</v>
      </c>
      <c r="L7" s="111">
        <v>4.8</v>
      </c>
      <c r="M7" s="111">
        <f t="shared" si="1"/>
        <v>0.13607759999999999</v>
      </c>
      <c r="N7" s="93">
        <v>0</v>
      </c>
      <c r="O7" s="93">
        <v>0</v>
      </c>
      <c r="P7" s="95">
        <f t="shared" si="2"/>
        <v>20</v>
      </c>
      <c r="Q7" s="96">
        <f t="shared" si="15"/>
        <v>25000</v>
      </c>
      <c r="R7" s="96">
        <v>0</v>
      </c>
      <c r="S7" s="97">
        <f t="shared" si="3"/>
        <v>25000</v>
      </c>
      <c r="T7" s="97">
        <f>ROUNDUP(HLOOKUP(ROUNDUP(K7,0),'배송비 조회'!A$10:U$22,7,0)*C$3,-2)</f>
        <v>9000</v>
      </c>
      <c r="U7" s="97">
        <v>0</v>
      </c>
      <c r="V7" s="97">
        <f t="shared" si="17"/>
        <v>17000</v>
      </c>
      <c r="W7" s="97">
        <f t="shared" ref="W7:W8" si="20">ROUND(IF(R7&gt;0,0,(S7+T7)*0.5),-2)</f>
        <v>17000</v>
      </c>
      <c r="X7" s="98">
        <f t="shared" si="18"/>
        <v>51000</v>
      </c>
      <c r="Y7" s="98">
        <f t="shared" si="5"/>
        <v>51000</v>
      </c>
      <c r="Z7" s="99">
        <v>0</v>
      </c>
      <c r="AA7" s="99">
        <f t="shared" si="6"/>
        <v>1938</v>
      </c>
      <c r="AB7" s="99">
        <f t="shared" si="7"/>
        <v>1020</v>
      </c>
      <c r="AC7" s="99">
        <f t="shared" si="8"/>
        <v>5100</v>
      </c>
      <c r="AD7" s="99">
        <f t="shared" si="9"/>
        <v>48042</v>
      </c>
      <c r="AE7" s="99">
        <f t="shared" si="10"/>
        <v>45900</v>
      </c>
      <c r="AF7" s="99">
        <f t="shared" si="11"/>
        <v>480.42</v>
      </c>
      <c r="AG7" s="100">
        <f t="shared" si="12"/>
        <v>13561.580000000002</v>
      </c>
      <c r="AH7" s="101">
        <f t="shared" si="13"/>
        <v>11419.580000000002</v>
      </c>
      <c r="AI7" s="102">
        <f t="shared" ref="AI7:AJ7" si="21">AG7/X7</f>
        <v>0.26591333333333339</v>
      </c>
      <c r="AJ7" s="102">
        <f t="shared" si="21"/>
        <v>0.22391333333333338</v>
      </c>
      <c r="AK7" s="103"/>
      <c r="AL7" s="112"/>
      <c r="AM7" s="21"/>
      <c r="AN7" s="21"/>
      <c r="AO7" s="17"/>
      <c r="AP7" s="17"/>
      <c r="AQ7" s="17"/>
      <c r="AR7" s="17"/>
      <c r="AS7" s="17"/>
      <c r="AT7" s="17"/>
      <c r="AU7" s="17"/>
      <c r="AV7" s="17"/>
      <c r="AW7" s="22">
        <v>4415560840</v>
      </c>
    </row>
    <row r="8" spans="1:49" ht="13.2">
      <c r="A8" s="115">
        <f>HYPERLINK("https://smartstore.naver.com/brickstore2019/products/4423528812?NaPm=ct%3Dk0xwrq48%7Cci%3Dd9052cfef18fa38dad25cd07c4404921b5f3a37c%7Ctr%3Dslsl%7Csn%3D887008%7Cic%3D%7Chk%3De25b71c2bd2f9305c01c68348d5dbed9feabb221",AW:AW)</f>
        <v>4423528812</v>
      </c>
      <c r="B8" s="265"/>
      <c r="C8" s="116" t="s">
        <v>78</v>
      </c>
      <c r="D8" s="116"/>
      <c r="E8" s="117" t="s">
        <v>79</v>
      </c>
      <c r="F8" s="91"/>
      <c r="G8" s="92" t="str">
        <f>HYPERLINK("https://www.amazon.com/Casio-MDV106-1AV-Analog-Watch-Black/dp/B009KYJAJY/ref=sr_1_1?keywords=MDV106-1A&amp;qid=1554602376&amp;s=gateway&amp;sr=8-1","A")</f>
        <v>A</v>
      </c>
      <c r="H8" s="93"/>
      <c r="I8" s="93"/>
      <c r="J8" s="93">
        <v>47.67</v>
      </c>
      <c r="K8" s="111">
        <f t="shared" si="0"/>
        <v>0.35</v>
      </c>
      <c r="L8" s="111">
        <v>5.6</v>
      </c>
      <c r="M8" s="111">
        <f t="shared" si="1"/>
        <v>0.15875719999999999</v>
      </c>
      <c r="N8" s="93">
        <v>0</v>
      </c>
      <c r="O8" s="93">
        <v>0</v>
      </c>
      <c r="P8" s="95">
        <f t="shared" si="2"/>
        <v>47.67</v>
      </c>
      <c r="Q8" s="96">
        <f t="shared" si="15"/>
        <v>59587.5</v>
      </c>
      <c r="R8" s="96">
        <v>0</v>
      </c>
      <c r="S8" s="97">
        <f t="shared" si="3"/>
        <v>59600</v>
      </c>
      <c r="T8" s="97">
        <f>ROUNDUP(HLOOKUP(ROUNDUP(K8,0),'배송비 조회'!A$10:U$22,7,0)*C$3,-2)</f>
        <v>9000</v>
      </c>
      <c r="U8" s="97">
        <v>0</v>
      </c>
      <c r="V8" s="97">
        <f>ROUND(IF(R8&gt;0,0,(S8+T8)*0.3),-2)</f>
        <v>20600</v>
      </c>
      <c r="W8" s="97">
        <f t="shared" si="20"/>
        <v>34300</v>
      </c>
      <c r="X8" s="98">
        <f t="shared" si="18"/>
        <v>89200</v>
      </c>
      <c r="Y8" s="98">
        <f t="shared" si="5"/>
        <v>102900</v>
      </c>
      <c r="Z8" s="99">
        <v>0</v>
      </c>
      <c r="AA8" s="99">
        <f t="shared" si="6"/>
        <v>3389.6</v>
      </c>
      <c r="AB8" s="99">
        <f t="shared" si="7"/>
        <v>1784</v>
      </c>
      <c r="AC8" s="99">
        <f t="shared" si="8"/>
        <v>10290</v>
      </c>
      <c r="AD8" s="99">
        <f t="shared" si="9"/>
        <v>84026.4</v>
      </c>
      <c r="AE8" s="99">
        <f t="shared" si="10"/>
        <v>92610</v>
      </c>
      <c r="AF8" s="99">
        <f t="shared" si="11"/>
        <v>840.26400000000001</v>
      </c>
      <c r="AG8" s="100">
        <f t="shared" si="12"/>
        <v>14598.635999999995</v>
      </c>
      <c r="AH8" s="101">
        <f t="shared" si="13"/>
        <v>23182.236000000001</v>
      </c>
      <c r="AI8" s="102">
        <f t="shared" ref="AI8:AJ8" si="22">AG8/X8</f>
        <v>0.16366183856502237</v>
      </c>
      <c r="AJ8" s="102">
        <f t="shared" si="22"/>
        <v>0.22528897959183675</v>
      </c>
      <c r="AK8" s="118" t="s">
        <v>31</v>
      </c>
      <c r="AL8" s="112"/>
      <c r="AM8" s="21"/>
      <c r="AN8" s="21"/>
      <c r="AO8" s="17"/>
      <c r="AP8" s="17"/>
      <c r="AQ8" s="17"/>
      <c r="AR8" s="17"/>
      <c r="AS8" s="17"/>
      <c r="AT8" s="17"/>
      <c r="AU8" s="17"/>
      <c r="AV8" s="17"/>
      <c r="AW8" s="24">
        <v>4423528812</v>
      </c>
    </row>
    <row r="9" spans="1:49" ht="13.2">
      <c r="A9" s="301">
        <f>HYPERLINK("https://smartstore.naver.com/brickstore2019/products/4506831588",AW:AW)</f>
        <v>4506831588</v>
      </c>
      <c r="B9" s="264"/>
      <c r="C9" s="114" t="s">
        <v>83</v>
      </c>
      <c r="D9" s="114"/>
      <c r="E9" s="114" t="s">
        <v>85</v>
      </c>
      <c r="F9" s="91"/>
      <c r="G9" s="92" t="str">
        <f>HYPERLINK("https://www.amazon.com/gp/product/B07CN6QTZK?pf_rd_p=76bd99fd-409f-46a4-9ff6-b66b5703e95b&amp;pf_rd_r=GNYA555XHP298SY6WDEB","A")</f>
        <v>A</v>
      </c>
      <c r="H9" s="93"/>
      <c r="I9" s="93"/>
      <c r="J9" s="93">
        <v>9</v>
      </c>
      <c r="K9" s="111">
        <f t="shared" si="0"/>
        <v>0.125</v>
      </c>
      <c r="L9" s="111">
        <v>2</v>
      </c>
      <c r="M9" s="111">
        <f t="shared" si="1"/>
        <v>5.6698999999999999E-2</v>
      </c>
      <c r="N9" s="93">
        <v>0</v>
      </c>
      <c r="O9" s="93">
        <v>0</v>
      </c>
      <c r="P9" s="95">
        <f t="shared" si="2"/>
        <v>9</v>
      </c>
      <c r="Q9" s="96">
        <f t="shared" si="15"/>
        <v>11250</v>
      </c>
      <c r="R9" s="322">
        <v>0</v>
      </c>
      <c r="S9" s="314">
        <f>ROUND(SUM(Q9:R10), -2)</f>
        <v>73800</v>
      </c>
      <c r="T9" s="314">
        <f>ROUNDUP(HLOOKUP(ROUNDUP(K9,0),'배송비 조회'!A$10:U$22,7,0)*C$3,-2)</f>
        <v>9000</v>
      </c>
      <c r="U9" s="314">
        <v>0</v>
      </c>
      <c r="V9" s="314">
        <f>ROUND(IF(R9&gt;0,0,(S9+T9)*0.2),-2)</f>
        <v>16600</v>
      </c>
      <c r="W9" s="314">
        <f>ROUND(IF(R9&gt;0,0,(S9+T9)*0.3),-2)</f>
        <v>24800</v>
      </c>
      <c r="X9" s="315">
        <f t="shared" si="18"/>
        <v>99400</v>
      </c>
      <c r="Y9" s="315">
        <f t="shared" si="5"/>
        <v>107600</v>
      </c>
      <c r="Z9" s="99">
        <v>0</v>
      </c>
      <c r="AA9" s="99">
        <f t="shared" si="6"/>
        <v>3777.2</v>
      </c>
      <c r="AB9" s="99">
        <f t="shared" si="7"/>
        <v>1988</v>
      </c>
      <c r="AC9" s="99">
        <f t="shared" si="8"/>
        <v>10760</v>
      </c>
      <c r="AD9" s="99">
        <f t="shared" si="9"/>
        <v>93634.8</v>
      </c>
      <c r="AE9" s="99">
        <f t="shared" si="10"/>
        <v>96840</v>
      </c>
      <c r="AF9" s="99">
        <f t="shared" si="11"/>
        <v>936.34800000000007</v>
      </c>
      <c r="AG9" s="316">
        <f t="shared" si="12"/>
        <v>72448.452000000005</v>
      </c>
      <c r="AH9" s="317">
        <f t="shared" si="13"/>
        <v>75653.652000000002</v>
      </c>
      <c r="AI9" s="312">
        <f t="shared" ref="AI9:AJ9" si="23">AG9/X9</f>
        <v>0.7288576659959759</v>
      </c>
      <c r="AJ9" s="312">
        <f t="shared" si="23"/>
        <v>0.70310085501858732</v>
      </c>
      <c r="AK9" s="103"/>
      <c r="AL9" s="104"/>
      <c r="AM9" s="17"/>
      <c r="AN9" s="17"/>
      <c r="AO9" s="17"/>
      <c r="AP9" s="17"/>
      <c r="AQ9" s="17"/>
      <c r="AR9" s="17"/>
      <c r="AS9" s="17"/>
      <c r="AT9" s="17"/>
      <c r="AU9" s="17"/>
      <c r="AV9" s="17"/>
      <c r="AW9" s="25">
        <v>4506831588</v>
      </c>
    </row>
    <row r="10" spans="1:49" ht="13.2">
      <c r="A10" s="302"/>
      <c r="B10" s="264"/>
      <c r="C10" s="114" t="s">
        <v>93</v>
      </c>
      <c r="D10" s="114"/>
      <c r="E10" s="117" t="s">
        <v>79</v>
      </c>
      <c r="F10" s="91"/>
      <c r="G10" s="92" t="str">
        <f>HYPERLINK("https://www.amazon.com/Casio-MDV106-1AV-Analog-Watch-Black/dp/B009KYJAJY/ref=sr_1_1?keywords=MDV106-1A&amp;qid=1554602376&amp;s=gateway&amp;sr=8-1","A")</f>
        <v>A</v>
      </c>
      <c r="H10" s="93"/>
      <c r="I10" s="93"/>
      <c r="J10" s="93">
        <v>50</v>
      </c>
      <c r="K10" s="111">
        <f t="shared" si="0"/>
        <v>0.125</v>
      </c>
      <c r="L10" s="111">
        <v>2</v>
      </c>
      <c r="M10" s="111">
        <f t="shared" si="1"/>
        <v>5.6698999999999999E-2</v>
      </c>
      <c r="N10" s="93">
        <v>0</v>
      </c>
      <c r="O10" s="93">
        <v>0</v>
      </c>
      <c r="P10" s="95">
        <f t="shared" si="2"/>
        <v>50</v>
      </c>
      <c r="Q10" s="96">
        <f t="shared" si="15"/>
        <v>62500</v>
      </c>
      <c r="R10" s="302"/>
      <c r="S10" s="302"/>
      <c r="T10" s="302"/>
      <c r="U10" s="302"/>
      <c r="V10" s="302"/>
      <c r="W10" s="302"/>
      <c r="X10" s="302"/>
      <c r="Y10" s="302"/>
      <c r="Z10" s="99">
        <v>0</v>
      </c>
      <c r="AA10" s="99">
        <f t="shared" si="6"/>
        <v>0</v>
      </c>
      <c r="AB10" s="99">
        <f t="shared" si="7"/>
        <v>0</v>
      </c>
      <c r="AC10" s="99">
        <f t="shared" si="8"/>
        <v>0</v>
      </c>
      <c r="AD10" s="99">
        <f t="shared" si="9"/>
        <v>0</v>
      </c>
      <c r="AE10" s="99">
        <f t="shared" si="10"/>
        <v>0</v>
      </c>
      <c r="AF10" s="99">
        <f t="shared" si="11"/>
        <v>0</v>
      </c>
      <c r="AG10" s="302"/>
      <c r="AH10" s="302"/>
      <c r="AI10" s="302"/>
      <c r="AJ10" s="302"/>
      <c r="AK10" s="103"/>
      <c r="AL10" s="104"/>
      <c r="AM10" s="17"/>
      <c r="AN10" s="17"/>
      <c r="AO10" s="17"/>
      <c r="AP10" s="17"/>
      <c r="AQ10" s="17"/>
      <c r="AR10" s="17"/>
      <c r="AS10" s="17"/>
      <c r="AT10" s="17"/>
      <c r="AU10" s="17"/>
      <c r="AV10" s="17"/>
      <c r="AW10" s="20">
        <v>4506831588</v>
      </c>
    </row>
    <row r="11" spans="1:49" ht="13.2">
      <c r="A11" s="119">
        <f>HYPERLINK("https://smartstore.naver.com/brickstore2019/products/4423502710",AW:AW)</f>
        <v>4423502710</v>
      </c>
      <c r="B11" s="266"/>
      <c r="C11" s="117" t="s">
        <v>95</v>
      </c>
      <c r="D11" s="117"/>
      <c r="E11" s="117" t="s">
        <v>96</v>
      </c>
      <c r="F11" s="91"/>
      <c r="G11" s="92" t="str">
        <f>HYPERLINK("https://www.amazon.com/Thermos-Stainless-Ounce-Folding-Spoon/dp/B01DZQT01U/ref=sr_1_3?keywords=thermos&amp;qid=1554434259&amp;s=gateway&amp;sr=8-3&amp;th=1","A")</f>
        <v>A</v>
      </c>
      <c r="H11" s="93"/>
      <c r="I11" s="93"/>
      <c r="J11" s="93">
        <v>19.98</v>
      </c>
      <c r="K11" s="111">
        <f t="shared" si="0"/>
        <v>0.8</v>
      </c>
      <c r="L11" s="111">
        <v>12.8</v>
      </c>
      <c r="M11" s="111">
        <f t="shared" si="1"/>
        <v>0.36287360000000002</v>
      </c>
      <c r="N11" s="93">
        <v>0</v>
      </c>
      <c r="O11" s="93">
        <v>0</v>
      </c>
      <c r="P11" s="95">
        <f t="shared" si="2"/>
        <v>19.98</v>
      </c>
      <c r="Q11" s="96">
        <f t="shared" si="15"/>
        <v>24975</v>
      </c>
      <c r="R11" s="96">
        <v>0</v>
      </c>
      <c r="S11" s="97">
        <f t="shared" ref="S11:S272" si="24">ROUND(SUM(Q11:R11), -2)</f>
        <v>25000</v>
      </c>
      <c r="T11" s="97">
        <f>ROUNDUP(HLOOKUP(ROUNDUP(K11,0),'배송비 조회'!A$10:U$22,7,0)*C$3,-2)</f>
        <v>9000</v>
      </c>
      <c r="U11" s="97">
        <v>0</v>
      </c>
      <c r="V11" s="97">
        <f>ROUND(IF(R11&gt;0,0,(S11+T11)*0.5),-2)</f>
        <v>17000</v>
      </c>
      <c r="W11" s="97">
        <f t="shared" ref="W11:W27" si="25">ROUND(IF(R11&gt;0,0,(S11+T11)*0.5),-2)</f>
        <v>17000</v>
      </c>
      <c r="X11" s="98">
        <f t="shared" ref="X11:X72" si="26">IF(R11&gt;0,SUM(S11:T11),SUM(S11:V11))</f>
        <v>51000</v>
      </c>
      <c r="Y11" s="98">
        <f t="shared" ref="Y11:Y593" si="27">IF(R11&gt;0,SUM(S11:T11),SUM(S11:U11)+W11)</f>
        <v>51000</v>
      </c>
      <c r="Z11" s="99">
        <v>0</v>
      </c>
      <c r="AA11" s="99">
        <f t="shared" si="6"/>
        <v>1938</v>
      </c>
      <c r="AB11" s="99">
        <f t="shared" si="7"/>
        <v>1020</v>
      </c>
      <c r="AC11" s="99">
        <f t="shared" si="8"/>
        <v>5100</v>
      </c>
      <c r="AD11" s="99">
        <f t="shared" si="9"/>
        <v>48042</v>
      </c>
      <c r="AE11" s="99">
        <f t="shared" si="10"/>
        <v>45900</v>
      </c>
      <c r="AF11" s="99">
        <f t="shared" si="11"/>
        <v>480.42</v>
      </c>
      <c r="AG11" s="100">
        <f t="shared" ref="AG11:AG332" si="28">AD11-Q11-AF11-T11</f>
        <v>13586.580000000002</v>
      </c>
      <c r="AH11" s="101">
        <f t="shared" ref="AH11:AH597" si="29">AE11-Q11-AF11-T11</f>
        <v>11444.580000000002</v>
      </c>
      <c r="AI11" s="102">
        <f t="shared" ref="AI11:AJ11" si="30">AG11/X11</f>
        <v>0.26640352941176476</v>
      </c>
      <c r="AJ11" s="102">
        <f t="shared" si="30"/>
        <v>0.22440352941176475</v>
      </c>
      <c r="AK11" s="103"/>
      <c r="AL11" s="112"/>
      <c r="AM11" s="21"/>
      <c r="AN11" s="21"/>
      <c r="AO11" s="17"/>
      <c r="AP11" s="17"/>
      <c r="AQ11" s="17"/>
      <c r="AR11" s="17"/>
      <c r="AS11" s="17"/>
      <c r="AT11" s="17"/>
      <c r="AU11" s="17"/>
      <c r="AV11" s="17"/>
      <c r="AW11" s="22">
        <v>4423502710</v>
      </c>
    </row>
    <row r="12" spans="1:49" ht="13.2">
      <c r="A12" s="119">
        <f>HYPERLINK("https://smartstore.naver.com/brickstore2019/products/4424864634",AW:AW)</f>
        <v>4424864634</v>
      </c>
      <c r="B12" s="266"/>
      <c r="C12" s="117" t="s">
        <v>101</v>
      </c>
      <c r="D12" s="117"/>
      <c r="E12" s="117" t="s">
        <v>102</v>
      </c>
      <c r="F12" s="91"/>
      <c r="G12" s="92" t="str">
        <f>HYPERLINK("https://www.amazon.com/Kodak-Portable-Mobile-Instant-Printer/dp/B01KO0T5VA?psc=1&amp;SubscriptionId=AKIAJ6HCB5BRWX67J5VQ&amp;tag=207858-20&amp;linkCode=xm2&amp;camp=2025&amp;creative=165953&amp;creativeASIN=B01KO0T5VA&amp;m=ATVPDKIKX0DER","A")</f>
        <v>A</v>
      </c>
      <c r="H12" s="93"/>
      <c r="I12" s="93"/>
      <c r="J12" s="93">
        <v>91.49</v>
      </c>
      <c r="K12" s="111">
        <f t="shared" si="0"/>
        <v>0.85</v>
      </c>
      <c r="L12" s="111">
        <v>13.6</v>
      </c>
      <c r="M12" s="111">
        <f t="shared" si="1"/>
        <v>0.38555319999999998</v>
      </c>
      <c r="N12" s="93">
        <v>0</v>
      </c>
      <c r="O12" s="93">
        <v>0</v>
      </c>
      <c r="P12" s="95">
        <f t="shared" si="2"/>
        <v>91.49</v>
      </c>
      <c r="Q12" s="96">
        <f t="shared" si="15"/>
        <v>114362.5</v>
      </c>
      <c r="R12" s="96">
        <v>0</v>
      </c>
      <c r="S12" s="97">
        <f t="shared" si="24"/>
        <v>114400</v>
      </c>
      <c r="T12" s="97">
        <f>ROUNDUP(HLOOKUP(ROUNDUP(K12,0),'배송비 조회'!A$10:U$22,7,0)*C$3,-2)</f>
        <v>9000</v>
      </c>
      <c r="U12" s="97">
        <v>0</v>
      </c>
      <c r="V12" s="97">
        <f>ROUND(IF(R12&gt;0,0,(S12+T12)*0.3),-2)</f>
        <v>37000</v>
      </c>
      <c r="W12" s="97">
        <f t="shared" si="25"/>
        <v>61700</v>
      </c>
      <c r="X12" s="98">
        <f t="shared" si="26"/>
        <v>160400</v>
      </c>
      <c r="Y12" s="98">
        <f t="shared" si="27"/>
        <v>185100</v>
      </c>
      <c r="Z12" s="99">
        <v>0</v>
      </c>
      <c r="AA12" s="99">
        <f t="shared" si="6"/>
        <v>6095.2</v>
      </c>
      <c r="AB12" s="99">
        <f t="shared" si="7"/>
        <v>3208</v>
      </c>
      <c r="AC12" s="99">
        <f t="shared" si="8"/>
        <v>18510</v>
      </c>
      <c r="AD12" s="99">
        <f t="shared" si="9"/>
        <v>151096.79999999999</v>
      </c>
      <c r="AE12" s="99">
        <f t="shared" si="10"/>
        <v>166590</v>
      </c>
      <c r="AF12" s="99">
        <f t="shared" si="11"/>
        <v>1510.9679999999998</v>
      </c>
      <c r="AG12" s="100">
        <f t="shared" si="28"/>
        <v>26223.331999999988</v>
      </c>
      <c r="AH12" s="101">
        <f t="shared" si="29"/>
        <v>41716.531999999999</v>
      </c>
      <c r="AI12" s="102">
        <f t="shared" ref="AI12:AJ12" si="31">AG12/X12</f>
        <v>0.16348710723192011</v>
      </c>
      <c r="AJ12" s="102">
        <f t="shared" si="31"/>
        <v>0.22537294435440303</v>
      </c>
      <c r="AK12" s="103"/>
      <c r="AL12" s="112"/>
      <c r="AM12" s="21"/>
      <c r="AN12" s="21"/>
      <c r="AO12" s="17"/>
      <c r="AP12" s="17"/>
      <c r="AQ12" s="17"/>
      <c r="AR12" s="17"/>
      <c r="AS12" s="17"/>
      <c r="AT12" s="17"/>
      <c r="AU12" s="17"/>
      <c r="AV12" s="17"/>
      <c r="AW12" s="22">
        <v>4424864634</v>
      </c>
    </row>
    <row r="13" spans="1:49" ht="13.2">
      <c r="A13" s="119">
        <f>HYPERLINK("https://smartstore.naver.com/brickstore2019/products/4426016707",AW:AW)</f>
        <v>4426016707</v>
      </c>
      <c r="B13" s="266"/>
      <c r="C13" s="117" t="s">
        <v>105</v>
      </c>
      <c r="D13" s="117"/>
      <c r="E13" s="117" t="s">
        <v>106</v>
      </c>
      <c r="F13" s="91"/>
      <c r="G13" s="92" t="str">
        <f>HYPERLINK("https://www.amazon.com/Timex-T2M441-Reader-Patterned-Leather/dp/B004XILGA8/ref=sr_1_11?keywords=watch&amp;qid=1554725541&amp;refinements=p_72%3A2661618011%2Cp_89%3ACasio%7CTimex&amp;rnid=2528832011&amp;s=gateway&amp;sr=8-11","A")</f>
        <v>A</v>
      </c>
      <c r="H13" s="93"/>
      <c r="I13" s="93"/>
      <c r="J13" s="93">
        <v>60</v>
      </c>
      <c r="K13" s="111">
        <f t="shared" si="0"/>
        <v>0.2</v>
      </c>
      <c r="L13" s="111">
        <v>3.2</v>
      </c>
      <c r="M13" s="111">
        <f t="shared" si="1"/>
        <v>9.0718400000000005E-2</v>
      </c>
      <c r="N13" s="93">
        <v>0</v>
      </c>
      <c r="O13" s="93">
        <v>0</v>
      </c>
      <c r="P13" s="95">
        <f t="shared" si="2"/>
        <v>60</v>
      </c>
      <c r="Q13" s="96">
        <f t="shared" si="15"/>
        <v>75000</v>
      </c>
      <c r="R13" s="96">
        <v>0</v>
      </c>
      <c r="S13" s="97">
        <f t="shared" si="24"/>
        <v>75000</v>
      </c>
      <c r="T13" s="97">
        <f>ROUNDUP(HLOOKUP(ROUNDUP(K13,0),'배송비 조회'!A$10:U$22,7,0)*C$3,-2)</f>
        <v>9000</v>
      </c>
      <c r="U13" s="97">
        <v>0</v>
      </c>
      <c r="V13" s="97">
        <f t="shared" ref="V13:V16" si="32">ROUND(IF(R13&gt;0,0,(S13+T13)*0.4),-2)</f>
        <v>33600</v>
      </c>
      <c r="W13" s="97">
        <f t="shared" si="25"/>
        <v>42000</v>
      </c>
      <c r="X13" s="98">
        <f t="shared" si="26"/>
        <v>117600</v>
      </c>
      <c r="Y13" s="98">
        <f t="shared" si="27"/>
        <v>126000</v>
      </c>
      <c r="Z13" s="99">
        <v>0</v>
      </c>
      <c r="AA13" s="99">
        <f t="shared" si="6"/>
        <v>4468.8</v>
      </c>
      <c r="AB13" s="99">
        <f t="shared" si="7"/>
        <v>2352</v>
      </c>
      <c r="AC13" s="99">
        <f t="shared" si="8"/>
        <v>12600</v>
      </c>
      <c r="AD13" s="99">
        <f t="shared" si="9"/>
        <v>110779.2</v>
      </c>
      <c r="AE13" s="99">
        <f t="shared" si="10"/>
        <v>113400</v>
      </c>
      <c r="AF13" s="99">
        <f t="shared" si="11"/>
        <v>1107.7919999999999</v>
      </c>
      <c r="AG13" s="100">
        <f t="shared" si="28"/>
        <v>25671.407999999996</v>
      </c>
      <c r="AH13" s="101">
        <f t="shared" si="29"/>
        <v>28292.207999999999</v>
      </c>
      <c r="AI13" s="102">
        <f t="shared" ref="AI13:AJ13" si="33">AG13/X13</f>
        <v>0.21829428571428569</v>
      </c>
      <c r="AJ13" s="102">
        <f t="shared" si="33"/>
        <v>0.22454133333333332</v>
      </c>
      <c r="AK13" s="103"/>
      <c r="AL13" s="112"/>
      <c r="AM13" s="21"/>
      <c r="AN13" s="21"/>
      <c r="AO13" s="17"/>
      <c r="AP13" s="17"/>
      <c r="AQ13" s="17"/>
      <c r="AR13" s="17"/>
      <c r="AS13" s="17"/>
      <c r="AT13" s="17"/>
      <c r="AU13" s="17"/>
      <c r="AV13" s="17"/>
      <c r="AW13" s="22">
        <v>4426016707</v>
      </c>
    </row>
    <row r="14" spans="1:49" ht="13.2">
      <c r="A14" s="119">
        <f>HYPERLINK("https://smartstore.naver.com/brickstore2019/products/4426097458",AW:AW)</f>
        <v>4426097458</v>
      </c>
      <c r="B14" s="266"/>
      <c r="C14" s="117" t="s">
        <v>110</v>
      </c>
      <c r="D14" s="117"/>
      <c r="E14" s="117" t="s">
        <v>111</v>
      </c>
      <c r="F14" s="91"/>
      <c r="G14" s="92" t="str">
        <f>HYPERLINK("https://www.amazon.com/Timex-T2H331-Indiglo-Leather-Silver-Tone/dp/B000AYW0M2/ref=sr_1_22?keywords=watch&amp;qid=1554730002&amp;refinements=p_72%3A2661618011%2Cp_89%3ACasio%7CTimex&amp;rnid=2528832011&amp;s=gateway&amp;sr=8-22","A")</f>
        <v>A</v>
      </c>
      <c r="H14" s="93"/>
      <c r="I14" s="93"/>
      <c r="J14" s="93">
        <v>33.090000000000003</v>
      </c>
      <c r="K14" s="111">
        <f t="shared" si="0"/>
        <v>0.15</v>
      </c>
      <c r="L14" s="111">
        <v>2.4</v>
      </c>
      <c r="M14" s="111">
        <f t="shared" si="1"/>
        <v>6.8038799999999997E-2</v>
      </c>
      <c r="N14" s="93">
        <v>0</v>
      </c>
      <c r="O14" s="93">
        <v>0</v>
      </c>
      <c r="P14" s="95">
        <f t="shared" si="2"/>
        <v>33.090000000000003</v>
      </c>
      <c r="Q14" s="96">
        <f t="shared" si="15"/>
        <v>41362.500000000007</v>
      </c>
      <c r="R14" s="96">
        <v>0</v>
      </c>
      <c r="S14" s="97">
        <f t="shared" si="24"/>
        <v>41400</v>
      </c>
      <c r="T14" s="97">
        <f>ROUNDUP(HLOOKUP(ROUNDUP(K14,0),'배송비 조회'!A$10:U$22,7,0)*C$3,-2)</f>
        <v>9000</v>
      </c>
      <c r="U14" s="97">
        <v>0</v>
      </c>
      <c r="V14" s="97">
        <f t="shared" si="32"/>
        <v>20200</v>
      </c>
      <c r="W14" s="97">
        <f t="shared" si="25"/>
        <v>25200</v>
      </c>
      <c r="X14" s="98">
        <f t="shared" si="26"/>
        <v>70600</v>
      </c>
      <c r="Y14" s="98">
        <f t="shared" si="27"/>
        <v>75600</v>
      </c>
      <c r="Z14" s="99">
        <v>0</v>
      </c>
      <c r="AA14" s="99">
        <f t="shared" si="6"/>
        <v>2682.7999999999997</v>
      </c>
      <c r="AB14" s="99">
        <f t="shared" si="7"/>
        <v>1412</v>
      </c>
      <c r="AC14" s="99">
        <f t="shared" si="8"/>
        <v>7560</v>
      </c>
      <c r="AD14" s="99">
        <f t="shared" si="9"/>
        <v>66505.2</v>
      </c>
      <c r="AE14" s="99">
        <f t="shared" si="10"/>
        <v>68040</v>
      </c>
      <c r="AF14" s="99">
        <f t="shared" si="11"/>
        <v>665.05200000000002</v>
      </c>
      <c r="AG14" s="100">
        <f t="shared" si="28"/>
        <v>15477.64799999999</v>
      </c>
      <c r="AH14" s="101">
        <f t="shared" si="29"/>
        <v>17012.447999999993</v>
      </c>
      <c r="AI14" s="102">
        <f t="shared" ref="AI14:AJ14" si="34">AG14/X14</f>
        <v>0.21923014164305935</v>
      </c>
      <c r="AJ14" s="102">
        <f t="shared" si="34"/>
        <v>0.22503238095238087</v>
      </c>
      <c r="AK14" s="103"/>
      <c r="AL14" s="104"/>
      <c r="AM14" s="17"/>
      <c r="AN14" s="17"/>
      <c r="AO14" s="17"/>
      <c r="AP14" s="17"/>
      <c r="AQ14" s="17"/>
      <c r="AR14" s="17"/>
      <c r="AS14" s="17"/>
      <c r="AT14" s="17"/>
      <c r="AU14" s="17"/>
      <c r="AV14" s="17"/>
      <c r="AW14" s="22">
        <v>4426097458</v>
      </c>
    </row>
    <row r="15" spans="1:49" ht="13.2">
      <c r="A15" s="119">
        <f>HYPERLINK("https://smartstore.naver.com/brickstore2019/products/4427623887",AW:AW)</f>
        <v>4427623887</v>
      </c>
      <c r="B15" s="266"/>
      <c r="C15" s="117" t="s">
        <v>116</v>
      </c>
      <c r="D15" s="117"/>
      <c r="E15" s="117" t="s">
        <v>117</v>
      </c>
      <c r="F15" s="91"/>
      <c r="G15" s="92" t="str">
        <f>HYPERLINK("https://www.amazon.com/Timex-T20461-Silver-Tone-Stainless-Expansion/dp/B000B5459Q/ref=sr_1_41?keywords=watch&amp;qid=1554730002&amp;refinements=p_72%3A2661618011%2Cp_89%3ACasio%7CTimex&amp;rnid=2528832011&amp;s=gateway&amp;sr=8-41","A")</f>
        <v>A</v>
      </c>
      <c r="H15" s="93"/>
      <c r="I15" s="93"/>
      <c r="J15" s="93">
        <v>36</v>
      </c>
      <c r="K15" s="111">
        <f t="shared" si="0"/>
        <v>0.53125</v>
      </c>
      <c r="L15" s="111">
        <v>8.5</v>
      </c>
      <c r="M15" s="111">
        <f t="shared" si="1"/>
        <v>0.24097075000000001</v>
      </c>
      <c r="N15" s="93">
        <v>0</v>
      </c>
      <c r="O15" s="93">
        <v>0</v>
      </c>
      <c r="P15" s="95">
        <f t="shared" si="2"/>
        <v>36</v>
      </c>
      <c r="Q15" s="96">
        <f t="shared" si="15"/>
        <v>45000</v>
      </c>
      <c r="R15" s="96">
        <v>0</v>
      </c>
      <c r="S15" s="97">
        <f t="shared" si="24"/>
        <v>45000</v>
      </c>
      <c r="T15" s="97">
        <f>ROUNDUP(HLOOKUP(ROUNDUP(K15,0),'배송비 조회'!A$10:U$22,7,0)*C$3,-2)</f>
        <v>9000</v>
      </c>
      <c r="U15" s="97">
        <v>0</v>
      </c>
      <c r="V15" s="97">
        <f t="shared" si="32"/>
        <v>21600</v>
      </c>
      <c r="W15" s="97">
        <f t="shared" si="25"/>
        <v>27000</v>
      </c>
      <c r="X15" s="98">
        <f t="shared" si="26"/>
        <v>75600</v>
      </c>
      <c r="Y15" s="98">
        <f t="shared" si="27"/>
        <v>81000</v>
      </c>
      <c r="Z15" s="99">
        <v>0</v>
      </c>
      <c r="AA15" s="99">
        <f t="shared" si="6"/>
        <v>2872.7999999999997</v>
      </c>
      <c r="AB15" s="99">
        <f t="shared" si="7"/>
        <v>1512</v>
      </c>
      <c r="AC15" s="99">
        <f t="shared" si="8"/>
        <v>8100</v>
      </c>
      <c r="AD15" s="99">
        <f t="shared" si="9"/>
        <v>71215.199999999997</v>
      </c>
      <c r="AE15" s="99">
        <f t="shared" si="10"/>
        <v>72900</v>
      </c>
      <c r="AF15" s="99">
        <f t="shared" si="11"/>
        <v>712.15199999999993</v>
      </c>
      <c r="AG15" s="100">
        <f t="shared" si="28"/>
        <v>16503.047999999999</v>
      </c>
      <c r="AH15" s="101">
        <f t="shared" si="29"/>
        <v>18187.848000000002</v>
      </c>
      <c r="AI15" s="102">
        <f t="shared" ref="AI15:AJ15" si="35">AG15/X15</f>
        <v>0.21829428571428569</v>
      </c>
      <c r="AJ15" s="102">
        <f t="shared" si="35"/>
        <v>0.22454133333333334</v>
      </c>
      <c r="AK15" s="103"/>
      <c r="AL15" s="104"/>
      <c r="AM15" s="17"/>
      <c r="AN15" s="17"/>
      <c r="AO15" s="17"/>
      <c r="AP15" s="17"/>
      <c r="AQ15" s="17"/>
      <c r="AR15" s="17"/>
      <c r="AS15" s="17"/>
      <c r="AT15" s="17"/>
      <c r="AU15" s="17"/>
      <c r="AV15" s="17"/>
      <c r="AW15" s="22">
        <v>4427623887</v>
      </c>
    </row>
    <row r="16" spans="1:49" ht="13.2">
      <c r="A16" s="119">
        <f>HYPERLINK("https://smartstore.naver.com/brickstore2019/products/4429123187",AW:AW)</f>
        <v>4429123187</v>
      </c>
      <c r="B16" s="266"/>
      <c r="C16" s="117" t="s">
        <v>120</v>
      </c>
      <c r="D16" s="117"/>
      <c r="E16" s="117" t="s">
        <v>121</v>
      </c>
      <c r="F16" s="91"/>
      <c r="G16" s="92" t="str">
        <f>HYPERLINK("https://www.amazon.com/dp/B06ZYXZNXY/ref=cm_sw_r_cp_api_i_uckRCbBCWQK25","A")</f>
        <v>A</v>
      </c>
      <c r="H16" s="93"/>
      <c r="I16" s="93"/>
      <c r="J16" s="93">
        <v>25.99</v>
      </c>
      <c r="K16" s="111">
        <f t="shared" si="0"/>
        <v>0.3</v>
      </c>
      <c r="L16" s="111">
        <v>4.8</v>
      </c>
      <c r="M16" s="111">
        <f t="shared" si="1"/>
        <v>0.13607759999999999</v>
      </c>
      <c r="N16" s="93">
        <v>0</v>
      </c>
      <c r="O16" s="93">
        <v>0</v>
      </c>
      <c r="P16" s="95">
        <f t="shared" si="2"/>
        <v>25.99</v>
      </c>
      <c r="Q16" s="96">
        <f t="shared" si="15"/>
        <v>32487.499999999996</v>
      </c>
      <c r="R16" s="96">
        <v>0</v>
      </c>
      <c r="S16" s="97">
        <f t="shared" si="24"/>
        <v>32500</v>
      </c>
      <c r="T16" s="97">
        <f>ROUNDUP(HLOOKUP(ROUNDUP(K16,0),'배송비 조회'!A$10:U$22,7,0)*C$3,-2)</f>
        <v>9000</v>
      </c>
      <c r="U16" s="97">
        <v>0</v>
      </c>
      <c r="V16" s="97">
        <f t="shared" si="32"/>
        <v>16600</v>
      </c>
      <c r="W16" s="97">
        <f t="shared" si="25"/>
        <v>20800</v>
      </c>
      <c r="X16" s="98">
        <f t="shared" si="26"/>
        <v>58100</v>
      </c>
      <c r="Y16" s="98">
        <f t="shared" si="27"/>
        <v>62300</v>
      </c>
      <c r="Z16" s="121">
        <v>0</v>
      </c>
      <c r="AA16" s="121">
        <f t="shared" si="6"/>
        <v>2207.7999999999997</v>
      </c>
      <c r="AB16" s="121">
        <f t="shared" si="7"/>
        <v>1162</v>
      </c>
      <c r="AC16" s="99">
        <f t="shared" si="8"/>
        <v>6230</v>
      </c>
      <c r="AD16" s="121">
        <f t="shared" si="9"/>
        <v>54730.2</v>
      </c>
      <c r="AE16" s="99">
        <f t="shared" si="10"/>
        <v>56070</v>
      </c>
      <c r="AF16" s="121">
        <f t="shared" si="11"/>
        <v>547.30200000000002</v>
      </c>
      <c r="AG16" s="100">
        <f t="shared" si="28"/>
        <v>12695.398000000001</v>
      </c>
      <c r="AH16" s="101">
        <f t="shared" si="29"/>
        <v>14035.198000000004</v>
      </c>
      <c r="AI16" s="102">
        <f t="shared" ref="AI16:AJ16" si="36">AG16/X16</f>
        <v>0.21850943201376938</v>
      </c>
      <c r="AJ16" s="102">
        <f t="shared" si="36"/>
        <v>0.22528407704654901</v>
      </c>
      <c r="AK16" s="103"/>
      <c r="AL16" s="104"/>
      <c r="AM16" s="17"/>
      <c r="AN16" s="17"/>
      <c r="AO16" s="17"/>
      <c r="AP16" s="17"/>
      <c r="AQ16" s="17"/>
      <c r="AR16" s="17"/>
      <c r="AS16" s="17"/>
      <c r="AT16" s="17"/>
      <c r="AU16" s="17"/>
      <c r="AV16" s="17"/>
      <c r="AW16" s="22">
        <v>4429123187</v>
      </c>
    </row>
    <row r="17" spans="1:49" ht="13.2">
      <c r="A17" s="119">
        <f>HYPERLINK("https://smartstore.naver.com/brickstore2019/products/4430091145",AW:AW)</f>
        <v>4430091145</v>
      </c>
      <c r="B17" s="267"/>
      <c r="C17" s="117" t="s">
        <v>123</v>
      </c>
      <c r="D17" s="117"/>
      <c r="E17" s="117" t="s">
        <v>124</v>
      </c>
      <c r="F17" s="91" t="s">
        <v>125</v>
      </c>
      <c r="G17" s="92" t="str">
        <f>HYPERLINK("https://www.amazon.com/gp/product/B000B55AEA/ref=s9_acsd_simh_hd_bw_b6wJnVL_c_x_w?pf_rd_m=ATVPDKIKX0DER&amp;pf_rd_s=merchandised-search-11&amp;pf_rd_r=B8DM1YHV6X8J1T0NEQ25&amp;pf_rd_t=101&amp;pf_rd_p=36359550-2807-57b7-a134-5a8bc2426730&amp;pf_rd_i=6358543011","A")</f>
        <v>A</v>
      </c>
      <c r="H17" s="93"/>
      <c r="I17" s="93"/>
      <c r="J17" s="93">
        <v>32</v>
      </c>
      <c r="K17" s="111">
        <f t="shared" si="0"/>
        <v>0.1</v>
      </c>
      <c r="L17" s="111">
        <v>1.6</v>
      </c>
      <c r="M17" s="111">
        <f t="shared" si="1"/>
        <v>4.5359200000000002E-2</v>
      </c>
      <c r="N17" s="93">
        <v>0</v>
      </c>
      <c r="O17" s="93">
        <v>0</v>
      </c>
      <c r="P17" s="95">
        <f t="shared" si="2"/>
        <v>32</v>
      </c>
      <c r="Q17" s="96">
        <f t="shared" si="15"/>
        <v>40000</v>
      </c>
      <c r="R17" s="96">
        <v>0</v>
      </c>
      <c r="S17" s="97">
        <f t="shared" si="24"/>
        <v>40000</v>
      </c>
      <c r="T17" s="97">
        <f>ROUNDUP(HLOOKUP(ROUNDUP(K17,0),'배송비 조회'!A$10:U$22,7,0)*C$3,-2)</f>
        <v>9000</v>
      </c>
      <c r="U17" s="97">
        <v>0</v>
      </c>
      <c r="V17" s="97">
        <f>ROUND(IF(R17&gt;0,0,(S17+T17)*0.5),-2)</f>
        <v>24500</v>
      </c>
      <c r="W17" s="97">
        <f t="shared" si="25"/>
        <v>24500</v>
      </c>
      <c r="X17" s="98">
        <f t="shared" si="26"/>
        <v>73500</v>
      </c>
      <c r="Y17" s="98">
        <f t="shared" si="27"/>
        <v>73500</v>
      </c>
      <c r="Z17" s="121">
        <v>0</v>
      </c>
      <c r="AA17" s="121">
        <f t="shared" si="6"/>
        <v>2793</v>
      </c>
      <c r="AB17" s="121">
        <f t="shared" si="7"/>
        <v>1470</v>
      </c>
      <c r="AC17" s="99">
        <f t="shared" si="8"/>
        <v>7350</v>
      </c>
      <c r="AD17" s="121">
        <f t="shared" si="9"/>
        <v>69237</v>
      </c>
      <c r="AE17" s="99">
        <f t="shared" si="10"/>
        <v>66150</v>
      </c>
      <c r="AF17" s="121">
        <f t="shared" si="11"/>
        <v>692.37</v>
      </c>
      <c r="AG17" s="100">
        <f t="shared" si="28"/>
        <v>19544.63</v>
      </c>
      <c r="AH17" s="101">
        <f t="shared" si="29"/>
        <v>16457.63</v>
      </c>
      <c r="AI17" s="102">
        <f t="shared" ref="AI17:AJ17" si="37">AG17/X17</f>
        <v>0.26591333333333333</v>
      </c>
      <c r="AJ17" s="102">
        <f t="shared" si="37"/>
        <v>0.22391333333333335</v>
      </c>
      <c r="AK17" s="103"/>
      <c r="AL17" s="104"/>
      <c r="AM17" s="17"/>
      <c r="AN17" s="17"/>
      <c r="AO17" s="17"/>
      <c r="AP17" s="17"/>
      <c r="AQ17" s="17"/>
      <c r="AR17" s="17"/>
      <c r="AS17" s="17"/>
      <c r="AT17" s="17"/>
      <c r="AU17" s="17"/>
      <c r="AV17" s="17"/>
      <c r="AW17" s="22">
        <v>4430091145</v>
      </c>
    </row>
    <row r="18" spans="1:49" ht="13.2">
      <c r="A18" s="303">
        <f>HYPERLINK("https://smartstore.naver.com/brickstore2019/products/4433721346",AW:AW)</f>
        <v>4433721346</v>
      </c>
      <c r="B18" s="331"/>
      <c r="C18" s="304" t="s">
        <v>130</v>
      </c>
      <c r="D18" s="304"/>
      <c r="E18" s="304" t="s">
        <v>131</v>
      </c>
      <c r="F18" s="91" t="s">
        <v>125</v>
      </c>
      <c r="G18" s="92" t="str">
        <f>HYPERLINK("https://www.amazon.com/dp/B00HF49WXK/ref=cm_sw_r_cp_api_i_AVXRCbDTKH5AB","A")</f>
        <v>A</v>
      </c>
      <c r="H18" s="93"/>
      <c r="I18" s="93"/>
      <c r="J18" s="93">
        <v>37.049999999999997</v>
      </c>
      <c r="K18" s="111">
        <f t="shared" si="0"/>
        <v>0.3125</v>
      </c>
      <c r="L18" s="111">
        <v>5</v>
      </c>
      <c r="M18" s="111">
        <f t="shared" si="1"/>
        <v>0.1417475</v>
      </c>
      <c r="N18" s="93">
        <v>0</v>
      </c>
      <c r="O18" s="93">
        <v>0</v>
      </c>
      <c r="P18" s="95">
        <f t="shared" si="2"/>
        <v>37.049999999999997</v>
      </c>
      <c r="Q18" s="96">
        <f t="shared" si="15"/>
        <v>46312.5</v>
      </c>
      <c r="R18" s="96">
        <v>0</v>
      </c>
      <c r="S18" s="97">
        <f t="shared" si="24"/>
        <v>46300</v>
      </c>
      <c r="T18" s="97">
        <f>ROUNDUP(HLOOKUP(ROUNDUP(K18,0),'배송비 조회'!A$10:U$22,7,0)*C$3,-2)</f>
        <v>9000</v>
      </c>
      <c r="U18" s="97">
        <v>0</v>
      </c>
      <c r="V18" s="97">
        <f t="shared" ref="V18:V24" si="38">ROUND(IF(R18&gt;0,0,(S18+T18)*0.3),-2)</f>
        <v>16600</v>
      </c>
      <c r="W18" s="97">
        <f t="shared" si="25"/>
        <v>27700</v>
      </c>
      <c r="X18" s="98">
        <f t="shared" si="26"/>
        <v>71900</v>
      </c>
      <c r="Y18" s="98">
        <f t="shared" si="27"/>
        <v>83000</v>
      </c>
      <c r="Z18" s="121">
        <v>0</v>
      </c>
      <c r="AA18" s="121">
        <f t="shared" si="6"/>
        <v>2732.2</v>
      </c>
      <c r="AB18" s="121">
        <f t="shared" si="7"/>
        <v>1438</v>
      </c>
      <c r="AC18" s="99">
        <f t="shared" si="8"/>
        <v>8300</v>
      </c>
      <c r="AD18" s="121">
        <f t="shared" si="9"/>
        <v>67729.8</v>
      </c>
      <c r="AE18" s="99">
        <f t="shared" si="10"/>
        <v>74700</v>
      </c>
      <c r="AF18" s="121">
        <f t="shared" si="11"/>
        <v>677.298</v>
      </c>
      <c r="AG18" s="100">
        <f t="shared" si="28"/>
        <v>11740.002000000004</v>
      </c>
      <c r="AH18" s="101">
        <f t="shared" si="29"/>
        <v>18710.202000000001</v>
      </c>
      <c r="AI18" s="102">
        <f t="shared" ref="AI18:AJ18" si="39">AG18/X18</f>
        <v>0.16328236439499311</v>
      </c>
      <c r="AJ18" s="102">
        <f t="shared" si="39"/>
        <v>0.22542412048192773</v>
      </c>
      <c r="AK18" s="103"/>
      <c r="AL18" s="104"/>
      <c r="AM18" s="17"/>
      <c r="AN18" s="17"/>
      <c r="AO18" s="17"/>
      <c r="AP18" s="17"/>
      <c r="AQ18" s="17"/>
      <c r="AR18" s="17"/>
      <c r="AS18" s="17"/>
      <c r="AT18" s="17"/>
      <c r="AU18" s="17"/>
      <c r="AV18" s="17"/>
      <c r="AW18" s="22">
        <v>4433721346</v>
      </c>
    </row>
    <row r="19" spans="1:49" ht="13.2">
      <c r="A19" s="302"/>
      <c r="B19" s="306"/>
      <c r="C19" s="302"/>
      <c r="D19" s="302"/>
      <c r="E19" s="302"/>
      <c r="F19" s="91" t="s">
        <v>53</v>
      </c>
      <c r="G19" s="92" t="str">
        <f>HYPERLINK("https://www.amazon.com/dp/B0194LW5BM/ref=cm_sw_r_cp_api_i_AVXRCbDTKH5AB?th=1","A")</f>
        <v>A</v>
      </c>
      <c r="H19" s="93"/>
      <c r="I19" s="93"/>
      <c r="J19" s="93">
        <v>44.8</v>
      </c>
      <c r="K19" s="111">
        <f t="shared" si="0"/>
        <v>0.3125</v>
      </c>
      <c r="L19" s="111">
        <v>5</v>
      </c>
      <c r="M19" s="111">
        <f t="shared" si="1"/>
        <v>0.1417475</v>
      </c>
      <c r="N19" s="93">
        <v>0</v>
      </c>
      <c r="O19" s="93">
        <v>0</v>
      </c>
      <c r="P19" s="95">
        <f t="shared" si="2"/>
        <v>44.8</v>
      </c>
      <c r="Q19" s="96">
        <f t="shared" si="15"/>
        <v>56000</v>
      </c>
      <c r="R19" s="96">
        <v>0</v>
      </c>
      <c r="S19" s="97">
        <f t="shared" si="24"/>
        <v>56000</v>
      </c>
      <c r="T19" s="97">
        <f>ROUNDUP(HLOOKUP(ROUNDUP(K19,0),'배송비 조회'!A$10:U$22,7,0)*C$3,-2)</f>
        <v>9000</v>
      </c>
      <c r="U19" s="97">
        <v>0</v>
      </c>
      <c r="V19" s="97">
        <f t="shared" si="38"/>
        <v>19500</v>
      </c>
      <c r="W19" s="97">
        <f t="shared" si="25"/>
        <v>32500</v>
      </c>
      <c r="X19" s="98">
        <f t="shared" si="26"/>
        <v>84500</v>
      </c>
      <c r="Y19" s="98">
        <f t="shared" si="27"/>
        <v>97500</v>
      </c>
      <c r="Z19" s="121">
        <v>0</v>
      </c>
      <c r="AA19" s="121">
        <f t="shared" si="6"/>
        <v>3211</v>
      </c>
      <c r="AB19" s="121">
        <f t="shared" si="7"/>
        <v>1690</v>
      </c>
      <c r="AC19" s="99">
        <f t="shared" si="8"/>
        <v>9750</v>
      </c>
      <c r="AD19" s="121">
        <f t="shared" si="9"/>
        <v>79599</v>
      </c>
      <c r="AE19" s="99">
        <f t="shared" si="10"/>
        <v>87750</v>
      </c>
      <c r="AF19" s="121">
        <f t="shared" si="11"/>
        <v>795.99</v>
      </c>
      <c r="AG19" s="100">
        <f t="shared" si="28"/>
        <v>13803.009999999998</v>
      </c>
      <c r="AH19" s="101">
        <f t="shared" si="29"/>
        <v>21954.01</v>
      </c>
      <c r="AI19" s="102">
        <f t="shared" ref="AI19:AJ19" si="40">AG19/X19</f>
        <v>0.16334923076923075</v>
      </c>
      <c r="AJ19" s="102">
        <f t="shared" si="40"/>
        <v>0.2251693333333333</v>
      </c>
      <c r="AK19" s="103"/>
      <c r="AL19" s="122"/>
      <c r="AM19" s="27"/>
      <c r="AN19" s="27"/>
      <c r="AO19" s="17"/>
      <c r="AP19" s="17"/>
      <c r="AQ19" s="17"/>
      <c r="AR19" s="17"/>
      <c r="AS19" s="17"/>
      <c r="AT19" s="17"/>
      <c r="AU19" s="17"/>
      <c r="AV19" s="17"/>
      <c r="AW19" s="22"/>
    </row>
    <row r="20" spans="1:49" ht="13.2">
      <c r="A20" s="119">
        <f>HYPERLINK("https://smartstore.naver.com/brickstore2019/products/4433826912",AW:AW)</f>
        <v>4433826912</v>
      </c>
      <c r="B20" s="267"/>
      <c r="C20" s="117" t="s">
        <v>137</v>
      </c>
      <c r="D20" s="117"/>
      <c r="E20" s="117" t="s">
        <v>138</v>
      </c>
      <c r="F20" s="91"/>
      <c r="G20" s="92" t="str">
        <f>HYPERLINK("https://www.amazon.com/dp/B004JBB3ZM/ref=cm_sw_r_cp_api_i_3-XRCb97CXTJJ","A")</f>
        <v>A</v>
      </c>
      <c r="H20" s="93"/>
      <c r="I20" s="93"/>
      <c r="J20" s="93">
        <v>99.99</v>
      </c>
      <c r="K20" s="111">
        <f t="shared" si="0"/>
        <v>0.48749999999999999</v>
      </c>
      <c r="L20" s="111">
        <v>7.8</v>
      </c>
      <c r="M20" s="111">
        <f t="shared" si="1"/>
        <v>0.22112609999999999</v>
      </c>
      <c r="N20" s="93">
        <v>0</v>
      </c>
      <c r="O20" s="93">
        <v>0</v>
      </c>
      <c r="P20" s="95">
        <f t="shared" si="2"/>
        <v>99.99</v>
      </c>
      <c r="Q20" s="96">
        <f t="shared" si="15"/>
        <v>124987.5</v>
      </c>
      <c r="R20" s="96">
        <v>0</v>
      </c>
      <c r="S20" s="97">
        <f t="shared" si="24"/>
        <v>125000</v>
      </c>
      <c r="T20" s="97">
        <f>ROUNDUP(HLOOKUP(ROUNDUP(K20,0),'배송비 조회'!A$10:U$22,7,0)*C$3,-2)</f>
        <v>9000</v>
      </c>
      <c r="U20" s="97">
        <v>0</v>
      </c>
      <c r="V20" s="97">
        <f t="shared" si="38"/>
        <v>40200</v>
      </c>
      <c r="W20" s="97">
        <f t="shared" si="25"/>
        <v>67000</v>
      </c>
      <c r="X20" s="98">
        <f t="shared" si="26"/>
        <v>174200</v>
      </c>
      <c r="Y20" s="98">
        <f t="shared" si="27"/>
        <v>201000</v>
      </c>
      <c r="Z20" s="121">
        <v>0</v>
      </c>
      <c r="AA20" s="121">
        <f t="shared" si="6"/>
        <v>6619.5999999999995</v>
      </c>
      <c r="AB20" s="121">
        <f t="shared" si="7"/>
        <v>3484</v>
      </c>
      <c r="AC20" s="99">
        <f t="shared" si="8"/>
        <v>20100</v>
      </c>
      <c r="AD20" s="121">
        <f t="shared" si="9"/>
        <v>164096.4</v>
      </c>
      <c r="AE20" s="99">
        <f t="shared" si="10"/>
        <v>180900</v>
      </c>
      <c r="AF20" s="121">
        <f t="shared" si="11"/>
        <v>1640.9639999999999</v>
      </c>
      <c r="AG20" s="100">
        <f t="shared" si="28"/>
        <v>28467.935999999994</v>
      </c>
      <c r="AH20" s="101">
        <f t="shared" si="29"/>
        <v>45271.536</v>
      </c>
      <c r="AI20" s="102">
        <f t="shared" ref="AI20:AJ20" si="41">AG20/X20</f>
        <v>0.16342098737083807</v>
      </c>
      <c r="AJ20" s="102">
        <f t="shared" si="41"/>
        <v>0.22523152238805971</v>
      </c>
      <c r="AK20" s="103"/>
      <c r="AL20" s="122"/>
      <c r="AM20" s="27"/>
      <c r="AN20" s="27"/>
      <c r="AO20" s="17"/>
      <c r="AP20" s="17"/>
      <c r="AQ20" s="17"/>
      <c r="AR20" s="17"/>
      <c r="AS20" s="17"/>
      <c r="AT20" s="17"/>
      <c r="AU20" s="17"/>
      <c r="AV20" s="17"/>
      <c r="AW20" s="22">
        <v>4433826912</v>
      </c>
    </row>
    <row r="21" spans="1:49" ht="13.2">
      <c r="A21" s="119">
        <f>HYPERLINK("https://smartstore.naver.com/brickstore2019/products/4435605901",AW:AW)</f>
        <v>4435605901</v>
      </c>
      <c r="B21" s="268"/>
      <c r="C21" s="117" t="s">
        <v>141</v>
      </c>
      <c r="D21" s="117"/>
      <c r="E21" s="117" t="s">
        <v>142</v>
      </c>
      <c r="F21" s="91"/>
      <c r="G21" s="92" t="str">
        <f>HYPERLINK("https://www.amazon.com/Timex-T49905-Expedition-Chronograph-Leather/dp/B0083XFHIG/ref=sr_1_1?keywords=T49905&amp;qid=1555050925&amp;s=apparel&amp;sr=1-1","A")</f>
        <v>A</v>
      </c>
      <c r="H21" s="93"/>
      <c r="I21" s="93"/>
      <c r="J21" s="93">
        <v>58</v>
      </c>
      <c r="K21" s="111">
        <f t="shared" si="0"/>
        <v>0.3</v>
      </c>
      <c r="L21" s="111">
        <v>4.8</v>
      </c>
      <c r="M21" s="111">
        <f t="shared" si="1"/>
        <v>0.13607759999999999</v>
      </c>
      <c r="N21" s="93">
        <v>0</v>
      </c>
      <c r="O21" s="93">
        <v>0</v>
      </c>
      <c r="P21" s="95">
        <f t="shared" si="2"/>
        <v>58</v>
      </c>
      <c r="Q21" s="96">
        <f t="shared" si="15"/>
        <v>72500</v>
      </c>
      <c r="R21" s="96">
        <v>0</v>
      </c>
      <c r="S21" s="97">
        <f t="shared" si="24"/>
        <v>72500</v>
      </c>
      <c r="T21" s="97">
        <f>ROUNDUP(HLOOKUP(ROUNDUP(K21,0),'배송비 조회'!A$10:U$22,7,0)*C$3,-2)</f>
        <v>9000</v>
      </c>
      <c r="U21" s="97">
        <v>0</v>
      </c>
      <c r="V21" s="97">
        <f t="shared" si="38"/>
        <v>24500</v>
      </c>
      <c r="W21" s="97">
        <f t="shared" si="25"/>
        <v>40800</v>
      </c>
      <c r="X21" s="98">
        <f t="shared" si="26"/>
        <v>106000</v>
      </c>
      <c r="Y21" s="98">
        <f t="shared" si="27"/>
        <v>122300</v>
      </c>
      <c r="Z21" s="121">
        <v>0</v>
      </c>
      <c r="AA21" s="121">
        <f t="shared" si="6"/>
        <v>4028</v>
      </c>
      <c r="AB21" s="121">
        <f t="shared" si="7"/>
        <v>2120</v>
      </c>
      <c r="AC21" s="99">
        <f t="shared" si="8"/>
        <v>12230</v>
      </c>
      <c r="AD21" s="121">
        <f t="shared" si="9"/>
        <v>99852</v>
      </c>
      <c r="AE21" s="99">
        <f t="shared" si="10"/>
        <v>110070</v>
      </c>
      <c r="AF21" s="121">
        <f t="shared" si="11"/>
        <v>998.52</v>
      </c>
      <c r="AG21" s="100">
        <f t="shared" si="28"/>
        <v>17353.48</v>
      </c>
      <c r="AH21" s="101">
        <f t="shared" si="29"/>
        <v>27571.480000000003</v>
      </c>
      <c r="AI21" s="102">
        <f t="shared" ref="AI21:AJ21" si="42">AG21/X21</f>
        <v>0.16371207547169811</v>
      </c>
      <c r="AJ21" s="102">
        <f t="shared" si="42"/>
        <v>0.2254413736713001</v>
      </c>
      <c r="AK21" s="103"/>
      <c r="AL21" s="122"/>
      <c r="AM21" s="27"/>
      <c r="AN21" s="27"/>
      <c r="AO21" s="17"/>
      <c r="AP21" s="17"/>
      <c r="AQ21" s="17"/>
      <c r="AR21" s="17"/>
      <c r="AS21" s="17"/>
      <c r="AT21" s="17"/>
      <c r="AU21" s="17"/>
      <c r="AV21" s="17"/>
      <c r="AW21" s="22">
        <v>4435605901</v>
      </c>
    </row>
    <row r="22" spans="1:49" ht="13.2">
      <c r="A22" s="119">
        <f>HYPERLINK("https://smartstore.naver.com/brickstore2019/products/4438053399",AW:AW)</f>
        <v>4438053399</v>
      </c>
      <c r="B22" s="267"/>
      <c r="C22" s="117" t="s">
        <v>143</v>
      </c>
      <c r="D22" s="117"/>
      <c r="E22" s="117" t="s">
        <v>131</v>
      </c>
      <c r="F22" s="91"/>
      <c r="G22" s="92" t="str">
        <f>HYPERLINK("https://www.amazon.com/Timex-T49961-Expedition-Scout-Green/dp/B00HYUSWPE/ref=sr_1_1?keywords=T49961&amp;qid=1555160004&amp;s=gateway&amp;sr=8-1","A")</f>
        <v>A</v>
      </c>
      <c r="H22" s="93"/>
      <c r="I22" s="93"/>
      <c r="J22" s="93">
        <v>37.049999999999997</v>
      </c>
      <c r="K22" s="111">
        <f t="shared" si="0"/>
        <v>0.25</v>
      </c>
      <c r="L22" s="111">
        <v>4</v>
      </c>
      <c r="M22" s="111">
        <f t="shared" si="1"/>
        <v>0.113398</v>
      </c>
      <c r="N22" s="93">
        <v>0</v>
      </c>
      <c r="O22" s="93">
        <v>0</v>
      </c>
      <c r="P22" s="95">
        <f t="shared" si="2"/>
        <v>37.049999999999997</v>
      </c>
      <c r="Q22" s="96">
        <f t="shared" si="15"/>
        <v>46312.5</v>
      </c>
      <c r="R22" s="96">
        <v>0</v>
      </c>
      <c r="S22" s="97">
        <f t="shared" si="24"/>
        <v>46300</v>
      </c>
      <c r="T22" s="97">
        <f>ROUNDUP(HLOOKUP(ROUNDUP(K22,0),'배송비 조회'!A$10:U$22,7,0)*C$3,-2)</f>
        <v>9000</v>
      </c>
      <c r="U22" s="97">
        <v>0</v>
      </c>
      <c r="V22" s="97">
        <f t="shared" si="38"/>
        <v>16600</v>
      </c>
      <c r="W22" s="97">
        <f t="shared" si="25"/>
        <v>27700</v>
      </c>
      <c r="X22" s="98">
        <f t="shared" si="26"/>
        <v>71900</v>
      </c>
      <c r="Y22" s="98">
        <f t="shared" si="27"/>
        <v>83000</v>
      </c>
      <c r="Z22" s="121">
        <v>0</v>
      </c>
      <c r="AA22" s="121">
        <f t="shared" si="6"/>
        <v>2732.2</v>
      </c>
      <c r="AB22" s="121">
        <f t="shared" si="7"/>
        <v>1438</v>
      </c>
      <c r="AC22" s="99">
        <f t="shared" si="8"/>
        <v>8300</v>
      </c>
      <c r="AD22" s="121">
        <f t="shared" si="9"/>
        <v>67729.8</v>
      </c>
      <c r="AE22" s="99">
        <f t="shared" si="10"/>
        <v>74700</v>
      </c>
      <c r="AF22" s="121">
        <f t="shared" si="11"/>
        <v>677.298</v>
      </c>
      <c r="AG22" s="100">
        <f t="shared" si="28"/>
        <v>11740.002000000004</v>
      </c>
      <c r="AH22" s="101">
        <f t="shared" si="29"/>
        <v>18710.202000000001</v>
      </c>
      <c r="AI22" s="102">
        <f t="shared" ref="AI22:AJ22" si="43">AG22/X22</f>
        <v>0.16328236439499311</v>
      </c>
      <c r="AJ22" s="102">
        <f t="shared" si="43"/>
        <v>0.22542412048192773</v>
      </c>
      <c r="AK22" s="103"/>
      <c r="AL22" s="104"/>
      <c r="AM22" s="17"/>
      <c r="AN22" s="17"/>
      <c r="AO22" s="17"/>
      <c r="AP22" s="17"/>
      <c r="AQ22" s="17"/>
      <c r="AR22" s="17"/>
      <c r="AS22" s="17"/>
      <c r="AT22" s="17"/>
      <c r="AU22" s="17"/>
      <c r="AV22" s="17"/>
      <c r="AW22" s="22">
        <v>4438053399</v>
      </c>
    </row>
    <row r="23" spans="1:49" ht="13.2">
      <c r="A23" s="119">
        <f>HYPERLINK("https://smartstore.naver.com/brickstore2019/products/4438120352",AW:AW)</f>
        <v>4438120352</v>
      </c>
      <c r="B23" s="267"/>
      <c r="C23" s="117" t="s">
        <v>146</v>
      </c>
      <c r="D23" s="117"/>
      <c r="E23" s="117" t="s">
        <v>147</v>
      </c>
      <c r="F23" s="123"/>
      <c r="G23" s="124" t="str">
        <f>HYPERLINK("https://www.amazon.com/Lavolta-Carrying-Case-Apple-27-inch/dp/B01DYHDQNI/ref=sr_1_1?keywords=Lavolta+Carrying+Case&amp;qid=1555162087&amp;s=gateway&amp;sr=8-1","A")</f>
        <v>A</v>
      </c>
      <c r="H23" s="125"/>
      <c r="I23" s="125"/>
      <c r="J23" s="93">
        <v>78.790000000000006</v>
      </c>
      <c r="K23" s="111">
        <v>1.65</v>
      </c>
      <c r="L23" s="111">
        <f t="shared" ref="L23:L24" si="44">IF(K23&gt;0,K23*16,)</f>
        <v>26.4</v>
      </c>
      <c r="M23" s="111">
        <f t="shared" si="1"/>
        <v>0.74842679999999995</v>
      </c>
      <c r="N23" s="93">
        <v>0</v>
      </c>
      <c r="O23" s="93">
        <v>0</v>
      </c>
      <c r="P23" s="95">
        <f t="shared" si="2"/>
        <v>78.790000000000006</v>
      </c>
      <c r="Q23" s="96">
        <f t="shared" si="15"/>
        <v>98487.500000000015</v>
      </c>
      <c r="R23" s="96">
        <v>0</v>
      </c>
      <c r="S23" s="97">
        <f t="shared" si="24"/>
        <v>98500</v>
      </c>
      <c r="T23" s="97">
        <f>ROUNDUP(HLOOKUP(ROUNDUP(K23,0),'배송비 조회'!A$10:U$22,7,0)*C$3,-2)</f>
        <v>11200</v>
      </c>
      <c r="U23" s="97">
        <v>0</v>
      </c>
      <c r="V23" s="97">
        <f t="shared" si="38"/>
        <v>32900</v>
      </c>
      <c r="W23" s="97">
        <f t="shared" si="25"/>
        <v>54900</v>
      </c>
      <c r="X23" s="98">
        <f t="shared" si="26"/>
        <v>142600</v>
      </c>
      <c r="Y23" s="98">
        <f t="shared" si="27"/>
        <v>164600</v>
      </c>
      <c r="Z23" s="121">
        <v>0</v>
      </c>
      <c r="AA23" s="121">
        <f t="shared" si="6"/>
        <v>5418.8</v>
      </c>
      <c r="AB23" s="121">
        <f t="shared" si="7"/>
        <v>2852</v>
      </c>
      <c r="AC23" s="99">
        <f t="shared" si="8"/>
        <v>16460</v>
      </c>
      <c r="AD23" s="121">
        <f t="shared" si="9"/>
        <v>134329.20000000001</v>
      </c>
      <c r="AE23" s="99">
        <f t="shared" si="10"/>
        <v>148140</v>
      </c>
      <c r="AF23" s="121">
        <f t="shared" si="11"/>
        <v>1343.2920000000001</v>
      </c>
      <c r="AG23" s="100">
        <f t="shared" si="28"/>
        <v>23298.407999999996</v>
      </c>
      <c r="AH23" s="101">
        <f t="shared" si="29"/>
        <v>37109.207999999984</v>
      </c>
      <c r="AI23" s="102">
        <f t="shared" ref="AI23:AJ23" si="45">AG23/X23</f>
        <v>0.16338294530154274</v>
      </c>
      <c r="AJ23" s="102">
        <f t="shared" si="45"/>
        <v>0.22545083839611169</v>
      </c>
      <c r="AK23" s="103"/>
      <c r="AL23" s="104"/>
      <c r="AM23" s="17"/>
      <c r="AN23" s="17"/>
      <c r="AO23" s="17"/>
      <c r="AP23" s="17"/>
      <c r="AQ23" s="17"/>
      <c r="AR23" s="17"/>
      <c r="AS23" s="17"/>
      <c r="AT23" s="17"/>
      <c r="AU23" s="17"/>
      <c r="AV23" s="17"/>
      <c r="AW23" s="22">
        <v>4438120352</v>
      </c>
    </row>
    <row r="24" spans="1:49" ht="13.2">
      <c r="A24" s="119">
        <f>HYPERLINK("https://smartstore.naver.com/brickstore2019/products/4439817472",AW:AW)</f>
        <v>4439817472</v>
      </c>
      <c r="B24" s="269"/>
      <c r="C24" s="117" t="s">
        <v>152</v>
      </c>
      <c r="D24" s="117"/>
      <c r="E24" s="117" t="s">
        <v>153</v>
      </c>
      <c r="F24" s="91"/>
      <c r="G24" s="92" t="str">
        <f>HYPERLINK("https://www.amazon.com/OXO-3-Blade-Tabletop-Spiralizer-StrongHold/dp/B01C2TT2H8/ref=sr_1_3?keywords=OXO+Good+Grips+3-Blade&amp;qid=1555243857&amp;s=gateway&amp;sr=8-3","A")</f>
        <v>A</v>
      </c>
      <c r="H24" s="93"/>
      <c r="I24" s="93"/>
      <c r="J24" s="93">
        <v>39.950000000000003</v>
      </c>
      <c r="K24" s="111">
        <v>3.2</v>
      </c>
      <c r="L24" s="111">
        <f t="shared" si="44"/>
        <v>51.2</v>
      </c>
      <c r="M24" s="111">
        <f t="shared" si="1"/>
        <v>1.4514944000000001</v>
      </c>
      <c r="N24" s="93">
        <v>0</v>
      </c>
      <c r="O24" s="93">
        <v>0</v>
      </c>
      <c r="P24" s="95">
        <f t="shared" si="2"/>
        <v>39.950000000000003</v>
      </c>
      <c r="Q24" s="96">
        <f t="shared" si="15"/>
        <v>49937.5</v>
      </c>
      <c r="R24" s="96">
        <v>0</v>
      </c>
      <c r="S24" s="97">
        <f t="shared" si="24"/>
        <v>49900</v>
      </c>
      <c r="T24" s="97">
        <f>ROUNDUP(HLOOKUP(ROUNDUP(K24,0),'배송비 조회'!A$10:U$22,7,0)*C$3,-2)</f>
        <v>15600</v>
      </c>
      <c r="U24" s="97">
        <v>0</v>
      </c>
      <c r="V24" s="97">
        <f t="shared" si="38"/>
        <v>19700</v>
      </c>
      <c r="W24" s="97">
        <f t="shared" si="25"/>
        <v>32800</v>
      </c>
      <c r="X24" s="98">
        <f t="shared" si="26"/>
        <v>85200</v>
      </c>
      <c r="Y24" s="98">
        <f t="shared" si="27"/>
        <v>98300</v>
      </c>
      <c r="Z24" s="121">
        <v>0</v>
      </c>
      <c r="AA24" s="121">
        <f t="shared" si="6"/>
        <v>3237.6</v>
      </c>
      <c r="AB24" s="121">
        <f t="shared" si="7"/>
        <v>1704</v>
      </c>
      <c r="AC24" s="99">
        <f t="shared" si="8"/>
        <v>9830</v>
      </c>
      <c r="AD24" s="121">
        <f t="shared" si="9"/>
        <v>80258.399999999994</v>
      </c>
      <c r="AE24" s="99">
        <f t="shared" si="10"/>
        <v>88470</v>
      </c>
      <c r="AF24" s="121">
        <f t="shared" si="11"/>
        <v>802.58399999999995</v>
      </c>
      <c r="AG24" s="100">
        <f t="shared" si="28"/>
        <v>13918.315999999995</v>
      </c>
      <c r="AH24" s="101">
        <f t="shared" si="29"/>
        <v>22129.915999999997</v>
      </c>
      <c r="AI24" s="102">
        <f t="shared" ref="AI24:AJ24" si="46">AG24/X24</f>
        <v>0.16336051643192484</v>
      </c>
      <c r="AJ24" s="102">
        <f t="shared" si="46"/>
        <v>0.22512630722278737</v>
      </c>
      <c r="AK24" s="103"/>
      <c r="AL24" s="104"/>
      <c r="AM24" s="17"/>
      <c r="AN24" s="17"/>
      <c r="AO24" s="17"/>
      <c r="AP24" s="17"/>
      <c r="AQ24" s="17"/>
      <c r="AR24" s="17"/>
      <c r="AS24" s="17"/>
      <c r="AT24" s="17"/>
      <c r="AU24" s="17"/>
      <c r="AV24" s="17"/>
      <c r="AW24" s="22">
        <v>4439817472</v>
      </c>
    </row>
    <row r="25" spans="1:49" ht="13.2">
      <c r="A25" s="119">
        <f>HYPERLINK("https://smartstore.naver.com/brickstore2019/products/4439875828",AW:AW)</f>
        <v>4439875828</v>
      </c>
      <c r="B25" s="266"/>
      <c r="C25" s="117" t="s">
        <v>156</v>
      </c>
      <c r="D25" s="117"/>
      <c r="E25" s="126" t="s">
        <v>157</v>
      </c>
      <c r="F25" s="127"/>
      <c r="G25" s="92" t="str">
        <f>HYPERLINK("https://www.amazon.com/OXO-Grips-Handheld-Spiralizer-Green/dp/B013KAW5IQ","A")</f>
        <v>A</v>
      </c>
      <c r="H25" s="93"/>
      <c r="I25" s="93"/>
      <c r="J25" s="93">
        <v>14.99</v>
      </c>
      <c r="K25" s="111">
        <f>IF(L25&gt;0,L25*0.0625,)</f>
        <v>0.35</v>
      </c>
      <c r="L25" s="111">
        <v>5.6</v>
      </c>
      <c r="M25" s="111">
        <f t="shared" si="1"/>
        <v>0.15875719999999999</v>
      </c>
      <c r="N25" s="93">
        <v>0</v>
      </c>
      <c r="O25" s="93">
        <v>0</v>
      </c>
      <c r="P25" s="95">
        <f t="shared" si="2"/>
        <v>14.99</v>
      </c>
      <c r="Q25" s="96">
        <f t="shared" si="15"/>
        <v>18737.5</v>
      </c>
      <c r="R25" s="96">
        <v>0</v>
      </c>
      <c r="S25" s="97">
        <f t="shared" si="24"/>
        <v>18700</v>
      </c>
      <c r="T25" s="97">
        <f>ROUNDUP(HLOOKUP(ROUNDUP(K25,0),'배송비 조회'!A$10:U$22,7,0)*C$3,-2)</f>
        <v>9000</v>
      </c>
      <c r="U25" s="97">
        <v>0</v>
      </c>
      <c r="V25" s="97">
        <f>ROUND(IF(R25&gt;0,0,(S25+T25)*0.5),-2)</f>
        <v>13900</v>
      </c>
      <c r="W25" s="97">
        <f t="shared" si="25"/>
        <v>13900</v>
      </c>
      <c r="X25" s="98">
        <f t="shared" si="26"/>
        <v>41600</v>
      </c>
      <c r="Y25" s="98">
        <f t="shared" si="27"/>
        <v>41600</v>
      </c>
      <c r="Z25" s="121">
        <v>0</v>
      </c>
      <c r="AA25" s="121">
        <f t="shared" si="6"/>
        <v>1580.8</v>
      </c>
      <c r="AB25" s="121">
        <f t="shared" si="7"/>
        <v>832</v>
      </c>
      <c r="AC25" s="99">
        <f t="shared" si="8"/>
        <v>4160</v>
      </c>
      <c r="AD25" s="121">
        <f t="shared" si="9"/>
        <v>39187.199999999997</v>
      </c>
      <c r="AE25" s="99">
        <f t="shared" si="10"/>
        <v>37440</v>
      </c>
      <c r="AF25" s="121">
        <f t="shared" si="11"/>
        <v>391.87199999999996</v>
      </c>
      <c r="AG25" s="100">
        <f t="shared" si="28"/>
        <v>11057.827999999998</v>
      </c>
      <c r="AH25" s="101">
        <f t="shared" si="29"/>
        <v>9310.6280000000006</v>
      </c>
      <c r="AI25" s="102">
        <f t="shared" ref="AI25:AJ25" si="47">AG25/X25</f>
        <v>0.26581317307692304</v>
      </c>
      <c r="AJ25" s="102">
        <f t="shared" si="47"/>
        <v>0.22381317307692308</v>
      </c>
      <c r="AK25" s="103"/>
      <c r="AL25" s="104"/>
      <c r="AM25" s="17"/>
      <c r="AN25" s="17"/>
      <c r="AO25" s="17"/>
      <c r="AP25" s="17"/>
      <c r="AQ25" s="17"/>
      <c r="AR25" s="17"/>
      <c r="AS25" s="17"/>
      <c r="AT25" s="17"/>
      <c r="AU25" s="17"/>
      <c r="AV25" s="17"/>
      <c r="AW25" s="22">
        <v>4439875828</v>
      </c>
    </row>
    <row r="26" spans="1:49" ht="13.2">
      <c r="A26" s="119">
        <f>HYPERLINK("https://smartstore.naver.com/brickstore2019/products/4440828954",AW:AW)</f>
        <v>4440828954</v>
      </c>
      <c r="B26" s="266"/>
      <c r="C26" s="117" t="s">
        <v>161</v>
      </c>
      <c r="D26" s="117"/>
      <c r="E26" s="126" t="s">
        <v>162</v>
      </c>
      <c r="F26" s="127"/>
      <c r="G26" s="92" t="str">
        <f>HYPERLINK("https://www.amazon.com/OXO-Grips-Cookie-Stainless-Storage/dp/B00ABH0PYI/ref=sr_1_104?keywords=oxo&amp;qid=1555303170&amp;refinements=p_72%3A2661618011&amp;rnid=2661617011&amp;s=gateway&amp;sr=8-104","A")</f>
        <v>A</v>
      </c>
      <c r="H26" s="93"/>
      <c r="I26" s="93"/>
      <c r="J26" s="93">
        <v>29.99</v>
      </c>
      <c r="K26" s="111">
        <v>1.45</v>
      </c>
      <c r="L26" s="111">
        <f t="shared" ref="L26:L27" si="48">IF(K26&gt;0,K26*16,)</f>
        <v>23.2</v>
      </c>
      <c r="M26" s="111">
        <f t="shared" si="1"/>
        <v>0.65770839999999997</v>
      </c>
      <c r="N26" s="93">
        <v>0</v>
      </c>
      <c r="O26" s="93">
        <v>0</v>
      </c>
      <c r="P26" s="95">
        <f t="shared" si="2"/>
        <v>29.99</v>
      </c>
      <c r="Q26" s="96">
        <f t="shared" si="15"/>
        <v>37487.5</v>
      </c>
      <c r="R26" s="96">
        <v>0</v>
      </c>
      <c r="S26" s="97">
        <f t="shared" si="24"/>
        <v>37500</v>
      </c>
      <c r="T26" s="97">
        <f>ROUNDUP(HLOOKUP(ROUNDUP(K26,0),'배송비 조회'!A$10:U$22,7,0)*C$3,-2)</f>
        <v>11200</v>
      </c>
      <c r="U26" s="97">
        <v>0</v>
      </c>
      <c r="V26" s="97">
        <f>ROUND(IF(R26&gt;0,0,(S26+T26)*0.3),-2)</f>
        <v>14600</v>
      </c>
      <c r="W26" s="97">
        <f t="shared" si="25"/>
        <v>24400</v>
      </c>
      <c r="X26" s="98">
        <f t="shared" si="26"/>
        <v>63300</v>
      </c>
      <c r="Y26" s="98">
        <f t="shared" si="27"/>
        <v>73100</v>
      </c>
      <c r="Z26" s="121">
        <v>0</v>
      </c>
      <c r="AA26" s="121">
        <f t="shared" si="6"/>
        <v>2405.4</v>
      </c>
      <c r="AB26" s="121">
        <f t="shared" si="7"/>
        <v>1266</v>
      </c>
      <c r="AC26" s="99">
        <f t="shared" si="8"/>
        <v>7310</v>
      </c>
      <c r="AD26" s="121">
        <f t="shared" si="9"/>
        <v>59628.6</v>
      </c>
      <c r="AE26" s="99">
        <f t="shared" si="10"/>
        <v>65790</v>
      </c>
      <c r="AF26" s="121">
        <f t="shared" si="11"/>
        <v>596.28599999999994</v>
      </c>
      <c r="AG26" s="100">
        <f t="shared" si="28"/>
        <v>10344.813999999998</v>
      </c>
      <c r="AH26" s="101">
        <f t="shared" si="29"/>
        <v>16506.214</v>
      </c>
      <c r="AI26" s="102">
        <f t="shared" ref="AI26:AJ26" si="49">AG26/X26</f>
        <v>0.16342518167456555</v>
      </c>
      <c r="AJ26" s="102">
        <f t="shared" si="49"/>
        <v>0.22580320109439125</v>
      </c>
      <c r="AK26" s="103"/>
      <c r="AL26" s="104"/>
      <c r="AM26" s="17"/>
      <c r="AN26" s="17"/>
      <c r="AO26" s="17"/>
      <c r="AP26" s="17"/>
      <c r="AQ26" s="17"/>
      <c r="AR26" s="17"/>
      <c r="AS26" s="17"/>
      <c r="AT26" s="17"/>
      <c r="AU26" s="17"/>
      <c r="AV26" s="17"/>
      <c r="AW26" s="22">
        <v>4440828954</v>
      </c>
    </row>
    <row r="27" spans="1:49" ht="13.2">
      <c r="A27" s="115">
        <f>HYPERLINK("https://smartstore.naver.com/brickstore2019/products/4442238349",AW:AW)</f>
        <v>4442238349</v>
      </c>
      <c r="B27" s="265"/>
      <c r="C27" s="116" t="s">
        <v>167</v>
      </c>
      <c r="D27" s="116"/>
      <c r="E27" s="117" t="s">
        <v>168</v>
      </c>
      <c r="F27" s="91" t="s">
        <v>169</v>
      </c>
      <c r="G27" s="92" t="str">
        <f>HYPERLINK("https://www.amazon.com/Joseph-20085-Adjustable-Removable-Multicolored/dp/B0091QO3RK/ref=sr_1_7?keywords=joseph+joseph&amp;qid=1555336160&amp;rnid=2661617011&amp;s=gateway&amp;sr=8-7","A")</f>
        <v>A</v>
      </c>
      <c r="H27" s="93"/>
      <c r="I27" s="93"/>
      <c r="J27" s="93">
        <v>20</v>
      </c>
      <c r="K27" s="111">
        <v>1.1499999999999999</v>
      </c>
      <c r="L27" s="111">
        <f t="shared" si="48"/>
        <v>18.399999999999999</v>
      </c>
      <c r="M27" s="111">
        <f t="shared" si="1"/>
        <v>0.52163079999999995</v>
      </c>
      <c r="N27" s="93">
        <v>0</v>
      </c>
      <c r="O27" s="93">
        <v>0</v>
      </c>
      <c r="P27" s="95">
        <f t="shared" si="2"/>
        <v>20</v>
      </c>
      <c r="Q27" s="96">
        <f t="shared" si="15"/>
        <v>25000</v>
      </c>
      <c r="R27" s="96">
        <v>0</v>
      </c>
      <c r="S27" s="97">
        <f t="shared" si="24"/>
        <v>25000</v>
      </c>
      <c r="T27" s="97">
        <f>ROUNDUP(HLOOKUP(ROUNDUP(K27,0),'배송비 조회'!A$10:U$22,7,0)*C$3,-2)</f>
        <v>11200</v>
      </c>
      <c r="U27" s="97">
        <v>0</v>
      </c>
      <c r="V27" s="97">
        <f>ROUND(IF(R27&gt;0,0,(S27+T27)*0.6),-2)</f>
        <v>21700</v>
      </c>
      <c r="W27" s="97">
        <f t="shared" si="25"/>
        <v>18100</v>
      </c>
      <c r="X27" s="98">
        <f t="shared" si="26"/>
        <v>57900</v>
      </c>
      <c r="Y27" s="98">
        <f t="shared" si="27"/>
        <v>54300</v>
      </c>
      <c r="Z27" s="121">
        <v>0</v>
      </c>
      <c r="AA27" s="121">
        <f t="shared" si="6"/>
        <v>2200.1999999999998</v>
      </c>
      <c r="AB27" s="121">
        <f t="shared" si="7"/>
        <v>1158</v>
      </c>
      <c r="AC27" s="99">
        <f t="shared" si="8"/>
        <v>5430</v>
      </c>
      <c r="AD27" s="121">
        <f t="shared" si="9"/>
        <v>54541.8</v>
      </c>
      <c r="AE27" s="99">
        <f t="shared" si="10"/>
        <v>48870</v>
      </c>
      <c r="AF27" s="121">
        <f t="shared" si="11"/>
        <v>545.41800000000001</v>
      </c>
      <c r="AG27" s="100">
        <f t="shared" si="28"/>
        <v>17796.382000000001</v>
      </c>
      <c r="AH27" s="101">
        <f t="shared" si="29"/>
        <v>12124.581999999999</v>
      </c>
      <c r="AI27" s="102">
        <f t="shared" ref="AI27:AJ27" si="50">AG27/X27</f>
        <v>0.30736411053540591</v>
      </c>
      <c r="AJ27" s="102">
        <f t="shared" si="50"/>
        <v>0.22328880294659298</v>
      </c>
      <c r="AK27" s="103"/>
      <c r="AL27" s="104"/>
      <c r="AM27" s="17"/>
      <c r="AN27" s="17"/>
      <c r="AO27" s="17"/>
      <c r="AP27" s="17"/>
      <c r="AQ27" s="17"/>
      <c r="AR27" s="17"/>
      <c r="AS27" s="17"/>
      <c r="AT27" s="17"/>
      <c r="AU27" s="17"/>
      <c r="AV27" s="17"/>
      <c r="AW27" s="24">
        <v>4442238349</v>
      </c>
    </row>
    <row r="28" spans="1:49" ht="13.2">
      <c r="A28" s="115">
        <f>HYPERLINK("https://smartstore.naver.com/brickstore2019/products/4444221457",AW:AW)</f>
        <v>4444221457</v>
      </c>
      <c r="B28" s="265">
        <v>10275868749</v>
      </c>
      <c r="C28" s="116" t="s">
        <v>175</v>
      </c>
      <c r="D28" s="116"/>
      <c r="E28" s="128" t="s">
        <v>176</v>
      </c>
      <c r="F28" s="91"/>
      <c r="G28" s="92" t="str">
        <f>HYPERLINK("https://www.amazon.com/Timex-Ironman-Essential-Urban-Digital/dp/B071GKY7TF/ref=sr_1_1?keywords=timex+tw5m14500&amp;qid=1555390376&amp;s=gateway&amp;sr=8-1","A")</f>
        <v>A</v>
      </c>
      <c r="H28" s="93"/>
      <c r="I28" s="93"/>
      <c r="J28" s="93">
        <v>43</v>
      </c>
      <c r="K28" s="111">
        <f t="shared" ref="K28:K33" si="51">IF(L28&gt;0,L28*0.0625,)</f>
        <v>0.25</v>
      </c>
      <c r="L28" s="111">
        <v>4</v>
      </c>
      <c r="M28" s="111">
        <f t="shared" si="1"/>
        <v>0.113398</v>
      </c>
      <c r="N28" s="93">
        <v>0</v>
      </c>
      <c r="O28" s="93">
        <v>0</v>
      </c>
      <c r="P28" s="95">
        <f t="shared" si="2"/>
        <v>43</v>
      </c>
      <c r="Q28" s="96">
        <f t="shared" si="15"/>
        <v>53750</v>
      </c>
      <c r="R28" s="96">
        <v>0</v>
      </c>
      <c r="S28" s="97">
        <f t="shared" si="24"/>
        <v>53800</v>
      </c>
      <c r="T28" s="97">
        <f>ROUNDUP(HLOOKUP(ROUNDUP(K28,0),'배송비 조회'!A$10:U$22,7,0)*C$3,-2)</f>
        <v>9000</v>
      </c>
      <c r="U28" s="97">
        <v>0</v>
      </c>
      <c r="V28" s="97">
        <f>ROUND(IF(R28&gt;0,0,(S28+T28)*0.3),-2)</f>
        <v>18800</v>
      </c>
      <c r="W28" s="97">
        <f>ROUND(IF(R28&gt;0,0,(S28+T28)*0.4),-2)</f>
        <v>25100</v>
      </c>
      <c r="X28" s="98">
        <f t="shared" si="26"/>
        <v>81600</v>
      </c>
      <c r="Y28" s="98">
        <f t="shared" si="27"/>
        <v>87900</v>
      </c>
      <c r="Z28" s="121">
        <v>0</v>
      </c>
      <c r="AA28" s="121">
        <f t="shared" si="6"/>
        <v>3100.7999999999997</v>
      </c>
      <c r="AB28" s="121">
        <f t="shared" si="7"/>
        <v>1632</v>
      </c>
      <c r="AC28" s="99">
        <f t="shared" si="8"/>
        <v>8790</v>
      </c>
      <c r="AD28" s="121">
        <f t="shared" si="9"/>
        <v>76867.199999999997</v>
      </c>
      <c r="AE28" s="99">
        <f t="shared" si="10"/>
        <v>79110</v>
      </c>
      <c r="AF28" s="121">
        <f t="shared" si="11"/>
        <v>768.67200000000003</v>
      </c>
      <c r="AG28" s="100">
        <f t="shared" si="28"/>
        <v>13348.527999999998</v>
      </c>
      <c r="AH28" s="101">
        <f t="shared" si="29"/>
        <v>15591.328000000001</v>
      </c>
      <c r="AI28" s="102">
        <f t="shared" ref="AI28:AJ28" si="52">AG28/X28</f>
        <v>0.16358490196078429</v>
      </c>
      <c r="AJ28" s="102">
        <f t="shared" si="52"/>
        <v>0.17737574516496019</v>
      </c>
      <c r="AK28" s="103"/>
      <c r="AL28" s="104"/>
      <c r="AM28" s="17"/>
      <c r="AN28" s="17"/>
      <c r="AO28" s="17"/>
      <c r="AP28" s="17"/>
      <c r="AQ28" s="17"/>
      <c r="AR28" s="17"/>
      <c r="AS28" s="17"/>
      <c r="AT28" s="17"/>
      <c r="AU28" s="17"/>
      <c r="AV28" s="17"/>
      <c r="AW28" s="24">
        <v>4444221457</v>
      </c>
    </row>
    <row r="29" spans="1:49" ht="13.2">
      <c r="A29" s="303">
        <f>HYPERLINK("https://smartstore.naver.com/brickstore2019/products/4449274898",AW:AW)</f>
        <v>4449274898</v>
      </c>
      <c r="B29" s="266"/>
      <c r="C29" s="304" t="s">
        <v>179</v>
      </c>
      <c r="D29" s="117"/>
      <c r="E29" s="304" t="s">
        <v>181</v>
      </c>
      <c r="F29" s="123" t="s">
        <v>58</v>
      </c>
      <c r="G29" s="124" t="str">
        <f>HYPERLINK("https://www.amazon.com/VicTsing-Wireless-Waterproof-Hands-Free-Speakerphone/dp/B00NHDPLM4/ref=sr_1_5?crid=3KQWUCBQ3GBLD&amp;keywords=c6%2Bbluetooth%2Bspeaker&amp;qid=1555475924&amp;s=gateway&amp;sprefix=c6%2Bblue%2Caps%2C314&amp;sr=8-5&amp;th=1","A")</f>
        <v>A</v>
      </c>
      <c r="J29" s="125">
        <v>23</v>
      </c>
      <c r="K29" s="111">
        <f t="shared" si="51"/>
        <v>0.4</v>
      </c>
      <c r="L29" s="111">
        <v>6.4</v>
      </c>
      <c r="M29" s="111">
        <f t="shared" si="1"/>
        <v>0.18143680000000001</v>
      </c>
      <c r="N29" s="93">
        <v>0</v>
      </c>
      <c r="O29" s="93">
        <v>0</v>
      </c>
      <c r="P29" s="95">
        <f t="shared" si="2"/>
        <v>23</v>
      </c>
      <c r="Q29" s="96">
        <f t="shared" si="15"/>
        <v>28750</v>
      </c>
      <c r="R29" s="96">
        <v>0</v>
      </c>
      <c r="S29" s="97">
        <f t="shared" si="24"/>
        <v>28800</v>
      </c>
      <c r="T29" s="97">
        <f>ROUNDUP(HLOOKUP(ROUNDUP(K29,0),'배송비 조회'!A$10:U$22,7,0)*C$3,-2)</f>
        <v>9000</v>
      </c>
      <c r="U29" s="97">
        <v>0</v>
      </c>
      <c r="V29" s="97">
        <f t="shared" ref="V29:V33" si="53">ROUND(IF(R29&gt;0,0,(S29+T29)*0.6),-2)</f>
        <v>22700</v>
      </c>
      <c r="W29" s="97">
        <f t="shared" ref="W29:W60" si="54">ROUND(IF(R29&gt;0,0,(S29+T29)*0.5),-2)</f>
        <v>18900</v>
      </c>
      <c r="X29" s="98">
        <f t="shared" si="26"/>
        <v>60500</v>
      </c>
      <c r="Y29" s="98">
        <f t="shared" si="27"/>
        <v>56700</v>
      </c>
      <c r="Z29" s="121">
        <v>0</v>
      </c>
      <c r="AA29" s="121">
        <f t="shared" si="6"/>
        <v>2299</v>
      </c>
      <c r="AB29" s="121">
        <f t="shared" si="7"/>
        <v>1210</v>
      </c>
      <c r="AC29" s="99">
        <f t="shared" si="8"/>
        <v>5670</v>
      </c>
      <c r="AD29" s="121">
        <f t="shared" si="9"/>
        <v>56991</v>
      </c>
      <c r="AE29" s="99">
        <f t="shared" si="10"/>
        <v>51030</v>
      </c>
      <c r="AF29" s="121">
        <f t="shared" si="11"/>
        <v>569.91</v>
      </c>
      <c r="AG29" s="100">
        <f t="shared" si="28"/>
        <v>18671.09</v>
      </c>
      <c r="AH29" s="101">
        <f t="shared" si="29"/>
        <v>12710.09</v>
      </c>
      <c r="AI29" s="102">
        <f t="shared" ref="AI29:AJ29" si="55">AG29/X29</f>
        <v>0.30861305785123966</v>
      </c>
      <c r="AJ29" s="102">
        <f t="shared" si="55"/>
        <v>0.22416384479717813</v>
      </c>
      <c r="AK29" s="103"/>
      <c r="AL29" s="104"/>
      <c r="AM29" s="17"/>
      <c r="AN29" s="17"/>
      <c r="AO29" s="17"/>
      <c r="AP29" s="17"/>
      <c r="AQ29" s="17"/>
      <c r="AR29" s="17"/>
      <c r="AS29" s="17"/>
      <c r="AT29" s="17"/>
      <c r="AU29" s="17"/>
      <c r="AV29" s="17"/>
      <c r="AW29" s="296">
        <v>4449274898</v>
      </c>
    </row>
    <row r="30" spans="1:49" ht="13.2">
      <c r="A30" s="302"/>
      <c r="B30" s="266"/>
      <c r="C30" s="302"/>
      <c r="D30" s="117"/>
      <c r="E30" s="302"/>
      <c r="F30" s="108" t="s">
        <v>184</v>
      </c>
      <c r="G30" s="109" t="str">
        <f t="shared" ref="G30:G31" si="56">HYPERLINK("https://www.amazon.com/VicTsing-Wireless-Waterproof-Hands-Free-Speakerphone/dp/B07Q6R3HVB/ref=sr_1_5?crid=3KQWUCBQ3GBLD&amp;keywords=c6%2Bbluetooth%2Bspeaker&amp;qid=1555475924&amp;s=gateway&amp;sprefix=c6%2Bblue%2Caps%2C314&amp;sr=8-5&amp;th=1","A")</f>
        <v>A</v>
      </c>
      <c r="H30" s="110" t="s">
        <v>60</v>
      </c>
      <c r="I30" s="110"/>
      <c r="J30" s="93">
        <v>22</v>
      </c>
      <c r="K30" s="111">
        <f t="shared" si="51"/>
        <v>0.4</v>
      </c>
      <c r="L30" s="111">
        <v>6.4</v>
      </c>
      <c r="M30" s="111">
        <f t="shared" si="1"/>
        <v>0.18143680000000001</v>
      </c>
      <c r="N30" s="93">
        <v>0</v>
      </c>
      <c r="O30" s="93">
        <v>0</v>
      </c>
      <c r="P30" s="95">
        <f t="shared" si="2"/>
        <v>22</v>
      </c>
      <c r="Q30" s="96">
        <f t="shared" si="15"/>
        <v>27500</v>
      </c>
      <c r="R30" s="96">
        <v>0</v>
      </c>
      <c r="S30" s="97">
        <f t="shared" si="24"/>
        <v>27500</v>
      </c>
      <c r="T30" s="97">
        <f>ROUNDUP(HLOOKUP(ROUNDUP(K30,0),'배송비 조회'!A$10:U$22,7,0)*C$3,-2)</f>
        <v>9000</v>
      </c>
      <c r="U30" s="97">
        <v>0</v>
      </c>
      <c r="V30" s="97">
        <f t="shared" si="53"/>
        <v>21900</v>
      </c>
      <c r="W30" s="97">
        <f t="shared" si="54"/>
        <v>18300</v>
      </c>
      <c r="X30" s="98">
        <f t="shared" si="26"/>
        <v>58400</v>
      </c>
      <c r="Y30" s="98">
        <f t="shared" si="27"/>
        <v>54800</v>
      </c>
      <c r="Z30" s="121">
        <v>0</v>
      </c>
      <c r="AA30" s="121">
        <f t="shared" si="6"/>
        <v>2219.1999999999998</v>
      </c>
      <c r="AB30" s="121">
        <f t="shared" si="7"/>
        <v>1168</v>
      </c>
      <c r="AC30" s="99">
        <f t="shared" si="8"/>
        <v>5480</v>
      </c>
      <c r="AD30" s="121">
        <f t="shared" si="9"/>
        <v>55012.800000000003</v>
      </c>
      <c r="AE30" s="99">
        <f t="shared" si="10"/>
        <v>49320</v>
      </c>
      <c r="AF30" s="121">
        <f t="shared" si="11"/>
        <v>550.12800000000004</v>
      </c>
      <c r="AG30" s="100">
        <f t="shared" si="28"/>
        <v>17962.672000000002</v>
      </c>
      <c r="AH30" s="101">
        <f t="shared" si="29"/>
        <v>12269.871999999999</v>
      </c>
      <c r="AI30" s="102">
        <f t="shared" ref="AI30:AJ30" si="57">AG30/X30</f>
        <v>0.30758000000000002</v>
      </c>
      <c r="AJ30" s="102">
        <f t="shared" si="57"/>
        <v>0.22390277372262773</v>
      </c>
      <c r="AK30" s="103"/>
      <c r="AL30" s="104"/>
      <c r="AM30" s="17"/>
      <c r="AN30" s="17"/>
      <c r="AO30" s="17"/>
      <c r="AP30" s="17"/>
      <c r="AQ30" s="17"/>
      <c r="AR30" s="17"/>
      <c r="AS30" s="17"/>
      <c r="AT30" s="17"/>
      <c r="AU30" s="17"/>
      <c r="AV30" s="17"/>
      <c r="AW30" s="297"/>
    </row>
    <row r="31" spans="1:49" ht="13.2">
      <c r="A31" s="302"/>
      <c r="B31" s="266"/>
      <c r="C31" s="302"/>
      <c r="D31" s="117"/>
      <c r="E31" s="302"/>
      <c r="F31" s="108" t="s">
        <v>187</v>
      </c>
      <c r="G31" s="109" t="str">
        <f t="shared" si="56"/>
        <v>A</v>
      </c>
      <c r="H31" s="110" t="s">
        <v>60</v>
      </c>
      <c r="I31" s="110"/>
      <c r="J31" s="125">
        <v>23</v>
      </c>
      <c r="K31" s="111">
        <f t="shared" si="51"/>
        <v>0.4</v>
      </c>
      <c r="L31" s="111">
        <v>6.4</v>
      </c>
      <c r="M31" s="111">
        <f t="shared" si="1"/>
        <v>0.18143680000000001</v>
      </c>
      <c r="N31" s="93">
        <v>0</v>
      </c>
      <c r="O31" s="93">
        <v>0</v>
      </c>
      <c r="P31" s="95">
        <f t="shared" si="2"/>
        <v>23</v>
      </c>
      <c r="Q31" s="96">
        <f t="shared" si="15"/>
        <v>28750</v>
      </c>
      <c r="R31" s="96">
        <v>0</v>
      </c>
      <c r="S31" s="97">
        <f t="shared" si="24"/>
        <v>28800</v>
      </c>
      <c r="T31" s="97">
        <f>ROUNDUP(HLOOKUP(ROUNDUP(K31,0),'배송비 조회'!A$10:U$22,7,0)*C$3,-2)</f>
        <v>9000</v>
      </c>
      <c r="U31" s="97">
        <v>0</v>
      </c>
      <c r="V31" s="97">
        <f t="shared" si="53"/>
        <v>22700</v>
      </c>
      <c r="W31" s="97">
        <f t="shared" si="54"/>
        <v>18900</v>
      </c>
      <c r="X31" s="98">
        <f t="shared" si="26"/>
        <v>60500</v>
      </c>
      <c r="Y31" s="98">
        <f t="shared" si="27"/>
        <v>56700</v>
      </c>
      <c r="Z31" s="121">
        <v>0</v>
      </c>
      <c r="AA31" s="121">
        <f t="shared" si="6"/>
        <v>2299</v>
      </c>
      <c r="AB31" s="121">
        <f t="shared" si="7"/>
        <v>1210</v>
      </c>
      <c r="AC31" s="99">
        <f t="shared" si="8"/>
        <v>5670</v>
      </c>
      <c r="AD31" s="121">
        <f t="shared" si="9"/>
        <v>56991</v>
      </c>
      <c r="AE31" s="99">
        <f t="shared" si="10"/>
        <v>51030</v>
      </c>
      <c r="AF31" s="121">
        <f t="shared" si="11"/>
        <v>569.91</v>
      </c>
      <c r="AG31" s="100">
        <f t="shared" si="28"/>
        <v>18671.09</v>
      </c>
      <c r="AH31" s="101">
        <f t="shared" si="29"/>
        <v>12710.09</v>
      </c>
      <c r="AI31" s="102">
        <f t="shared" ref="AI31:AJ31" si="58">AG31/X31</f>
        <v>0.30861305785123966</v>
      </c>
      <c r="AJ31" s="102">
        <f t="shared" si="58"/>
        <v>0.22416384479717813</v>
      </c>
      <c r="AK31" s="103"/>
      <c r="AL31" s="104"/>
      <c r="AM31" s="17"/>
      <c r="AN31" s="17"/>
      <c r="AO31" s="17"/>
      <c r="AP31" s="17"/>
      <c r="AQ31" s="17"/>
      <c r="AR31" s="17"/>
      <c r="AS31" s="17"/>
      <c r="AT31" s="17"/>
      <c r="AU31" s="17"/>
      <c r="AV31" s="17"/>
      <c r="AW31" s="297"/>
    </row>
    <row r="32" spans="1:49" ht="13.2">
      <c r="A32" s="302"/>
      <c r="B32" s="266"/>
      <c r="C32" s="302"/>
      <c r="D32" s="117"/>
      <c r="E32" s="302"/>
      <c r="F32" s="108" t="s">
        <v>188</v>
      </c>
      <c r="G32" s="109" t="str">
        <f>HYPERLINK("https://www.amazon.com/dp/B076LSD2H3/ref=twister_B07S25XCGD?_encoding=UTF8&amp;psc=1","A")</f>
        <v>A</v>
      </c>
      <c r="H32" s="110" t="s">
        <v>60</v>
      </c>
      <c r="I32" s="110"/>
      <c r="J32" s="125">
        <v>24</v>
      </c>
      <c r="K32" s="111">
        <f t="shared" si="51"/>
        <v>0.4</v>
      </c>
      <c r="L32" s="111">
        <v>6.4</v>
      </c>
      <c r="M32" s="111">
        <f t="shared" si="1"/>
        <v>0.18143680000000001</v>
      </c>
      <c r="N32" s="93">
        <v>0</v>
      </c>
      <c r="O32" s="93">
        <v>0</v>
      </c>
      <c r="P32" s="95">
        <f t="shared" si="2"/>
        <v>24</v>
      </c>
      <c r="Q32" s="96">
        <f t="shared" si="15"/>
        <v>30000</v>
      </c>
      <c r="R32" s="96">
        <v>0</v>
      </c>
      <c r="S32" s="97">
        <f t="shared" si="24"/>
        <v>30000</v>
      </c>
      <c r="T32" s="97">
        <f>ROUNDUP(HLOOKUP(ROUNDUP(K32,0),'배송비 조회'!A$10:U$22,7,0)*C$3,-2)</f>
        <v>9000</v>
      </c>
      <c r="U32" s="97">
        <v>0</v>
      </c>
      <c r="V32" s="97">
        <f t="shared" si="53"/>
        <v>23400</v>
      </c>
      <c r="W32" s="97">
        <f t="shared" si="54"/>
        <v>19500</v>
      </c>
      <c r="X32" s="98">
        <f t="shared" si="26"/>
        <v>62400</v>
      </c>
      <c r="Y32" s="98">
        <f t="shared" si="27"/>
        <v>58500</v>
      </c>
      <c r="Z32" s="121">
        <v>0</v>
      </c>
      <c r="AA32" s="121">
        <f t="shared" si="6"/>
        <v>2371.1999999999998</v>
      </c>
      <c r="AB32" s="121">
        <f t="shared" si="7"/>
        <v>1248</v>
      </c>
      <c r="AC32" s="99">
        <f t="shared" si="8"/>
        <v>5850</v>
      </c>
      <c r="AD32" s="121">
        <f t="shared" si="9"/>
        <v>58780.800000000003</v>
      </c>
      <c r="AE32" s="99">
        <f t="shared" si="10"/>
        <v>52650</v>
      </c>
      <c r="AF32" s="121">
        <f t="shared" si="11"/>
        <v>587.80799999999999</v>
      </c>
      <c r="AG32" s="100">
        <f t="shared" si="28"/>
        <v>19192.992000000002</v>
      </c>
      <c r="AH32" s="101">
        <f t="shared" si="29"/>
        <v>13062.191999999999</v>
      </c>
      <c r="AI32" s="102">
        <f t="shared" ref="AI32:AJ32" si="59">AG32/X32</f>
        <v>0.30758000000000002</v>
      </c>
      <c r="AJ32" s="102">
        <f t="shared" si="59"/>
        <v>0.22328533333333331</v>
      </c>
      <c r="AK32" s="103"/>
      <c r="AL32" s="104"/>
      <c r="AM32" s="17"/>
      <c r="AN32" s="17"/>
      <c r="AO32" s="17"/>
      <c r="AP32" s="17"/>
      <c r="AQ32" s="17"/>
      <c r="AR32" s="17"/>
      <c r="AS32" s="17"/>
      <c r="AT32" s="17"/>
      <c r="AU32" s="17"/>
      <c r="AV32" s="17"/>
      <c r="AW32" s="297"/>
    </row>
    <row r="33" spans="1:49" ht="13.2">
      <c r="A33" s="302"/>
      <c r="B33" s="266"/>
      <c r="C33" s="302"/>
      <c r="D33" s="117"/>
      <c r="E33" s="302"/>
      <c r="F33" s="123" t="s">
        <v>92</v>
      </c>
      <c r="G33" s="124" t="str">
        <f>HYPERLINK("https://www.amazon.com/dp/B07RS2JHLT/ref=twister_B07S25XCGD?_encoding=UTF8&amp;th=1","A")</f>
        <v>A</v>
      </c>
      <c r="H33" s="125"/>
      <c r="I33" s="125"/>
      <c r="J33" s="125">
        <v>25</v>
      </c>
      <c r="K33" s="111">
        <f t="shared" si="51"/>
        <v>0.4</v>
      </c>
      <c r="L33" s="111">
        <v>6.4</v>
      </c>
      <c r="M33" s="111">
        <f t="shared" si="1"/>
        <v>0.18143680000000001</v>
      </c>
      <c r="N33" s="93">
        <v>0</v>
      </c>
      <c r="O33" s="93">
        <v>0</v>
      </c>
      <c r="P33" s="95">
        <f t="shared" si="2"/>
        <v>25</v>
      </c>
      <c r="Q33" s="96">
        <f t="shared" si="15"/>
        <v>31250</v>
      </c>
      <c r="R33" s="96">
        <v>0</v>
      </c>
      <c r="S33" s="97">
        <f t="shared" si="24"/>
        <v>31300</v>
      </c>
      <c r="T33" s="97">
        <f>ROUNDUP(HLOOKUP(ROUNDUP(K33,0),'배송비 조회'!A$10:U$22,7,0)*C$3,-2)</f>
        <v>9000</v>
      </c>
      <c r="U33" s="97">
        <v>0</v>
      </c>
      <c r="V33" s="97">
        <f t="shared" si="53"/>
        <v>24200</v>
      </c>
      <c r="W33" s="97">
        <f t="shared" si="54"/>
        <v>20200</v>
      </c>
      <c r="X33" s="98">
        <f t="shared" si="26"/>
        <v>64500</v>
      </c>
      <c r="Y33" s="98">
        <f t="shared" si="27"/>
        <v>60500</v>
      </c>
      <c r="Z33" s="121">
        <v>0</v>
      </c>
      <c r="AA33" s="121">
        <f t="shared" si="6"/>
        <v>2451</v>
      </c>
      <c r="AB33" s="121">
        <f t="shared" si="7"/>
        <v>1290</v>
      </c>
      <c r="AC33" s="99">
        <f t="shared" si="8"/>
        <v>6050</v>
      </c>
      <c r="AD33" s="121">
        <f t="shared" si="9"/>
        <v>60759</v>
      </c>
      <c r="AE33" s="99">
        <f t="shared" si="10"/>
        <v>54450</v>
      </c>
      <c r="AF33" s="121">
        <f t="shared" si="11"/>
        <v>607.59</v>
      </c>
      <c r="AG33" s="100">
        <f t="shared" si="28"/>
        <v>19901.41</v>
      </c>
      <c r="AH33" s="101">
        <f t="shared" si="29"/>
        <v>13592.41</v>
      </c>
      <c r="AI33" s="102">
        <f t="shared" ref="AI33:AJ33" si="60">AG33/X33</f>
        <v>0.30854899224806204</v>
      </c>
      <c r="AJ33" s="102">
        <f t="shared" si="60"/>
        <v>0.22466793388429751</v>
      </c>
      <c r="AK33" s="103"/>
      <c r="AL33" s="104"/>
      <c r="AM33" s="17"/>
      <c r="AN33" s="17"/>
      <c r="AO33" s="17"/>
      <c r="AP33" s="17"/>
      <c r="AQ33" s="17"/>
      <c r="AR33" s="17"/>
      <c r="AS33" s="17"/>
      <c r="AT33" s="17"/>
      <c r="AU33" s="17"/>
      <c r="AV33" s="17"/>
      <c r="AW33" s="297"/>
    </row>
    <row r="34" spans="1:49" ht="13.2">
      <c r="A34" s="119">
        <f>HYPERLINK("https://smartstore.naver.com/brickstore2019/products/4452849091",AW:AW)</f>
        <v>4452849091</v>
      </c>
      <c r="B34" s="266"/>
      <c r="C34" s="117" t="s">
        <v>191</v>
      </c>
      <c r="D34" s="117"/>
      <c r="E34" s="117" t="s">
        <v>192</v>
      </c>
      <c r="F34" s="123"/>
      <c r="G34" s="124" t="str">
        <f>HYPERLINK("https://www.jomashop.com/diesel-unisex-watch-dz1437.html","J")</f>
        <v>J</v>
      </c>
      <c r="H34" s="125"/>
      <c r="I34" s="125"/>
      <c r="J34" s="125">
        <v>57.5</v>
      </c>
      <c r="K34" s="111">
        <v>2</v>
      </c>
      <c r="L34" s="111">
        <f t="shared" ref="L34:L48" si="61">IF(K34&gt;0,K34*16,)</f>
        <v>32</v>
      </c>
      <c r="M34" s="111">
        <f t="shared" si="1"/>
        <v>0.90718399999999999</v>
      </c>
      <c r="N34" s="93">
        <v>0</v>
      </c>
      <c r="O34" s="93">
        <v>0</v>
      </c>
      <c r="P34" s="95">
        <f t="shared" si="2"/>
        <v>57.5</v>
      </c>
      <c r="Q34" s="96">
        <f t="shared" si="15"/>
        <v>71875</v>
      </c>
      <c r="R34" s="96">
        <v>0</v>
      </c>
      <c r="S34" s="97">
        <f t="shared" si="24"/>
        <v>71900</v>
      </c>
      <c r="T34" s="97">
        <f>ROUNDUP(HLOOKUP(ROUNDUP(K34,0),'배송비 조회'!A$10:U$22,7,0)*C$3,-2)</f>
        <v>11200</v>
      </c>
      <c r="U34" s="97">
        <v>0</v>
      </c>
      <c r="V34" s="97">
        <f>ROUND(IF(R34&gt;0,0,(S34+T34)*0.3),-2)</f>
        <v>24900</v>
      </c>
      <c r="W34" s="97">
        <f t="shared" si="54"/>
        <v>41600</v>
      </c>
      <c r="X34" s="98">
        <f t="shared" si="26"/>
        <v>108000</v>
      </c>
      <c r="Y34" s="98">
        <f t="shared" si="27"/>
        <v>124700</v>
      </c>
      <c r="Z34" s="121">
        <v>0</v>
      </c>
      <c r="AA34" s="121">
        <f t="shared" si="6"/>
        <v>4104</v>
      </c>
      <c r="AB34" s="121">
        <f t="shared" si="7"/>
        <v>2160</v>
      </c>
      <c r="AC34" s="99">
        <f t="shared" si="8"/>
        <v>12470</v>
      </c>
      <c r="AD34" s="121">
        <f t="shared" si="9"/>
        <v>101736</v>
      </c>
      <c r="AE34" s="99">
        <f t="shared" si="10"/>
        <v>112230</v>
      </c>
      <c r="AF34" s="121">
        <f t="shared" si="11"/>
        <v>1017.36</v>
      </c>
      <c r="AG34" s="100">
        <f t="shared" si="28"/>
        <v>17643.64</v>
      </c>
      <c r="AH34" s="101">
        <f t="shared" si="29"/>
        <v>28137.64</v>
      </c>
      <c r="AI34" s="102">
        <f t="shared" ref="AI34:AJ34" si="62">AG34/X34</f>
        <v>0.16336703703703703</v>
      </c>
      <c r="AJ34" s="102">
        <f t="shared" si="62"/>
        <v>0.22564266238973535</v>
      </c>
      <c r="AK34" s="103"/>
      <c r="AL34" s="104"/>
      <c r="AM34" s="17"/>
      <c r="AN34" s="17"/>
      <c r="AO34" s="17"/>
      <c r="AP34" s="17"/>
      <c r="AQ34" s="17"/>
      <c r="AR34" s="17"/>
      <c r="AS34" s="17"/>
      <c r="AT34" s="17"/>
      <c r="AU34" s="17"/>
      <c r="AV34" s="17"/>
      <c r="AW34" s="22">
        <v>4452849091</v>
      </c>
    </row>
    <row r="35" spans="1:49" ht="13.2">
      <c r="A35" s="119">
        <f>HYPERLINK("https://smartstore.naver.com/brickstore2019/products/4457607458",AW:AW)</f>
        <v>4457607458</v>
      </c>
      <c r="B35" s="266"/>
      <c r="C35" s="117" t="s">
        <v>195</v>
      </c>
      <c r="D35" s="117"/>
      <c r="E35" s="126" t="s">
        <v>196</v>
      </c>
      <c r="F35" s="127"/>
      <c r="G35" s="124" t="str">
        <f>HYPERLINK("https://www.amazon.com/LENTION-Aluminum-Compatible-Chromebook-Notebook/dp/B07G3RPPJ4?ref_=bl_dp_s_web_8939649011&amp;th=1","A")</f>
        <v>A</v>
      </c>
      <c r="H35" s="125"/>
      <c r="I35" s="125"/>
      <c r="J35" s="125">
        <v>25.98</v>
      </c>
      <c r="K35" s="111">
        <v>1.4</v>
      </c>
      <c r="L35" s="111">
        <f t="shared" si="61"/>
        <v>22.4</v>
      </c>
      <c r="M35" s="111">
        <f t="shared" si="1"/>
        <v>0.63502879999999995</v>
      </c>
      <c r="N35" s="93">
        <v>0</v>
      </c>
      <c r="O35" s="93">
        <v>0</v>
      </c>
      <c r="P35" s="95">
        <f t="shared" si="2"/>
        <v>25.98</v>
      </c>
      <c r="Q35" s="96">
        <f t="shared" si="15"/>
        <v>32475</v>
      </c>
      <c r="R35" s="96">
        <v>0</v>
      </c>
      <c r="S35" s="97">
        <f t="shared" si="24"/>
        <v>32500</v>
      </c>
      <c r="T35" s="97">
        <f>ROUNDUP(HLOOKUP(ROUNDUP(K35,0),'배송비 조회'!A$10:U$22,7,0)*C$3,-2)</f>
        <v>11200</v>
      </c>
      <c r="U35" s="97">
        <v>0</v>
      </c>
      <c r="V35" s="97">
        <f t="shared" ref="V35:V36" si="63">ROUND(IF(R35&gt;0,0,(S35+T35)*0.4),-2)</f>
        <v>17500</v>
      </c>
      <c r="W35" s="97">
        <f t="shared" si="54"/>
        <v>21900</v>
      </c>
      <c r="X35" s="98">
        <f t="shared" si="26"/>
        <v>61200</v>
      </c>
      <c r="Y35" s="98">
        <f t="shared" si="27"/>
        <v>65600</v>
      </c>
      <c r="Z35" s="121">
        <v>0</v>
      </c>
      <c r="AA35" s="121">
        <f t="shared" si="6"/>
        <v>2325.6</v>
      </c>
      <c r="AB35" s="121">
        <f t="shared" si="7"/>
        <v>1224</v>
      </c>
      <c r="AC35" s="99">
        <f t="shared" si="8"/>
        <v>6560</v>
      </c>
      <c r="AD35" s="121">
        <f t="shared" si="9"/>
        <v>57650.400000000001</v>
      </c>
      <c r="AE35" s="99">
        <f t="shared" si="10"/>
        <v>59040</v>
      </c>
      <c r="AF35" s="121">
        <f t="shared" si="11"/>
        <v>576.50400000000002</v>
      </c>
      <c r="AG35" s="100">
        <f t="shared" si="28"/>
        <v>13398.896000000001</v>
      </c>
      <c r="AH35" s="101">
        <f t="shared" si="29"/>
        <v>14788.495999999999</v>
      </c>
      <c r="AI35" s="102">
        <f t="shared" ref="AI35:AJ35" si="64">AG35/X35</f>
        <v>0.2189362091503268</v>
      </c>
      <c r="AJ35" s="102">
        <f t="shared" si="64"/>
        <v>0.22543439024390244</v>
      </c>
      <c r="AK35" s="103"/>
      <c r="AL35" s="104"/>
      <c r="AM35" s="17"/>
      <c r="AN35" s="17"/>
      <c r="AO35" s="17"/>
      <c r="AP35" s="17"/>
      <c r="AQ35" s="17"/>
      <c r="AR35" s="17"/>
      <c r="AS35" s="17"/>
      <c r="AT35" s="17"/>
      <c r="AU35" s="17"/>
      <c r="AV35" s="17"/>
      <c r="AW35" s="22">
        <v>4457607458</v>
      </c>
    </row>
    <row r="36" spans="1:49" ht="13.2">
      <c r="A36" s="119">
        <f>HYPERLINK("https://smartstore.naver.com/brickstore2019/products/4458679250",AW:AW)</f>
        <v>4458679250</v>
      </c>
      <c r="B36" s="266"/>
      <c r="C36" s="117" t="s">
        <v>200</v>
      </c>
      <c r="D36" s="117"/>
      <c r="E36" s="126" t="s">
        <v>201</v>
      </c>
      <c r="F36" s="127" t="s">
        <v>202</v>
      </c>
      <c r="G36" s="124" t="str">
        <f>HYPERLINK("https://www.amazon.com/Satechi-Lightweight-Aluminum-Portable-Laptop/dp/B01I407G40?th=1","A")</f>
        <v>A</v>
      </c>
      <c r="H36" s="125"/>
      <c r="I36" s="125"/>
      <c r="J36" s="125">
        <v>27.99</v>
      </c>
      <c r="K36" s="111">
        <v>1.4</v>
      </c>
      <c r="L36" s="111">
        <f t="shared" si="61"/>
        <v>22.4</v>
      </c>
      <c r="M36" s="111">
        <f t="shared" si="1"/>
        <v>0.63502879999999995</v>
      </c>
      <c r="N36" s="93">
        <v>0</v>
      </c>
      <c r="O36" s="93">
        <v>0</v>
      </c>
      <c r="P36" s="95">
        <f t="shared" si="2"/>
        <v>27.99</v>
      </c>
      <c r="Q36" s="96">
        <f t="shared" si="15"/>
        <v>34987.5</v>
      </c>
      <c r="R36" s="96">
        <v>0</v>
      </c>
      <c r="S36" s="97">
        <f t="shared" si="24"/>
        <v>35000</v>
      </c>
      <c r="T36" s="97">
        <f>ROUNDUP(HLOOKUP(ROUNDUP(K36,0),'배송비 조회'!A$10:U$22,7,0)*C$3,-2)</f>
        <v>11200</v>
      </c>
      <c r="U36" s="97">
        <v>0</v>
      </c>
      <c r="V36" s="97">
        <f t="shared" si="63"/>
        <v>18500</v>
      </c>
      <c r="W36" s="97">
        <f t="shared" si="54"/>
        <v>23100</v>
      </c>
      <c r="X36" s="98">
        <f t="shared" si="26"/>
        <v>64700</v>
      </c>
      <c r="Y36" s="98">
        <f t="shared" si="27"/>
        <v>69300</v>
      </c>
      <c r="Z36" s="121">
        <v>0</v>
      </c>
      <c r="AA36" s="121">
        <f t="shared" si="6"/>
        <v>2458.6</v>
      </c>
      <c r="AB36" s="121">
        <f t="shared" si="7"/>
        <v>1294</v>
      </c>
      <c r="AC36" s="99">
        <f t="shared" si="8"/>
        <v>6930</v>
      </c>
      <c r="AD36" s="121">
        <f t="shared" si="9"/>
        <v>60947.4</v>
      </c>
      <c r="AE36" s="99">
        <f t="shared" si="10"/>
        <v>62370</v>
      </c>
      <c r="AF36" s="121">
        <f t="shared" si="11"/>
        <v>609.47400000000005</v>
      </c>
      <c r="AG36" s="100">
        <f t="shared" si="28"/>
        <v>14150.426000000003</v>
      </c>
      <c r="AH36" s="101">
        <f t="shared" si="29"/>
        <v>15573.026000000002</v>
      </c>
      <c r="AI36" s="102">
        <f t="shared" ref="AI36:AJ36" si="65">AG36/X36</f>
        <v>0.21870828438949</v>
      </c>
      <c r="AJ36" s="102">
        <f t="shared" si="65"/>
        <v>0.22471898989898992</v>
      </c>
      <c r="AK36" s="103"/>
      <c r="AL36" s="104"/>
      <c r="AM36" s="17"/>
      <c r="AN36" s="17"/>
      <c r="AO36" s="17"/>
      <c r="AP36" s="17"/>
      <c r="AQ36" s="17"/>
      <c r="AR36" s="17"/>
      <c r="AS36" s="17"/>
      <c r="AT36" s="17"/>
      <c r="AU36" s="17"/>
      <c r="AV36" s="17"/>
      <c r="AW36" s="22">
        <v>4458679250</v>
      </c>
    </row>
    <row r="37" spans="1:49" ht="13.2">
      <c r="A37" s="119">
        <f>HYPERLINK("https://smartstore.naver.com/brickstore2019/products/4458744433",AW:AW)</f>
        <v>4458744433</v>
      </c>
      <c r="B37" s="266"/>
      <c r="C37" s="117" t="s">
        <v>203</v>
      </c>
      <c r="D37" s="117"/>
      <c r="E37" s="126" t="s">
        <v>204</v>
      </c>
      <c r="F37" s="130"/>
      <c r="G37" s="124" t="str">
        <f>HYPERLINK("https://www.amazon.com/iClever-Backlight-Tri-Folding-Bluetooth-Smartphones/dp/B018K5EJCQ/ref=sr_1_1_sspa?crid=16SUBMAQRCEHD&amp;keywords=bluetooth+keyboard&amp;qid=1555811660&amp;s=home-garden&amp;sprefix=bluetooth+k%2Cgarden%2C307&amp;sr=1-1-spons&amp;psc=1","A")</f>
        <v>A</v>
      </c>
      <c r="H37" s="125"/>
      <c r="I37" s="125"/>
      <c r="J37" s="125">
        <v>49</v>
      </c>
      <c r="K37" s="111">
        <v>1.05</v>
      </c>
      <c r="L37" s="111">
        <f t="shared" si="61"/>
        <v>16.8</v>
      </c>
      <c r="M37" s="111">
        <f t="shared" si="1"/>
        <v>0.47627160000000002</v>
      </c>
      <c r="N37" s="93">
        <v>0</v>
      </c>
      <c r="O37" s="93">
        <v>0</v>
      </c>
      <c r="P37" s="95">
        <f t="shared" si="2"/>
        <v>49</v>
      </c>
      <c r="Q37" s="96">
        <f t="shared" ref="Q37:Q68" si="66">P37*C$3</f>
        <v>61250</v>
      </c>
      <c r="R37" s="96">
        <v>0</v>
      </c>
      <c r="S37" s="97">
        <f t="shared" si="24"/>
        <v>61300</v>
      </c>
      <c r="T37" s="97">
        <f>ROUNDUP(HLOOKUP(ROUNDUP(K37,0),'배송비 조회'!A$10:U$22,7,0)*C$3,-2)</f>
        <v>11200</v>
      </c>
      <c r="U37" s="97">
        <v>0</v>
      </c>
      <c r="V37" s="97">
        <f t="shared" ref="V37:V39" si="67">ROUND(IF(R37&gt;0,0,(S37+T37)*0.3),-2)</f>
        <v>21800</v>
      </c>
      <c r="W37" s="97">
        <f t="shared" si="54"/>
        <v>36300</v>
      </c>
      <c r="X37" s="98">
        <f t="shared" si="26"/>
        <v>94300</v>
      </c>
      <c r="Y37" s="98">
        <f t="shared" si="27"/>
        <v>108800</v>
      </c>
      <c r="Z37" s="121">
        <v>0</v>
      </c>
      <c r="AA37" s="121">
        <f t="shared" si="6"/>
        <v>3583.4</v>
      </c>
      <c r="AB37" s="121">
        <f t="shared" si="7"/>
        <v>1886</v>
      </c>
      <c r="AC37" s="99">
        <f t="shared" si="8"/>
        <v>10880</v>
      </c>
      <c r="AD37" s="121">
        <f t="shared" si="9"/>
        <v>88830.6</v>
      </c>
      <c r="AE37" s="99">
        <f t="shared" si="10"/>
        <v>97920</v>
      </c>
      <c r="AF37" s="121">
        <f t="shared" si="11"/>
        <v>888.30600000000004</v>
      </c>
      <c r="AG37" s="100">
        <f t="shared" si="28"/>
        <v>15492.294000000005</v>
      </c>
      <c r="AH37" s="101">
        <f t="shared" si="29"/>
        <v>24581.694000000003</v>
      </c>
      <c r="AI37" s="102">
        <f t="shared" ref="AI37:AJ37" si="68">AG37/X37</f>
        <v>0.16428731707317079</v>
      </c>
      <c r="AJ37" s="102">
        <f t="shared" si="68"/>
        <v>0.22593468750000004</v>
      </c>
      <c r="AK37" s="103"/>
      <c r="AL37" s="104"/>
      <c r="AM37" s="17"/>
      <c r="AN37" s="17"/>
      <c r="AO37" s="17"/>
      <c r="AP37" s="17"/>
      <c r="AQ37" s="17"/>
      <c r="AR37" s="17"/>
      <c r="AS37" s="17"/>
      <c r="AT37" s="17"/>
      <c r="AU37" s="17"/>
      <c r="AV37" s="17"/>
      <c r="AW37" s="22">
        <v>4458744433</v>
      </c>
    </row>
    <row r="38" spans="1:49" ht="13.2">
      <c r="A38" s="119">
        <f>HYPERLINK("https://smartstore.naver.com/brickstore2019/products/4459773862",AW:AW)</f>
        <v>4459773862</v>
      </c>
      <c r="B38" s="266"/>
      <c r="C38" s="117" t="s">
        <v>207</v>
      </c>
      <c r="D38" s="117"/>
      <c r="E38" s="126" t="s">
        <v>208</v>
      </c>
      <c r="F38" s="127"/>
      <c r="G38" s="124" t="str">
        <f>HYPERLINK("https://www.amazon.com/Executive-Office-Solutions-Mount-Notebook-MacBook-Light-Sitting-Black/dp/B00RQ3JQMM/ref=pd_ybh_a_3?_encoding=UTF8&amp;psc=1&amp;refRID=AG74AWAPBVQ5VZA1RJJF","A")</f>
        <v>A</v>
      </c>
      <c r="H38" s="125"/>
      <c r="I38" s="125"/>
      <c r="J38" s="125">
        <v>39.99</v>
      </c>
      <c r="K38" s="111">
        <v>3.62</v>
      </c>
      <c r="L38" s="111">
        <f t="shared" si="61"/>
        <v>57.92</v>
      </c>
      <c r="M38" s="111">
        <f t="shared" si="1"/>
        <v>1.6420030400000001</v>
      </c>
      <c r="N38" s="93">
        <v>0</v>
      </c>
      <c r="O38" s="93">
        <v>0</v>
      </c>
      <c r="P38" s="95">
        <f t="shared" si="2"/>
        <v>39.99</v>
      </c>
      <c r="Q38" s="96">
        <f t="shared" si="66"/>
        <v>49987.5</v>
      </c>
      <c r="R38" s="96">
        <v>0</v>
      </c>
      <c r="S38" s="97">
        <f t="shared" si="24"/>
        <v>50000</v>
      </c>
      <c r="T38" s="97">
        <f>ROUNDUP(HLOOKUP(ROUNDUP(K38,0),'배송비 조회'!A$10:U$22,7,0)*C$3,-2)</f>
        <v>15600</v>
      </c>
      <c r="U38" s="97">
        <v>0</v>
      </c>
      <c r="V38" s="97">
        <f t="shared" si="67"/>
        <v>19700</v>
      </c>
      <c r="W38" s="97">
        <f t="shared" si="54"/>
        <v>32800</v>
      </c>
      <c r="X38" s="98">
        <f t="shared" si="26"/>
        <v>85300</v>
      </c>
      <c r="Y38" s="98">
        <f t="shared" si="27"/>
        <v>98400</v>
      </c>
      <c r="Z38" s="121">
        <v>0</v>
      </c>
      <c r="AA38" s="121">
        <f t="shared" si="6"/>
        <v>3241.4</v>
      </c>
      <c r="AB38" s="121">
        <f t="shared" si="7"/>
        <v>1706</v>
      </c>
      <c r="AC38" s="99">
        <f t="shared" si="8"/>
        <v>9840</v>
      </c>
      <c r="AD38" s="121">
        <f t="shared" si="9"/>
        <v>80352.600000000006</v>
      </c>
      <c r="AE38" s="99">
        <f t="shared" si="10"/>
        <v>88560</v>
      </c>
      <c r="AF38" s="121">
        <f t="shared" si="11"/>
        <v>803.52600000000007</v>
      </c>
      <c r="AG38" s="100">
        <f t="shared" si="28"/>
        <v>13961.574000000004</v>
      </c>
      <c r="AH38" s="101">
        <f t="shared" si="29"/>
        <v>22168.974000000002</v>
      </c>
      <c r="AI38" s="102">
        <f t="shared" ref="AI38:AJ38" si="69">AG38/X38</f>
        <v>0.16367613130128961</v>
      </c>
      <c r="AJ38" s="102">
        <f t="shared" si="69"/>
        <v>0.22529445121951222</v>
      </c>
      <c r="AK38" s="103"/>
      <c r="AL38" s="104"/>
      <c r="AM38" s="17"/>
      <c r="AN38" s="17"/>
      <c r="AO38" s="17"/>
      <c r="AP38" s="17"/>
      <c r="AQ38" s="17"/>
      <c r="AR38" s="17"/>
      <c r="AS38" s="17"/>
      <c r="AT38" s="17"/>
      <c r="AU38" s="17"/>
      <c r="AV38" s="17"/>
      <c r="AW38" s="22">
        <v>4459773862</v>
      </c>
    </row>
    <row r="39" spans="1:49" ht="13.2">
      <c r="A39" s="119">
        <f>HYPERLINK("https://smartstore.naver.com/brickstore2019/products/4464038279",AW:AW)</f>
        <v>4464038279</v>
      </c>
      <c r="B39" s="266"/>
      <c r="C39" s="117" t="s">
        <v>210</v>
      </c>
      <c r="D39" s="117"/>
      <c r="E39" s="131" t="s">
        <v>211</v>
      </c>
      <c r="F39" s="132"/>
      <c r="G39" s="92" t="str">
        <f>HYPERLINK("https://www.amazon.com/Elevation-Lab-DraftTable-iPad-Professionals/dp/B06XGRK4Y9/ref=sr_1_fkmrnull_1?keywords=Elevation+Lab+DraftTable+Kit&amp;qid=1556008406&amp;s=gateway&amp;sr=8-1-fkmrnull","A")</f>
        <v>A</v>
      </c>
      <c r="H39" s="93"/>
      <c r="I39" s="93"/>
      <c r="J39" s="93">
        <v>70</v>
      </c>
      <c r="K39" s="111">
        <v>4.41</v>
      </c>
      <c r="L39" s="111">
        <f t="shared" si="61"/>
        <v>70.56</v>
      </c>
      <c r="M39" s="111">
        <f t="shared" si="1"/>
        <v>2.0003407200000001</v>
      </c>
      <c r="N39" s="93">
        <v>0</v>
      </c>
      <c r="O39" s="93">
        <v>0</v>
      </c>
      <c r="P39" s="95">
        <f t="shared" si="2"/>
        <v>70</v>
      </c>
      <c r="Q39" s="96">
        <f t="shared" si="66"/>
        <v>87500</v>
      </c>
      <c r="R39" s="96">
        <v>0</v>
      </c>
      <c r="S39" s="97">
        <f t="shared" si="24"/>
        <v>87500</v>
      </c>
      <c r="T39" s="97">
        <f>ROUNDUP(HLOOKUP(ROUNDUP(K39,0),'배송비 조회'!A$10:U$22,7,0)*C$3,-2)</f>
        <v>17800</v>
      </c>
      <c r="U39" s="97">
        <v>0</v>
      </c>
      <c r="V39" s="97">
        <f t="shared" si="67"/>
        <v>31600</v>
      </c>
      <c r="W39" s="97">
        <f t="shared" si="54"/>
        <v>52700</v>
      </c>
      <c r="X39" s="98">
        <f t="shared" si="26"/>
        <v>136900</v>
      </c>
      <c r="Y39" s="98">
        <f t="shared" si="27"/>
        <v>158000</v>
      </c>
      <c r="Z39" s="133">
        <v>0</v>
      </c>
      <c r="AA39" s="133">
        <f t="shared" si="6"/>
        <v>5202.2</v>
      </c>
      <c r="AB39" s="133">
        <f t="shared" si="7"/>
        <v>2738</v>
      </c>
      <c r="AC39" s="99">
        <f t="shared" si="8"/>
        <v>15800</v>
      </c>
      <c r="AD39" s="133">
        <f t="shared" si="9"/>
        <v>128959.79999999999</v>
      </c>
      <c r="AE39" s="99">
        <f t="shared" si="10"/>
        <v>142200</v>
      </c>
      <c r="AF39" s="133">
        <f t="shared" si="11"/>
        <v>1289.598</v>
      </c>
      <c r="AG39" s="100">
        <f t="shared" si="28"/>
        <v>22370.20199999999</v>
      </c>
      <c r="AH39" s="101">
        <f t="shared" si="29"/>
        <v>35610.402000000002</v>
      </c>
      <c r="AI39" s="102">
        <f t="shared" ref="AI39:AJ39" si="70">AG39/X39</f>
        <v>0.16340542001460914</v>
      </c>
      <c r="AJ39" s="102">
        <f t="shared" si="70"/>
        <v>0.22538229113924052</v>
      </c>
      <c r="AK39" s="103"/>
      <c r="AL39" s="104"/>
      <c r="AM39" s="17"/>
      <c r="AN39" s="17"/>
      <c r="AO39" s="17"/>
      <c r="AP39" s="17"/>
      <c r="AQ39" s="17"/>
      <c r="AR39" s="17"/>
      <c r="AS39" s="17"/>
      <c r="AT39" s="17"/>
      <c r="AU39" s="17"/>
      <c r="AV39" s="17"/>
      <c r="AW39" s="19">
        <v>4464038279</v>
      </c>
    </row>
    <row r="40" spans="1:49" ht="13.2">
      <c r="A40" s="119">
        <f>HYPERLINK("https://smartstore.naver.com/brickstore2019/products/4468777539",AW:AW)</f>
        <v>4468777539</v>
      </c>
      <c r="B40" s="266"/>
      <c r="C40" s="117" t="s">
        <v>213</v>
      </c>
      <c r="D40" s="117"/>
      <c r="E40" s="126" t="s">
        <v>214</v>
      </c>
      <c r="F40" s="127"/>
      <c r="G40" s="92" t="str">
        <f>HYPERLINK("https://www.amazon.com/Coleman-C003-Soft-Backpack-Cooler/dp/B00J0S019S/ref=sr_1_3?keywords=Coleman+C003+Soft+Backpack+Cooler&amp;qid=1556281546&amp;s=gateway&amp;sr=8-3","A")</f>
        <v>A</v>
      </c>
      <c r="H40" s="93"/>
      <c r="I40" s="93"/>
      <c r="J40" s="93">
        <v>30</v>
      </c>
      <c r="K40" s="111">
        <v>1.4</v>
      </c>
      <c r="L40" s="111">
        <f t="shared" si="61"/>
        <v>22.4</v>
      </c>
      <c r="M40" s="111">
        <f t="shared" si="1"/>
        <v>0.63502879999999995</v>
      </c>
      <c r="N40" s="93">
        <v>0</v>
      </c>
      <c r="O40" s="93">
        <v>0</v>
      </c>
      <c r="P40" s="95">
        <f t="shared" si="2"/>
        <v>30</v>
      </c>
      <c r="Q40" s="96">
        <f t="shared" si="66"/>
        <v>37500</v>
      </c>
      <c r="R40" s="96">
        <v>0</v>
      </c>
      <c r="S40" s="97">
        <f t="shared" si="24"/>
        <v>37500</v>
      </c>
      <c r="T40" s="97">
        <f>ROUNDUP(HLOOKUP(ROUNDUP(K40,0),'배송비 조회'!A$10:U$22,7,0)*C$3,-2)</f>
        <v>11200</v>
      </c>
      <c r="U40" s="97">
        <v>0</v>
      </c>
      <c r="V40" s="97">
        <f>ROUND(IF(R40&gt;0,0,(S40+T40)*0.4),-2)</f>
        <v>19500</v>
      </c>
      <c r="W40" s="97">
        <f t="shared" si="54"/>
        <v>24400</v>
      </c>
      <c r="X40" s="98">
        <f t="shared" si="26"/>
        <v>68200</v>
      </c>
      <c r="Y40" s="98">
        <f t="shared" si="27"/>
        <v>73100</v>
      </c>
      <c r="Z40" s="121">
        <v>0</v>
      </c>
      <c r="AA40" s="121">
        <f t="shared" si="6"/>
        <v>2591.6</v>
      </c>
      <c r="AB40" s="121">
        <f t="shared" si="7"/>
        <v>1364</v>
      </c>
      <c r="AC40" s="99">
        <f t="shared" si="8"/>
        <v>7310</v>
      </c>
      <c r="AD40" s="121">
        <f t="shared" si="9"/>
        <v>64244.399999999994</v>
      </c>
      <c r="AE40" s="99">
        <f t="shared" si="10"/>
        <v>65790</v>
      </c>
      <c r="AF40" s="121">
        <f t="shared" si="11"/>
        <v>642.44399999999996</v>
      </c>
      <c r="AG40" s="100">
        <f t="shared" si="28"/>
        <v>14901.955999999995</v>
      </c>
      <c r="AH40" s="101">
        <f t="shared" si="29"/>
        <v>16447.556</v>
      </c>
      <c r="AI40" s="102">
        <f t="shared" ref="AI40:AJ40" si="71">AG40/X40</f>
        <v>0.21850375366568908</v>
      </c>
      <c r="AJ40" s="102">
        <f t="shared" si="71"/>
        <v>0.22500076607387143</v>
      </c>
      <c r="AK40" s="103"/>
      <c r="AL40" s="104"/>
      <c r="AM40" s="17"/>
      <c r="AN40" s="17"/>
      <c r="AO40" s="17"/>
      <c r="AP40" s="17"/>
      <c r="AQ40" s="17"/>
      <c r="AR40" s="17"/>
      <c r="AS40" s="17"/>
      <c r="AT40" s="17"/>
      <c r="AU40" s="17"/>
      <c r="AV40" s="17"/>
      <c r="AW40" s="22">
        <v>4468777539</v>
      </c>
    </row>
    <row r="41" spans="1:49" ht="13.2">
      <c r="A41" s="119">
        <f>HYPERLINK("https://smartstore.naver.com/brickstore2019/products/4470251178",AW:AW)</f>
        <v>4470251178</v>
      </c>
      <c r="B41" s="266"/>
      <c r="C41" s="117" t="s">
        <v>217</v>
      </c>
      <c r="D41" s="117"/>
      <c r="E41" s="128" t="s">
        <v>218</v>
      </c>
      <c r="F41" s="123"/>
      <c r="G41" s="92" t="str">
        <f>HYPERLINK("https://www.amazon.com/Orient-Japanese-Automatic-Stainless-Diving/dp/B01AK5TQRM/ref=sr_1_1?keywords=FAA02002D9&amp;qid=1556281122&amp;s=gateway&amp;sr=8-1&amp;th=1#customerReviews","A")</f>
        <v>A</v>
      </c>
      <c r="H41" s="93"/>
      <c r="I41" s="93"/>
      <c r="J41" s="93">
        <v>129</v>
      </c>
      <c r="K41" s="111">
        <v>1.2</v>
      </c>
      <c r="L41" s="111">
        <f t="shared" si="61"/>
        <v>19.2</v>
      </c>
      <c r="M41" s="111">
        <f t="shared" si="1"/>
        <v>0.54431039999999997</v>
      </c>
      <c r="N41" s="93">
        <v>0</v>
      </c>
      <c r="O41" s="93">
        <v>0</v>
      </c>
      <c r="P41" s="95">
        <f t="shared" si="2"/>
        <v>129</v>
      </c>
      <c r="Q41" s="96">
        <f t="shared" si="66"/>
        <v>161250</v>
      </c>
      <c r="R41" s="96">
        <v>0</v>
      </c>
      <c r="S41" s="97">
        <f t="shared" si="24"/>
        <v>161300</v>
      </c>
      <c r="T41" s="97">
        <f>ROUNDUP(HLOOKUP(ROUNDUP(K41,0),'배송비 조회'!A$10:U$22,7,0)*C$3,-2)</f>
        <v>11200</v>
      </c>
      <c r="U41" s="97">
        <v>0</v>
      </c>
      <c r="V41" s="97">
        <f t="shared" ref="V41:V48" si="72">ROUND(IF(R41&gt;0,0,(S41+T41)*0.3),-2)</f>
        <v>51800</v>
      </c>
      <c r="W41" s="97">
        <f t="shared" si="54"/>
        <v>86300</v>
      </c>
      <c r="X41" s="98">
        <f t="shared" si="26"/>
        <v>224300</v>
      </c>
      <c r="Y41" s="98">
        <f t="shared" si="27"/>
        <v>258800</v>
      </c>
      <c r="Z41" s="121">
        <v>0</v>
      </c>
      <c r="AA41" s="121">
        <f t="shared" si="6"/>
        <v>8523.4</v>
      </c>
      <c r="AB41" s="121">
        <f t="shared" si="7"/>
        <v>4486</v>
      </c>
      <c r="AC41" s="99">
        <f t="shared" si="8"/>
        <v>25880</v>
      </c>
      <c r="AD41" s="121">
        <f t="shared" si="9"/>
        <v>211290.6</v>
      </c>
      <c r="AE41" s="99">
        <f t="shared" si="10"/>
        <v>232920</v>
      </c>
      <c r="AF41" s="121">
        <f t="shared" si="11"/>
        <v>2112.9059999999999</v>
      </c>
      <c r="AG41" s="100">
        <f t="shared" si="28"/>
        <v>36727.694000000003</v>
      </c>
      <c r="AH41" s="101">
        <f t="shared" si="29"/>
        <v>58357.093999999997</v>
      </c>
      <c r="AI41" s="102">
        <f t="shared" ref="AI41:AJ41" si="73">AG41/X41</f>
        <v>0.16374362015158272</v>
      </c>
      <c r="AJ41" s="102">
        <f t="shared" si="73"/>
        <v>0.22549108964451312</v>
      </c>
      <c r="AK41" s="103"/>
      <c r="AL41" s="104"/>
      <c r="AM41" s="17"/>
      <c r="AN41" s="17"/>
      <c r="AO41" s="17"/>
      <c r="AP41" s="17"/>
      <c r="AQ41" s="17"/>
      <c r="AR41" s="17"/>
      <c r="AS41" s="17"/>
      <c r="AT41" s="17"/>
      <c r="AU41" s="17"/>
      <c r="AV41" s="17"/>
      <c r="AW41" s="22">
        <v>4470251178</v>
      </c>
    </row>
    <row r="42" spans="1:49" ht="13.2">
      <c r="A42" s="303">
        <f>HYPERLINK("https://smartstore.naver.com/brickstore2019/products/4473053681",AW:AW)</f>
        <v>4473053681</v>
      </c>
      <c r="B42" s="266"/>
      <c r="C42" s="304" t="s">
        <v>220</v>
      </c>
      <c r="D42" s="117"/>
      <c r="E42" s="327" t="s">
        <v>221</v>
      </c>
      <c r="F42" s="127" t="s">
        <v>222</v>
      </c>
      <c r="G42" s="92" t="str">
        <f>HYPERLINK("https://www.amazon.com/Lightspeed-Outdoors-Lounger-Beach-Seaglass/dp/B07D84NHZS/ref=pd_ybh_a_7?_encoding=UTF8&amp;refRID=9KGESRT0QES8338RKDWR&amp;th=1","A")</f>
        <v>A</v>
      </c>
      <c r="H42" s="93"/>
      <c r="I42" s="93"/>
      <c r="J42" s="93">
        <v>59.99</v>
      </c>
      <c r="K42" s="111">
        <v>8.6</v>
      </c>
      <c r="L42" s="111">
        <f t="shared" si="61"/>
        <v>137.6</v>
      </c>
      <c r="M42" s="111">
        <f t="shared" si="1"/>
        <v>3.9008911999999998</v>
      </c>
      <c r="N42" s="93">
        <v>0</v>
      </c>
      <c r="O42" s="93">
        <v>0</v>
      </c>
      <c r="P42" s="95">
        <f t="shared" si="2"/>
        <v>59.99</v>
      </c>
      <c r="Q42" s="96">
        <f t="shared" si="66"/>
        <v>74987.5</v>
      </c>
      <c r="R42" s="96">
        <v>0</v>
      </c>
      <c r="S42" s="97">
        <f t="shared" si="24"/>
        <v>75000</v>
      </c>
      <c r="T42" s="97">
        <f>ROUNDUP(HLOOKUP(ROUNDUP(K42,0),'배송비 조회'!A$10:U$22,7,0)*C$3,-2)</f>
        <v>26500</v>
      </c>
      <c r="U42" s="97">
        <v>0</v>
      </c>
      <c r="V42" s="97">
        <f t="shared" si="72"/>
        <v>30500</v>
      </c>
      <c r="W42" s="97">
        <f t="shared" si="54"/>
        <v>50800</v>
      </c>
      <c r="X42" s="98">
        <f t="shared" si="26"/>
        <v>132000</v>
      </c>
      <c r="Y42" s="98">
        <f t="shared" si="27"/>
        <v>152300</v>
      </c>
      <c r="Z42" s="121">
        <v>0</v>
      </c>
      <c r="AA42" s="121">
        <f t="shared" si="6"/>
        <v>5016</v>
      </c>
      <c r="AB42" s="121">
        <f t="shared" si="7"/>
        <v>2640</v>
      </c>
      <c r="AC42" s="99">
        <f t="shared" si="8"/>
        <v>15230</v>
      </c>
      <c r="AD42" s="121">
        <f t="shared" si="9"/>
        <v>124344</v>
      </c>
      <c r="AE42" s="99">
        <f t="shared" si="10"/>
        <v>137070</v>
      </c>
      <c r="AF42" s="121">
        <f t="shared" si="11"/>
        <v>1243.44</v>
      </c>
      <c r="AG42" s="100">
        <f t="shared" si="28"/>
        <v>21613.059999999998</v>
      </c>
      <c r="AH42" s="101">
        <f t="shared" si="29"/>
        <v>34339.06</v>
      </c>
      <c r="AI42" s="102">
        <f t="shared" ref="AI42:AJ42" si="74">AG42/X42</f>
        <v>0.16373530303030301</v>
      </c>
      <c r="AJ42" s="102">
        <f t="shared" si="74"/>
        <v>0.22546986211424819</v>
      </c>
      <c r="AK42" s="103"/>
      <c r="AL42" s="104"/>
      <c r="AM42" s="17"/>
      <c r="AN42" s="17"/>
      <c r="AO42" s="17"/>
      <c r="AP42" s="17"/>
      <c r="AQ42" s="17"/>
      <c r="AR42" s="17"/>
      <c r="AS42" s="17"/>
      <c r="AT42" s="17"/>
      <c r="AU42" s="17"/>
      <c r="AV42" s="17"/>
      <c r="AW42" s="296">
        <v>4473053681</v>
      </c>
    </row>
    <row r="43" spans="1:49" ht="13.2">
      <c r="A43" s="302"/>
      <c r="B43" s="266"/>
      <c r="C43" s="302"/>
      <c r="D43" s="117"/>
      <c r="E43" s="302"/>
      <c r="F43" s="127" t="s">
        <v>226</v>
      </c>
      <c r="G43" s="92" t="str">
        <f>HYPERLINK("https://www.amazon.com/Lightspeed-Outdoors-Lounger-Beach-Seaglass/dp/B07D84DNRY/ref=pd_ybh_a_7?_encoding=UTF8&amp;refRID=9KGESRT0QES8338RKDWR&amp;th=1","A")</f>
        <v>A</v>
      </c>
      <c r="H43" s="93"/>
      <c r="I43" s="93"/>
      <c r="J43" s="93">
        <v>59.99</v>
      </c>
      <c r="K43" s="111">
        <v>8.6</v>
      </c>
      <c r="L43" s="111">
        <f t="shared" si="61"/>
        <v>137.6</v>
      </c>
      <c r="M43" s="111">
        <f t="shared" si="1"/>
        <v>3.9008911999999998</v>
      </c>
      <c r="N43" s="93">
        <v>0</v>
      </c>
      <c r="O43" s="93">
        <v>0</v>
      </c>
      <c r="P43" s="95">
        <f t="shared" si="2"/>
        <v>59.99</v>
      </c>
      <c r="Q43" s="96">
        <f t="shared" si="66"/>
        <v>74987.5</v>
      </c>
      <c r="R43" s="96">
        <v>0</v>
      </c>
      <c r="S43" s="97">
        <f t="shared" si="24"/>
        <v>75000</v>
      </c>
      <c r="T43" s="97">
        <f>ROUNDUP(HLOOKUP(ROUNDUP(K43,0),'배송비 조회'!A$10:U$22,7,0)*C$3,-2)</f>
        <v>26500</v>
      </c>
      <c r="U43" s="97">
        <v>0</v>
      </c>
      <c r="V43" s="97">
        <f t="shared" si="72"/>
        <v>30500</v>
      </c>
      <c r="W43" s="97">
        <f t="shared" si="54"/>
        <v>50800</v>
      </c>
      <c r="X43" s="98">
        <f t="shared" si="26"/>
        <v>132000</v>
      </c>
      <c r="Y43" s="98">
        <f t="shared" si="27"/>
        <v>152300</v>
      </c>
      <c r="Z43" s="121">
        <v>0</v>
      </c>
      <c r="AA43" s="121">
        <f t="shared" si="6"/>
        <v>5016</v>
      </c>
      <c r="AB43" s="121">
        <f t="shared" si="7"/>
        <v>2640</v>
      </c>
      <c r="AC43" s="99">
        <f t="shared" si="8"/>
        <v>15230</v>
      </c>
      <c r="AD43" s="121">
        <f t="shared" si="9"/>
        <v>124344</v>
      </c>
      <c r="AE43" s="99">
        <f t="shared" si="10"/>
        <v>137070</v>
      </c>
      <c r="AF43" s="121">
        <f t="shared" si="11"/>
        <v>1243.44</v>
      </c>
      <c r="AG43" s="100">
        <f t="shared" si="28"/>
        <v>21613.059999999998</v>
      </c>
      <c r="AH43" s="101">
        <f t="shared" si="29"/>
        <v>34339.06</v>
      </c>
      <c r="AI43" s="102">
        <f t="shared" ref="AI43:AJ43" si="75">AG43/X43</f>
        <v>0.16373530303030301</v>
      </c>
      <c r="AJ43" s="102">
        <f t="shared" si="75"/>
        <v>0.22546986211424819</v>
      </c>
      <c r="AK43" s="103"/>
      <c r="AL43" s="104"/>
      <c r="AM43" s="17"/>
      <c r="AN43" s="17"/>
      <c r="AO43" s="17"/>
      <c r="AP43" s="17"/>
      <c r="AQ43" s="17"/>
      <c r="AR43" s="17"/>
      <c r="AS43" s="17"/>
      <c r="AT43" s="17"/>
      <c r="AU43" s="17"/>
      <c r="AV43" s="17"/>
      <c r="AW43" s="297"/>
    </row>
    <row r="44" spans="1:49" ht="13.2">
      <c r="A44" s="303">
        <f>HYPERLINK("https://smartstore.naver.com/brickstore2019/products/4473576266",AW:AW)</f>
        <v>4473576266</v>
      </c>
      <c r="B44" s="266"/>
      <c r="C44" s="313" t="s">
        <v>229</v>
      </c>
      <c r="D44" s="134"/>
      <c r="E44" s="327" t="s">
        <v>230</v>
      </c>
      <c r="F44" s="127" t="s">
        <v>58</v>
      </c>
      <c r="G44" s="92" t="str">
        <f>HYPERLINK("https://www.amazon.com/Sport-Brella-Portable-All-Weather-Umbrella-8-Foot/dp/B002CLQ1Q2/ref=pd_ybh_a_10?_encoding=UTF8&amp;refRID=9KGESRT0QES8338RKDWR&amp;th=1","A")</f>
        <v>A</v>
      </c>
      <c r="H44" s="93"/>
      <c r="I44" s="93"/>
      <c r="J44" s="93">
        <v>54.29</v>
      </c>
      <c r="K44" s="111">
        <v>9.6</v>
      </c>
      <c r="L44" s="111">
        <f t="shared" si="61"/>
        <v>153.6</v>
      </c>
      <c r="M44" s="111">
        <f t="shared" si="1"/>
        <v>4.3544831999999998</v>
      </c>
      <c r="N44" s="93">
        <v>0</v>
      </c>
      <c r="O44" s="93">
        <v>0</v>
      </c>
      <c r="P44" s="95">
        <f t="shared" si="2"/>
        <v>54.29</v>
      </c>
      <c r="Q44" s="96">
        <f t="shared" si="66"/>
        <v>67862.5</v>
      </c>
      <c r="R44" s="96">
        <v>0</v>
      </c>
      <c r="S44" s="97">
        <f t="shared" si="24"/>
        <v>67900</v>
      </c>
      <c r="T44" s="97">
        <f>ROUNDUP(HLOOKUP(ROUNDUP(K44,0),'배송비 조회'!A$10:U$22,7,0)*C$3,-2)</f>
        <v>28700</v>
      </c>
      <c r="U44" s="97">
        <v>0</v>
      </c>
      <c r="V44" s="97">
        <f t="shared" si="72"/>
        <v>29000</v>
      </c>
      <c r="W44" s="97">
        <f t="shared" si="54"/>
        <v>48300</v>
      </c>
      <c r="X44" s="98">
        <f t="shared" si="26"/>
        <v>125600</v>
      </c>
      <c r="Y44" s="98">
        <f t="shared" si="27"/>
        <v>144900</v>
      </c>
      <c r="Z44" s="121">
        <v>0</v>
      </c>
      <c r="AA44" s="121">
        <f t="shared" si="6"/>
        <v>4772.8</v>
      </c>
      <c r="AB44" s="121">
        <f t="shared" si="7"/>
        <v>2512</v>
      </c>
      <c r="AC44" s="99">
        <f t="shared" si="8"/>
        <v>14490</v>
      </c>
      <c r="AD44" s="121">
        <f t="shared" si="9"/>
        <v>118315.2</v>
      </c>
      <c r="AE44" s="99">
        <f t="shared" si="10"/>
        <v>130410</v>
      </c>
      <c r="AF44" s="121">
        <f t="shared" si="11"/>
        <v>1183.152</v>
      </c>
      <c r="AG44" s="100">
        <f t="shared" si="28"/>
        <v>20569.547999999995</v>
      </c>
      <c r="AH44" s="101">
        <f t="shared" si="29"/>
        <v>32664.347999999998</v>
      </c>
      <c r="AI44" s="102">
        <f t="shared" ref="AI44:AJ44" si="76">AG44/X44</f>
        <v>0.16377028662420379</v>
      </c>
      <c r="AJ44" s="102">
        <f t="shared" si="76"/>
        <v>0.22542683229813662</v>
      </c>
      <c r="AK44" s="103"/>
      <c r="AL44" s="104"/>
      <c r="AM44" s="17"/>
      <c r="AN44" s="17"/>
      <c r="AO44" s="17"/>
      <c r="AP44" s="17"/>
      <c r="AQ44" s="17"/>
      <c r="AR44" s="17"/>
      <c r="AS44" s="17"/>
      <c r="AT44" s="17"/>
      <c r="AU44" s="17"/>
      <c r="AV44" s="17"/>
      <c r="AW44" s="296">
        <v>4473576266</v>
      </c>
    </row>
    <row r="45" spans="1:49" ht="13.2">
      <c r="A45" s="302"/>
      <c r="B45" s="266"/>
      <c r="C45" s="302"/>
      <c r="D45" s="134"/>
      <c r="E45" s="302"/>
      <c r="F45" s="127" t="s">
        <v>92</v>
      </c>
      <c r="G45" s="92" t="str">
        <f>HYPERLINK("https://www.amazon.com/Sport-Brella-Portable-All-Weather-Umbrella-8-Foot/dp/B002CLQ1NA/ref=pd_ybh_a_10?_encoding=UTF8&amp;refRID=9KGESRT0QES8338RKDWR&amp;th=1","A")</f>
        <v>A</v>
      </c>
      <c r="H45" s="93"/>
      <c r="I45" s="93"/>
      <c r="J45" s="93">
        <v>50</v>
      </c>
      <c r="K45" s="111">
        <v>9.6</v>
      </c>
      <c r="L45" s="111">
        <f t="shared" si="61"/>
        <v>153.6</v>
      </c>
      <c r="M45" s="111">
        <f t="shared" si="1"/>
        <v>4.3544831999999998</v>
      </c>
      <c r="N45" s="93">
        <v>0</v>
      </c>
      <c r="O45" s="93">
        <v>0</v>
      </c>
      <c r="P45" s="95">
        <f t="shared" si="2"/>
        <v>50</v>
      </c>
      <c r="Q45" s="96">
        <f t="shared" si="66"/>
        <v>62500</v>
      </c>
      <c r="R45" s="96">
        <v>0</v>
      </c>
      <c r="S45" s="97">
        <f t="shared" si="24"/>
        <v>62500</v>
      </c>
      <c r="T45" s="97">
        <f>ROUNDUP(HLOOKUP(ROUNDUP(K45,0),'배송비 조회'!A$10:U$22,7,0)*C$3,-2)</f>
        <v>28700</v>
      </c>
      <c r="U45" s="97">
        <v>0</v>
      </c>
      <c r="V45" s="97">
        <f t="shared" si="72"/>
        <v>27400</v>
      </c>
      <c r="W45" s="97">
        <f t="shared" si="54"/>
        <v>45600</v>
      </c>
      <c r="X45" s="98">
        <f t="shared" si="26"/>
        <v>118600</v>
      </c>
      <c r="Y45" s="98">
        <f t="shared" si="27"/>
        <v>136800</v>
      </c>
      <c r="Z45" s="121">
        <v>0</v>
      </c>
      <c r="AA45" s="121">
        <f t="shared" si="6"/>
        <v>4506.8</v>
      </c>
      <c r="AB45" s="121">
        <f t="shared" si="7"/>
        <v>2372</v>
      </c>
      <c r="AC45" s="99">
        <f t="shared" si="8"/>
        <v>13680</v>
      </c>
      <c r="AD45" s="121">
        <f t="shared" si="9"/>
        <v>111721.2</v>
      </c>
      <c r="AE45" s="99">
        <f t="shared" si="10"/>
        <v>123120</v>
      </c>
      <c r="AF45" s="121">
        <f t="shared" si="11"/>
        <v>1117.212</v>
      </c>
      <c r="AG45" s="100">
        <f t="shared" si="28"/>
        <v>19403.987999999998</v>
      </c>
      <c r="AH45" s="101">
        <f t="shared" si="29"/>
        <v>30802.788</v>
      </c>
      <c r="AI45" s="102">
        <f t="shared" ref="AI45:AJ45" si="77">AG45/X45</f>
        <v>0.16360866779089375</v>
      </c>
      <c r="AJ45" s="102">
        <f t="shared" si="77"/>
        <v>0.22516657894736841</v>
      </c>
      <c r="AK45" s="103"/>
      <c r="AL45" s="104"/>
      <c r="AM45" s="17"/>
      <c r="AN45" s="17"/>
      <c r="AO45" s="17"/>
      <c r="AP45" s="17"/>
      <c r="AQ45" s="17"/>
      <c r="AR45" s="17"/>
      <c r="AS45" s="17"/>
      <c r="AT45" s="17"/>
      <c r="AU45" s="17"/>
      <c r="AV45" s="17"/>
      <c r="AW45" s="297"/>
    </row>
    <row r="46" spans="1:49" ht="13.2">
      <c r="A46" s="303">
        <f>HYPERLINK("https://smartstore.naver.com/brickstore2019/products/4473749112",AW:AW)</f>
        <v>4473749112</v>
      </c>
      <c r="B46" s="266"/>
      <c r="C46" s="304" t="s">
        <v>234</v>
      </c>
      <c r="D46" s="117"/>
      <c r="E46" s="304" t="s">
        <v>235</v>
      </c>
      <c r="F46" s="123" t="s">
        <v>236</v>
      </c>
      <c r="G46" s="92" t="str">
        <f t="shared" ref="G46:G47" si="78">HYPERLINK("https://www.amazon.com/gp/product/B0009PUTIE/ref=as_li_ss_tl?ie=UTF8&amp;linkCode=sl1&amp;tag=bswag-20&amp;linkId=81df332cd87d950b2a3c517819986422&amp;th=1","A")</f>
        <v>A</v>
      </c>
      <c r="H46" s="93"/>
      <c r="I46" s="93"/>
      <c r="J46" s="93">
        <v>49</v>
      </c>
      <c r="K46" s="111">
        <v>6.2</v>
      </c>
      <c r="L46" s="111">
        <f t="shared" si="61"/>
        <v>99.2</v>
      </c>
      <c r="M46" s="111">
        <f t="shared" si="1"/>
        <v>2.8122704000000001</v>
      </c>
      <c r="N46" s="93">
        <v>0</v>
      </c>
      <c r="O46" s="93">
        <v>0</v>
      </c>
      <c r="P46" s="95">
        <f t="shared" si="2"/>
        <v>49</v>
      </c>
      <c r="Q46" s="96">
        <f t="shared" si="66"/>
        <v>61250</v>
      </c>
      <c r="R46" s="96">
        <v>0</v>
      </c>
      <c r="S46" s="97">
        <f t="shared" si="24"/>
        <v>61300</v>
      </c>
      <c r="T46" s="97">
        <f>ROUNDUP(HLOOKUP(ROUNDUP(K46,0),'배송비 조회'!A$10:U$22,7,0)*C$3,-2)</f>
        <v>22200</v>
      </c>
      <c r="U46" s="97">
        <v>0</v>
      </c>
      <c r="V46" s="97">
        <f t="shared" si="72"/>
        <v>25100</v>
      </c>
      <c r="W46" s="97">
        <f t="shared" si="54"/>
        <v>41800</v>
      </c>
      <c r="X46" s="98">
        <f t="shared" si="26"/>
        <v>108600</v>
      </c>
      <c r="Y46" s="98">
        <f t="shared" si="27"/>
        <v>125300</v>
      </c>
      <c r="Z46" s="121">
        <v>0</v>
      </c>
      <c r="AA46" s="121">
        <f t="shared" si="6"/>
        <v>4126.8</v>
      </c>
      <c r="AB46" s="121">
        <f t="shared" si="7"/>
        <v>2172</v>
      </c>
      <c r="AC46" s="99">
        <f t="shared" si="8"/>
        <v>12530</v>
      </c>
      <c r="AD46" s="121">
        <f t="shared" si="9"/>
        <v>102301.2</v>
      </c>
      <c r="AE46" s="99">
        <f t="shared" si="10"/>
        <v>112770</v>
      </c>
      <c r="AF46" s="121">
        <f t="shared" si="11"/>
        <v>1023.0119999999999</v>
      </c>
      <c r="AG46" s="100">
        <f t="shared" si="28"/>
        <v>17828.187999999995</v>
      </c>
      <c r="AH46" s="101">
        <f t="shared" si="29"/>
        <v>28296.987999999998</v>
      </c>
      <c r="AI46" s="102">
        <f t="shared" ref="AI46:AJ46" si="79">AG46/X46</f>
        <v>0.16416379373848983</v>
      </c>
      <c r="AJ46" s="102">
        <f t="shared" si="79"/>
        <v>0.22583390263367914</v>
      </c>
      <c r="AK46" s="103"/>
      <c r="AL46" s="104"/>
      <c r="AM46" s="17"/>
      <c r="AN46" s="17"/>
      <c r="AO46" s="17"/>
      <c r="AP46" s="17"/>
      <c r="AQ46" s="17"/>
      <c r="AR46" s="17"/>
      <c r="AS46" s="17"/>
      <c r="AT46" s="17"/>
      <c r="AU46" s="17"/>
      <c r="AV46" s="17"/>
      <c r="AW46" s="296">
        <v>4473749112</v>
      </c>
    </row>
    <row r="47" spans="1:49" ht="13.2">
      <c r="A47" s="302"/>
      <c r="B47" s="266"/>
      <c r="C47" s="302"/>
      <c r="D47" s="117"/>
      <c r="E47" s="302"/>
      <c r="F47" s="123" t="s">
        <v>238</v>
      </c>
      <c r="G47" s="92" t="str">
        <f t="shared" si="78"/>
        <v>A</v>
      </c>
      <c r="H47" s="93"/>
      <c r="I47" s="93"/>
      <c r="J47" s="93">
        <v>55</v>
      </c>
      <c r="K47" s="111">
        <v>6.2</v>
      </c>
      <c r="L47" s="111">
        <f t="shared" si="61"/>
        <v>99.2</v>
      </c>
      <c r="M47" s="111">
        <f t="shared" si="1"/>
        <v>2.8122704000000001</v>
      </c>
      <c r="N47" s="93">
        <v>0</v>
      </c>
      <c r="O47" s="93">
        <v>0</v>
      </c>
      <c r="P47" s="95">
        <f t="shared" si="2"/>
        <v>55</v>
      </c>
      <c r="Q47" s="96">
        <f t="shared" si="66"/>
        <v>68750</v>
      </c>
      <c r="R47" s="96">
        <v>0</v>
      </c>
      <c r="S47" s="97">
        <f t="shared" si="24"/>
        <v>68800</v>
      </c>
      <c r="T47" s="97">
        <f>ROUNDUP(HLOOKUP(ROUNDUP(K47,0),'배송비 조회'!A$10:U$22,7,0)*C$3,-2)</f>
        <v>22200</v>
      </c>
      <c r="U47" s="97">
        <v>0</v>
      </c>
      <c r="V47" s="97">
        <f t="shared" si="72"/>
        <v>27300</v>
      </c>
      <c r="W47" s="97">
        <f t="shared" si="54"/>
        <v>45500</v>
      </c>
      <c r="X47" s="98">
        <f t="shared" si="26"/>
        <v>118300</v>
      </c>
      <c r="Y47" s="98">
        <f t="shared" si="27"/>
        <v>136500</v>
      </c>
      <c r="Z47" s="133">
        <v>0</v>
      </c>
      <c r="AA47" s="133">
        <f t="shared" si="6"/>
        <v>4495.3999999999996</v>
      </c>
      <c r="AB47" s="133">
        <f t="shared" si="7"/>
        <v>2366</v>
      </c>
      <c r="AC47" s="99">
        <f t="shared" si="8"/>
        <v>13650</v>
      </c>
      <c r="AD47" s="133">
        <f t="shared" si="9"/>
        <v>111438.6</v>
      </c>
      <c r="AE47" s="99">
        <f t="shared" si="10"/>
        <v>122850</v>
      </c>
      <c r="AF47" s="133">
        <f t="shared" si="11"/>
        <v>1114.3860000000002</v>
      </c>
      <c r="AG47" s="100">
        <f t="shared" si="28"/>
        <v>19374.214000000007</v>
      </c>
      <c r="AH47" s="101">
        <f t="shared" si="29"/>
        <v>30785.614000000001</v>
      </c>
      <c r="AI47" s="102">
        <f t="shared" ref="AI47:AJ47" si="80">AG47/X47</f>
        <v>0.16377188503803894</v>
      </c>
      <c r="AJ47" s="102">
        <f t="shared" si="80"/>
        <v>0.2255356336996337</v>
      </c>
      <c r="AK47" s="103"/>
      <c r="AL47" s="104"/>
      <c r="AM47" s="17"/>
      <c r="AN47" s="17"/>
      <c r="AO47" s="17"/>
      <c r="AP47" s="17"/>
      <c r="AQ47" s="17"/>
      <c r="AR47" s="17"/>
      <c r="AS47" s="17"/>
      <c r="AT47" s="17"/>
      <c r="AU47" s="17"/>
      <c r="AV47" s="17"/>
      <c r="AW47" s="297"/>
    </row>
    <row r="48" spans="1:49" ht="13.2">
      <c r="A48" s="302"/>
      <c r="B48" s="266"/>
      <c r="C48" s="302"/>
      <c r="D48" s="117"/>
      <c r="E48" s="302"/>
      <c r="F48" s="123" t="s">
        <v>118</v>
      </c>
      <c r="G48" s="92" t="str">
        <f>HYPERLINK("https://www.amazon.com/gp/product/B00J955G24/ref=as_li_ss_tl?ie=UTF8&amp;linkCode=sl1&amp;tag=bswag-20&amp;linkId=81df332cd87d950b2a3c517819986422&amp;th=1","A")</f>
        <v>A</v>
      </c>
      <c r="H48" s="93"/>
      <c r="I48" s="93"/>
      <c r="J48" s="93">
        <v>55</v>
      </c>
      <c r="K48" s="111">
        <v>6.2</v>
      </c>
      <c r="L48" s="111">
        <f t="shared" si="61"/>
        <v>99.2</v>
      </c>
      <c r="M48" s="111">
        <f t="shared" si="1"/>
        <v>2.8122704000000001</v>
      </c>
      <c r="N48" s="93">
        <v>0</v>
      </c>
      <c r="O48" s="93">
        <v>0</v>
      </c>
      <c r="P48" s="95">
        <f t="shared" si="2"/>
        <v>55</v>
      </c>
      <c r="Q48" s="96">
        <f t="shared" si="66"/>
        <v>68750</v>
      </c>
      <c r="R48" s="96">
        <v>0</v>
      </c>
      <c r="S48" s="97">
        <f t="shared" si="24"/>
        <v>68800</v>
      </c>
      <c r="T48" s="97">
        <f>ROUNDUP(HLOOKUP(ROUNDUP(K48,0),'배송비 조회'!A$10:U$22,7,0)*C$3,-2)</f>
        <v>22200</v>
      </c>
      <c r="U48" s="97">
        <v>0</v>
      </c>
      <c r="V48" s="97">
        <f t="shared" si="72"/>
        <v>27300</v>
      </c>
      <c r="W48" s="97">
        <f t="shared" si="54"/>
        <v>45500</v>
      </c>
      <c r="X48" s="98">
        <f t="shared" si="26"/>
        <v>118300</v>
      </c>
      <c r="Y48" s="98">
        <f t="shared" si="27"/>
        <v>136500</v>
      </c>
      <c r="Z48" s="121">
        <v>0</v>
      </c>
      <c r="AA48" s="121">
        <f t="shared" si="6"/>
        <v>4495.3999999999996</v>
      </c>
      <c r="AB48" s="121">
        <f t="shared" si="7"/>
        <v>2366</v>
      </c>
      <c r="AC48" s="99">
        <f t="shared" si="8"/>
        <v>13650</v>
      </c>
      <c r="AD48" s="121">
        <f t="shared" si="9"/>
        <v>111438.6</v>
      </c>
      <c r="AE48" s="99">
        <f t="shared" si="10"/>
        <v>122850</v>
      </c>
      <c r="AF48" s="121">
        <f t="shared" si="11"/>
        <v>1114.3860000000002</v>
      </c>
      <c r="AG48" s="100">
        <f t="shared" si="28"/>
        <v>19374.214000000007</v>
      </c>
      <c r="AH48" s="101">
        <f t="shared" si="29"/>
        <v>30785.614000000001</v>
      </c>
      <c r="AI48" s="102">
        <f t="shared" ref="AI48:AJ48" si="81">AG48/X48</f>
        <v>0.16377188503803894</v>
      </c>
      <c r="AJ48" s="102">
        <f t="shared" si="81"/>
        <v>0.2255356336996337</v>
      </c>
      <c r="AK48" s="135"/>
      <c r="AL48" s="104"/>
      <c r="AM48" s="17"/>
      <c r="AN48" s="17"/>
      <c r="AO48" s="17"/>
      <c r="AP48" s="17"/>
      <c r="AQ48" s="17"/>
      <c r="AR48" s="17"/>
      <c r="AS48" s="17"/>
      <c r="AT48" s="17"/>
      <c r="AU48" s="17"/>
      <c r="AV48" s="17"/>
      <c r="AW48" s="297"/>
    </row>
    <row r="49" spans="1:49" ht="13.2">
      <c r="A49" s="303">
        <f>HYPERLINK("https://smartstore.naver.com/brickstore2019/products/4481370276",AW:AW)</f>
        <v>4481370276</v>
      </c>
      <c r="B49" s="266"/>
      <c r="C49" s="326" t="s">
        <v>240</v>
      </c>
      <c r="D49" s="136"/>
      <c r="E49" s="304" t="s">
        <v>241</v>
      </c>
      <c r="F49" s="123" t="s">
        <v>242</v>
      </c>
      <c r="G49" s="92" t="str">
        <f>HYPERLINK("https://www.amazon.com/Naturehike-Rainproof-Lightweight-Backpacking-Ultralight/dp/B07CWP7YXB","A")</f>
        <v>A</v>
      </c>
      <c r="H49" s="93"/>
      <c r="I49" s="93"/>
      <c r="J49" s="93">
        <v>20</v>
      </c>
      <c r="K49" s="111">
        <f t="shared" ref="K49:K54" si="82">IF(L49&gt;0,L49*0.0625,)</f>
        <v>0.38750000000000001</v>
      </c>
      <c r="L49" s="111">
        <v>6.2</v>
      </c>
      <c r="M49" s="111">
        <f t="shared" si="1"/>
        <v>0.1757669</v>
      </c>
      <c r="N49" s="93">
        <v>0</v>
      </c>
      <c r="O49" s="93">
        <v>0</v>
      </c>
      <c r="P49" s="95">
        <f t="shared" si="2"/>
        <v>20</v>
      </c>
      <c r="Q49" s="96">
        <f t="shared" si="66"/>
        <v>25000</v>
      </c>
      <c r="R49" s="96">
        <v>0</v>
      </c>
      <c r="S49" s="97">
        <f t="shared" si="24"/>
        <v>25000</v>
      </c>
      <c r="T49" s="97">
        <f>ROUNDUP(HLOOKUP(ROUNDUP(K49,0),'배송비 조회'!A$10:U$22,7,0)*C$3,-2)</f>
        <v>9000</v>
      </c>
      <c r="U49" s="97">
        <v>0</v>
      </c>
      <c r="V49" s="97">
        <f t="shared" ref="V49:V53" si="83">ROUND(IF(R49&gt;0,0,(S49+T49)*0.5),-2)</f>
        <v>17000</v>
      </c>
      <c r="W49" s="97">
        <f t="shared" si="54"/>
        <v>17000</v>
      </c>
      <c r="X49" s="98">
        <f t="shared" si="26"/>
        <v>51000</v>
      </c>
      <c r="Y49" s="98">
        <f t="shared" si="27"/>
        <v>51000</v>
      </c>
      <c r="Z49" s="121">
        <v>0</v>
      </c>
      <c r="AA49" s="121">
        <f t="shared" si="6"/>
        <v>1938</v>
      </c>
      <c r="AB49" s="121">
        <f t="shared" si="7"/>
        <v>1020</v>
      </c>
      <c r="AC49" s="99">
        <f t="shared" si="8"/>
        <v>5100</v>
      </c>
      <c r="AD49" s="121">
        <f t="shared" si="9"/>
        <v>48042</v>
      </c>
      <c r="AE49" s="99">
        <f t="shared" si="10"/>
        <v>45900</v>
      </c>
      <c r="AF49" s="121">
        <f t="shared" si="11"/>
        <v>480.42</v>
      </c>
      <c r="AG49" s="100">
        <f t="shared" si="28"/>
        <v>13561.580000000002</v>
      </c>
      <c r="AH49" s="101">
        <f t="shared" si="29"/>
        <v>11419.580000000002</v>
      </c>
      <c r="AI49" s="102">
        <f t="shared" ref="AI49:AJ49" si="84">AG49/X49</f>
        <v>0.26591333333333339</v>
      </c>
      <c r="AJ49" s="102">
        <f t="shared" si="84"/>
        <v>0.22391333333333338</v>
      </c>
      <c r="AK49" s="103"/>
      <c r="AL49" s="104"/>
      <c r="AM49" s="17"/>
      <c r="AN49" s="17"/>
      <c r="AO49" s="17"/>
      <c r="AP49" s="17"/>
      <c r="AQ49" s="17"/>
      <c r="AR49" s="17"/>
      <c r="AS49" s="17"/>
      <c r="AT49" s="17"/>
      <c r="AU49" s="17"/>
      <c r="AV49" s="17"/>
      <c r="AW49" s="296">
        <v>4481370276</v>
      </c>
    </row>
    <row r="50" spans="1:49" ht="13.2">
      <c r="A50" s="302"/>
      <c r="B50" s="266"/>
      <c r="C50" s="302"/>
      <c r="D50" s="136"/>
      <c r="E50" s="302"/>
      <c r="F50" s="123" t="s">
        <v>245</v>
      </c>
      <c r="G50" s="92" t="str">
        <f>HYPERLINK("https://www.amazon.com/Naturehike-Rainproof-Lightweight-Backpacking-Ultralight/dp/B07CWPX91C?th=1","A")</f>
        <v>A</v>
      </c>
      <c r="H50" s="93"/>
      <c r="I50" s="93"/>
      <c r="J50" s="93">
        <v>20</v>
      </c>
      <c r="K50" s="111">
        <f t="shared" si="82"/>
        <v>0.38750000000000001</v>
      </c>
      <c r="L50" s="111">
        <v>6.2</v>
      </c>
      <c r="M50" s="111">
        <f t="shared" si="1"/>
        <v>0.1757669</v>
      </c>
      <c r="N50" s="93">
        <v>0</v>
      </c>
      <c r="O50" s="93">
        <v>0</v>
      </c>
      <c r="P50" s="95">
        <f t="shared" si="2"/>
        <v>20</v>
      </c>
      <c r="Q50" s="96">
        <f t="shared" si="66"/>
        <v>25000</v>
      </c>
      <c r="R50" s="96">
        <v>0</v>
      </c>
      <c r="S50" s="97">
        <f t="shared" si="24"/>
        <v>25000</v>
      </c>
      <c r="T50" s="97">
        <f>ROUNDUP(HLOOKUP(ROUNDUP(K50,0),'배송비 조회'!A$10:U$22,7,0)*C$3,-2)</f>
        <v>9000</v>
      </c>
      <c r="U50" s="97">
        <v>0</v>
      </c>
      <c r="V50" s="97">
        <f t="shared" si="83"/>
        <v>17000</v>
      </c>
      <c r="W50" s="97">
        <f t="shared" si="54"/>
        <v>17000</v>
      </c>
      <c r="X50" s="98">
        <f t="shared" si="26"/>
        <v>51000</v>
      </c>
      <c r="Y50" s="98">
        <f t="shared" si="27"/>
        <v>51000</v>
      </c>
      <c r="Z50" s="121">
        <v>0</v>
      </c>
      <c r="AA50" s="121">
        <f t="shared" si="6"/>
        <v>1938</v>
      </c>
      <c r="AB50" s="121">
        <f t="shared" si="7"/>
        <v>1020</v>
      </c>
      <c r="AC50" s="99">
        <f t="shared" si="8"/>
        <v>5100</v>
      </c>
      <c r="AD50" s="121">
        <f t="shared" si="9"/>
        <v>48042</v>
      </c>
      <c r="AE50" s="99">
        <f t="shared" si="10"/>
        <v>45900</v>
      </c>
      <c r="AF50" s="121">
        <f t="shared" si="11"/>
        <v>480.42</v>
      </c>
      <c r="AG50" s="100">
        <f t="shared" si="28"/>
        <v>13561.580000000002</v>
      </c>
      <c r="AH50" s="101">
        <f t="shared" si="29"/>
        <v>11419.580000000002</v>
      </c>
      <c r="AI50" s="102">
        <f t="shared" ref="AI50:AJ50" si="85">AG50/X50</f>
        <v>0.26591333333333339</v>
      </c>
      <c r="AJ50" s="102">
        <f t="shared" si="85"/>
        <v>0.22391333333333338</v>
      </c>
      <c r="AK50" s="103"/>
      <c r="AL50" s="104"/>
      <c r="AM50" s="17"/>
      <c r="AN50" s="17"/>
      <c r="AO50" s="17"/>
      <c r="AP50" s="17"/>
      <c r="AQ50" s="17"/>
      <c r="AR50" s="17"/>
      <c r="AS50" s="17"/>
      <c r="AT50" s="17"/>
      <c r="AU50" s="17"/>
      <c r="AV50" s="17"/>
      <c r="AW50" s="297"/>
    </row>
    <row r="51" spans="1:49" ht="13.2">
      <c r="A51" s="303">
        <f>HYPERLINK("https://smartstore.naver.com/brickstore2019/products/4481387667",AW:AW)</f>
        <v>4481387667</v>
      </c>
      <c r="B51" s="266"/>
      <c r="C51" s="326" t="s">
        <v>247</v>
      </c>
      <c r="D51" s="136"/>
      <c r="E51" s="304" t="s">
        <v>241</v>
      </c>
      <c r="F51" s="123" t="s">
        <v>248</v>
      </c>
      <c r="G51" s="92" t="str">
        <f>HYPERLINK("https://www.amazon.com/Naturehike-Rainproof-Lightweight-Backpacking-Ultralight/dp/B0732P2KZG?th=1","A")</f>
        <v>A</v>
      </c>
      <c r="H51" s="93"/>
      <c r="I51" s="93"/>
      <c r="J51" s="93">
        <v>18</v>
      </c>
      <c r="K51" s="111">
        <f t="shared" si="82"/>
        <v>0.15</v>
      </c>
      <c r="L51" s="111">
        <v>2.4</v>
      </c>
      <c r="M51" s="111">
        <f t="shared" si="1"/>
        <v>6.8038799999999997E-2</v>
      </c>
      <c r="N51" s="93">
        <v>0</v>
      </c>
      <c r="O51" s="93">
        <v>0</v>
      </c>
      <c r="P51" s="95">
        <f t="shared" si="2"/>
        <v>18</v>
      </c>
      <c r="Q51" s="96">
        <f t="shared" si="66"/>
        <v>22500</v>
      </c>
      <c r="R51" s="96">
        <v>0</v>
      </c>
      <c r="S51" s="97">
        <f t="shared" si="24"/>
        <v>22500</v>
      </c>
      <c r="T51" s="97">
        <f>ROUNDUP(HLOOKUP(ROUNDUP(K51,0),'배송비 조회'!A$10:U$22,7,0)*C$3,-2)</f>
        <v>9000</v>
      </c>
      <c r="U51" s="97">
        <v>0</v>
      </c>
      <c r="V51" s="97">
        <f t="shared" si="83"/>
        <v>15800</v>
      </c>
      <c r="W51" s="97">
        <f t="shared" si="54"/>
        <v>15800</v>
      </c>
      <c r="X51" s="98">
        <f t="shared" si="26"/>
        <v>47300</v>
      </c>
      <c r="Y51" s="98">
        <f t="shared" si="27"/>
        <v>47300</v>
      </c>
      <c r="Z51" s="121">
        <v>0</v>
      </c>
      <c r="AA51" s="121">
        <f t="shared" si="6"/>
        <v>1797.3999999999999</v>
      </c>
      <c r="AB51" s="121">
        <f t="shared" si="7"/>
        <v>946</v>
      </c>
      <c r="AC51" s="99">
        <f t="shared" si="8"/>
        <v>4730</v>
      </c>
      <c r="AD51" s="121">
        <f t="shared" si="9"/>
        <v>44556.6</v>
      </c>
      <c r="AE51" s="99">
        <f t="shared" si="10"/>
        <v>42570</v>
      </c>
      <c r="AF51" s="121">
        <f t="shared" si="11"/>
        <v>445.56599999999997</v>
      </c>
      <c r="AG51" s="100">
        <f t="shared" si="28"/>
        <v>12611.034</v>
      </c>
      <c r="AH51" s="101">
        <f t="shared" si="29"/>
        <v>10624.434000000001</v>
      </c>
      <c r="AI51" s="102">
        <f t="shared" ref="AI51:AJ51" si="86">AG51/X51</f>
        <v>0.2666180549682875</v>
      </c>
      <c r="AJ51" s="102">
        <f t="shared" si="86"/>
        <v>0.22461805496828754</v>
      </c>
      <c r="AK51" s="103"/>
      <c r="AL51" s="104"/>
      <c r="AM51" s="17"/>
      <c r="AN51" s="17"/>
      <c r="AO51" s="17"/>
      <c r="AP51" s="17"/>
      <c r="AQ51" s="17"/>
      <c r="AR51" s="17"/>
      <c r="AS51" s="17"/>
      <c r="AT51" s="17"/>
      <c r="AU51" s="17"/>
      <c r="AV51" s="17"/>
      <c r="AW51" s="296">
        <v>4481387667</v>
      </c>
    </row>
    <row r="52" spans="1:49" ht="13.2">
      <c r="A52" s="302"/>
      <c r="B52" s="266"/>
      <c r="C52" s="302"/>
      <c r="D52" s="136"/>
      <c r="E52" s="302"/>
      <c r="F52" s="127" t="s">
        <v>251</v>
      </c>
      <c r="G52" s="92" t="str">
        <f>HYPERLINK("https://www.amazon.com/Naturehike-Rainproof-Lightweight-Backpacking-Ultralight/dp/B07B3LDM4Y?th=1","A")</f>
        <v>A</v>
      </c>
      <c r="H52" s="93"/>
      <c r="I52" s="93"/>
      <c r="J52" s="93">
        <v>18</v>
      </c>
      <c r="K52" s="111">
        <f t="shared" si="82"/>
        <v>0.15</v>
      </c>
      <c r="L52" s="111">
        <v>2.4</v>
      </c>
      <c r="M52" s="111">
        <f t="shared" si="1"/>
        <v>6.8038799999999997E-2</v>
      </c>
      <c r="N52" s="93">
        <v>0</v>
      </c>
      <c r="O52" s="93">
        <v>0</v>
      </c>
      <c r="P52" s="95">
        <f t="shared" si="2"/>
        <v>18</v>
      </c>
      <c r="Q52" s="96">
        <f t="shared" si="66"/>
        <v>22500</v>
      </c>
      <c r="R52" s="96">
        <v>0</v>
      </c>
      <c r="S52" s="97">
        <f t="shared" si="24"/>
        <v>22500</v>
      </c>
      <c r="T52" s="97">
        <f>ROUNDUP(HLOOKUP(ROUNDUP(K52,0),'배송비 조회'!A$10:U$22,7,0)*C$3,-2)</f>
        <v>9000</v>
      </c>
      <c r="U52" s="97">
        <v>0</v>
      </c>
      <c r="V52" s="97">
        <f t="shared" si="83"/>
        <v>15800</v>
      </c>
      <c r="W52" s="97">
        <f t="shared" si="54"/>
        <v>15800</v>
      </c>
      <c r="X52" s="98">
        <f t="shared" si="26"/>
        <v>47300</v>
      </c>
      <c r="Y52" s="98">
        <f t="shared" si="27"/>
        <v>47300</v>
      </c>
      <c r="Z52" s="121">
        <v>0</v>
      </c>
      <c r="AA52" s="121">
        <f t="shared" si="6"/>
        <v>1797.3999999999999</v>
      </c>
      <c r="AB52" s="121">
        <f t="shared" si="7"/>
        <v>946</v>
      </c>
      <c r="AC52" s="99">
        <f t="shared" si="8"/>
        <v>4730</v>
      </c>
      <c r="AD52" s="121">
        <f t="shared" si="9"/>
        <v>44556.6</v>
      </c>
      <c r="AE52" s="99">
        <f t="shared" si="10"/>
        <v>42570</v>
      </c>
      <c r="AF52" s="121">
        <f t="shared" si="11"/>
        <v>445.56599999999997</v>
      </c>
      <c r="AG52" s="100">
        <f t="shared" si="28"/>
        <v>12611.034</v>
      </c>
      <c r="AH52" s="101">
        <f t="shared" si="29"/>
        <v>10624.434000000001</v>
      </c>
      <c r="AI52" s="102">
        <f t="shared" ref="AI52:AJ52" si="87">AG52/X52</f>
        <v>0.2666180549682875</v>
      </c>
      <c r="AJ52" s="102">
        <f t="shared" si="87"/>
        <v>0.22461805496828754</v>
      </c>
      <c r="AK52" s="103"/>
      <c r="AL52" s="104"/>
      <c r="AM52" s="17"/>
      <c r="AN52" s="17"/>
      <c r="AO52" s="17"/>
      <c r="AP52" s="17"/>
      <c r="AQ52" s="17"/>
      <c r="AR52" s="17"/>
      <c r="AS52" s="17"/>
      <c r="AT52" s="17"/>
      <c r="AU52" s="17"/>
      <c r="AV52" s="17"/>
      <c r="AW52" s="297"/>
    </row>
    <row r="53" spans="1:49" ht="13.2">
      <c r="A53" s="302"/>
      <c r="B53" s="266"/>
      <c r="C53" s="302"/>
      <c r="D53" s="136"/>
      <c r="E53" s="302"/>
      <c r="F53" s="132" t="s">
        <v>55</v>
      </c>
      <c r="G53" s="92" t="str">
        <f>HYPERLINK("https://www.amazon.com/Naturehike-Rainproof-Lightweight-Backpacking-Ultralight/dp/B0732V45RJ?th=1","A")</f>
        <v>A</v>
      </c>
      <c r="H53" s="93"/>
      <c r="I53" s="93"/>
      <c r="J53" s="93">
        <v>18</v>
      </c>
      <c r="K53" s="111">
        <f t="shared" si="82"/>
        <v>0.15</v>
      </c>
      <c r="L53" s="111">
        <v>2.4</v>
      </c>
      <c r="M53" s="111">
        <f t="shared" si="1"/>
        <v>6.8038799999999997E-2</v>
      </c>
      <c r="N53" s="93">
        <v>0</v>
      </c>
      <c r="O53" s="93">
        <v>0</v>
      </c>
      <c r="P53" s="95">
        <f t="shared" si="2"/>
        <v>18</v>
      </c>
      <c r="Q53" s="96">
        <f t="shared" si="66"/>
        <v>22500</v>
      </c>
      <c r="R53" s="96">
        <v>0</v>
      </c>
      <c r="S53" s="97">
        <f t="shared" si="24"/>
        <v>22500</v>
      </c>
      <c r="T53" s="97">
        <f>ROUNDUP(HLOOKUP(ROUNDUP(K53,0),'배송비 조회'!A$10:U$22,7,0)*C$3,-2)</f>
        <v>9000</v>
      </c>
      <c r="U53" s="97">
        <v>0</v>
      </c>
      <c r="V53" s="97">
        <f t="shared" si="83"/>
        <v>15800</v>
      </c>
      <c r="W53" s="97">
        <f t="shared" si="54"/>
        <v>15800</v>
      </c>
      <c r="X53" s="98">
        <f t="shared" si="26"/>
        <v>47300</v>
      </c>
      <c r="Y53" s="98">
        <f t="shared" si="27"/>
        <v>47300</v>
      </c>
      <c r="Z53" s="121">
        <v>0</v>
      </c>
      <c r="AA53" s="121">
        <f t="shared" si="6"/>
        <v>1797.3999999999999</v>
      </c>
      <c r="AB53" s="121">
        <f t="shared" si="7"/>
        <v>946</v>
      </c>
      <c r="AC53" s="99">
        <f t="shared" si="8"/>
        <v>4730</v>
      </c>
      <c r="AD53" s="121">
        <f t="shared" si="9"/>
        <v>44556.6</v>
      </c>
      <c r="AE53" s="99">
        <f t="shared" si="10"/>
        <v>42570</v>
      </c>
      <c r="AF53" s="121">
        <f t="shared" si="11"/>
        <v>445.56599999999997</v>
      </c>
      <c r="AG53" s="100">
        <f t="shared" si="28"/>
        <v>12611.034</v>
      </c>
      <c r="AH53" s="101">
        <f t="shared" si="29"/>
        <v>10624.434000000001</v>
      </c>
      <c r="AI53" s="102">
        <f t="shared" ref="AI53:AJ53" si="88">AG53/X53</f>
        <v>0.2666180549682875</v>
      </c>
      <c r="AJ53" s="102">
        <f t="shared" si="88"/>
        <v>0.22461805496828754</v>
      </c>
      <c r="AK53" s="103"/>
      <c r="AL53" s="104"/>
      <c r="AM53" s="17"/>
      <c r="AN53" s="17"/>
      <c r="AO53" s="17"/>
      <c r="AP53" s="17"/>
      <c r="AQ53" s="17"/>
      <c r="AR53" s="17"/>
      <c r="AS53" s="17"/>
      <c r="AT53" s="17"/>
      <c r="AU53" s="17"/>
      <c r="AV53" s="17"/>
      <c r="AW53" s="297"/>
    </row>
    <row r="54" spans="1:49" ht="13.2">
      <c r="A54" s="119">
        <f>HYPERLINK("https://smartstore.naver.com/brickstore2019/products/4485348163",AW:AW)</f>
        <v>4485348163</v>
      </c>
      <c r="B54" s="266"/>
      <c r="C54" s="126" t="s">
        <v>255</v>
      </c>
      <c r="D54" s="126"/>
      <c r="E54" s="126" t="s">
        <v>256</v>
      </c>
      <c r="F54" s="127"/>
      <c r="G54" s="279" t="s">
        <v>1293</v>
      </c>
      <c r="H54" s="93"/>
      <c r="I54" s="93"/>
      <c r="J54" s="93">
        <v>30</v>
      </c>
      <c r="K54" s="111">
        <f t="shared" si="82"/>
        <v>3.7499999999999999E-2</v>
      </c>
      <c r="L54" s="111">
        <v>0.6</v>
      </c>
      <c r="M54" s="111">
        <f t="shared" si="1"/>
        <v>1.7009699999999999E-2</v>
      </c>
      <c r="N54" s="93">
        <v>0</v>
      </c>
      <c r="O54" s="93">
        <v>0</v>
      </c>
      <c r="P54" s="95">
        <f t="shared" si="2"/>
        <v>30</v>
      </c>
      <c r="Q54" s="96">
        <f t="shared" si="66"/>
        <v>37500</v>
      </c>
      <c r="R54" s="96">
        <v>0</v>
      </c>
      <c r="S54" s="97">
        <f t="shared" si="24"/>
        <v>37500</v>
      </c>
      <c r="T54" s="97">
        <f>ROUNDUP(HLOOKUP(ROUNDUP(K54,0),'배송비 조회'!A$10:U$22,7,0)*C$3,-2)</f>
        <v>9000</v>
      </c>
      <c r="U54" s="97">
        <v>0</v>
      </c>
      <c r="V54" s="97">
        <f>ROUND(IF(R54&gt;0,0,(S54+T54)*0.4),-2)</f>
        <v>18600</v>
      </c>
      <c r="W54" s="97">
        <f t="shared" si="54"/>
        <v>23300</v>
      </c>
      <c r="X54" s="98">
        <f t="shared" si="26"/>
        <v>65100</v>
      </c>
      <c r="Y54" s="98">
        <f t="shared" si="27"/>
        <v>69800</v>
      </c>
      <c r="Z54" s="121">
        <v>0</v>
      </c>
      <c r="AA54" s="121">
        <f t="shared" si="6"/>
        <v>2473.7999999999997</v>
      </c>
      <c r="AB54" s="121">
        <f t="shared" si="7"/>
        <v>1302</v>
      </c>
      <c r="AC54" s="99">
        <f t="shared" si="8"/>
        <v>6980</v>
      </c>
      <c r="AD54" s="121">
        <f t="shared" si="9"/>
        <v>61324.2</v>
      </c>
      <c r="AE54" s="99">
        <f t="shared" si="10"/>
        <v>62820</v>
      </c>
      <c r="AF54" s="121">
        <f t="shared" si="11"/>
        <v>613.24199999999996</v>
      </c>
      <c r="AG54" s="100">
        <f t="shared" si="28"/>
        <v>14210.957999999999</v>
      </c>
      <c r="AH54" s="101">
        <f t="shared" si="29"/>
        <v>15706.758000000002</v>
      </c>
      <c r="AI54" s="102">
        <f t="shared" ref="AI54:AJ54" si="89">AG54/X54</f>
        <v>0.21829428571428569</v>
      </c>
      <c r="AJ54" s="102">
        <f t="shared" si="89"/>
        <v>0.22502518624641837</v>
      </c>
      <c r="AK54" s="103"/>
      <c r="AL54" s="104"/>
      <c r="AM54" s="17"/>
      <c r="AN54" s="17"/>
      <c r="AO54" s="17"/>
      <c r="AP54" s="17"/>
      <c r="AQ54" s="17"/>
      <c r="AR54" s="17"/>
      <c r="AS54" s="17"/>
      <c r="AT54" s="17"/>
      <c r="AU54" s="17"/>
      <c r="AV54" s="17"/>
      <c r="AW54" s="22">
        <v>4485348163</v>
      </c>
    </row>
    <row r="55" spans="1:49" ht="13.2">
      <c r="A55" s="119">
        <f>HYPERLINK("https://smartstore.naver.com/brickstore2019/products/4487723693",AW:AW)</f>
        <v>4487723693</v>
      </c>
      <c r="B55" s="266"/>
      <c r="C55" s="126" t="s">
        <v>260</v>
      </c>
      <c r="D55" s="126"/>
      <c r="E55" s="126" t="s">
        <v>261</v>
      </c>
      <c r="F55" s="127"/>
      <c r="G55" s="92" t="str">
        <f>HYPERLINK("https://www.amazon.com/dp/B015HHY17I/ref=sspa_dk_detail_0?th=1&amp;psc=1","A")</f>
        <v>A</v>
      </c>
      <c r="H55" s="93"/>
      <c r="I55" s="93"/>
      <c r="J55" s="93">
        <v>41</v>
      </c>
      <c r="K55" s="111">
        <v>1.6</v>
      </c>
      <c r="L55" s="111">
        <f>IF(K55&gt;0,K55*16,)</f>
        <v>25.6</v>
      </c>
      <c r="M55" s="111">
        <f t="shared" si="1"/>
        <v>0.72574720000000004</v>
      </c>
      <c r="N55" s="93">
        <v>0</v>
      </c>
      <c r="O55" s="93">
        <v>0</v>
      </c>
      <c r="P55" s="95">
        <f t="shared" si="2"/>
        <v>41</v>
      </c>
      <c r="Q55" s="96">
        <f t="shared" si="66"/>
        <v>51250</v>
      </c>
      <c r="R55" s="96">
        <v>0</v>
      </c>
      <c r="S55" s="97">
        <f t="shared" si="24"/>
        <v>51300</v>
      </c>
      <c r="T55" s="97">
        <f>ROUNDUP(HLOOKUP(ROUNDUP(K55,0),'배송비 조회'!A$10:U$22,7,0)*C$3,-2)</f>
        <v>11200</v>
      </c>
      <c r="U55" s="97">
        <v>0</v>
      </c>
      <c r="V55" s="97">
        <f>ROUND(IF(R55&gt;0,0,(S55+T55)*0.3),-2)</f>
        <v>18800</v>
      </c>
      <c r="W55" s="97">
        <f t="shared" si="54"/>
        <v>31300</v>
      </c>
      <c r="X55" s="98">
        <f t="shared" si="26"/>
        <v>81300</v>
      </c>
      <c r="Y55" s="98">
        <f t="shared" si="27"/>
        <v>93800</v>
      </c>
      <c r="Z55" s="121">
        <v>0</v>
      </c>
      <c r="AA55" s="121">
        <f t="shared" si="6"/>
        <v>3089.4</v>
      </c>
      <c r="AB55" s="121">
        <f t="shared" si="7"/>
        <v>1626</v>
      </c>
      <c r="AC55" s="99">
        <f t="shared" si="8"/>
        <v>9380</v>
      </c>
      <c r="AD55" s="121">
        <f t="shared" si="9"/>
        <v>76584.600000000006</v>
      </c>
      <c r="AE55" s="99">
        <f t="shared" si="10"/>
        <v>84420</v>
      </c>
      <c r="AF55" s="121">
        <f t="shared" si="11"/>
        <v>765.84600000000012</v>
      </c>
      <c r="AG55" s="100">
        <f t="shared" si="28"/>
        <v>13368.754000000004</v>
      </c>
      <c r="AH55" s="101">
        <f t="shared" si="29"/>
        <v>21204.153999999999</v>
      </c>
      <c r="AI55" s="102">
        <f t="shared" ref="AI55:AJ55" si="90">AG55/X55</f>
        <v>0.16443731857318578</v>
      </c>
      <c r="AJ55" s="102">
        <f t="shared" si="90"/>
        <v>0.22605707889125798</v>
      </c>
      <c r="AK55" s="103"/>
      <c r="AL55" s="104"/>
      <c r="AM55" s="17"/>
      <c r="AN55" s="17"/>
      <c r="AO55" s="17"/>
      <c r="AP55" s="17"/>
      <c r="AQ55" s="17"/>
      <c r="AR55" s="17"/>
      <c r="AS55" s="17"/>
      <c r="AT55" s="17"/>
      <c r="AU55" s="17"/>
      <c r="AV55" s="17"/>
      <c r="AW55" s="22">
        <v>4487723693</v>
      </c>
    </row>
    <row r="56" spans="1:49" ht="13.2">
      <c r="A56" s="119">
        <f>HYPERLINK("https://smartstore.naver.com/brickstore2019/products/4489028770",AW:AW)</f>
        <v>4489028770</v>
      </c>
      <c r="B56" s="266"/>
      <c r="C56" s="117" t="s">
        <v>264</v>
      </c>
      <c r="D56" s="117"/>
      <c r="E56" s="117" t="s">
        <v>265</v>
      </c>
      <c r="F56" s="123"/>
      <c r="G56" s="279" t="s">
        <v>1293</v>
      </c>
      <c r="H56" s="93"/>
      <c r="I56" s="93"/>
      <c r="J56" s="93">
        <v>10</v>
      </c>
      <c r="K56" s="111">
        <f t="shared" ref="K56:K60" si="91">IF(L56&gt;0,L56*0.0625,)</f>
        <v>0.4</v>
      </c>
      <c r="L56" s="111">
        <v>6.4</v>
      </c>
      <c r="M56" s="111">
        <f t="shared" si="1"/>
        <v>0.18143680000000001</v>
      </c>
      <c r="N56" s="93">
        <v>0</v>
      </c>
      <c r="O56" s="93">
        <v>0</v>
      </c>
      <c r="P56" s="95">
        <f t="shared" si="2"/>
        <v>10</v>
      </c>
      <c r="Q56" s="96">
        <f t="shared" si="66"/>
        <v>12500</v>
      </c>
      <c r="R56" s="96">
        <v>0</v>
      </c>
      <c r="S56" s="97">
        <f t="shared" si="24"/>
        <v>12500</v>
      </c>
      <c r="T56" s="97">
        <f>ROUNDUP(HLOOKUP(ROUNDUP(K56,0),'배송비 조회'!A$10:U$22,7,0)*C$3,-2)</f>
        <v>9000</v>
      </c>
      <c r="U56" s="97">
        <v>0</v>
      </c>
      <c r="V56" s="97">
        <f>ROUND(IF(R56&gt;0,0,(S56+T56)*0.7),-2)</f>
        <v>15100</v>
      </c>
      <c r="W56" s="97">
        <f t="shared" si="54"/>
        <v>10800</v>
      </c>
      <c r="X56" s="98">
        <f t="shared" si="26"/>
        <v>36600</v>
      </c>
      <c r="Y56" s="98">
        <f t="shared" si="27"/>
        <v>32300</v>
      </c>
      <c r="Z56" s="121">
        <v>0</v>
      </c>
      <c r="AA56" s="121">
        <f t="shared" si="6"/>
        <v>1390.8</v>
      </c>
      <c r="AB56" s="121">
        <f t="shared" si="7"/>
        <v>732</v>
      </c>
      <c r="AC56" s="99">
        <f t="shared" si="8"/>
        <v>3230</v>
      </c>
      <c r="AD56" s="121">
        <f t="shared" si="9"/>
        <v>34477.199999999997</v>
      </c>
      <c r="AE56" s="99">
        <f t="shared" si="10"/>
        <v>29070</v>
      </c>
      <c r="AF56" s="121">
        <f t="shared" si="11"/>
        <v>344.77199999999999</v>
      </c>
      <c r="AG56" s="100">
        <f t="shared" si="28"/>
        <v>12632.427999999996</v>
      </c>
      <c r="AH56" s="101">
        <f t="shared" si="29"/>
        <v>7225.2279999999992</v>
      </c>
      <c r="AI56" s="102">
        <f t="shared" ref="AI56:AJ56" si="92">AG56/X56</f>
        <v>0.34514830601092888</v>
      </c>
      <c r="AJ56" s="102">
        <f t="shared" si="92"/>
        <v>0.22369126934984518</v>
      </c>
      <c r="AK56" s="103"/>
      <c r="AL56" s="104"/>
      <c r="AM56" s="17"/>
      <c r="AN56" s="17"/>
      <c r="AO56" s="17"/>
      <c r="AP56" s="17"/>
      <c r="AQ56" s="17"/>
      <c r="AR56" s="17"/>
      <c r="AS56" s="17"/>
      <c r="AT56" s="17"/>
      <c r="AU56" s="17"/>
      <c r="AV56" s="17"/>
      <c r="AW56" s="22">
        <v>4489028770</v>
      </c>
    </row>
    <row r="57" spans="1:49" ht="13.2">
      <c r="A57" s="119">
        <f>HYPERLINK("https://smartstore.naver.com/brickstore2019/products/4490573267",AW:AW)</f>
        <v>4490573267</v>
      </c>
      <c r="B57" s="266"/>
      <c r="C57" s="117" t="s">
        <v>269</v>
      </c>
      <c r="D57" s="117"/>
      <c r="E57" s="117" t="s">
        <v>270</v>
      </c>
      <c r="F57" s="123"/>
      <c r="G57" s="92" t="str">
        <f>HYPERLINK("https://www.amazon.com/OTOTO-OT841-The-Nessie-Family/dp/B01D7EV496/ref=sr_1_6?crid=3KDB86CHCLLKJ&amp;keywords=ototo&amp;qid=1557104589&amp;s=gateway&amp;sprefix=ototo%2Caps%2C318&amp;sr=8-6","A")</f>
        <v>A</v>
      </c>
      <c r="H57" s="93"/>
      <c r="I57" s="93"/>
      <c r="J57" s="93">
        <v>38</v>
      </c>
      <c r="K57" s="111">
        <f t="shared" si="91"/>
        <v>0.7</v>
      </c>
      <c r="L57" s="111">
        <v>11.2</v>
      </c>
      <c r="M57" s="111">
        <f t="shared" si="1"/>
        <v>0.31751439999999997</v>
      </c>
      <c r="N57" s="93">
        <v>0</v>
      </c>
      <c r="O57" s="93">
        <v>0</v>
      </c>
      <c r="P57" s="95">
        <f t="shared" si="2"/>
        <v>38</v>
      </c>
      <c r="Q57" s="96">
        <f t="shared" si="66"/>
        <v>47500</v>
      </c>
      <c r="R57" s="96">
        <v>0</v>
      </c>
      <c r="S57" s="97">
        <f t="shared" si="24"/>
        <v>47500</v>
      </c>
      <c r="T57" s="97">
        <f>ROUNDUP(HLOOKUP(ROUNDUP(K57,0),'배송비 조회'!A$10:U$22,7,0)*C$3,-2)</f>
        <v>9000</v>
      </c>
      <c r="U57" s="97">
        <v>0</v>
      </c>
      <c r="V57" s="97">
        <f t="shared" ref="V57:V59" si="93">ROUND(IF(R57&gt;0,0,(S57+T57)*0.3),-2)</f>
        <v>17000</v>
      </c>
      <c r="W57" s="97">
        <f t="shared" si="54"/>
        <v>28300</v>
      </c>
      <c r="X57" s="98">
        <f t="shared" si="26"/>
        <v>73500</v>
      </c>
      <c r="Y57" s="98">
        <f t="shared" si="27"/>
        <v>84800</v>
      </c>
      <c r="Z57" s="121">
        <v>0</v>
      </c>
      <c r="AA57" s="121">
        <f t="shared" si="6"/>
        <v>2793</v>
      </c>
      <c r="AB57" s="121">
        <f t="shared" si="7"/>
        <v>1470</v>
      </c>
      <c r="AC57" s="99">
        <f t="shared" si="8"/>
        <v>8480</v>
      </c>
      <c r="AD57" s="121">
        <f t="shared" si="9"/>
        <v>69237</v>
      </c>
      <c r="AE57" s="99">
        <f t="shared" si="10"/>
        <v>76320</v>
      </c>
      <c r="AF57" s="121">
        <f t="shared" si="11"/>
        <v>692.37</v>
      </c>
      <c r="AG57" s="100">
        <f t="shared" si="28"/>
        <v>12044.630000000001</v>
      </c>
      <c r="AH57" s="101">
        <f t="shared" si="29"/>
        <v>19127.63</v>
      </c>
      <c r="AI57" s="102">
        <f t="shared" ref="AI57:AJ57" si="94">AG57/X57</f>
        <v>0.16387251700680275</v>
      </c>
      <c r="AJ57" s="102">
        <f t="shared" si="94"/>
        <v>0.22556167452830189</v>
      </c>
      <c r="AK57" s="103"/>
      <c r="AL57" s="104"/>
      <c r="AM57" s="17"/>
      <c r="AN57" s="17"/>
      <c r="AO57" s="17"/>
      <c r="AP57" s="17"/>
      <c r="AQ57" s="17"/>
      <c r="AR57" s="17"/>
      <c r="AS57" s="17"/>
      <c r="AT57" s="17"/>
      <c r="AU57" s="17"/>
      <c r="AV57" s="17"/>
      <c r="AW57" s="22">
        <v>4490573267</v>
      </c>
    </row>
    <row r="58" spans="1:49" ht="13.2">
      <c r="A58" s="119">
        <f>HYPERLINK("https://smartstore.naver.com/brickstore2019/products/4490637043",AW:AW)</f>
        <v>4490637043</v>
      </c>
      <c r="B58" s="266"/>
      <c r="C58" s="117" t="s">
        <v>274</v>
      </c>
      <c r="D58" s="117"/>
      <c r="E58" s="117"/>
      <c r="F58" s="123"/>
      <c r="G58" s="92" t="str">
        <f>HYPERLINK("https://www.amazon.com/Wireless-Bluetooth-Adapter-Comfort-Headphones/dp/B0786VF6PS/ref=sr_1_3?keywords=BTunes+QC15&amp;qid=1556854176&amp;s=sporting-goods&amp;sr=8-3","A")</f>
        <v>A</v>
      </c>
      <c r="H58" s="93"/>
      <c r="I58" s="93"/>
      <c r="J58" s="93">
        <v>49</v>
      </c>
      <c r="K58" s="111">
        <f t="shared" si="91"/>
        <v>0.18</v>
      </c>
      <c r="L58" s="111">
        <v>2.88</v>
      </c>
      <c r="M58" s="111">
        <f t="shared" si="1"/>
        <v>8.1646559999999993E-2</v>
      </c>
      <c r="N58" s="93">
        <v>0</v>
      </c>
      <c r="O58" s="93">
        <v>0</v>
      </c>
      <c r="P58" s="95">
        <f t="shared" si="2"/>
        <v>49</v>
      </c>
      <c r="Q58" s="96">
        <f t="shared" si="66"/>
        <v>61250</v>
      </c>
      <c r="R58" s="96">
        <v>0</v>
      </c>
      <c r="S58" s="97">
        <f t="shared" si="24"/>
        <v>61300</v>
      </c>
      <c r="T58" s="97">
        <f>ROUNDUP(HLOOKUP(ROUNDUP(K58,0),'배송비 조회'!A$10:U$22,7,0)*C$3,-2)</f>
        <v>9000</v>
      </c>
      <c r="U58" s="97">
        <v>0</v>
      </c>
      <c r="V58" s="97">
        <f t="shared" si="93"/>
        <v>21100</v>
      </c>
      <c r="W58" s="97">
        <f t="shared" si="54"/>
        <v>35200</v>
      </c>
      <c r="X58" s="98">
        <f t="shared" si="26"/>
        <v>91400</v>
      </c>
      <c r="Y58" s="98">
        <f t="shared" si="27"/>
        <v>105500</v>
      </c>
      <c r="Z58" s="121">
        <v>0</v>
      </c>
      <c r="AA58" s="121">
        <f t="shared" si="6"/>
        <v>3473.2</v>
      </c>
      <c r="AB58" s="121">
        <f t="shared" si="7"/>
        <v>1828</v>
      </c>
      <c r="AC58" s="99">
        <f t="shared" si="8"/>
        <v>10550</v>
      </c>
      <c r="AD58" s="121">
        <f t="shared" si="9"/>
        <v>86098.8</v>
      </c>
      <c r="AE58" s="99">
        <f t="shared" si="10"/>
        <v>94950</v>
      </c>
      <c r="AF58" s="121">
        <f t="shared" si="11"/>
        <v>860.98800000000006</v>
      </c>
      <c r="AG58" s="100">
        <f t="shared" si="28"/>
        <v>14987.812000000002</v>
      </c>
      <c r="AH58" s="101">
        <f t="shared" si="29"/>
        <v>23839.012000000002</v>
      </c>
      <c r="AI58" s="102">
        <f t="shared" ref="AI58:AJ58" si="95">AG58/X58</f>
        <v>0.16398043763676151</v>
      </c>
      <c r="AJ58" s="102">
        <f t="shared" si="95"/>
        <v>0.22596219905213272</v>
      </c>
      <c r="AK58" s="103"/>
      <c r="AL58" s="104"/>
      <c r="AM58" s="17"/>
      <c r="AN58" s="17"/>
      <c r="AO58" s="17"/>
      <c r="AP58" s="17"/>
      <c r="AQ58" s="17"/>
      <c r="AR58" s="17"/>
      <c r="AS58" s="17"/>
      <c r="AT58" s="17"/>
      <c r="AU58" s="17"/>
      <c r="AV58" s="17"/>
      <c r="AW58" s="22">
        <v>4490637043</v>
      </c>
    </row>
    <row r="59" spans="1:49" ht="13.2">
      <c r="A59" s="119">
        <f>HYPERLINK("https://smartstore.naver.com/brickstore2019/products/4493373311",AW:AW)</f>
        <v>4493373311</v>
      </c>
      <c r="B59" s="266"/>
      <c r="C59" s="136" t="s">
        <v>277</v>
      </c>
      <c r="D59" s="136"/>
      <c r="E59" s="117" t="s">
        <v>218</v>
      </c>
      <c r="F59" s="123"/>
      <c r="G59" s="92" t="str">
        <f>HYPERLINK("https://www.amazon.com/Orient-Japanese-Automatic-Stainless-Diving/dp/B01AK5TQQ8/ref=sr_1_3?keywords=Mako%2BII&amp;qid=1557240383&amp;s=gateway&amp;sr=8-3&amp;th=1","A")</f>
        <v>A</v>
      </c>
      <c r="H59" s="93"/>
      <c r="I59" s="93"/>
      <c r="J59" s="93">
        <v>124</v>
      </c>
      <c r="K59" s="111">
        <f t="shared" si="91"/>
        <v>0.78749999999999998</v>
      </c>
      <c r="L59" s="111">
        <v>12.6</v>
      </c>
      <c r="M59" s="111">
        <f t="shared" si="1"/>
        <v>0.35720370000000001</v>
      </c>
      <c r="N59" s="93">
        <v>0</v>
      </c>
      <c r="O59" s="93">
        <v>0</v>
      </c>
      <c r="P59" s="95">
        <f t="shared" si="2"/>
        <v>124</v>
      </c>
      <c r="Q59" s="96">
        <f t="shared" si="66"/>
        <v>155000</v>
      </c>
      <c r="R59" s="96">
        <v>0</v>
      </c>
      <c r="S59" s="97">
        <f t="shared" si="24"/>
        <v>155000</v>
      </c>
      <c r="T59" s="97">
        <f>ROUNDUP(HLOOKUP(ROUNDUP(K59,0),'배송비 조회'!A$10:U$22,7,0)*C$3,-2)</f>
        <v>9000</v>
      </c>
      <c r="U59" s="97">
        <v>0</v>
      </c>
      <c r="V59" s="97">
        <f t="shared" si="93"/>
        <v>49200</v>
      </c>
      <c r="W59" s="97">
        <f t="shared" si="54"/>
        <v>82000</v>
      </c>
      <c r="X59" s="98">
        <f t="shared" si="26"/>
        <v>213200</v>
      </c>
      <c r="Y59" s="98">
        <f t="shared" si="27"/>
        <v>246000</v>
      </c>
      <c r="Z59" s="121">
        <v>0</v>
      </c>
      <c r="AA59" s="121">
        <f t="shared" si="6"/>
        <v>8101.5999999999995</v>
      </c>
      <c r="AB59" s="121">
        <f t="shared" si="7"/>
        <v>4264</v>
      </c>
      <c r="AC59" s="99">
        <f t="shared" si="8"/>
        <v>24600</v>
      </c>
      <c r="AD59" s="121">
        <f t="shared" si="9"/>
        <v>200834.4</v>
      </c>
      <c r="AE59" s="99">
        <f t="shared" si="10"/>
        <v>221400</v>
      </c>
      <c r="AF59" s="121">
        <f t="shared" si="11"/>
        <v>2008.3440000000001</v>
      </c>
      <c r="AG59" s="100">
        <f t="shared" si="28"/>
        <v>34826.055999999997</v>
      </c>
      <c r="AH59" s="101">
        <f t="shared" si="29"/>
        <v>55391.656000000003</v>
      </c>
      <c r="AI59" s="102">
        <f t="shared" ref="AI59:AJ59" si="96">AG59/X59</f>
        <v>0.16334923076923075</v>
      </c>
      <c r="AJ59" s="102">
        <f t="shared" si="96"/>
        <v>0.22516933333333333</v>
      </c>
      <c r="AK59" s="103"/>
      <c r="AL59" s="104"/>
      <c r="AM59" s="17"/>
      <c r="AN59" s="17"/>
      <c r="AO59" s="17"/>
      <c r="AP59" s="17"/>
      <c r="AQ59" s="17"/>
      <c r="AR59" s="17"/>
      <c r="AS59" s="17"/>
      <c r="AT59" s="17"/>
      <c r="AU59" s="17"/>
      <c r="AV59" s="17"/>
      <c r="AW59" s="22">
        <v>4493373311</v>
      </c>
    </row>
    <row r="60" spans="1:49" ht="13.2">
      <c r="A60" s="119">
        <f>HYPERLINK("https://smartstore.naver.com/brickstore2019/products/4495852586",AW:AW)</f>
        <v>4495852586</v>
      </c>
      <c r="B60" s="266"/>
      <c r="C60" s="117" t="s">
        <v>280</v>
      </c>
      <c r="D60" s="117"/>
      <c r="E60" s="117" t="s">
        <v>281</v>
      </c>
      <c r="F60" s="123"/>
      <c r="G60" s="92" t="str">
        <f>HYPERLINK("https://www.amazon.com/MOFT-Invisible-Lightweight-Computer-Compatible/dp/B07PRZBCD6/ref=sr_1_1_sspa?keywords=MOFT&amp;qid=1557326018&amp;s=gateway&amp;sr=8-1-spons&amp;psc=1","A")</f>
        <v>A</v>
      </c>
      <c r="H60" s="93"/>
      <c r="I60" s="93"/>
      <c r="J60" s="93">
        <v>25</v>
      </c>
      <c r="K60" s="111">
        <f t="shared" si="91"/>
        <v>0.55000000000000004</v>
      </c>
      <c r="L60" s="111">
        <v>8.8000000000000007</v>
      </c>
      <c r="M60" s="111">
        <f t="shared" si="1"/>
        <v>0.24947560000000002</v>
      </c>
      <c r="N60" s="93">
        <v>0</v>
      </c>
      <c r="O60" s="93">
        <v>0</v>
      </c>
      <c r="P60" s="95">
        <f t="shared" si="2"/>
        <v>25</v>
      </c>
      <c r="Q60" s="96">
        <f t="shared" si="66"/>
        <v>31250</v>
      </c>
      <c r="R60" s="96">
        <v>0</v>
      </c>
      <c r="S60" s="97">
        <f t="shared" si="24"/>
        <v>31300</v>
      </c>
      <c r="T60" s="97">
        <f>ROUNDUP(HLOOKUP(ROUNDUP(K60,0),'배송비 조회'!A$10:U$22,7,0)*C$3,-2)</f>
        <v>9000</v>
      </c>
      <c r="U60" s="97">
        <v>0</v>
      </c>
      <c r="V60" s="97">
        <f>ROUND(IF(R60&gt;0,0,(S60+T60)*0.4),-2)</f>
        <v>16100</v>
      </c>
      <c r="W60" s="97">
        <f t="shared" si="54"/>
        <v>20200</v>
      </c>
      <c r="X60" s="98">
        <f t="shared" si="26"/>
        <v>56400</v>
      </c>
      <c r="Y60" s="98">
        <f t="shared" si="27"/>
        <v>60500</v>
      </c>
      <c r="Z60" s="121">
        <v>0</v>
      </c>
      <c r="AA60" s="121">
        <f t="shared" si="6"/>
        <v>2143.1999999999998</v>
      </c>
      <c r="AB60" s="121">
        <f t="shared" si="7"/>
        <v>1128</v>
      </c>
      <c r="AC60" s="99">
        <f t="shared" si="8"/>
        <v>6050</v>
      </c>
      <c r="AD60" s="121">
        <f t="shared" si="9"/>
        <v>53128.800000000003</v>
      </c>
      <c r="AE60" s="99">
        <f t="shared" si="10"/>
        <v>54450</v>
      </c>
      <c r="AF60" s="121">
        <f t="shared" si="11"/>
        <v>531.28800000000001</v>
      </c>
      <c r="AG60" s="100">
        <f t="shared" si="28"/>
        <v>12347.512000000002</v>
      </c>
      <c r="AH60" s="101">
        <f t="shared" si="29"/>
        <v>13668.712</v>
      </c>
      <c r="AI60" s="102">
        <f t="shared" ref="AI60:AJ60" si="97">AG60/X60</f>
        <v>0.21892751773049648</v>
      </c>
      <c r="AJ60" s="102">
        <f t="shared" si="97"/>
        <v>0.22592912396694215</v>
      </c>
      <c r="AK60" s="103"/>
      <c r="AL60" s="104"/>
      <c r="AM60" s="17"/>
      <c r="AN60" s="17"/>
      <c r="AO60" s="17"/>
      <c r="AP60" s="17"/>
      <c r="AQ60" s="17"/>
      <c r="AR60" s="17"/>
      <c r="AS60" s="17"/>
      <c r="AT60" s="17"/>
      <c r="AU60" s="17"/>
      <c r="AV60" s="17"/>
      <c r="AW60" s="22">
        <v>4495852586</v>
      </c>
    </row>
    <row r="61" spans="1:49" ht="13.2">
      <c r="A61" s="328">
        <f>HYPERLINK("https://smartstore.naver.com/brickstore2019/products/4497976143",AW:AW)</f>
        <v>4497976143</v>
      </c>
      <c r="B61" s="329" t="str">
        <f>HYPERLINK("https://www.coupang.com/vp/products/330190373?vendorItemId=5527079615","330190373")</f>
        <v>330190373</v>
      </c>
      <c r="C61" s="330" t="s">
        <v>284</v>
      </c>
      <c r="D61" s="330" t="s">
        <v>285</v>
      </c>
      <c r="E61" s="304" t="s">
        <v>286</v>
      </c>
      <c r="F61" s="123" t="s">
        <v>55</v>
      </c>
      <c r="G61" s="92" t="str">
        <f>HYPERLINK("https://www.amazon.com/dp/B07MJ838N9/ref=twister_B07MG8M4WL?_encoding=UTF8&amp;psc=1","A")</f>
        <v>A</v>
      </c>
      <c r="H61" s="93"/>
      <c r="I61" s="93"/>
      <c r="J61" s="93">
        <v>96</v>
      </c>
      <c r="K61" s="111">
        <v>4.5</v>
      </c>
      <c r="L61" s="111">
        <f t="shared" ref="L61:L62" si="98">IF(K61&gt;0,K61*16,)</f>
        <v>72</v>
      </c>
      <c r="M61" s="111">
        <f t="shared" si="1"/>
        <v>2.0411640000000002</v>
      </c>
      <c r="N61" s="93">
        <v>0</v>
      </c>
      <c r="O61" s="93">
        <v>0</v>
      </c>
      <c r="P61" s="95">
        <f t="shared" si="2"/>
        <v>96</v>
      </c>
      <c r="Q61" s="96">
        <f t="shared" si="66"/>
        <v>120000</v>
      </c>
      <c r="R61" s="96">
        <v>0</v>
      </c>
      <c r="S61" s="97">
        <f t="shared" si="24"/>
        <v>120000</v>
      </c>
      <c r="T61" s="97">
        <f>ROUNDUP(HLOOKUP(ROUNDUP(K61,0),'배송비 조회'!A$10:U$22,7,0)*C$3,-2)</f>
        <v>17800</v>
      </c>
      <c r="U61" s="97">
        <v>0</v>
      </c>
      <c r="V61" s="97">
        <f t="shared" ref="V61:V63" si="99">ROUND(IF(R61&gt;0,0,(S61+T61)*0.3),-2)</f>
        <v>41300</v>
      </c>
      <c r="W61" s="97">
        <f t="shared" ref="W61:W62" si="100">ROUND(IF(R61&gt;0,0,(S61+T61)*0.4),-2)</f>
        <v>55100</v>
      </c>
      <c r="X61" s="98">
        <f t="shared" si="26"/>
        <v>179100</v>
      </c>
      <c r="Y61" s="98">
        <f t="shared" si="27"/>
        <v>192900</v>
      </c>
      <c r="Z61" s="121">
        <v>0</v>
      </c>
      <c r="AA61" s="121">
        <f t="shared" si="6"/>
        <v>6805.8</v>
      </c>
      <c r="AB61" s="121">
        <f t="shared" si="7"/>
        <v>3582</v>
      </c>
      <c r="AC61" s="99">
        <f t="shared" si="8"/>
        <v>19290</v>
      </c>
      <c r="AD61" s="121">
        <f t="shared" si="9"/>
        <v>168712.2</v>
      </c>
      <c r="AE61" s="99">
        <f t="shared" si="10"/>
        <v>173610</v>
      </c>
      <c r="AF61" s="121">
        <f t="shared" si="11"/>
        <v>1687.1220000000001</v>
      </c>
      <c r="AG61" s="100">
        <f t="shared" si="28"/>
        <v>29225.078000000009</v>
      </c>
      <c r="AH61" s="101">
        <f t="shared" si="29"/>
        <v>34122.877999999997</v>
      </c>
      <c r="AI61" s="102">
        <f t="shared" ref="AI61:AJ61" si="101">AG61/X61</f>
        <v>0.16317743160245676</v>
      </c>
      <c r="AJ61" s="102">
        <f t="shared" si="101"/>
        <v>0.17689413167444271</v>
      </c>
      <c r="AK61" s="103"/>
      <c r="AL61" s="104"/>
      <c r="AM61" s="17"/>
      <c r="AN61" s="17"/>
      <c r="AO61" s="17"/>
      <c r="AP61" s="17"/>
      <c r="AQ61" s="17"/>
      <c r="AR61" s="17"/>
      <c r="AS61" s="17"/>
      <c r="AT61" s="17"/>
      <c r="AU61" s="17"/>
      <c r="AV61" s="17"/>
      <c r="AW61" s="308">
        <v>4497976143</v>
      </c>
    </row>
    <row r="62" spans="1:49" ht="13.2">
      <c r="A62" s="302"/>
      <c r="B62" s="306"/>
      <c r="C62" s="302"/>
      <c r="D62" s="302"/>
      <c r="E62" s="302"/>
      <c r="F62" s="123" t="s">
        <v>289</v>
      </c>
      <c r="G62" s="92" t="str">
        <f>HYPERLINK("https://www.amazon.com/Samsonite-Tectonic-Lifestyle-Sweetwater-Business/dp/B07M79W6TB/ref=sr_1_17?crid=MIYL9UN5LZ29&amp;keywords=samsonite%2Bbackpack&amp;qid=1557366068&amp;s=gateway&amp;sprefix=samso%2Caps%2C348&amp;sr=8-17&amp;th=1","A")</f>
        <v>A</v>
      </c>
      <c r="H62" s="93"/>
      <c r="I62" s="93"/>
      <c r="J62" s="93">
        <v>82</v>
      </c>
      <c r="K62" s="111">
        <v>4.5</v>
      </c>
      <c r="L62" s="111">
        <f t="shared" si="98"/>
        <v>72</v>
      </c>
      <c r="M62" s="111">
        <f t="shared" si="1"/>
        <v>2.0411640000000002</v>
      </c>
      <c r="N62" s="93">
        <v>0</v>
      </c>
      <c r="O62" s="93">
        <v>0</v>
      </c>
      <c r="P62" s="95">
        <f t="shared" si="2"/>
        <v>82</v>
      </c>
      <c r="Q62" s="96">
        <f t="shared" si="66"/>
        <v>102500</v>
      </c>
      <c r="R62" s="96">
        <v>0</v>
      </c>
      <c r="S62" s="97">
        <f t="shared" si="24"/>
        <v>102500</v>
      </c>
      <c r="T62" s="97">
        <f>ROUNDUP(HLOOKUP(ROUNDUP(K62,0),'배송비 조회'!A$10:U$22,7,0)*C$3,-2)</f>
        <v>17800</v>
      </c>
      <c r="U62" s="97">
        <v>0</v>
      </c>
      <c r="V62" s="97">
        <f t="shared" si="99"/>
        <v>36100</v>
      </c>
      <c r="W62" s="97">
        <f t="shared" si="100"/>
        <v>48100</v>
      </c>
      <c r="X62" s="98">
        <f t="shared" si="26"/>
        <v>156400</v>
      </c>
      <c r="Y62" s="98">
        <f t="shared" si="27"/>
        <v>168400</v>
      </c>
      <c r="Z62" s="121">
        <v>0</v>
      </c>
      <c r="AA62" s="121">
        <f t="shared" si="6"/>
        <v>5943.2</v>
      </c>
      <c r="AB62" s="121">
        <f t="shared" si="7"/>
        <v>3128</v>
      </c>
      <c r="AC62" s="99">
        <f t="shared" si="8"/>
        <v>16840</v>
      </c>
      <c r="AD62" s="121">
        <f t="shared" si="9"/>
        <v>147328.79999999999</v>
      </c>
      <c r="AE62" s="99">
        <f t="shared" si="10"/>
        <v>151560</v>
      </c>
      <c r="AF62" s="121">
        <f t="shared" si="11"/>
        <v>1473.288</v>
      </c>
      <c r="AG62" s="100">
        <f t="shared" si="28"/>
        <v>25555.511999999988</v>
      </c>
      <c r="AH62" s="101">
        <f t="shared" si="29"/>
        <v>29786.712</v>
      </c>
      <c r="AI62" s="102">
        <f t="shared" ref="AI62:AJ62" si="102">AG62/X62</f>
        <v>0.16339841432225055</v>
      </c>
      <c r="AJ62" s="102">
        <f t="shared" si="102"/>
        <v>0.17688071258907362</v>
      </c>
      <c r="AK62" s="103">
        <f>X62-X61</f>
        <v>-22700</v>
      </c>
      <c r="AL62" s="104"/>
      <c r="AM62" s="17"/>
      <c r="AN62" s="17"/>
      <c r="AO62" s="17"/>
      <c r="AP62" s="17"/>
      <c r="AQ62" s="17"/>
      <c r="AR62" s="17"/>
      <c r="AS62" s="17"/>
      <c r="AT62" s="17"/>
      <c r="AU62" s="17"/>
      <c r="AV62" s="17"/>
      <c r="AW62" s="297"/>
    </row>
    <row r="63" spans="1:49" ht="13.2">
      <c r="A63" s="119">
        <f>HYPERLINK("https://smartstore.naver.com/brickstore2019/products/4504660679",AW:AW)</f>
        <v>4504660679</v>
      </c>
      <c r="B63" s="266"/>
      <c r="C63" s="117" t="s">
        <v>291</v>
      </c>
      <c r="D63" s="117"/>
      <c r="E63" s="117" t="s">
        <v>292</v>
      </c>
      <c r="F63" s="123"/>
      <c r="G63" s="92" t="str">
        <f>HYPERLINK("https://www.amazon.com/Stuhrling-Original-Blue-Watches-Men/dp/B07H3C1TRK/ref=sr_1_23?keywords=diver+watch&amp;qid=1557756216&amp;refinements=p_72%3A2661618011&amp;rnid=2661617011&amp;s=gateway&amp;sr=8-23","A")</f>
        <v>A</v>
      </c>
      <c r="H63" s="93"/>
      <c r="I63" s="93"/>
      <c r="J63" s="93">
        <v>59.95</v>
      </c>
      <c r="K63" s="111">
        <f>IF(L63&gt;0,L63*0.0625,)</f>
        <v>0.95</v>
      </c>
      <c r="L63" s="111">
        <v>15.2</v>
      </c>
      <c r="M63" s="111">
        <f t="shared" si="1"/>
        <v>0.43091239999999997</v>
      </c>
      <c r="N63" s="93">
        <v>0</v>
      </c>
      <c r="O63" s="93">
        <v>0</v>
      </c>
      <c r="P63" s="95">
        <f t="shared" si="2"/>
        <v>59.95</v>
      </c>
      <c r="Q63" s="96">
        <f t="shared" si="66"/>
        <v>74937.5</v>
      </c>
      <c r="R63" s="96">
        <v>0</v>
      </c>
      <c r="S63" s="97">
        <f t="shared" si="24"/>
        <v>74900</v>
      </c>
      <c r="T63" s="97">
        <f>ROUNDUP(HLOOKUP(ROUNDUP(K63,0),'배송비 조회'!A$10:U$22,7,0)*C$3,-2)</f>
        <v>9000</v>
      </c>
      <c r="U63" s="97">
        <v>0</v>
      </c>
      <c r="V63" s="97">
        <f t="shared" si="99"/>
        <v>25200</v>
      </c>
      <c r="W63" s="97">
        <f t="shared" ref="W63:W118" si="103">ROUND(IF(R63&gt;0,0,(S63+T63)*0.5),-2)</f>
        <v>42000</v>
      </c>
      <c r="X63" s="98">
        <f t="shared" si="26"/>
        <v>109100</v>
      </c>
      <c r="Y63" s="98">
        <f t="shared" si="27"/>
        <v>125900</v>
      </c>
      <c r="Z63" s="121">
        <v>0</v>
      </c>
      <c r="AA63" s="121">
        <f t="shared" si="6"/>
        <v>4145.8</v>
      </c>
      <c r="AB63" s="121">
        <f t="shared" si="7"/>
        <v>2182</v>
      </c>
      <c r="AC63" s="99">
        <f t="shared" si="8"/>
        <v>12590</v>
      </c>
      <c r="AD63" s="121">
        <f t="shared" si="9"/>
        <v>102772.2</v>
      </c>
      <c r="AE63" s="99">
        <f t="shared" si="10"/>
        <v>113310</v>
      </c>
      <c r="AF63" s="121">
        <f t="shared" si="11"/>
        <v>1027.722</v>
      </c>
      <c r="AG63" s="100">
        <f t="shared" si="28"/>
        <v>17806.977999999996</v>
      </c>
      <c r="AH63" s="101">
        <f t="shared" si="29"/>
        <v>28344.777999999998</v>
      </c>
      <c r="AI63" s="102">
        <f t="shared" ref="AI63:AJ63" si="104">AG63/X63</f>
        <v>0.16321703024747933</v>
      </c>
      <c r="AJ63" s="102">
        <f t="shared" si="104"/>
        <v>0.22513723590150911</v>
      </c>
      <c r="AK63" s="103"/>
      <c r="AL63" s="104"/>
      <c r="AM63" s="17"/>
      <c r="AN63" s="17"/>
      <c r="AO63" s="17"/>
      <c r="AP63" s="17"/>
      <c r="AQ63" s="17"/>
      <c r="AR63" s="17"/>
      <c r="AS63" s="17"/>
      <c r="AT63" s="17"/>
      <c r="AU63" s="17"/>
      <c r="AV63" s="17"/>
      <c r="AW63" s="22">
        <v>4504660679</v>
      </c>
    </row>
    <row r="64" spans="1:49" ht="13.2">
      <c r="A64" s="105">
        <f>HYPERLINK("https://smartstore.naver.com/brickstore2019/products/4506808210",AW:AW)</f>
        <v>4506808210</v>
      </c>
      <c r="B64" s="263"/>
      <c r="C64" s="107" t="s">
        <v>297</v>
      </c>
      <c r="D64" s="107"/>
      <c r="E64" s="107" t="s">
        <v>298</v>
      </c>
      <c r="F64" s="108"/>
      <c r="G64" s="109" t="str">
        <f>HYPERLINK("https://www.amazon.com/Inateck-Backpack-Charging-Anti-Theft-Business/dp/B073TRT9MM/ref=sr_1_7?keywords=inateck&amp;qid=1557808475&amp;s=gateway&amp;sr=8-7","A")</f>
        <v>A</v>
      </c>
      <c r="H64" s="110" t="s">
        <v>60</v>
      </c>
      <c r="I64" s="110"/>
      <c r="J64" s="93">
        <v>29.99</v>
      </c>
      <c r="K64" s="111">
        <v>2.54</v>
      </c>
      <c r="L64" s="111">
        <f>IF(K64&gt;0,K64*16,)</f>
        <v>40.64</v>
      </c>
      <c r="M64" s="111">
        <f t="shared" si="1"/>
        <v>1.1521236800000001</v>
      </c>
      <c r="N64" s="93">
        <v>0</v>
      </c>
      <c r="O64" s="93">
        <v>0</v>
      </c>
      <c r="P64" s="95">
        <f t="shared" si="2"/>
        <v>29.99</v>
      </c>
      <c r="Q64" s="96">
        <f t="shared" si="66"/>
        <v>37487.5</v>
      </c>
      <c r="R64" s="96">
        <v>0</v>
      </c>
      <c r="S64" s="97">
        <f t="shared" si="24"/>
        <v>37500</v>
      </c>
      <c r="T64" s="97">
        <f>ROUNDUP(HLOOKUP(ROUNDUP(K64,0),'배송비 조회'!A$10:U$22,7,0)*C$3,-2)</f>
        <v>13400</v>
      </c>
      <c r="U64" s="97">
        <v>0</v>
      </c>
      <c r="V64" s="97">
        <f>ROUND(IF(R64&gt;0,0,(S64+T64)*0.4),-2)</f>
        <v>20400</v>
      </c>
      <c r="W64" s="97">
        <f t="shared" si="103"/>
        <v>25500</v>
      </c>
      <c r="X64" s="98">
        <f t="shared" si="26"/>
        <v>71300</v>
      </c>
      <c r="Y64" s="98">
        <f t="shared" si="27"/>
        <v>76400</v>
      </c>
      <c r="Z64" s="121">
        <v>0</v>
      </c>
      <c r="AA64" s="121">
        <f t="shared" si="6"/>
        <v>2709.4</v>
      </c>
      <c r="AB64" s="121">
        <f t="shared" si="7"/>
        <v>1426</v>
      </c>
      <c r="AC64" s="99">
        <f t="shared" si="8"/>
        <v>7640</v>
      </c>
      <c r="AD64" s="121">
        <f t="shared" si="9"/>
        <v>67164.600000000006</v>
      </c>
      <c r="AE64" s="99">
        <f t="shared" si="10"/>
        <v>68760</v>
      </c>
      <c r="AF64" s="121">
        <f t="shared" si="11"/>
        <v>671.64600000000007</v>
      </c>
      <c r="AG64" s="100">
        <f t="shared" si="28"/>
        <v>15605.454000000005</v>
      </c>
      <c r="AH64" s="101">
        <f t="shared" si="29"/>
        <v>17200.853999999999</v>
      </c>
      <c r="AI64" s="102">
        <f t="shared" ref="AI64:AJ64" si="105">AG64/X64</f>
        <v>0.21887032258064523</v>
      </c>
      <c r="AJ64" s="102">
        <f t="shared" si="105"/>
        <v>0.22514206806282722</v>
      </c>
      <c r="AK64" s="103"/>
      <c r="AL64" s="104"/>
      <c r="AM64" s="17"/>
      <c r="AN64" s="17"/>
      <c r="AO64" s="17"/>
      <c r="AP64" s="17"/>
      <c r="AQ64" s="17"/>
      <c r="AR64" s="17"/>
      <c r="AS64" s="17"/>
      <c r="AT64" s="17"/>
      <c r="AU64" s="17"/>
      <c r="AV64" s="17"/>
      <c r="AW64" s="22">
        <v>4506808210</v>
      </c>
    </row>
    <row r="65" spans="1:49" ht="13.2">
      <c r="A65" s="119">
        <f>HYPERLINK("https://smartstore.naver.com/brickstore2019/products/4508992508",AW:AW)</f>
        <v>4508992508</v>
      </c>
      <c r="B65" s="266"/>
      <c r="C65" s="117" t="s">
        <v>300</v>
      </c>
      <c r="D65" s="117"/>
      <c r="E65" s="117" t="s">
        <v>301</v>
      </c>
      <c r="F65" s="123"/>
      <c r="G65" s="92" t="str">
        <f>HYPERLINK("https://www.amazon.com/gp/product/B07FYZGWF4/ref=ox_sc_act_title_1?smid=A2JV2KUEM1HQH&amp;psc=1","A")</f>
        <v>A</v>
      </c>
      <c r="H65" s="93"/>
      <c r="I65" s="93"/>
      <c r="J65" s="93">
        <v>26</v>
      </c>
      <c r="K65" s="111">
        <f t="shared" ref="K65:K67" si="106">IF(L65&gt;0,L65*0.0625,)</f>
        <v>0.4</v>
      </c>
      <c r="L65" s="111">
        <v>6.4</v>
      </c>
      <c r="M65" s="111">
        <f t="shared" si="1"/>
        <v>0.18143680000000001</v>
      </c>
      <c r="N65" s="93">
        <v>0</v>
      </c>
      <c r="O65" s="93">
        <v>0</v>
      </c>
      <c r="P65" s="95">
        <f t="shared" si="2"/>
        <v>26</v>
      </c>
      <c r="Q65" s="96">
        <f t="shared" si="66"/>
        <v>32500</v>
      </c>
      <c r="R65" s="96">
        <v>0</v>
      </c>
      <c r="S65" s="97">
        <f t="shared" si="24"/>
        <v>32500</v>
      </c>
      <c r="T65" s="97">
        <f>ROUNDUP(HLOOKUP(ROUNDUP(K65,0),'배송비 조회'!A$10:U$22,7,0)*C$3,-2)</f>
        <v>9000</v>
      </c>
      <c r="U65" s="97">
        <v>0</v>
      </c>
      <c r="V65" s="97">
        <f>ROUND(IF(R65&gt;0,0,(S65+T65)*0.5),-2)</f>
        <v>20800</v>
      </c>
      <c r="W65" s="97">
        <f t="shared" si="103"/>
        <v>20800</v>
      </c>
      <c r="X65" s="98">
        <f t="shared" si="26"/>
        <v>62300</v>
      </c>
      <c r="Y65" s="98">
        <f t="shared" si="27"/>
        <v>62300</v>
      </c>
      <c r="Z65" s="121">
        <v>0</v>
      </c>
      <c r="AA65" s="121">
        <f t="shared" si="6"/>
        <v>2367.4</v>
      </c>
      <c r="AB65" s="121">
        <f t="shared" si="7"/>
        <v>1246</v>
      </c>
      <c r="AC65" s="99">
        <f t="shared" si="8"/>
        <v>6230</v>
      </c>
      <c r="AD65" s="121">
        <f t="shared" si="9"/>
        <v>58686.6</v>
      </c>
      <c r="AE65" s="99">
        <f t="shared" si="10"/>
        <v>56070</v>
      </c>
      <c r="AF65" s="121">
        <f t="shared" si="11"/>
        <v>586.86599999999999</v>
      </c>
      <c r="AG65" s="100">
        <f t="shared" si="28"/>
        <v>16599.733999999997</v>
      </c>
      <c r="AH65" s="101">
        <f t="shared" si="29"/>
        <v>13983.133999999998</v>
      </c>
      <c r="AI65" s="102">
        <f t="shared" ref="AI65:AJ65" si="107">AG65/X65</f>
        <v>0.26644837881219896</v>
      </c>
      <c r="AJ65" s="102">
        <f t="shared" si="107"/>
        <v>0.22444837881219901</v>
      </c>
      <c r="AK65" s="103"/>
      <c r="AL65" s="104"/>
      <c r="AM65" s="17"/>
      <c r="AN65" s="17"/>
      <c r="AO65" s="17"/>
      <c r="AP65" s="17"/>
      <c r="AQ65" s="17"/>
      <c r="AR65" s="17"/>
      <c r="AS65" s="17"/>
      <c r="AT65" s="17"/>
      <c r="AU65" s="17"/>
      <c r="AV65" s="17"/>
      <c r="AW65" s="22">
        <v>4508992508</v>
      </c>
    </row>
    <row r="66" spans="1:49" ht="13.2">
      <c r="A66" s="119">
        <f>HYPERLINK("https://smartstore.naver.com/brickstore2019/products/4514149656",AW:AW)</f>
        <v>4514149656</v>
      </c>
      <c r="B66" s="266"/>
      <c r="C66" s="117" t="s">
        <v>304</v>
      </c>
      <c r="D66" s="117"/>
      <c r="E66" s="117" t="s">
        <v>306</v>
      </c>
      <c r="F66" s="123"/>
      <c r="G66" s="92" t="str">
        <f>HYPERLINK("https://www.amazon.com/Adapter-MacBook-Output-MicroSD-2-Ports/dp/B074J79WWJ?th=1","A")</f>
        <v>A</v>
      </c>
      <c r="H66" s="93"/>
      <c r="I66" s="93"/>
      <c r="J66" s="93">
        <v>26</v>
      </c>
      <c r="K66" s="111">
        <f t="shared" si="106"/>
        <v>0.15</v>
      </c>
      <c r="L66" s="111">
        <v>2.4</v>
      </c>
      <c r="M66" s="111">
        <f t="shared" si="1"/>
        <v>6.8038799999999997E-2</v>
      </c>
      <c r="N66" s="93">
        <v>0</v>
      </c>
      <c r="O66" s="93">
        <v>0</v>
      </c>
      <c r="P66" s="95">
        <f t="shared" si="2"/>
        <v>26</v>
      </c>
      <c r="Q66" s="96">
        <f t="shared" si="66"/>
        <v>32500</v>
      </c>
      <c r="R66" s="96">
        <v>0</v>
      </c>
      <c r="S66" s="97">
        <f t="shared" si="24"/>
        <v>32500</v>
      </c>
      <c r="T66" s="97">
        <f>ROUNDUP(HLOOKUP(ROUNDUP(K66,0),'배송비 조회'!A$10:U$22,7,0)*C$3,-2)</f>
        <v>9000</v>
      </c>
      <c r="U66" s="97">
        <v>0</v>
      </c>
      <c r="V66" s="97">
        <f>ROUND(IF(R66&gt;0,0,(S66+T66)*0.4),-2)</f>
        <v>16600</v>
      </c>
      <c r="W66" s="97">
        <f t="shared" si="103"/>
        <v>20800</v>
      </c>
      <c r="X66" s="98">
        <f t="shared" si="26"/>
        <v>58100</v>
      </c>
      <c r="Y66" s="98">
        <f t="shared" si="27"/>
        <v>62300</v>
      </c>
      <c r="Z66" s="121">
        <v>0</v>
      </c>
      <c r="AA66" s="121">
        <f t="shared" si="6"/>
        <v>2207.7999999999997</v>
      </c>
      <c r="AB66" s="121">
        <f t="shared" si="7"/>
        <v>1162</v>
      </c>
      <c r="AC66" s="99">
        <f t="shared" si="8"/>
        <v>6230</v>
      </c>
      <c r="AD66" s="121">
        <f t="shared" si="9"/>
        <v>54730.2</v>
      </c>
      <c r="AE66" s="99">
        <f t="shared" si="10"/>
        <v>56070</v>
      </c>
      <c r="AF66" s="121">
        <f t="shared" si="11"/>
        <v>547.30200000000002</v>
      </c>
      <c r="AG66" s="100">
        <f t="shared" si="28"/>
        <v>12682.897999999997</v>
      </c>
      <c r="AH66" s="101">
        <f t="shared" si="29"/>
        <v>14022.698</v>
      </c>
      <c r="AI66" s="102">
        <f t="shared" ref="AI66:AJ66" si="108">AG66/X66</f>
        <v>0.21829428571428566</v>
      </c>
      <c r="AJ66" s="102">
        <f t="shared" si="108"/>
        <v>0.22508343499197433</v>
      </c>
      <c r="AK66" s="103"/>
      <c r="AL66" s="104"/>
      <c r="AM66" s="17"/>
      <c r="AN66" s="17"/>
      <c r="AO66" s="17"/>
      <c r="AP66" s="17"/>
      <c r="AQ66" s="17"/>
      <c r="AR66" s="17"/>
      <c r="AS66" s="17"/>
      <c r="AT66" s="17"/>
      <c r="AU66" s="17"/>
      <c r="AV66" s="17"/>
      <c r="AW66" s="22">
        <v>4514149656</v>
      </c>
    </row>
    <row r="67" spans="1:49" ht="13.2">
      <c r="A67" s="119">
        <f>HYPERLINK("https://smartstore.naver.com/brickstore2019/products/4515118468",AW:AW)</f>
        <v>4515118468</v>
      </c>
      <c r="B67" s="266"/>
      <c r="C67" s="117" t="s">
        <v>309</v>
      </c>
      <c r="D67" s="117"/>
      <c r="E67" s="117" t="s">
        <v>310</v>
      </c>
      <c r="F67" s="123"/>
      <c r="G67" s="92" t="str">
        <f>HYPERLINK("https://www.amazon.com/Tissot-PR100-Leather-Watch-T1014512603100/dp/B018KDUJB8/ref=sr_1_1?keywords=T1014512603100&amp;qid=1558272896&amp;s=gateway&amp;sr=8-1","A")</f>
        <v>A</v>
      </c>
      <c r="H67" s="92" t="str">
        <f>HYPERLINK("https://www.jomashop.com/tissot-watch-t101-451-26-031-00.html","J")</f>
        <v>J</v>
      </c>
      <c r="I67" s="92"/>
      <c r="J67" s="93">
        <v>176</v>
      </c>
      <c r="K67" s="111">
        <f t="shared" si="106"/>
        <v>0.4</v>
      </c>
      <c r="L67" s="111">
        <v>6.4</v>
      </c>
      <c r="M67" s="111">
        <f t="shared" si="1"/>
        <v>0.18143680000000001</v>
      </c>
      <c r="N67" s="93">
        <v>0</v>
      </c>
      <c r="O67" s="93">
        <v>0</v>
      </c>
      <c r="P67" s="95">
        <f t="shared" si="2"/>
        <v>176</v>
      </c>
      <c r="Q67" s="96">
        <f t="shared" si="66"/>
        <v>220000</v>
      </c>
      <c r="R67" s="96">
        <v>0</v>
      </c>
      <c r="S67" s="97">
        <f t="shared" si="24"/>
        <v>220000</v>
      </c>
      <c r="T67" s="97">
        <f>ROUNDUP(HLOOKUP(ROUNDUP(K67,0),'배송비 조회'!A$10:U$22,7,0)*C$3,-2)</f>
        <v>9000</v>
      </c>
      <c r="U67" s="97">
        <v>0</v>
      </c>
      <c r="V67" s="97">
        <f t="shared" ref="V67:V72" si="109">ROUND(IF(R67&gt;0,0,(S67+T67)*0.3),-2)</f>
        <v>68700</v>
      </c>
      <c r="W67" s="97">
        <f t="shared" si="103"/>
        <v>114500</v>
      </c>
      <c r="X67" s="98">
        <f t="shared" si="26"/>
        <v>297700</v>
      </c>
      <c r="Y67" s="98">
        <f t="shared" si="27"/>
        <v>343500</v>
      </c>
      <c r="Z67" s="121">
        <v>0</v>
      </c>
      <c r="AA67" s="121">
        <f t="shared" si="6"/>
        <v>11312.6</v>
      </c>
      <c r="AB67" s="121">
        <f t="shared" si="7"/>
        <v>5954</v>
      </c>
      <c r="AC67" s="99">
        <f t="shared" si="8"/>
        <v>34350</v>
      </c>
      <c r="AD67" s="121">
        <f t="shared" si="9"/>
        <v>280433.40000000002</v>
      </c>
      <c r="AE67" s="99">
        <f t="shared" si="10"/>
        <v>309150</v>
      </c>
      <c r="AF67" s="121">
        <f t="shared" si="11"/>
        <v>2804.3340000000003</v>
      </c>
      <c r="AG67" s="100">
        <f t="shared" si="28"/>
        <v>48629.066000000021</v>
      </c>
      <c r="AH67" s="101">
        <f t="shared" si="29"/>
        <v>77345.665999999997</v>
      </c>
      <c r="AI67" s="102">
        <f t="shared" ref="AI67:AJ67" si="110">AG67/X67</f>
        <v>0.16334923076923083</v>
      </c>
      <c r="AJ67" s="102">
        <f t="shared" si="110"/>
        <v>0.22516933333333333</v>
      </c>
      <c r="AK67" s="103"/>
      <c r="AL67" s="104"/>
      <c r="AM67" s="17"/>
      <c r="AN67" s="17"/>
      <c r="AO67" s="17"/>
      <c r="AP67" s="17"/>
      <c r="AQ67" s="17"/>
      <c r="AR67" s="17"/>
      <c r="AS67" s="17"/>
      <c r="AT67" s="17"/>
      <c r="AU67" s="17"/>
      <c r="AV67" s="17"/>
      <c r="AW67" s="22">
        <v>4515118468</v>
      </c>
    </row>
    <row r="68" spans="1:49" ht="13.2">
      <c r="A68" s="303">
        <f>HYPERLINK("https://smartstore.naver.com/brickstore2019/products/4516651523",AW:AW)</f>
        <v>4516651523</v>
      </c>
      <c r="B68" s="266"/>
      <c r="C68" s="313" t="s">
        <v>313</v>
      </c>
      <c r="D68" s="134"/>
      <c r="E68" s="304" t="s">
        <v>314</v>
      </c>
      <c r="F68" s="123" t="s">
        <v>315</v>
      </c>
      <c r="G68" s="92" t="str">
        <f>HYPERLINK("https://www.amazon.com/dp/B074R76HV7/ref=twister_B07GB5XHP4?_encoding=UTF8&amp;th=1","A")</f>
        <v>A</v>
      </c>
      <c r="H68" s="93"/>
      <c r="I68" s="93"/>
      <c r="J68" s="93">
        <v>140</v>
      </c>
      <c r="K68" s="111">
        <v>3.6</v>
      </c>
      <c r="L68" s="111">
        <f t="shared" ref="L68:L69" si="111">IF(K68&gt;0,K68*16,)</f>
        <v>57.6</v>
      </c>
      <c r="M68" s="111">
        <f t="shared" si="1"/>
        <v>1.6329312</v>
      </c>
      <c r="N68" s="93">
        <v>0</v>
      </c>
      <c r="O68" s="93">
        <v>0</v>
      </c>
      <c r="P68" s="95">
        <f t="shared" si="2"/>
        <v>140</v>
      </c>
      <c r="Q68" s="96">
        <f t="shared" si="66"/>
        <v>175000</v>
      </c>
      <c r="R68" s="96">
        <v>0</v>
      </c>
      <c r="S68" s="97">
        <f t="shared" si="24"/>
        <v>175000</v>
      </c>
      <c r="T68" s="97">
        <f>ROUNDUP(HLOOKUP(ROUNDUP(K68,0),'배송비 조회'!A$10:U$22,7,0)*C$3,-2)</f>
        <v>15600</v>
      </c>
      <c r="U68" s="97">
        <v>0</v>
      </c>
      <c r="V68" s="97">
        <f t="shared" si="109"/>
        <v>57200</v>
      </c>
      <c r="W68" s="97">
        <f t="shared" si="103"/>
        <v>95300</v>
      </c>
      <c r="X68" s="98">
        <f t="shared" si="26"/>
        <v>247800</v>
      </c>
      <c r="Y68" s="98">
        <f t="shared" si="27"/>
        <v>285900</v>
      </c>
      <c r="Z68" s="121">
        <v>0</v>
      </c>
      <c r="AA68" s="121">
        <f t="shared" si="6"/>
        <v>9416.4</v>
      </c>
      <c r="AB68" s="121">
        <f t="shared" si="7"/>
        <v>4956</v>
      </c>
      <c r="AC68" s="99">
        <f t="shared" si="8"/>
        <v>28590</v>
      </c>
      <c r="AD68" s="121">
        <f t="shared" si="9"/>
        <v>233427.6</v>
      </c>
      <c r="AE68" s="99">
        <f t="shared" si="10"/>
        <v>257310</v>
      </c>
      <c r="AF68" s="121">
        <f t="shared" si="11"/>
        <v>2334.2760000000003</v>
      </c>
      <c r="AG68" s="100">
        <f t="shared" si="28"/>
        <v>40493.324000000008</v>
      </c>
      <c r="AH68" s="101">
        <f t="shared" si="29"/>
        <v>64375.724000000002</v>
      </c>
      <c r="AI68" s="102">
        <f t="shared" ref="AI68:AJ68" si="112">AG68/X68</f>
        <v>0.16341131557707833</v>
      </c>
      <c r="AJ68" s="102">
        <f t="shared" si="112"/>
        <v>0.22516867436166493</v>
      </c>
      <c r="AK68" s="103">
        <f>X68-X69</f>
        <v>27200</v>
      </c>
      <c r="AL68" s="104"/>
      <c r="AM68" s="17"/>
      <c r="AN68" s="17"/>
      <c r="AO68" s="17"/>
      <c r="AP68" s="17"/>
      <c r="AQ68" s="17"/>
      <c r="AR68" s="17"/>
      <c r="AS68" s="17"/>
      <c r="AT68" s="17"/>
      <c r="AU68" s="17"/>
      <c r="AV68" s="17"/>
      <c r="AW68" s="296">
        <v>4516651523</v>
      </c>
    </row>
    <row r="69" spans="1:49" ht="13.2">
      <c r="A69" s="302"/>
      <c r="B69" s="266"/>
      <c r="C69" s="302"/>
      <c r="D69" s="134"/>
      <c r="E69" s="302"/>
      <c r="F69" s="123" t="s">
        <v>317</v>
      </c>
      <c r="G69" s="92" t="str">
        <f>HYPERLINK("https://www.amazon.com/dp/B074RD3M5Y/ref=twister_B07GB5XHP4?_encoding=UTF8&amp;th=1","A")</f>
        <v>A</v>
      </c>
      <c r="H69" s="93"/>
      <c r="I69" s="93"/>
      <c r="J69" s="93">
        <v>123.31</v>
      </c>
      <c r="K69" s="111">
        <v>3.6</v>
      </c>
      <c r="L69" s="111">
        <f t="shared" si="111"/>
        <v>57.6</v>
      </c>
      <c r="M69" s="111">
        <f t="shared" si="1"/>
        <v>1.6329312</v>
      </c>
      <c r="N69" s="93">
        <v>0</v>
      </c>
      <c r="O69" s="93">
        <v>0</v>
      </c>
      <c r="P69" s="95">
        <f t="shared" si="2"/>
        <v>123.31</v>
      </c>
      <c r="Q69" s="96">
        <f t="shared" ref="Q69:Q100" si="113">P69*C$3</f>
        <v>154137.5</v>
      </c>
      <c r="R69" s="96">
        <v>0</v>
      </c>
      <c r="S69" s="97">
        <f t="shared" si="24"/>
        <v>154100</v>
      </c>
      <c r="T69" s="97">
        <f>ROUNDUP(HLOOKUP(ROUNDUP(K69,0),'배송비 조회'!A$10:U$22,7,0)*C$3,-2)</f>
        <v>15600</v>
      </c>
      <c r="U69" s="97">
        <v>0</v>
      </c>
      <c r="V69" s="97">
        <f t="shared" si="109"/>
        <v>50900</v>
      </c>
      <c r="W69" s="97">
        <f t="shared" si="103"/>
        <v>84900</v>
      </c>
      <c r="X69" s="98">
        <f t="shared" si="26"/>
        <v>220600</v>
      </c>
      <c r="Y69" s="98">
        <f t="shared" si="27"/>
        <v>254600</v>
      </c>
      <c r="Z69" s="121">
        <v>0</v>
      </c>
      <c r="AA69" s="121">
        <f t="shared" si="6"/>
        <v>8382.7999999999993</v>
      </c>
      <c r="AB69" s="121">
        <f t="shared" si="7"/>
        <v>4412</v>
      </c>
      <c r="AC69" s="99">
        <f t="shared" si="8"/>
        <v>25460</v>
      </c>
      <c r="AD69" s="121">
        <f t="shared" si="9"/>
        <v>207805.2</v>
      </c>
      <c r="AE69" s="99">
        <f t="shared" si="10"/>
        <v>229140</v>
      </c>
      <c r="AF69" s="121">
        <f t="shared" si="11"/>
        <v>2078.0520000000001</v>
      </c>
      <c r="AG69" s="100">
        <f t="shared" si="28"/>
        <v>35989.648000000008</v>
      </c>
      <c r="AH69" s="101">
        <f t="shared" si="29"/>
        <v>57324.448000000004</v>
      </c>
      <c r="AI69" s="102">
        <f t="shared" ref="AI69:AJ69" si="114">AG69/X69</f>
        <v>0.16314436990027203</v>
      </c>
      <c r="AJ69" s="102">
        <f t="shared" si="114"/>
        <v>0.22515494108405343</v>
      </c>
      <c r="AK69" s="103"/>
      <c r="AL69" s="104"/>
      <c r="AM69" s="17"/>
      <c r="AN69" s="17"/>
      <c r="AO69" s="17"/>
      <c r="AP69" s="17"/>
      <c r="AQ69" s="17"/>
      <c r="AR69" s="17"/>
      <c r="AS69" s="17"/>
      <c r="AT69" s="17"/>
      <c r="AU69" s="17"/>
      <c r="AV69" s="17"/>
      <c r="AW69" s="297"/>
    </row>
    <row r="70" spans="1:49" ht="13.2">
      <c r="A70" s="119">
        <f>HYPERLINK("https://smartstore.naver.com/brickstore2019/products/4529511331",AW:AW)</f>
        <v>4529511331</v>
      </c>
      <c r="B70" s="266"/>
      <c r="C70" s="117" t="s">
        <v>319</v>
      </c>
      <c r="D70" s="117"/>
      <c r="E70" s="117" t="s">
        <v>176</v>
      </c>
      <c r="F70" s="123"/>
      <c r="G70" s="92" t="str">
        <f>HYPERLINK("https://www.amazon.com/Timex-TW5M24400-Ironman-Essential-Silicone/dp/B07MFPKNRY/ref=sr_1_1?keywords=Timex%2BTW5M244009J&amp;qid=1559052205&amp;s=gateway&amp;sr=8-1&amp;th=1","A")</f>
        <v>A</v>
      </c>
      <c r="H70" s="93"/>
      <c r="I70" s="93"/>
      <c r="J70" s="93">
        <v>62</v>
      </c>
      <c r="K70" s="111">
        <f>IF(L70&gt;0,L70*0.0625,)</f>
        <v>0.22</v>
      </c>
      <c r="L70" s="111">
        <v>3.52</v>
      </c>
      <c r="M70" s="111">
        <f t="shared" si="1"/>
        <v>9.9790240000000002E-2</v>
      </c>
      <c r="N70" s="93">
        <v>0</v>
      </c>
      <c r="O70" s="93">
        <v>0</v>
      </c>
      <c r="P70" s="95">
        <f t="shared" si="2"/>
        <v>62</v>
      </c>
      <c r="Q70" s="96">
        <f t="shared" si="113"/>
        <v>77500</v>
      </c>
      <c r="R70" s="96">
        <v>0</v>
      </c>
      <c r="S70" s="97">
        <f t="shared" si="24"/>
        <v>77500</v>
      </c>
      <c r="T70" s="97">
        <f>ROUNDUP(HLOOKUP(ROUNDUP(K70,0),'배송비 조회'!A$10:U$22,7,0)*C$3,-2)</f>
        <v>9000</v>
      </c>
      <c r="U70" s="97">
        <v>0</v>
      </c>
      <c r="V70" s="97">
        <f t="shared" si="109"/>
        <v>26000</v>
      </c>
      <c r="W70" s="97">
        <f t="shared" si="103"/>
        <v>43300</v>
      </c>
      <c r="X70" s="98">
        <f t="shared" si="26"/>
        <v>112500</v>
      </c>
      <c r="Y70" s="98">
        <f t="shared" si="27"/>
        <v>129800</v>
      </c>
      <c r="Z70" s="121">
        <v>0</v>
      </c>
      <c r="AA70" s="121">
        <f t="shared" si="6"/>
        <v>4275</v>
      </c>
      <c r="AB70" s="121">
        <f t="shared" si="7"/>
        <v>2250</v>
      </c>
      <c r="AC70" s="99">
        <f t="shared" si="8"/>
        <v>12980</v>
      </c>
      <c r="AD70" s="121">
        <f t="shared" si="9"/>
        <v>105975</v>
      </c>
      <c r="AE70" s="99">
        <f t="shared" si="10"/>
        <v>116820</v>
      </c>
      <c r="AF70" s="121">
        <f t="shared" si="11"/>
        <v>1059.75</v>
      </c>
      <c r="AG70" s="100">
        <f t="shared" si="28"/>
        <v>18415.25</v>
      </c>
      <c r="AH70" s="101">
        <f t="shared" si="29"/>
        <v>29260.25</v>
      </c>
      <c r="AI70" s="102">
        <f t="shared" ref="AI70:AJ70" si="115">AG70/X70</f>
        <v>0.16369111111111112</v>
      </c>
      <c r="AJ70" s="102">
        <f t="shared" si="115"/>
        <v>0.22542565485362095</v>
      </c>
      <c r="AK70" s="103"/>
      <c r="AL70" s="104"/>
      <c r="AM70" s="17"/>
      <c r="AN70" s="17"/>
      <c r="AO70" s="17"/>
      <c r="AP70" s="17"/>
      <c r="AQ70" s="17"/>
      <c r="AR70" s="17"/>
      <c r="AS70" s="17"/>
      <c r="AT70" s="17"/>
      <c r="AU70" s="17"/>
      <c r="AV70" s="17"/>
      <c r="AW70" s="22">
        <v>4529511331</v>
      </c>
    </row>
    <row r="71" spans="1:49" ht="13.2">
      <c r="A71" s="105">
        <f>HYPERLINK("https://smartstore.naver.com/brickstore2019/products/4530851563",AW:AW)</f>
        <v>4530851563</v>
      </c>
      <c r="B71" s="263"/>
      <c r="C71" s="107" t="s">
        <v>321</v>
      </c>
      <c r="D71" s="107"/>
      <c r="E71" s="107" t="s">
        <v>322</v>
      </c>
      <c r="F71" s="108"/>
      <c r="G71" s="109" t="str">
        <f>HYPERLINK("https://www.amazon.com/Samsonite-Tectonic-Lifestyle-Business-Backpack/dp/B07MSKJLJ1/ref=sr_1_2?keywords=samsonite&amp;qid=1559104135&amp;rnid=2941120011&amp;s=apparel&amp;sr=1-2#customerReviews","A")</f>
        <v>A</v>
      </c>
      <c r="H71" s="110" t="s">
        <v>60</v>
      </c>
      <c r="I71" s="110"/>
      <c r="J71" s="93">
        <v>65.66</v>
      </c>
      <c r="K71" s="111">
        <v>3.15</v>
      </c>
      <c r="L71" s="111">
        <f t="shared" ref="L71:L73" si="116">IF(K71&gt;0,K71*16,)</f>
        <v>50.4</v>
      </c>
      <c r="M71" s="111">
        <f t="shared" si="1"/>
        <v>1.4288148000000001</v>
      </c>
      <c r="N71" s="93">
        <v>0</v>
      </c>
      <c r="O71" s="93">
        <v>0</v>
      </c>
      <c r="P71" s="95">
        <f t="shared" si="2"/>
        <v>65.66</v>
      </c>
      <c r="Q71" s="96">
        <f t="shared" si="113"/>
        <v>82075</v>
      </c>
      <c r="R71" s="96">
        <v>0</v>
      </c>
      <c r="S71" s="97">
        <f t="shared" si="24"/>
        <v>82100</v>
      </c>
      <c r="T71" s="97">
        <f>ROUNDUP(HLOOKUP(ROUNDUP(K71,0),'배송비 조회'!A$10:U$22,7,0)*C$3,-2)</f>
        <v>15600</v>
      </c>
      <c r="U71" s="97">
        <v>0</v>
      </c>
      <c r="V71" s="97">
        <f t="shared" si="109"/>
        <v>29300</v>
      </c>
      <c r="W71" s="97">
        <f t="shared" si="103"/>
        <v>48900</v>
      </c>
      <c r="X71" s="98">
        <f t="shared" si="26"/>
        <v>127000</v>
      </c>
      <c r="Y71" s="98">
        <f t="shared" si="27"/>
        <v>146600</v>
      </c>
      <c r="Z71" s="121">
        <v>0</v>
      </c>
      <c r="AA71" s="121">
        <f t="shared" si="6"/>
        <v>4826</v>
      </c>
      <c r="AB71" s="121">
        <f t="shared" si="7"/>
        <v>2540</v>
      </c>
      <c r="AC71" s="99">
        <f t="shared" si="8"/>
        <v>14660</v>
      </c>
      <c r="AD71" s="121">
        <f t="shared" si="9"/>
        <v>119634</v>
      </c>
      <c r="AE71" s="99">
        <f t="shared" si="10"/>
        <v>131940</v>
      </c>
      <c r="AF71" s="121">
        <f t="shared" si="11"/>
        <v>1196.3399999999999</v>
      </c>
      <c r="AG71" s="100">
        <f t="shared" si="28"/>
        <v>20762.660000000003</v>
      </c>
      <c r="AH71" s="101">
        <f t="shared" si="29"/>
        <v>33068.660000000003</v>
      </c>
      <c r="AI71" s="102">
        <f t="shared" ref="AI71:AJ71" si="117">AG71/X71</f>
        <v>0.16348551181102364</v>
      </c>
      <c r="AJ71" s="102">
        <f t="shared" si="117"/>
        <v>0.22557066848567534</v>
      </c>
      <c r="AK71" s="103"/>
      <c r="AL71" s="104"/>
      <c r="AM71" s="17"/>
      <c r="AN71" s="17"/>
      <c r="AO71" s="17"/>
      <c r="AP71" s="17"/>
      <c r="AQ71" s="17"/>
      <c r="AR71" s="17"/>
      <c r="AS71" s="17"/>
      <c r="AT71" s="17"/>
      <c r="AU71" s="17"/>
      <c r="AV71" s="17"/>
      <c r="AW71" s="22">
        <v>4530851563</v>
      </c>
    </row>
    <row r="72" spans="1:49" ht="13.2">
      <c r="A72" s="119">
        <f>HYPERLINK("https://smartstore.naver.com/brickstore2019/products/4536603398",AW:AW)</f>
        <v>4536603398</v>
      </c>
      <c r="B72" s="266"/>
      <c r="C72" s="117" t="s">
        <v>325</v>
      </c>
      <c r="D72" s="117"/>
      <c r="E72" s="117" t="s">
        <v>326</v>
      </c>
      <c r="F72" s="123"/>
      <c r="G72" s="92" t="str">
        <f>HYPERLINK("https://www.amazon.com/Under-Armour-Hustle-Backpack-Silver/dp/B07J9LRQ3W/ref=sr_1_1?keywords=Under%2BArmour%2Bbackpack&amp;qid=1559459791&amp;refinements=p_89%3AUnder%2BArmour&amp;rnid=2528832011&amp;s=gateway&amp;sr=8-1&amp;th=1&amp;psc=1","A")</f>
        <v>A</v>
      </c>
      <c r="H72" s="93"/>
      <c r="I72" s="93"/>
      <c r="J72" s="93">
        <v>55</v>
      </c>
      <c r="K72" s="111">
        <v>1.37</v>
      </c>
      <c r="L72" s="111">
        <f t="shared" si="116"/>
        <v>21.92</v>
      </c>
      <c r="M72" s="111">
        <f t="shared" si="1"/>
        <v>0.62142104000000009</v>
      </c>
      <c r="N72" s="93">
        <v>0</v>
      </c>
      <c r="O72" s="93">
        <v>0</v>
      </c>
      <c r="P72" s="95">
        <f t="shared" si="2"/>
        <v>55</v>
      </c>
      <c r="Q72" s="96">
        <f t="shared" si="113"/>
        <v>68750</v>
      </c>
      <c r="R72" s="96">
        <v>0</v>
      </c>
      <c r="S72" s="97">
        <f t="shared" si="24"/>
        <v>68800</v>
      </c>
      <c r="T72" s="97">
        <f>ROUNDUP(HLOOKUP(ROUNDUP(K72,0),'배송비 조회'!A$10:U$22,7,0)*C$3,-2)</f>
        <v>11200</v>
      </c>
      <c r="U72" s="97">
        <v>0</v>
      </c>
      <c r="V72" s="97">
        <f t="shared" si="109"/>
        <v>24000</v>
      </c>
      <c r="W72" s="97">
        <f t="shared" si="103"/>
        <v>40000</v>
      </c>
      <c r="X72" s="98">
        <f t="shared" si="26"/>
        <v>104000</v>
      </c>
      <c r="Y72" s="98">
        <f t="shared" si="27"/>
        <v>120000</v>
      </c>
      <c r="Z72" s="121"/>
      <c r="AA72" s="121">
        <f t="shared" si="6"/>
        <v>3952</v>
      </c>
      <c r="AB72" s="121">
        <f t="shared" si="7"/>
        <v>2080</v>
      </c>
      <c r="AC72" s="99">
        <f t="shared" si="8"/>
        <v>12000</v>
      </c>
      <c r="AD72" s="121">
        <f t="shared" si="9"/>
        <v>97968</v>
      </c>
      <c r="AE72" s="99">
        <f t="shared" si="10"/>
        <v>108000</v>
      </c>
      <c r="AF72" s="121">
        <f t="shared" si="11"/>
        <v>979.68000000000006</v>
      </c>
      <c r="AG72" s="100">
        <f t="shared" si="28"/>
        <v>17038.32</v>
      </c>
      <c r="AH72" s="101">
        <f t="shared" si="29"/>
        <v>27070.32</v>
      </c>
      <c r="AI72" s="102">
        <f t="shared" ref="AI72:AJ72" si="118">AG72/X72</f>
        <v>0.16383</v>
      </c>
      <c r="AJ72" s="102">
        <f t="shared" si="118"/>
        <v>0.22558600000000001</v>
      </c>
      <c r="AK72" s="103"/>
      <c r="AL72" s="104"/>
      <c r="AM72" s="17"/>
      <c r="AN72" s="17"/>
      <c r="AO72" s="17"/>
      <c r="AP72" s="17"/>
      <c r="AQ72" s="17"/>
      <c r="AR72" s="17"/>
      <c r="AS72" s="17"/>
      <c r="AT72" s="17"/>
      <c r="AU72" s="17"/>
      <c r="AV72" s="17"/>
      <c r="AW72" s="22">
        <v>4536603398</v>
      </c>
    </row>
    <row r="73" spans="1:49" ht="13.2">
      <c r="A73" s="137">
        <f>HYPERLINK("https://smartstore.naver.com/brickstore2019/products/4536737665",AW:AW)</f>
        <v>4536737665</v>
      </c>
      <c r="B73" s="270"/>
      <c r="C73" s="139" t="s">
        <v>330</v>
      </c>
      <c r="D73" s="139"/>
      <c r="E73" s="140" t="s">
        <v>331</v>
      </c>
      <c r="F73" s="141"/>
      <c r="G73" s="92" t="str">
        <f>HYPERLINK("https://www.amazon.com/Under-Armour-Gameday-Backpack-Silver/dp/B077KL8GPD/ref=sr_1_7?keywords=Under%2BArmour%2Bbackpack&amp;qid=1559459791&amp;refinements=p_89%3AUnder%2BArmour&amp;rnid=2528832011&amp;s=gateway&amp;sr=8-7&amp;th=1&amp;psc=1","A")</f>
        <v>A</v>
      </c>
      <c r="H73" s="93"/>
      <c r="I73" s="93"/>
      <c r="J73" s="93">
        <v>89</v>
      </c>
      <c r="K73" s="111">
        <v>1.68</v>
      </c>
      <c r="L73" s="111">
        <f t="shared" si="116"/>
        <v>26.88</v>
      </c>
      <c r="M73" s="111">
        <f t="shared" si="1"/>
        <v>0.76203455999999992</v>
      </c>
      <c r="N73" s="93">
        <v>0</v>
      </c>
      <c r="O73" s="93">
        <v>0</v>
      </c>
      <c r="P73" s="95">
        <f t="shared" si="2"/>
        <v>89</v>
      </c>
      <c r="Q73" s="96">
        <f t="shared" si="113"/>
        <v>111250</v>
      </c>
      <c r="R73" s="96">
        <f>ROUND(Q73*0.3,-2)</f>
        <v>33400</v>
      </c>
      <c r="S73" s="97">
        <f t="shared" si="24"/>
        <v>144700</v>
      </c>
      <c r="T73" s="97">
        <f>ROUNDUP(HLOOKUP(ROUNDUP(K73,0),'배송비 조회'!A$10:U$22,7,0)*C$3,-2)</f>
        <v>11200</v>
      </c>
      <c r="U73" s="97">
        <v>0</v>
      </c>
      <c r="V73" s="97"/>
      <c r="W73" s="97">
        <f t="shared" si="103"/>
        <v>0</v>
      </c>
      <c r="X73" s="98">
        <f>SUM(S73:T73)</f>
        <v>155900</v>
      </c>
      <c r="Y73" s="98">
        <f t="shared" si="27"/>
        <v>155900</v>
      </c>
      <c r="Z73" s="142">
        <v>0</v>
      </c>
      <c r="AA73" s="142">
        <f t="shared" si="6"/>
        <v>5924.2</v>
      </c>
      <c r="AB73" s="142">
        <f t="shared" si="7"/>
        <v>3118</v>
      </c>
      <c r="AC73" s="99">
        <f t="shared" si="8"/>
        <v>15590</v>
      </c>
      <c r="AD73" s="142">
        <f t="shared" si="9"/>
        <v>146857.79999999999</v>
      </c>
      <c r="AE73" s="99">
        <f t="shared" si="10"/>
        <v>140310</v>
      </c>
      <c r="AF73" s="142">
        <f t="shared" si="11"/>
        <v>1468.578</v>
      </c>
      <c r="AG73" s="100">
        <f t="shared" si="28"/>
        <v>22939.221999999987</v>
      </c>
      <c r="AH73" s="101">
        <f t="shared" si="29"/>
        <v>16391.421999999999</v>
      </c>
      <c r="AI73" s="102">
        <f t="shared" ref="AI73:AJ73" si="119">AG73/X73</f>
        <v>0.14714061577934565</v>
      </c>
      <c r="AJ73" s="102">
        <f t="shared" si="119"/>
        <v>0.10514061577934572</v>
      </c>
      <c r="AK73" s="103"/>
      <c r="AL73" s="104"/>
      <c r="AM73" s="17"/>
      <c r="AN73" s="17"/>
      <c r="AO73" s="17"/>
      <c r="AP73" s="17"/>
      <c r="AQ73" s="17"/>
      <c r="AR73" s="17"/>
      <c r="AS73" s="17"/>
      <c r="AT73" s="17"/>
      <c r="AU73" s="17"/>
      <c r="AV73" s="17"/>
      <c r="AW73" s="33">
        <v>4536737665</v>
      </c>
    </row>
    <row r="74" spans="1:49" ht="13.2">
      <c r="A74" s="119">
        <f>HYPERLINK("https://smartstore.naver.com/brickstore2019/products/4536788732",AW:AW)</f>
        <v>4536788732</v>
      </c>
      <c r="B74" s="266"/>
      <c r="C74" s="117" t="s">
        <v>336</v>
      </c>
      <c r="D74" s="117"/>
      <c r="E74" s="117" t="s">
        <v>337</v>
      </c>
      <c r="F74" s="123"/>
      <c r="G74" s="92" t="str">
        <f>HYPERLINK("https://www.amazon.com/Casio-Edifice-Quartz-Stainless-Steel-Silver/dp/B07K95SCC3/ref=sr_1_7?keywords=casio&amp;qid=1559478959&amp;refinements=p_89%3ACasio%2Cp_72%3A2661618011&amp;rnid=2661617011&amp;s=gateway&amp;sr=8-7","A")</f>
        <v>A</v>
      </c>
      <c r="H74" s="93"/>
      <c r="I74" s="93"/>
      <c r="J74" s="93">
        <v>170</v>
      </c>
      <c r="K74" s="111">
        <f t="shared" ref="K74:K79" si="120">IF(L74&gt;0,L74*0.0625,)</f>
        <v>0.66249999999999998</v>
      </c>
      <c r="L74" s="111">
        <v>10.6</v>
      </c>
      <c r="M74" s="111">
        <f t="shared" si="1"/>
        <v>0.30050470000000001</v>
      </c>
      <c r="N74" s="93">
        <v>0</v>
      </c>
      <c r="O74" s="93">
        <v>0</v>
      </c>
      <c r="P74" s="95">
        <f t="shared" si="2"/>
        <v>170</v>
      </c>
      <c r="Q74" s="96">
        <f t="shared" si="113"/>
        <v>212500</v>
      </c>
      <c r="R74" s="96">
        <v>0</v>
      </c>
      <c r="S74" s="97">
        <f t="shared" si="24"/>
        <v>212500</v>
      </c>
      <c r="T74" s="97">
        <f>ROUNDUP(HLOOKUP(ROUNDUP(K74,0),'배송비 조회'!A$10:U$22,7,0)*C$3,-2)</f>
        <v>9000</v>
      </c>
      <c r="U74" s="97">
        <v>0</v>
      </c>
      <c r="V74" s="97">
        <f>ROUND(IF(R74&gt;0,0,(S74+T74)*0.3),-2)</f>
        <v>66500</v>
      </c>
      <c r="W74" s="97">
        <f t="shared" si="103"/>
        <v>110800</v>
      </c>
      <c r="X74" s="98">
        <f>IF(R74&gt;0,SUM(S74:T74),SUM(S74:V74))</f>
        <v>288000</v>
      </c>
      <c r="Y74" s="98">
        <f t="shared" si="27"/>
        <v>332300</v>
      </c>
      <c r="Z74" s="121">
        <v>0</v>
      </c>
      <c r="AA74" s="121">
        <f t="shared" si="6"/>
        <v>10944</v>
      </c>
      <c r="AB74" s="121">
        <f t="shared" si="7"/>
        <v>5760</v>
      </c>
      <c r="AC74" s="99">
        <f t="shared" si="8"/>
        <v>33230</v>
      </c>
      <c r="AD74" s="121">
        <f t="shared" si="9"/>
        <v>271296</v>
      </c>
      <c r="AE74" s="99">
        <f t="shared" si="10"/>
        <v>299070</v>
      </c>
      <c r="AF74" s="121">
        <f t="shared" si="11"/>
        <v>2712.96</v>
      </c>
      <c r="AG74" s="100">
        <f t="shared" si="28"/>
        <v>47083.040000000001</v>
      </c>
      <c r="AH74" s="101">
        <f t="shared" si="29"/>
        <v>74857.039999999994</v>
      </c>
      <c r="AI74" s="102">
        <f t="shared" ref="AI74:AJ74" si="121">AG74/X74</f>
        <v>0.16348277777777778</v>
      </c>
      <c r="AJ74" s="102">
        <f t="shared" si="121"/>
        <v>0.22526945531146553</v>
      </c>
      <c r="AK74" s="103"/>
      <c r="AL74" s="104"/>
      <c r="AM74" s="17"/>
      <c r="AN74" s="17"/>
      <c r="AO74" s="17"/>
      <c r="AP74" s="17"/>
      <c r="AQ74" s="17"/>
      <c r="AR74" s="17"/>
      <c r="AS74" s="17"/>
      <c r="AT74" s="17"/>
      <c r="AU74" s="17"/>
      <c r="AV74" s="17"/>
      <c r="AW74" s="22">
        <v>4536788732</v>
      </c>
    </row>
    <row r="75" spans="1:49" ht="13.2">
      <c r="A75" s="138" t="s">
        <v>341</v>
      </c>
      <c r="B75" s="270"/>
      <c r="C75" s="143" t="s">
        <v>342</v>
      </c>
      <c r="D75" s="143"/>
      <c r="E75" s="139" t="s">
        <v>343</v>
      </c>
      <c r="F75" s="141" t="s">
        <v>344</v>
      </c>
      <c r="G75" s="279" t="s">
        <v>1293</v>
      </c>
      <c r="H75" s="93"/>
      <c r="I75" s="93"/>
      <c r="J75" s="93">
        <v>68.98</v>
      </c>
      <c r="K75" s="111">
        <f t="shared" si="120"/>
        <v>0.7</v>
      </c>
      <c r="L75" s="111">
        <v>11.2</v>
      </c>
      <c r="M75" s="111">
        <f t="shared" si="1"/>
        <v>0.31751439999999997</v>
      </c>
      <c r="N75" s="93">
        <v>0</v>
      </c>
      <c r="O75" s="93">
        <v>0</v>
      </c>
      <c r="P75" s="95">
        <f t="shared" si="2"/>
        <v>68.98</v>
      </c>
      <c r="Q75" s="96">
        <f t="shared" si="113"/>
        <v>86225</v>
      </c>
      <c r="R75" s="96">
        <f t="shared" ref="R75:R79" si="122">ROUND(Q75*0.3,-2)</f>
        <v>25900</v>
      </c>
      <c r="S75" s="97">
        <f t="shared" si="24"/>
        <v>112100</v>
      </c>
      <c r="T75" s="97">
        <f>ROUNDUP(HLOOKUP(ROUNDUP(K75,0),'배송비 조회'!A$10:U$22,7,0)*C$3,-2)</f>
        <v>9000</v>
      </c>
      <c r="U75" s="97"/>
      <c r="V75" s="97"/>
      <c r="W75" s="97">
        <f t="shared" si="103"/>
        <v>0</v>
      </c>
      <c r="X75" s="98">
        <f t="shared" ref="X75:X79" si="123">SUM(S75:T75)</f>
        <v>121100</v>
      </c>
      <c r="Y75" s="98">
        <f t="shared" si="27"/>
        <v>121100</v>
      </c>
      <c r="Z75" s="142"/>
      <c r="AA75" s="142">
        <f t="shared" si="6"/>
        <v>4601.8</v>
      </c>
      <c r="AB75" s="142">
        <f t="shared" si="7"/>
        <v>2422</v>
      </c>
      <c r="AC75" s="99">
        <f t="shared" si="8"/>
        <v>12110</v>
      </c>
      <c r="AD75" s="142">
        <f t="shared" si="9"/>
        <v>114076.2</v>
      </c>
      <c r="AE75" s="99">
        <f t="shared" si="10"/>
        <v>108990</v>
      </c>
      <c r="AF75" s="142">
        <f t="shared" si="11"/>
        <v>1140.7619999999999</v>
      </c>
      <c r="AG75" s="100">
        <f t="shared" si="28"/>
        <v>17710.437999999998</v>
      </c>
      <c r="AH75" s="101">
        <f t="shared" si="29"/>
        <v>12624.238000000001</v>
      </c>
      <c r="AI75" s="102">
        <f t="shared" ref="AI75:AJ75" si="124">AG75/X75</f>
        <v>0.14624639141205614</v>
      </c>
      <c r="AJ75" s="102">
        <f t="shared" si="124"/>
        <v>0.10424639141205616</v>
      </c>
      <c r="AK75" s="103"/>
      <c r="AL75" s="104"/>
      <c r="AM75" s="17"/>
      <c r="AN75" s="17"/>
      <c r="AO75" s="17"/>
      <c r="AP75" s="17"/>
      <c r="AQ75" s="17"/>
      <c r="AR75" s="17"/>
      <c r="AS75" s="17"/>
      <c r="AT75" s="17"/>
      <c r="AU75" s="17"/>
      <c r="AV75" s="17"/>
      <c r="AW75" s="311">
        <v>4537399601</v>
      </c>
    </row>
    <row r="76" spans="1:49" ht="13.2">
      <c r="A76" s="138" t="s">
        <v>341</v>
      </c>
      <c r="B76" s="270"/>
      <c r="C76" s="139" t="s">
        <v>347</v>
      </c>
      <c r="D76" s="139"/>
      <c r="E76" s="139" t="s">
        <v>348</v>
      </c>
      <c r="F76" s="141"/>
      <c r="G76" s="93" t="s">
        <v>145</v>
      </c>
      <c r="H76" s="93"/>
      <c r="I76" s="93"/>
      <c r="J76" s="93">
        <v>21.99</v>
      </c>
      <c r="K76" s="111" t="str">
        <f t="shared" ca="1" si="120"/>
        <v>#REF!</v>
      </c>
      <c r="L76" s="111" t="str">
        <f t="shared" ref="L76:L81" ca="1" si="125">IF(K76&gt;0,K76*16,)</f>
        <v>#REF!</v>
      </c>
      <c r="M76" s="111" t="str">
        <f t="shared" ca="1" si="1"/>
        <v>#REF!</v>
      </c>
      <c r="N76" s="93">
        <v>0</v>
      </c>
      <c r="O76" s="93">
        <v>0</v>
      </c>
      <c r="P76" s="95">
        <f t="shared" si="2"/>
        <v>21.99</v>
      </c>
      <c r="Q76" s="96">
        <f t="shared" si="113"/>
        <v>27487.499999999996</v>
      </c>
      <c r="R76" s="96">
        <f t="shared" si="122"/>
        <v>8200</v>
      </c>
      <c r="S76" s="97">
        <f t="shared" si="24"/>
        <v>35700</v>
      </c>
      <c r="T76" s="97" t="str">
        <f ca="1">ROUNDUP(HLOOKUP(ROUNDUP(K76,0),'배송비 조회'!A$10:U$22,7,0)*C$3,-2)</f>
        <v>#REF!</v>
      </c>
      <c r="U76" s="97"/>
      <c r="V76" s="97"/>
      <c r="W76" s="97">
        <f t="shared" si="103"/>
        <v>0</v>
      </c>
      <c r="X76" s="98" t="str">
        <f t="shared" ca="1" si="123"/>
        <v>#REF!</v>
      </c>
      <c r="Y76" s="98" t="str">
        <f t="shared" ca="1" si="27"/>
        <v>#REF!</v>
      </c>
      <c r="Z76" s="142"/>
      <c r="AA76" s="142" t="str">
        <f t="shared" ca="1" si="6"/>
        <v>#REF!</v>
      </c>
      <c r="AB76" s="142" t="str">
        <f t="shared" ca="1" si="7"/>
        <v>#REF!</v>
      </c>
      <c r="AC76" s="99" t="str">
        <f t="shared" ca="1" si="8"/>
        <v>#REF!</v>
      </c>
      <c r="AD76" s="142" t="str">
        <f t="shared" ca="1" si="9"/>
        <v>#REF!</v>
      </c>
      <c r="AE76" s="99" t="str">
        <f t="shared" ca="1" si="10"/>
        <v>#REF!</v>
      </c>
      <c r="AF76" s="142" t="str">
        <f t="shared" ca="1" si="11"/>
        <v>#REF!</v>
      </c>
      <c r="AG76" s="100" t="str">
        <f t="shared" ca="1" si="28"/>
        <v>#REF!</v>
      </c>
      <c r="AH76" s="101" t="str">
        <f t="shared" ca="1" si="29"/>
        <v>#REF!</v>
      </c>
      <c r="AI76" s="102" t="str">
        <f t="shared" ref="AI76:AJ76" ca="1" si="126">AG76/X76</f>
        <v>#REF!</v>
      </c>
      <c r="AJ76" s="102" t="str">
        <f t="shared" ca="1" si="126"/>
        <v>#REF!</v>
      </c>
      <c r="AK76" s="103"/>
      <c r="AL76" s="104"/>
      <c r="AM76" s="17"/>
      <c r="AN76" s="17"/>
      <c r="AO76" s="17"/>
      <c r="AP76" s="17"/>
      <c r="AQ76" s="17"/>
      <c r="AR76" s="17"/>
      <c r="AS76" s="17"/>
      <c r="AT76" s="17"/>
      <c r="AU76" s="17"/>
      <c r="AV76" s="17"/>
      <c r="AW76" s="297"/>
    </row>
    <row r="77" spans="1:49" ht="13.2">
      <c r="A77" s="138" t="s">
        <v>341</v>
      </c>
      <c r="B77" s="270"/>
      <c r="C77" s="139" t="s">
        <v>351</v>
      </c>
      <c r="D77" s="139"/>
      <c r="E77" s="139" t="s">
        <v>348</v>
      </c>
      <c r="F77" s="141"/>
      <c r="G77" s="93" t="s">
        <v>145</v>
      </c>
      <c r="H77" s="93"/>
      <c r="I77" s="93"/>
      <c r="J77" s="93">
        <v>34.99</v>
      </c>
      <c r="K77" s="111" t="str">
        <f t="shared" ca="1" si="120"/>
        <v>#REF!</v>
      </c>
      <c r="L77" s="111" t="str">
        <f t="shared" ca="1" si="125"/>
        <v>#REF!</v>
      </c>
      <c r="M77" s="111" t="str">
        <f t="shared" ca="1" si="1"/>
        <v>#REF!</v>
      </c>
      <c r="N77" s="93">
        <v>0</v>
      </c>
      <c r="O77" s="93">
        <v>0</v>
      </c>
      <c r="P77" s="95">
        <f t="shared" si="2"/>
        <v>34.99</v>
      </c>
      <c r="Q77" s="96">
        <f t="shared" si="113"/>
        <v>43737.5</v>
      </c>
      <c r="R77" s="96">
        <f t="shared" si="122"/>
        <v>13100</v>
      </c>
      <c r="S77" s="97">
        <f t="shared" si="24"/>
        <v>56800</v>
      </c>
      <c r="T77" s="97" t="str">
        <f ca="1">ROUNDUP(HLOOKUP(ROUNDUP(K77,0),'배송비 조회'!A$10:U$22,7,0)*C$3,-2)</f>
        <v>#REF!</v>
      </c>
      <c r="U77" s="97"/>
      <c r="V77" s="97"/>
      <c r="W77" s="97">
        <f t="shared" si="103"/>
        <v>0</v>
      </c>
      <c r="X77" s="98" t="str">
        <f t="shared" ca="1" si="123"/>
        <v>#REF!</v>
      </c>
      <c r="Y77" s="98" t="str">
        <f t="shared" ca="1" si="27"/>
        <v>#REF!</v>
      </c>
      <c r="Z77" s="142"/>
      <c r="AA77" s="142" t="str">
        <f t="shared" ca="1" si="6"/>
        <v>#REF!</v>
      </c>
      <c r="AB77" s="142" t="str">
        <f t="shared" ca="1" si="7"/>
        <v>#REF!</v>
      </c>
      <c r="AC77" s="99" t="str">
        <f t="shared" ca="1" si="8"/>
        <v>#REF!</v>
      </c>
      <c r="AD77" s="142" t="str">
        <f t="shared" ca="1" si="9"/>
        <v>#REF!</v>
      </c>
      <c r="AE77" s="99" t="str">
        <f t="shared" ca="1" si="10"/>
        <v>#REF!</v>
      </c>
      <c r="AF77" s="142" t="str">
        <f t="shared" ca="1" si="11"/>
        <v>#REF!</v>
      </c>
      <c r="AG77" s="100" t="str">
        <f t="shared" ca="1" si="28"/>
        <v>#REF!</v>
      </c>
      <c r="AH77" s="101" t="str">
        <f t="shared" ca="1" si="29"/>
        <v>#REF!</v>
      </c>
      <c r="AI77" s="102" t="str">
        <f t="shared" ref="AI77:AJ77" ca="1" si="127">AG77/X77</f>
        <v>#REF!</v>
      </c>
      <c r="AJ77" s="102" t="str">
        <f t="shared" ca="1" si="127"/>
        <v>#REF!</v>
      </c>
      <c r="AK77" s="103"/>
      <c r="AL77" s="104"/>
      <c r="AM77" s="17"/>
      <c r="AN77" s="17"/>
      <c r="AO77" s="17"/>
      <c r="AP77" s="17"/>
      <c r="AQ77" s="17"/>
      <c r="AR77" s="17"/>
      <c r="AS77" s="17"/>
      <c r="AT77" s="17"/>
      <c r="AU77" s="17"/>
      <c r="AV77" s="17"/>
      <c r="AW77" s="297"/>
    </row>
    <row r="78" spans="1:49" ht="13.2">
      <c r="A78" s="138" t="s">
        <v>341</v>
      </c>
      <c r="B78" s="270"/>
      <c r="C78" s="139" t="s">
        <v>354</v>
      </c>
      <c r="D78" s="139"/>
      <c r="E78" s="139" t="s">
        <v>348</v>
      </c>
      <c r="F78" s="141"/>
      <c r="G78" s="93" t="s">
        <v>145</v>
      </c>
      <c r="H78" s="93"/>
      <c r="I78" s="93"/>
      <c r="J78" s="93">
        <v>21.99</v>
      </c>
      <c r="K78" s="111" t="str">
        <f t="shared" ca="1" si="120"/>
        <v>#REF!</v>
      </c>
      <c r="L78" s="111" t="str">
        <f t="shared" ca="1" si="125"/>
        <v>#REF!</v>
      </c>
      <c r="M78" s="111" t="str">
        <f t="shared" ca="1" si="1"/>
        <v>#REF!</v>
      </c>
      <c r="N78" s="93">
        <v>0</v>
      </c>
      <c r="O78" s="93">
        <v>0</v>
      </c>
      <c r="P78" s="95">
        <f t="shared" si="2"/>
        <v>21.99</v>
      </c>
      <c r="Q78" s="96">
        <f t="shared" si="113"/>
        <v>27487.499999999996</v>
      </c>
      <c r="R78" s="96">
        <f t="shared" si="122"/>
        <v>8200</v>
      </c>
      <c r="S78" s="97">
        <f t="shared" si="24"/>
        <v>35700</v>
      </c>
      <c r="T78" s="97" t="str">
        <f ca="1">ROUNDUP(HLOOKUP(ROUNDUP(K78,0),'배송비 조회'!A$10:U$22,7,0)*C$3,-2)</f>
        <v>#REF!</v>
      </c>
      <c r="U78" s="97"/>
      <c r="V78" s="97"/>
      <c r="W78" s="97">
        <f t="shared" si="103"/>
        <v>0</v>
      </c>
      <c r="X78" s="98" t="str">
        <f t="shared" ca="1" si="123"/>
        <v>#REF!</v>
      </c>
      <c r="Y78" s="98" t="str">
        <f t="shared" ca="1" si="27"/>
        <v>#REF!</v>
      </c>
      <c r="Z78" s="142"/>
      <c r="AA78" s="142" t="str">
        <f t="shared" ca="1" si="6"/>
        <v>#REF!</v>
      </c>
      <c r="AB78" s="142" t="str">
        <f t="shared" ca="1" si="7"/>
        <v>#REF!</v>
      </c>
      <c r="AC78" s="99" t="str">
        <f t="shared" ca="1" si="8"/>
        <v>#REF!</v>
      </c>
      <c r="AD78" s="142" t="str">
        <f t="shared" ca="1" si="9"/>
        <v>#REF!</v>
      </c>
      <c r="AE78" s="99" t="str">
        <f t="shared" ca="1" si="10"/>
        <v>#REF!</v>
      </c>
      <c r="AF78" s="142" t="str">
        <f t="shared" ca="1" si="11"/>
        <v>#REF!</v>
      </c>
      <c r="AG78" s="100" t="str">
        <f t="shared" ca="1" si="28"/>
        <v>#REF!</v>
      </c>
      <c r="AH78" s="101" t="str">
        <f t="shared" ca="1" si="29"/>
        <v>#REF!</v>
      </c>
      <c r="AI78" s="102" t="str">
        <f t="shared" ref="AI78:AJ78" ca="1" si="128">AG78/X78</f>
        <v>#REF!</v>
      </c>
      <c r="AJ78" s="102" t="str">
        <f t="shared" ca="1" si="128"/>
        <v>#REF!</v>
      </c>
      <c r="AK78" s="103"/>
      <c r="AL78" s="104"/>
      <c r="AM78" s="17"/>
      <c r="AN78" s="17"/>
      <c r="AO78" s="17"/>
      <c r="AP78" s="17"/>
      <c r="AQ78" s="17"/>
      <c r="AR78" s="17"/>
      <c r="AS78" s="17"/>
      <c r="AT78" s="17"/>
      <c r="AU78" s="17"/>
      <c r="AV78" s="17"/>
      <c r="AW78" s="297"/>
    </row>
    <row r="79" spans="1:49" ht="13.2">
      <c r="A79" s="138" t="s">
        <v>341</v>
      </c>
      <c r="B79" s="270"/>
      <c r="C79" s="139" t="s">
        <v>356</v>
      </c>
      <c r="D79" s="139"/>
      <c r="E79" s="139" t="s">
        <v>348</v>
      </c>
      <c r="F79" s="141"/>
      <c r="G79" s="93" t="s">
        <v>145</v>
      </c>
      <c r="H79" s="93"/>
      <c r="I79" s="93"/>
      <c r="J79" s="93">
        <v>34.99</v>
      </c>
      <c r="K79" s="111" t="str">
        <f t="shared" ca="1" si="120"/>
        <v>#REF!</v>
      </c>
      <c r="L79" s="111" t="str">
        <f t="shared" ca="1" si="125"/>
        <v>#REF!</v>
      </c>
      <c r="M79" s="111" t="str">
        <f t="shared" ca="1" si="1"/>
        <v>#REF!</v>
      </c>
      <c r="N79" s="93">
        <v>0</v>
      </c>
      <c r="O79" s="93">
        <v>0</v>
      </c>
      <c r="P79" s="95">
        <f t="shared" si="2"/>
        <v>34.99</v>
      </c>
      <c r="Q79" s="96">
        <f t="shared" si="113"/>
        <v>43737.5</v>
      </c>
      <c r="R79" s="96">
        <f t="shared" si="122"/>
        <v>13100</v>
      </c>
      <c r="S79" s="97">
        <f t="shared" si="24"/>
        <v>56800</v>
      </c>
      <c r="T79" s="97" t="str">
        <f ca="1">ROUNDUP(HLOOKUP(ROUNDUP(K79,0),'배송비 조회'!A$10:U$22,7,0)*C$3,-2)</f>
        <v>#REF!</v>
      </c>
      <c r="U79" s="97"/>
      <c r="V79" s="97"/>
      <c r="W79" s="97">
        <f t="shared" si="103"/>
        <v>0</v>
      </c>
      <c r="X79" s="98" t="str">
        <f t="shared" ca="1" si="123"/>
        <v>#REF!</v>
      </c>
      <c r="Y79" s="98" t="str">
        <f t="shared" ca="1" si="27"/>
        <v>#REF!</v>
      </c>
      <c r="Z79" s="142"/>
      <c r="AA79" s="142" t="str">
        <f t="shared" ca="1" si="6"/>
        <v>#REF!</v>
      </c>
      <c r="AB79" s="142" t="str">
        <f t="shared" ca="1" si="7"/>
        <v>#REF!</v>
      </c>
      <c r="AC79" s="99" t="str">
        <f t="shared" ca="1" si="8"/>
        <v>#REF!</v>
      </c>
      <c r="AD79" s="142" t="str">
        <f t="shared" ca="1" si="9"/>
        <v>#REF!</v>
      </c>
      <c r="AE79" s="99" t="str">
        <f t="shared" ca="1" si="10"/>
        <v>#REF!</v>
      </c>
      <c r="AF79" s="142" t="str">
        <f t="shared" ca="1" si="11"/>
        <v>#REF!</v>
      </c>
      <c r="AG79" s="100" t="str">
        <f t="shared" ca="1" si="28"/>
        <v>#REF!</v>
      </c>
      <c r="AH79" s="101" t="str">
        <f t="shared" ca="1" si="29"/>
        <v>#REF!</v>
      </c>
      <c r="AI79" s="102" t="str">
        <f t="shared" ref="AI79:AJ79" ca="1" si="129">AG79/X79</f>
        <v>#REF!</v>
      </c>
      <c r="AJ79" s="102" t="str">
        <f t="shared" ca="1" si="129"/>
        <v>#REF!</v>
      </c>
      <c r="AK79" s="103"/>
      <c r="AL79" s="104"/>
      <c r="AM79" s="17"/>
      <c r="AN79" s="17"/>
      <c r="AO79" s="17"/>
      <c r="AP79" s="17"/>
      <c r="AQ79" s="17"/>
      <c r="AR79" s="17"/>
      <c r="AS79" s="17"/>
      <c r="AT79" s="17"/>
      <c r="AU79" s="17"/>
      <c r="AV79" s="17"/>
      <c r="AW79" s="297"/>
    </row>
    <row r="80" spans="1:49" ht="13.2">
      <c r="A80" s="328">
        <f>HYPERLINK("https://smartstore.naver.com/brickstore2019/products/4538102047",AW:AW)</f>
        <v>4538102047</v>
      </c>
      <c r="B80" s="265"/>
      <c r="C80" s="330" t="s">
        <v>359</v>
      </c>
      <c r="D80" s="116"/>
      <c r="E80" s="304" t="s">
        <v>360</v>
      </c>
      <c r="F80" s="123" t="s">
        <v>55</v>
      </c>
      <c r="G80" s="92" t="str">
        <f>HYPERLINK("https://www.amazon.com/Business-Backpack-Resistant-Charging-Backpaks/dp/B077SRCF4L/ref=sr_1_5_sspa?keywords=tigernu+backpack&amp;qid=1559568470&amp;refinements=p_89%3ATIGERNU&amp;rnid=2528832011&amp;s=gateway&amp;sr=8-5-spons&amp;psc=1","A")</f>
        <v>A</v>
      </c>
      <c r="H80" s="93"/>
      <c r="I80" s="93"/>
      <c r="J80" s="93">
        <v>31</v>
      </c>
      <c r="K80" s="111">
        <v>2.2999999999999998</v>
      </c>
      <c r="L80" s="111">
        <f t="shared" si="125"/>
        <v>36.799999999999997</v>
      </c>
      <c r="M80" s="111">
        <f t="shared" si="1"/>
        <v>1.0432615999999999</v>
      </c>
      <c r="N80" s="93">
        <v>0</v>
      </c>
      <c r="O80" s="93">
        <v>0</v>
      </c>
      <c r="P80" s="95">
        <f t="shared" si="2"/>
        <v>31</v>
      </c>
      <c r="Q80" s="96">
        <f t="shared" si="113"/>
        <v>38750</v>
      </c>
      <c r="R80" s="96">
        <v>0</v>
      </c>
      <c r="S80" s="97">
        <f t="shared" si="24"/>
        <v>38800</v>
      </c>
      <c r="T80" s="97">
        <f>ROUNDUP(HLOOKUP(ROUNDUP(K80,0),'배송비 조회'!A$10:U$22,7,0)*C$3,-2)</f>
        <v>13400</v>
      </c>
      <c r="U80" s="97">
        <v>0</v>
      </c>
      <c r="V80" s="97">
        <f t="shared" ref="V80:V81" si="130">ROUND(IF(R80&gt;0,0,(S80+T80)*0.3),-2)</f>
        <v>15700</v>
      </c>
      <c r="W80" s="97">
        <f t="shared" si="103"/>
        <v>26100</v>
      </c>
      <c r="X80" s="98">
        <f t="shared" ref="X80:X105" si="131">IF(R80&gt;0,SUM(S80:T80),SUM(S80:V80))</f>
        <v>67900</v>
      </c>
      <c r="Y80" s="98">
        <f t="shared" si="27"/>
        <v>78300</v>
      </c>
      <c r="Z80" s="121">
        <v>0</v>
      </c>
      <c r="AA80" s="121">
        <f t="shared" si="6"/>
        <v>2580.1999999999998</v>
      </c>
      <c r="AB80" s="121">
        <f t="shared" si="7"/>
        <v>1358</v>
      </c>
      <c r="AC80" s="99">
        <f t="shared" si="8"/>
        <v>7830</v>
      </c>
      <c r="AD80" s="121">
        <f t="shared" si="9"/>
        <v>63961.8</v>
      </c>
      <c r="AE80" s="99">
        <f t="shared" si="10"/>
        <v>70470</v>
      </c>
      <c r="AF80" s="121">
        <f t="shared" si="11"/>
        <v>639.61800000000005</v>
      </c>
      <c r="AG80" s="100">
        <f t="shared" si="28"/>
        <v>11172.182000000004</v>
      </c>
      <c r="AH80" s="101">
        <f t="shared" si="29"/>
        <v>17680.382000000001</v>
      </c>
      <c r="AI80" s="102">
        <f t="shared" ref="AI80:AJ80" si="132">AG80/X80</f>
        <v>0.16453876288659799</v>
      </c>
      <c r="AJ80" s="102">
        <f t="shared" si="132"/>
        <v>0.22580309067688381</v>
      </c>
      <c r="AK80" s="103"/>
      <c r="AL80" s="104"/>
      <c r="AM80" s="17"/>
      <c r="AN80" s="17"/>
      <c r="AO80" s="17"/>
      <c r="AP80" s="17"/>
      <c r="AQ80" s="17"/>
      <c r="AR80" s="17"/>
      <c r="AS80" s="17"/>
      <c r="AT80" s="17"/>
      <c r="AU80" s="17"/>
      <c r="AV80" s="17"/>
      <c r="AW80" s="299">
        <v>4538102047</v>
      </c>
    </row>
    <row r="81" spans="1:49" ht="13.2">
      <c r="A81" s="302"/>
      <c r="B81" s="265"/>
      <c r="C81" s="302"/>
      <c r="D81" s="116"/>
      <c r="E81" s="302"/>
      <c r="F81" s="123" t="s">
        <v>363</v>
      </c>
      <c r="G81" s="144" t="str">
        <f>HYPERLINK("https://www.amazon.com/Business-Backpack-Resistant-Charging-Backpaks/dp/B077SKTM98/ref=sr_1_5_sspa?keywords=tigernu%2Bbackpack&amp;qid=1559568470&amp;refinements=p_89%3ATIGERNU&amp;rnid=2528832011&amp;s=gateway&amp;sr=8-5-spons&amp;th=1","A")</f>
        <v>A</v>
      </c>
      <c r="H81" s="93"/>
      <c r="I81" s="93"/>
      <c r="J81" s="93">
        <v>31</v>
      </c>
      <c r="K81" s="111">
        <v>2.2999999999999998</v>
      </c>
      <c r="L81" s="111">
        <f t="shared" si="125"/>
        <v>36.799999999999997</v>
      </c>
      <c r="M81" s="111">
        <f t="shared" si="1"/>
        <v>1.0432615999999999</v>
      </c>
      <c r="N81" s="93">
        <v>0</v>
      </c>
      <c r="O81" s="93">
        <v>0</v>
      </c>
      <c r="P81" s="95">
        <f t="shared" si="2"/>
        <v>31</v>
      </c>
      <c r="Q81" s="96">
        <f t="shared" si="113"/>
        <v>38750</v>
      </c>
      <c r="R81" s="96">
        <v>0</v>
      </c>
      <c r="S81" s="97">
        <f t="shared" si="24"/>
        <v>38800</v>
      </c>
      <c r="T81" s="97">
        <f>ROUNDUP(HLOOKUP(ROUNDUP(K81,0),'배송비 조회'!A$10:U$22,7,0)*C$3,-2)</f>
        <v>13400</v>
      </c>
      <c r="U81" s="97">
        <v>0</v>
      </c>
      <c r="V81" s="97">
        <f t="shared" si="130"/>
        <v>15700</v>
      </c>
      <c r="W81" s="97">
        <f t="shared" si="103"/>
        <v>26100</v>
      </c>
      <c r="X81" s="98">
        <f t="shared" si="131"/>
        <v>67900</v>
      </c>
      <c r="Y81" s="98">
        <f t="shared" si="27"/>
        <v>78300</v>
      </c>
      <c r="Z81" s="121">
        <v>0</v>
      </c>
      <c r="AA81" s="121">
        <f t="shared" si="6"/>
        <v>2580.1999999999998</v>
      </c>
      <c r="AB81" s="121">
        <f t="shared" si="7"/>
        <v>1358</v>
      </c>
      <c r="AC81" s="99">
        <f t="shared" si="8"/>
        <v>7830</v>
      </c>
      <c r="AD81" s="121">
        <f t="shared" si="9"/>
        <v>63961.8</v>
      </c>
      <c r="AE81" s="99">
        <f t="shared" si="10"/>
        <v>70470</v>
      </c>
      <c r="AF81" s="121">
        <f t="shared" si="11"/>
        <v>639.61800000000005</v>
      </c>
      <c r="AG81" s="100">
        <f t="shared" si="28"/>
        <v>11172.182000000004</v>
      </c>
      <c r="AH81" s="101">
        <f t="shared" si="29"/>
        <v>17680.382000000001</v>
      </c>
      <c r="AI81" s="102">
        <f t="shared" ref="AI81:AJ81" si="133">AG81/X81</f>
        <v>0.16453876288659799</v>
      </c>
      <c r="AJ81" s="102">
        <f t="shared" si="133"/>
        <v>0.22580309067688381</v>
      </c>
      <c r="AK81" s="103"/>
      <c r="AL81" s="104"/>
      <c r="AM81" s="17"/>
      <c r="AN81" s="17"/>
      <c r="AO81" s="17"/>
      <c r="AP81" s="17"/>
      <c r="AQ81" s="17"/>
      <c r="AR81" s="17"/>
      <c r="AS81" s="17"/>
      <c r="AT81" s="17"/>
      <c r="AU81" s="17"/>
      <c r="AV81" s="17"/>
      <c r="AW81" s="297"/>
    </row>
    <row r="82" spans="1:49" ht="13.2">
      <c r="A82" s="303">
        <f>HYPERLINK("https://smartstore.naver.com/brickstore2019/products/4542711511",AW:AW)</f>
        <v>4542711511</v>
      </c>
      <c r="B82" s="266"/>
      <c r="C82" s="304" t="s">
        <v>365</v>
      </c>
      <c r="D82" s="117"/>
      <c r="E82" s="304" t="s">
        <v>366</v>
      </c>
      <c r="F82" s="123" t="s">
        <v>55</v>
      </c>
      <c r="G82" s="144" t="str">
        <f>HYPERLINK("https://www.amazon.com/gp/product/B07B696H9Z/ref=as_li_tl?ie=UTF8&amp;camp=1789&amp;creative=9325&amp;creativeASIN=B07B6BDF45&amp;linkCode=as2&amp;tag=showmore0c-20&amp;linkId=b239dd3765622a142b34496114c91872&amp;th=1&amp;psc=1#customerReviews","A")</f>
        <v>A</v>
      </c>
      <c r="H82" s="93"/>
      <c r="I82" s="93"/>
      <c r="J82" s="93">
        <v>25.14</v>
      </c>
      <c r="K82" s="111">
        <f t="shared" ref="K82:K88" si="134">IF(L82&gt;0,L82*0.0625,)</f>
        <v>0.45</v>
      </c>
      <c r="L82" s="111">
        <v>7.2</v>
      </c>
      <c r="M82" s="111">
        <f t="shared" si="1"/>
        <v>0.2041164</v>
      </c>
      <c r="N82" s="93">
        <v>0</v>
      </c>
      <c r="O82" s="93">
        <v>0</v>
      </c>
      <c r="P82" s="95">
        <f t="shared" si="2"/>
        <v>25.14</v>
      </c>
      <c r="Q82" s="96">
        <f t="shared" si="113"/>
        <v>31425</v>
      </c>
      <c r="R82" s="96">
        <v>0</v>
      </c>
      <c r="S82" s="97">
        <f t="shared" si="24"/>
        <v>31400</v>
      </c>
      <c r="T82" s="97">
        <f>ROUNDUP(HLOOKUP(ROUNDUP(K82,0),'배송비 조회'!A$10:U$22,7,0)*C$3,-2)</f>
        <v>9000</v>
      </c>
      <c r="U82" s="97">
        <v>0</v>
      </c>
      <c r="V82" s="97">
        <f t="shared" ref="V82:V83" si="135">ROUND(IF(R82&gt;0,0,(S82+T82)*0.4),-2)</f>
        <v>16200</v>
      </c>
      <c r="W82" s="97">
        <f t="shared" si="103"/>
        <v>20200</v>
      </c>
      <c r="X82" s="98">
        <f t="shared" si="131"/>
        <v>56600</v>
      </c>
      <c r="Y82" s="98">
        <f t="shared" si="27"/>
        <v>60600</v>
      </c>
      <c r="Z82" s="121">
        <v>0</v>
      </c>
      <c r="AA82" s="121">
        <f t="shared" si="6"/>
        <v>2150.7999999999997</v>
      </c>
      <c r="AB82" s="121">
        <f t="shared" si="7"/>
        <v>1132</v>
      </c>
      <c r="AC82" s="99">
        <f t="shared" si="8"/>
        <v>6060</v>
      </c>
      <c r="AD82" s="121">
        <f t="shared" si="9"/>
        <v>53317.2</v>
      </c>
      <c r="AE82" s="99">
        <f t="shared" si="10"/>
        <v>54540</v>
      </c>
      <c r="AF82" s="121">
        <f t="shared" si="11"/>
        <v>533.17200000000003</v>
      </c>
      <c r="AG82" s="100">
        <f t="shared" si="28"/>
        <v>12359.027999999998</v>
      </c>
      <c r="AH82" s="101">
        <f t="shared" si="29"/>
        <v>13581.828000000001</v>
      </c>
      <c r="AI82" s="102">
        <f t="shared" ref="AI82:AJ82" si="136">AG82/X82</f>
        <v>0.21835738515901057</v>
      </c>
      <c r="AJ82" s="102">
        <f t="shared" si="136"/>
        <v>0.22412257425742577</v>
      </c>
      <c r="AK82" s="103"/>
      <c r="AL82" s="104"/>
      <c r="AM82" s="17"/>
      <c r="AN82" s="17"/>
      <c r="AO82" s="17"/>
      <c r="AP82" s="17"/>
      <c r="AQ82" s="17"/>
      <c r="AR82" s="17"/>
      <c r="AS82" s="17"/>
      <c r="AT82" s="17"/>
      <c r="AU82" s="17"/>
      <c r="AV82" s="17"/>
      <c r="AW82" s="296">
        <v>4542711511</v>
      </c>
    </row>
    <row r="83" spans="1:49" ht="13.2">
      <c r="A83" s="302"/>
      <c r="B83" s="266"/>
      <c r="C83" s="302"/>
      <c r="D83" s="117"/>
      <c r="E83" s="302"/>
      <c r="F83" s="141" t="s">
        <v>368</v>
      </c>
      <c r="G83" s="145" t="str">
        <f>HYPERLINK("https://www.amazon.com/gp/product/B07B6BDF45/ref=as_li_tl?ie=UTF8&amp;camp=1789&amp;creative=9325&amp;creativeASIN=B07B6BDF45&amp;linkCode=as2&amp;tag=showmore0c-20&amp;linkId=b239dd3765622a142b34496114c91872&amp;th=1&amp;psc=1","A")</f>
        <v>A</v>
      </c>
      <c r="H83" s="146"/>
      <c r="I83" s="146"/>
      <c r="J83" s="146"/>
      <c r="K83" s="147">
        <f t="shared" si="134"/>
        <v>0.45</v>
      </c>
      <c r="L83" s="147">
        <v>7.2</v>
      </c>
      <c r="M83" s="147">
        <f t="shared" si="1"/>
        <v>0.2041164</v>
      </c>
      <c r="N83" s="146">
        <v>0</v>
      </c>
      <c r="O83" s="146">
        <v>0</v>
      </c>
      <c r="P83" s="148">
        <f t="shared" si="2"/>
        <v>0</v>
      </c>
      <c r="Q83" s="149">
        <f t="shared" si="113"/>
        <v>0</v>
      </c>
      <c r="R83" s="149">
        <v>0</v>
      </c>
      <c r="S83" s="149">
        <f t="shared" si="24"/>
        <v>0</v>
      </c>
      <c r="T83" s="149">
        <f>ROUNDUP(HLOOKUP(ROUNDUP(K83,0),'배송비 조회'!A$10:U$22,7,0)*C$3,-2)</f>
        <v>9000</v>
      </c>
      <c r="U83" s="149">
        <v>0</v>
      </c>
      <c r="V83" s="149">
        <f t="shared" si="135"/>
        <v>3600</v>
      </c>
      <c r="W83" s="149">
        <f t="shared" si="103"/>
        <v>4500</v>
      </c>
      <c r="X83" s="149">
        <f t="shared" si="131"/>
        <v>12600</v>
      </c>
      <c r="Y83" s="149">
        <f t="shared" si="27"/>
        <v>13500</v>
      </c>
      <c r="Z83" s="142">
        <v>0</v>
      </c>
      <c r="AA83" s="142">
        <f t="shared" si="6"/>
        <v>478.8</v>
      </c>
      <c r="AB83" s="142">
        <f t="shared" si="7"/>
        <v>252</v>
      </c>
      <c r="AC83" s="142">
        <f t="shared" si="8"/>
        <v>1350</v>
      </c>
      <c r="AD83" s="142">
        <f t="shared" si="9"/>
        <v>11869.2</v>
      </c>
      <c r="AE83" s="142">
        <f t="shared" si="10"/>
        <v>12150</v>
      </c>
      <c r="AF83" s="142">
        <f t="shared" si="11"/>
        <v>118.69200000000001</v>
      </c>
      <c r="AG83" s="149">
        <f t="shared" si="28"/>
        <v>2750.5080000000016</v>
      </c>
      <c r="AH83" s="149">
        <f t="shared" si="29"/>
        <v>3031.3080000000009</v>
      </c>
      <c r="AI83" s="150">
        <f t="shared" ref="AI83:AJ83" si="137">AG83/X83</f>
        <v>0.21829428571428586</v>
      </c>
      <c r="AJ83" s="150">
        <f t="shared" si="137"/>
        <v>0.2245413333333334</v>
      </c>
      <c r="AK83" s="151"/>
      <c r="AL83" s="152"/>
      <c r="AM83" s="34"/>
      <c r="AN83" s="34"/>
      <c r="AO83" s="34"/>
      <c r="AP83" s="34"/>
      <c r="AQ83" s="34"/>
      <c r="AR83" s="34"/>
      <c r="AS83" s="34"/>
      <c r="AT83" s="34"/>
      <c r="AU83" s="34"/>
      <c r="AV83" s="34"/>
      <c r="AW83" s="297"/>
    </row>
    <row r="84" spans="1:49" ht="13.2">
      <c r="A84" s="303">
        <f>HYPERLINK("https://smartstore.naver.com/brickstore2019/products/4544180942",AW:AW)</f>
        <v>4544180942</v>
      </c>
      <c r="B84" s="266"/>
      <c r="C84" s="304" t="s">
        <v>370</v>
      </c>
      <c r="D84" s="117"/>
      <c r="E84" s="304" t="s">
        <v>371</v>
      </c>
      <c r="F84" s="123" t="s">
        <v>372</v>
      </c>
      <c r="G84" s="144" t="str">
        <f>HYPERLINK("https://www.amazon.com/Timex-Unisex-TW2R41300-Weekender-Peanuts/dp/B071K61BB3?ref_=ast_sto_dp","A")</f>
        <v>A</v>
      </c>
      <c r="H84" s="93"/>
      <c r="I84" s="93"/>
      <c r="J84" s="93">
        <v>34.950000000000003</v>
      </c>
      <c r="K84" s="111">
        <f t="shared" si="134"/>
        <v>0.35</v>
      </c>
      <c r="L84" s="111">
        <v>5.6</v>
      </c>
      <c r="M84" s="111">
        <f t="shared" si="1"/>
        <v>0.15875719999999999</v>
      </c>
      <c r="N84" s="93">
        <v>0</v>
      </c>
      <c r="O84" s="93">
        <v>0</v>
      </c>
      <c r="P84" s="95">
        <f t="shared" si="2"/>
        <v>34.950000000000003</v>
      </c>
      <c r="Q84" s="96">
        <f t="shared" si="113"/>
        <v>43687.5</v>
      </c>
      <c r="R84" s="96">
        <v>0</v>
      </c>
      <c r="S84" s="97">
        <f t="shared" si="24"/>
        <v>43700</v>
      </c>
      <c r="T84" s="97">
        <f>ROUNDUP(HLOOKUP(ROUNDUP(K84,0),'배송비 조회'!A$10:U$22,7,0)*C$3,-2)</f>
        <v>9000</v>
      </c>
      <c r="U84" s="97">
        <v>0</v>
      </c>
      <c r="V84" s="97">
        <f t="shared" ref="V84:V89" si="138">ROUND(IF(R84&gt;0,0,(S84+T84)*0.3),-2)</f>
        <v>15800</v>
      </c>
      <c r="W84" s="97">
        <f t="shared" si="103"/>
        <v>26400</v>
      </c>
      <c r="X84" s="98">
        <f t="shared" si="131"/>
        <v>68500</v>
      </c>
      <c r="Y84" s="98">
        <f t="shared" si="27"/>
        <v>79100</v>
      </c>
      <c r="Z84" s="121">
        <v>0</v>
      </c>
      <c r="AA84" s="121">
        <f t="shared" si="6"/>
        <v>2603</v>
      </c>
      <c r="AB84" s="121">
        <f t="shared" si="7"/>
        <v>1370</v>
      </c>
      <c r="AC84" s="99">
        <f t="shared" si="8"/>
        <v>7910</v>
      </c>
      <c r="AD84" s="121">
        <f t="shared" si="9"/>
        <v>64527</v>
      </c>
      <c r="AE84" s="99">
        <f t="shared" si="10"/>
        <v>71190</v>
      </c>
      <c r="AF84" s="121">
        <f t="shared" si="11"/>
        <v>645.27</v>
      </c>
      <c r="AG84" s="100">
        <f t="shared" si="28"/>
        <v>11194.23</v>
      </c>
      <c r="AH84" s="101">
        <f t="shared" si="29"/>
        <v>17857.23</v>
      </c>
      <c r="AI84" s="102">
        <f t="shared" ref="AI84:AJ84" si="139">AG84/X84</f>
        <v>0.16341941605839416</v>
      </c>
      <c r="AJ84" s="102">
        <f t="shared" si="139"/>
        <v>0.2257551201011378</v>
      </c>
      <c r="AK84" s="103"/>
      <c r="AL84" s="104"/>
      <c r="AM84" s="17"/>
      <c r="AN84" s="17"/>
      <c r="AO84" s="17"/>
      <c r="AP84" s="17"/>
      <c r="AQ84" s="17"/>
      <c r="AR84" s="17"/>
      <c r="AS84" s="17"/>
      <c r="AT84" s="17"/>
      <c r="AU84" s="17"/>
      <c r="AV84" s="17"/>
      <c r="AW84" s="296">
        <v>4544180942</v>
      </c>
    </row>
    <row r="85" spans="1:49" ht="13.2">
      <c r="A85" s="302"/>
      <c r="B85" s="266"/>
      <c r="C85" s="302"/>
      <c r="D85" s="117"/>
      <c r="E85" s="302"/>
      <c r="F85" s="123" t="s">
        <v>373</v>
      </c>
      <c r="G85" s="144" t="str">
        <f>HYPERLINK("https://www.amazon.com/Timex-Unisex-TW2R41200-Weekender-Peanuts/dp/B071K619DN?ref_=ast_sto_dp","A")</f>
        <v>A</v>
      </c>
      <c r="H85" s="93"/>
      <c r="I85" s="93"/>
      <c r="J85" s="93">
        <v>39</v>
      </c>
      <c r="K85" s="111">
        <f t="shared" si="134"/>
        <v>0.35</v>
      </c>
      <c r="L85" s="111">
        <v>5.6</v>
      </c>
      <c r="M85" s="111">
        <f t="shared" si="1"/>
        <v>0.15875719999999999</v>
      </c>
      <c r="N85" s="93">
        <v>0</v>
      </c>
      <c r="O85" s="93">
        <v>0</v>
      </c>
      <c r="P85" s="95">
        <f t="shared" si="2"/>
        <v>39</v>
      </c>
      <c r="Q85" s="96">
        <f t="shared" si="113"/>
        <v>48750</v>
      </c>
      <c r="R85" s="96">
        <v>0</v>
      </c>
      <c r="S85" s="97">
        <f t="shared" si="24"/>
        <v>48800</v>
      </c>
      <c r="T85" s="97">
        <f>ROUNDUP(HLOOKUP(ROUNDUP(K85,0),'배송비 조회'!A$10:U$22,7,0)*C$3,-2)</f>
        <v>9000</v>
      </c>
      <c r="U85" s="97">
        <v>0</v>
      </c>
      <c r="V85" s="97">
        <f t="shared" si="138"/>
        <v>17300</v>
      </c>
      <c r="W85" s="97">
        <f t="shared" si="103"/>
        <v>28900</v>
      </c>
      <c r="X85" s="98">
        <f t="shared" si="131"/>
        <v>75100</v>
      </c>
      <c r="Y85" s="98">
        <f t="shared" si="27"/>
        <v>86700</v>
      </c>
      <c r="Z85" s="121">
        <v>0</v>
      </c>
      <c r="AA85" s="121">
        <f t="shared" si="6"/>
        <v>2853.7999999999997</v>
      </c>
      <c r="AB85" s="121">
        <f t="shared" si="7"/>
        <v>1502</v>
      </c>
      <c r="AC85" s="99">
        <f t="shared" si="8"/>
        <v>8670</v>
      </c>
      <c r="AD85" s="121">
        <f t="shared" si="9"/>
        <v>70744.2</v>
      </c>
      <c r="AE85" s="99">
        <f t="shared" si="10"/>
        <v>78030</v>
      </c>
      <c r="AF85" s="121">
        <f t="shared" si="11"/>
        <v>707.44200000000001</v>
      </c>
      <c r="AG85" s="100">
        <f t="shared" si="28"/>
        <v>12286.757999999998</v>
      </c>
      <c r="AH85" s="101">
        <f t="shared" si="29"/>
        <v>19572.558000000001</v>
      </c>
      <c r="AI85" s="102">
        <f t="shared" ref="AI85:AJ85" si="140">AG85/X85</f>
        <v>0.16360529960053261</v>
      </c>
      <c r="AJ85" s="102">
        <f t="shared" si="140"/>
        <v>0.22575038062283739</v>
      </c>
      <c r="AK85" s="103">
        <f>X85-X84</f>
        <v>6600</v>
      </c>
      <c r="AL85" s="104"/>
      <c r="AM85" s="17"/>
      <c r="AN85" s="17"/>
      <c r="AO85" s="17"/>
      <c r="AP85" s="17"/>
      <c r="AQ85" s="17"/>
      <c r="AR85" s="17"/>
      <c r="AS85" s="17"/>
      <c r="AT85" s="17"/>
      <c r="AU85" s="17"/>
      <c r="AV85" s="17"/>
      <c r="AW85" s="297"/>
    </row>
    <row r="86" spans="1:49" ht="13.2">
      <c r="A86" s="302"/>
      <c r="B86" s="266"/>
      <c r="C86" s="302"/>
      <c r="D86" s="117"/>
      <c r="E86" s="302"/>
      <c r="F86" s="123" t="s">
        <v>374</v>
      </c>
      <c r="G86" s="144" t="str">
        <f>HYPERLINK("https://www.amazon.com/Timex-Unisex-TW2R41100-Weekender-Peanuts/dp/B071K5ZV2K?ref_=ast_sto_dp","A")</f>
        <v>A</v>
      </c>
      <c r="H86" s="93"/>
      <c r="I86" s="93"/>
      <c r="J86" s="93">
        <v>37.049999999999997</v>
      </c>
      <c r="K86" s="111">
        <f t="shared" si="134"/>
        <v>0.35</v>
      </c>
      <c r="L86" s="111">
        <v>5.6</v>
      </c>
      <c r="M86" s="111">
        <f t="shared" si="1"/>
        <v>0.15875719999999999</v>
      </c>
      <c r="N86" s="93">
        <v>0</v>
      </c>
      <c r="O86" s="93">
        <v>0</v>
      </c>
      <c r="P86" s="95">
        <f t="shared" si="2"/>
        <v>37.049999999999997</v>
      </c>
      <c r="Q86" s="96">
        <f t="shared" si="113"/>
        <v>46312.5</v>
      </c>
      <c r="R86" s="96">
        <v>0</v>
      </c>
      <c r="S86" s="97">
        <f t="shared" si="24"/>
        <v>46300</v>
      </c>
      <c r="T86" s="97">
        <f>ROUNDUP(HLOOKUP(ROUNDUP(K86,0),'배송비 조회'!A$10:U$22,7,0)*C$3,-2)</f>
        <v>9000</v>
      </c>
      <c r="U86" s="97">
        <v>0</v>
      </c>
      <c r="V86" s="97">
        <f t="shared" si="138"/>
        <v>16600</v>
      </c>
      <c r="W86" s="97">
        <f t="shared" si="103"/>
        <v>27700</v>
      </c>
      <c r="X86" s="98">
        <f t="shared" si="131"/>
        <v>71900</v>
      </c>
      <c r="Y86" s="98">
        <f t="shared" si="27"/>
        <v>83000</v>
      </c>
      <c r="Z86" s="121">
        <v>0</v>
      </c>
      <c r="AA86" s="121">
        <f t="shared" si="6"/>
        <v>2732.2</v>
      </c>
      <c r="AB86" s="121">
        <f t="shared" si="7"/>
        <v>1438</v>
      </c>
      <c r="AC86" s="99">
        <f t="shared" si="8"/>
        <v>8300</v>
      </c>
      <c r="AD86" s="121">
        <f t="shared" si="9"/>
        <v>67729.8</v>
      </c>
      <c r="AE86" s="99">
        <f t="shared" si="10"/>
        <v>74700</v>
      </c>
      <c r="AF86" s="121">
        <f t="shared" si="11"/>
        <v>677.298</v>
      </c>
      <c r="AG86" s="100">
        <f t="shared" si="28"/>
        <v>11740.002000000004</v>
      </c>
      <c r="AH86" s="101">
        <f t="shared" si="29"/>
        <v>18710.202000000001</v>
      </c>
      <c r="AI86" s="102">
        <f t="shared" ref="AI86:AJ86" si="141">AG86/X86</f>
        <v>0.16328236439499311</v>
      </c>
      <c r="AJ86" s="102">
        <f t="shared" si="141"/>
        <v>0.22542412048192773</v>
      </c>
      <c r="AK86" s="103"/>
      <c r="AL86" s="104"/>
      <c r="AM86" s="17"/>
      <c r="AN86" s="17"/>
      <c r="AO86" s="17"/>
      <c r="AP86" s="17"/>
      <c r="AQ86" s="17"/>
      <c r="AR86" s="17"/>
      <c r="AS86" s="17"/>
      <c r="AT86" s="17"/>
      <c r="AU86" s="17"/>
      <c r="AV86" s="17"/>
      <c r="AW86" s="297"/>
    </row>
    <row r="87" spans="1:49" ht="13.2">
      <c r="A87" s="302"/>
      <c r="B87" s="266"/>
      <c r="C87" s="302"/>
      <c r="D87" s="117"/>
      <c r="E87" s="302"/>
      <c r="F87" s="123" t="s">
        <v>376</v>
      </c>
      <c r="G87" s="144" t="str">
        <f>HYPERLINK("https://www.amazon.com/Timex-Unisex-TW2R41400-Weekender-Peanuts/dp/B072KDHQBG?ref_=ast_sto_dp","A")</f>
        <v>A</v>
      </c>
      <c r="H87" s="93"/>
      <c r="I87" s="93"/>
      <c r="J87" s="93">
        <v>37.049999999999997</v>
      </c>
      <c r="K87" s="111">
        <f t="shared" si="134"/>
        <v>0.35</v>
      </c>
      <c r="L87" s="111">
        <v>5.6</v>
      </c>
      <c r="M87" s="111">
        <f t="shared" si="1"/>
        <v>0.15875719999999999</v>
      </c>
      <c r="N87" s="93">
        <v>0</v>
      </c>
      <c r="O87" s="93">
        <v>0</v>
      </c>
      <c r="P87" s="95">
        <f t="shared" si="2"/>
        <v>37.049999999999997</v>
      </c>
      <c r="Q87" s="96">
        <f t="shared" si="113"/>
        <v>46312.5</v>
      </c>
      <c r="R87" s="96">
        <v>0</v>
      </c>
      <c r="S87" s="97">
        <f t="shared" si="24"/>
        <v>46300</v>
      </c>
      <c r="T87" s="97">
        <f>ROUNDUP(HLOOKUP(ROUNDUP(K87,0),'배송비 조회'!A$10:U$22,7,0)*C$3,-2)</f>
        <v>9000</v>
      </c>
      <c r="U87" s="97">
        <v>0</v>
      </c>
      <c r="V87" s="97">
        <f t="shared" si="138"/>
        <v>16600</v>
      </c>
      <c r="W87" s="97">
        <f t="shared" si="103"/>
        <v>27700</v>
      </c>
      <c r="X87" s="98">
        <f t="shared" si="131"/>
        <v>71900</v>
      </c>
      <c r="Y87" s="98">
        <f t="shared" si="27"/>
        <v>83000</v>
      </c>
      <c r="Z87" s="121">
        <v>0</v>
      </c>
      <c r="AA87" s="121">
        <f t="shared" si="6"/>
        <v>2732.2</v>
      </c>
      <c r="AB87" s="121">
        <f t="shared" si="7"/>
        <v>1438</v>
      </c>
      <c r="AC87" s="99">
        <f t="shared" si="8"/>
        <v>8300</v>
      </c>
      <c r="AD87" s="121">
        <f t="shared" si="9"/>
        <v>67729.8</v>
      </c>
      <c r="AE87" s="99">
        <f t="shared" si="10"/>
        <v>74700</v>
      </c>
      <c r="AF87" s="121">
        <f t="shared" si="11"/>
        <v>677.298</v>
      </c>
      <c r="AG87" s="100">
        <f t="shared" si="28"/>
        <v>11740.002000000004</v>
      </c>
      <c r="AH87" s="101">
        <f t="shared" si="29"/>
        <v>18710.202000000001</v>
      </c>
      <c r="AI87" s="102">
        <f t="shared" ref="AI87:AJ87" si="142">AG87/X87</f>
        <v>0.16328236439499311</v>
      </c>
      <c r="AJ87" s="102">
        <f t="shared" si="142"/>
        <v>0.22542412048192773</v>
      </c>
      <c r="AK87" s="103"/>
      <c r="AL87" s="104"/>
      <c r="AM87" s="17"/>
      <c r="AN87" s="17"/>
      <c r="AO87" s="17"/>
      <c r="AP87" s="17"/>
      <c r="AQ87" s="17"/>
      <c r="AR87" s="17"/>
      <c r="AS87" s="17"/>
      <c r="AT87" s="17"/>
      <c r="AU87" s="17"/>
      <c r="AV87" s="17"/>
      <c r="AW87" s="297"/>
    </row>
    <row r="88" spans="1:49" ht="13.2">
      <c r="A88" s="119">
        <f>HYPERLINK("https://smartstore.naver.com/brickstore2019/products/4544689016",AW:AW)</f>
        <v>4544689016</v>
      </c>
      <c r="B88" s="266"/>
      <c r="C88" s="117" t="s">
        <v>377</v>
      </c>
      <c r="D88" s="117"/>
      <c r="E88" s="117" t="s">
        <v>378</v>
      </c>
      <c r="F88" s="123"/>
      <c r="G88" s="92" t="str">
        <f>HYPERLINK("https://www.amazon.com/Seiko-Black-Stainless-Automatic-SNZF17/dp/B001IBF15Y/ref=sr_1_1?crid=2AYUNANYOLQDK&amp;keywords=snzf17+seiko&amp;qid=1559955978&amp;s=gateway&amp;sprefix=SNZF17+s%2Caps%2C323&amp;sr=8-1#customerReviews","A")</f>
        <v>A</v>
      </c>
      <c r="H88" s="93"/>
      <c r="I88" s="93"/>
      <c r="J88" s="93">
        <v>196</v>
      </c>
      <c r="K88" s="111">
        <f t="shared" si="134"/>
        <v>0.75</v>
      </c>
      <c r="L88" s="111">
        <v>12</v>
      </c>
      <c r="M88" s="111">
        <f t="shared" si="1"/>
        <v>0.340194</v>
      </c>
      <c r="N88" s="93">
        <v>0</v>
      </c>
      <c r="O88" s="93">
        <v>0</v>
      </c>
      <c r="P88" s="95">
        <f t="shared" si="2"/>
        <v>196</v>
      </c>
      <c r="Q88" s="96">
        <f t="shared" si="113"/>
        <v>245000</v>
      </c>
      <c r="R88" s="96">
        <v>0</v>
      </c>
      <c r="S88" s="97">
        <f t="shared" si="24"/>
        <v>245000</v>
      </c>
      <c r="T88" s="97">
        <f>ROUNDUP(HLOOKUP(ROUNDUP(K88,0),'배송비 조회'!A$10:U$22,7,0)*C$3,-2)</f>
        <v>9000</v>
      </c>
      <c r="U88" s="97">
        <v>0</v>
      </c>
      <c r="V88" s="97">
        <f t="shared" si="138"/>
        <v>76200</v>
      </c>
      <c r="W88" s="97">
        <f t="shared" si="103"/>
        <v>127000</v>
      </c>
      <c r="X88" s="98">
        <f t="shared" si="131"/>
        <v>330200</v>
      </c>
      <c r="Y88" s="98">
        <f t="shared" si="27"/>
        <v>381000</v>
      </c>
      <c r="Z88" s="121">
        <v>0</v>
      </c>
      <c r="AA88" s="121">
        <f t="shared" si="6"/>
        <v>12547.6</v>
      </c>
      <c r="AB88" s="121">
        <f t="shared" si="7"/>
        <v>6604</v>
      </c>
      <c r="AC88" s="99">
        <f t="shared" si="8"/>
        <v>38100</v>
      </c>
      <c r="AD88" s="121">
        <f t="shared" si="9"/>
        <v>311048.40000000002</v>
      </c>
      <c r="AE88" s="99">
        <f t="shared" si="10"/>
        <v>342900</v>
      </c>
      <c r="AF88" s="121">
        <f t="shared" si="11"/>
        <v>3110.4840000000004</v>
      </c>
      <c r="AG88" s="100">
        <f t="shared" si="28"/>
        <v>53937.916000000027</v>
      </c>
      <c r="AH88" s="101">
        <f t="shared" si="29"/>
        <v>85789.516000000003</v>
      </c>
      <c r="AI88" s="102">
        <f t="shared" ref="AI88:AJ88" si="143">AG88/X88</f>
        <v>0.16334923076923086</v>
      </c>
      <c r="AJ88" s="102">
        <f t="shared" si="143"/>
        <v>0.22516933333333333</v>
      </c>
      <c r="AK88" s="103"/>
      <c r="AL88" s="104"/>
      <c r="AM88" s="17"/>
      <c r="AN88" s="17"/>
      <c r="AO88" s="17"/>
      <c r="AP88" s="17"/>
      <c r="AQ88" s="17"/>
      <c r="AR88" s="17"/>
      <c r="AS88" s="17"/>
      <c r="AT88" s="17"/>
      <c r="AU88" s="17"/>
      <c r="AV88" s="17"/>
      <c r="AW88" s="22">
        <v>4544689016</v>
      </c>
    </row>
    <row r="89" spans="1:49" ht="13.2">
      <c r="A89" s="119">
        <f>HYPERLINK("https://smartstore.naver.com/brickstore2019/products/4546010103",AW:AW)</f>
        <v>4546010103</v>
      </c>
      <c r="B89" s="266"/>
      <c r="C89" s="117" t="s">
        <v>381</v>
      </c>
      <c r="D89" s="117"/>
      <c r="E89" s="117" t="s">
        <v>382</v>
      </c>
      <c r="F89" s="123"/>
      <c r="G89" s="92" t="str">
        <f>HYPERLINK("https://www.amazon.com/Samsonite-Tectonic-Lifestyle-Crossfire-Business/dp/B07M79W6TC/ref=sr_1_1?keywords=samsonite+Cross+Fire&amp;qid=1560078353&amp;s=gateway&amp;sr=8-1","A")</f>
        <v>A</v>
      </c>
      <c r="H89" s="93"/>
      <c r="I89" s="93"/>
      <c r="J89" s="93">
        <v>70</v>
      </c>
      <c r="K89" s="111">
        <v>2.65</v>
      </c>
      <c r="L89" s="111">
        <f>IF(K89&gt;0,K89*16,)</f>
        <v>42.4</v>
      </c>
      <c r="M89" s="111">
        <f t="shared" si="1"/>
        <v>1.2020188000000001</v>
      </c>
      <c r="N89" s="93">
        <v>0</v>
      </c>
      <c r="O89" s="93">
        <v>0</v>
      </c>
      <c r="P89" s="95">
        <f t="shared" si="2"/>
        <v>70</v>
      </c>
      <c r="Q89" s="96">
        <f t="shared" si="113"/>
        <v>87500</v>
      </c>
      <c r="R89" s="96">
        <v>0</v>
      </c>
      <c r="S89" s="97">
        <f t="shared" si="24"/>
        <v>87500</v>
      </c>
      <c r="T89" s="97">
        <f>ROUNDUP(HLOOKUP(ROUNDUP(K89,0),'배송비 조회'!A$10:U$22,7,0)*C$3,-2)</f>
        <v>13400</v>
      </c>
      <c r="U89" s="97">
        <v>0</v>
      </c>
      <c r="V89" s="97">
        <f t="shared" si="138"/>
        <v>30300</v>
      </c>
      <c r="W89" s="97">
        <f t="shared" si="103"/>
        <v>50500</v>
      </c>
      <c r="X89" s="98">
        <f t="shared" si="131"/>
        <v>131200</v>
      </c>
      <c r="Y89" s="98">
        <f t="shared" si="27"/>
        <v>151400</v>
      </c>
      <c r="Z89" s="121">
        <v>0</v>
      </c>
      <c r="AA89" s="121">
        <f t="shared" si="6"/>
        <v>4985.5999999999995</v>
      </c>
      <c r="AB89" s="121">
        <f t="shared" si="7"/>
        <v>2624</v>
      </c>
      <c r="AC89" s="99">
        <f t="shared" si="8"/>
        <v>15140</v>
      </c>
      <c r="AD89" s="121">
        <f t="shared" si="9"/>
        <v>123590.39999999999</v>
      </c>
      <c r="AE89" s="99">
        <f t="shared" si="10"/>
        <v>136260</v>
      </c>
      <c r="AF89" s="121">
        <f t="shared" si="11"/>
        <v>1235.904</v>
      </c>
      <c r="AG89" s="100">
        <f t="shared" si="28"/>
        <v>21454.495999999992</v>
      </c>
      <c r="AH89" s="101">
        <f t="shared" si="29"/>
        <v>34124.095999999998</v>
      </c>
      <c r="AI89" s="102">
        <f t="shared" ref="AI89:AJ89" si="144">AG89/X89</f>
        <v>0.16352512195121946</v>
      </c>
      <c r="AJ89" s="102">
        <f t="shared" si="144"/>
        <v>0.22539033025099073</v>
      </c>
      <c r="AK89" s="103"/>
      <c r="AL89" s="104"/>
      <c r="AM89" s="17"/>
      <c r="AN89" s="17"/>
      <c r="AO89" s="17"/>
      <c r="AP89" s="17"/>
      <c r="AQ89" s="17"/>
      <c r="AR89" s="17"/>
      <c r="AS89" s="17"/>
      <c r="AT89" s="17"/>
      <c r="AU89" s="17"/>
      <c r="AV89" s="17"/>
      <c r="AW89" s="22">
        <v>4546010103</v>
      </c>
    </row>
    <row r="90" spans="1:49" ht="13.2">
      <c r="A90" s="328">
        <f>HYPERLINK("https://smartstore.naver.com/brickstore2019/products/4547474610",AW:AW)</f>
        <v>4547474610</v>
      </c>
      <c r="B90" s="337" t="str">
        <f>HYPERLINK("https://www.coupang.com/vp/products/331951939","10275860518")</f>
        <v>10275860518</v>
      </c>
      <c r="C90" s="330" t="s">
        <v>384</v>
      </c>
      <c r="D90" s="330" t="s">
        <v>384</v>
      </c>
      <c r="E90" s="304" t="s">
        <v>385</v>
      </c>
      <c r="F90" s="123" t="s">
        <v>386</v>
      </c>
      <c r="G90" s="92" t="str">
        <f>HYPERLINK("https://www.amazon.com/Titleist-Performance-Staff-White-Black/dp/B07PVQJ3ZG?th=1","A")</f>
        <v>A</v>
      </c>
      <c r="H90" s="93"/>
      <c r="I90" s="93"/>
      <c r="J90" s="93">
        <v>27.95</v>
      </c>
      <c r="K90" s="111">
        <f t="shared" ref="K90:K91" si="145">IF(L90&gt;0,L90*0.0625,)</f>
        <v>0.2</v>
      </c>
      <c r="L90" s="111">
        <v>3.2</v>
      </c>
      <c r="M90" s="111">
        <f t="shared" si="1"/>
        <v>9.0718400000000005E-2</v>
      </c>
      <c r="N90" s="93">
        <v>0</v>
      </c>
      <c r="O90" s="93">
        <v>0</v>
      </c>
      <c r="P90" s="95">
        <f t="shared" si="2"/>
        <v>27.95</v>
      </c>
      <c r="Q90" s="96">
        <f t="shared" si="113"/>
        <v>34937.5</v>
      </c>
      <c r="R90" s="96">
        <v>0</v>
      </c>
      <c r="S90" s="97">
        <f t="shared" si="24"/>
        <v>34900</v>
      </c>
      <c r="T90" s="97">
        <f>ROUNDUP(HLOOKUP(ROUNDUP(K90,0),'배송비 조회'!A$10:U$22,7,0)*C$3,-2)</f>
        <v>9000</v>
      </c>
      <c r="U90" s="97">
        <v>0</v>
      </c>
      <c r="V90" s="97">
        <f t="shared" ref="V90:V91" si="146">ROUND(IF(R90&gt;0,0,(S90+T90)*0.4),-2)</f>
        <v>17600</v>
      </c>
      <c r="W90" s="97">
        <f t="shared" si="103"/>
        <v>22000</v>
      </c>
      <c r="X90" s="98">
        <f t="shared" si="131"/>
        <v>61500</v>
      </c>
      <c r="Y90" s="98">
        <f t="shared" si="27"/>
        <v>65900</v>
      </c>
      <c r="Z90" s="121">
        <v>0</v>
      </c>
      <c r="AA90" s="121">
        <f t="shared" si="6"/>
        <v>2337</v>
      </c>
      <c r="AB90" s="121">
        <f t="shared" si="7"/>
        <v>1230</v>
      </c>
      <c r="AC90" s="99">
        <f t="shared" si="8"/>
        <v>6590</v>
      </c>
      <c r="AD90" s="121">
        <f t="shared" si="9"/>
        <v>57933</v>
      </c>
      <c r="AE90" s="99">
        <f t="shared" si="10"/>
        <v>59310</v>
      </c>
      <c r="AF90" s="121">
        <f t="shared" si="11"/>
        <v>579.33000000000004</v>
      </c>
      <c r="AG90" s="100">
        <f t="shared" si="28"/>
        <v>13416.169999999998</v>
      </c>
      <c r="AH90" s="101">
        <f t="shared" si="29"/>
        <v>14793.169999999998</v>
      </c>
      <c r="AI90" s="102">
        <f t="shared" ref="AI90:AJ90" si="147">AG90/X90</f>
        <v>0.21814910569105689</v>
      </c>
      <c r="AJ90" s="102">
        <f t="shared" si="147"/>
        <v>0.22447905918057662</v>
      </c>
      <c r="AK90" s="103"/>
      <c r="AL90" s="104"/>
      <c r="AM90" s="17"/>
      <c r="AN90" s="17"/>
      <c r="AO90" s="17"/>
      <c r="AP90" s="17"/>
      <c r="AQ90" s="17"/>
      <c r="AR90" s="17"/>
      <c r="AS90" s="17"/>
      <c r="AT90" s="17"/>
      <c r="AU90" s="17"/>
      <c r="AV90" s="17"/>
      <c r="AW90" s="24">
        <v>4547474610</v>
      </c>
    </row>
    <row r="91" spans="1:49" ht="13.2">
      <c r="A91" s="302"/>
      <c r="B91" s="306"/>
      <c r="C91" s="302"/>
      <c r="D91" s="302"/>
      <c r="E91" s="302"/>
      <c r="F91" s="123" t="s">
        <v>388</v>
      </c>
      <c r="G91" s="93" t="s">
        <v>145</v>
      </c>
      <c r="H91" s="93"/>
      <c r="I91" s="93"/>
      <c r="J91" s="93">
        <v>27.95</v>
      </c>
      <c r="K91" s="111">
        <f t="shared" si="145"/>
        <v>0.2</v>
      </c>
      <c r="L91" s="111">
        <v>3.2</v>
      </c>
      <c r="M91" s="111">
        <f t="shared" si="1"/>
        <v>9.0718400000000005E-2</v>
      </c>
      <c r="N91" s="93">
        <v>0</v>
      </c>
      <c r="O91" s="93">
        <v>0</v>
      </c>
      <c r="P91" s="95">
        <f t="shared" si="2"/>
        <v>27.95</v>
      </c>
      <c r="Q91" s="96">
        <f t="shared" si="113"/>
        <v>34937.5</v>
      </c>
      <c r="R91" s="96">
        <v>0</v>
      </c>
      <c r="S91" s="97">
        <f t="shared" si="24"/>
        <v>34900</v>
      </c>
      <c r="T91" s="97">
        <f>ROUNDUP(HLOOKUP(ROUNDUP(K91,0),'배송비 조회'!A$10:U$22,7,0)*C$3,-2)</f>
        <v>9000</v>
      </c>
      <c r="U91" s="97">
        <v>0</v>
      </c>
      <c r="V91" s="97">
        <f t="shared" si="146"/>
        <v>17600</v>
      </c>
      <c r="W91" s="97">
        <f t="shared" si="103"/>
        <v>22000</v>
      </c>
      <c r="X91" s="98">
        <f t="shared" si="131"/>
        <v>61500</v>
      </c>
      <c r="Y91" s="98">
        <f t="shared" si="27"/>
        <v>65900</v>
      </c>
      <c r="Z91" s="121">
        <v>0</v>
      </c>
      <c r="AA91" s="121">
        <f t="shared" si="6"/>
        <v>2337</v>
      </c>
      <c r="AB91" s="121">
        <f t="shared" si="7"/>
        <v>1230</v>
      </c>
      <c r="AC91" s="99">
        <f t="shared" si="8"/>
        <v>6590</v>
      </c>
      <c r="AD91" s="121">
        <f t="shared" si="9"/>
        <v>57933</v>
      </c>
      <c r="AE91" s="99">
        <f t="shared" si="10"/>
        <v>59310</v>
      </c>
      <c r="AF91" s="121">
        <f t="shared" si="11"/>
        <v>579.33000000000004</v>
      </c>
      <c r="AG91" s="100">
        <f t="shared" si="28"/>
        <v>13416.169999999998</v>
      </c>
      <c r="AH91" s="101">
        <f t="shared" si="29"/>
        <v>14793.169999999998</v>
      </c>
      <c r="AI91" s="102">
        <f t="shared" ref="AI91:AJ91" si="148">AG91/X91</f>
        <v>0.21814910569105689</v>
      </c>
      <c r="AJ91" s="102">
        <f t="shared" si="148"/>
        <v>0.22447905918057662</v>
      </c>
      <c r="AK91" s="103"/>
      <c r="AL91" s="104"/>
      <c r="AM91" s="17"/>
      <c r="AN91" s="17"/>
      <c r="AO91" s="17"/>
      <c r="AP91" s="17"/>
      <c r="AQ91" s="17"/>
      <c r="AR91" s="17"/>
      <c r="AS91" s="17"/>
      <c r="AT91" s="17"/>
      <c r="AU91" s="17"/>
      <c r="AV91" s="17"/>
      <c r="AW91" s="22"/>
    </row>
    <row r="92" spans="1:49" ht="13.2">
      <c r="A92" s="303">
        <f>HYPERLINK("https://smartstore.naver.com/brickstore2019/products/4548759051",AW:AW)</f>
        <v>4548759051</v>
      </c>
      <c r="B92" s="266"/>
      <c r="C92" s="304" t="s">
        <v>390</v>
      </c>
      <c r="D92" s="117"/>
      <c r="E92" s="304" t="s">
        <v>391</v>
      </c>
      <c r="F92" s="108" t="s">
        <v>392</v>
      </c>
      <c r="G92" s="109" t="str">
        <f>HYPERLINK("https://www.amazon.com/adidas-Tennis-Racquet-Backpack-Scarlet/dp/B077BXTYG9/ref=sr_1_3?keywords=adidas+Tour+Tennis+Racquet+Backpack&amp;qid=1569937116&amp;s=apparel&amp;sr=1-3","A")</f>
        <v>A</v>
      </c>
      <c r="H92" s="110" t="s">
        <v>60</v>
      </c>
      <c r="I92" s="110"/>
      <c r="J92" s="110">
        <v>70</v>
      </c>
      <c r="K92" s="153">
        <v>1.76</v>
      </c>
      <c r="L92" s="153">
        <f t="shared" ref="L92:L93" si="149">IF(K92&gt;0,K92*16,)</f>
        <v>28.16</v>
      </c>
      <c r="M92" s="153">
        <f t="shared" si="1"/>
        <v>0.79832192000000002</v>
      </c>
      <c r="N92" s="110">
        <v>0</v>
      </c>
      <c r="O92" s="110">
        <v>0</v>
      </c>
      <c r="P92" s="154">
        <f t="shared" si="2"/>
        <v>70</v>
      </c>
      <c r="Q92" s="155">
        <f t="shared" si="113"/>
        <v>87500</v>
      </c>
      <c r="R92" s="155">
        <v>0</v>
      </c>
      <c r="S92" s="155">
        <f t="shared" si="24"/>
        <v>87500</v>
      </c>
      <c r="T92" s="155">
        <f>ROUNDUP(HLOOKUP(ROUNDUP(K92,0),'배송비 조회'!A$10:U$22,7,0)*C$3,-2)</f>
        <v>11200</v>
      </c>
      <c r="U92" s="155">
        <v>0</v>
      </c>
      <c r="V92" s="155">
        <f t="shared" ref="V92:V93" si="150">ROUND(IF(R92&gt;0,0,(S92+T92)*0.3),-2)</f>
        <v>29600</v>
      </c>
      <c r="W92" s="155">
        <f t="shared" si="103"/>
        <v>49400</v>
      </c>
      <c r="X92" s="155">
        <f t="shared" si="131"/>
        <v>128300</v>
      </c>
      <c r="Y92" s="155">
        <f t="shared" si="27"/>
        <v>148100</v>
      </c>
      <c r="Z92" s="133">
        <v>0</v>
      </c>
      <c r="AA92" s="133">
        <f t="shared" si="6"/>
        <v>4875.3999999999996</v>
      </c>
      <c r="AB92" s="133">
        <f t="shared" si="7"/>
        <v>2566</v>
      </c>
      <c r="AC92" s="133">
        <f t="shared" si="8"/>
        <v>14810</v>
      </c>
      <c r="AD92" s="133">
        <f t="shared" si="9"/>
        <v>120858.6</v>
      </c>
      <c r="AE92" s="133">
        <f t="shared" si="10"/>
        <v>133290</v>
      </c>
      <c r="AF92" s="133">
        <f t="shared" si="11"/>
        <v>1208.586</v>
      </c>
      <c r="AG92" s="155">
        <f t="shared" si="28"/>
        <v>20950.014000000006</v>
      </c>
      <c r="AH92" s="155">
        <f t="shared" si="29"/>
        <v>33381.413999999997</v>
      </c>
      <c r="AI92" s="156">
        <f t="shared" ref="AI92:AJ92" si="151">AG92/X92</f>
        <v>0.16328927513639913</v>
      </c>
      <c r="AJ92" s="156">
        <f t="shared" si="151"/>
        <v>0.22539779878460497</v>
      </c>
      <c r="AK92" s="103"/>
      <c r="AL92" s="104"/>
      <c r="AM92" s="17"/>
      <c r="AN92" s="17"/>
      <c r="AO92" s="17"/>
      <c r="AP92" s="17"/>
      <c r="AQ92" s="17"/>
      <c r="AR92" s="17"/>
      <c r="AS92" s="17"/>
      <c r="AT92" s="17"/>
      <c r="AU92" s="17"/>
      <c r="AV92" s="17"/>
      <c r="AW92" s="296">
        <v>4548759051</v>
      </c>
    </row>
    <row r="93" spans="1:49" ht="13.2">
      <c r="A93" s="302"/>
      <c r="B93" s="266"/>
      <c r="C93" s="302"/>
      <c r="D93" s="117"/>
      <c r="E93" s="302"/>
      <c r="F93" s="123" t="s">
        <v>397</v>
      </c>
      <c r="G93" s="92" t="str">
        <f>HYPERLINK("https://www.amazon.com/adidas-Tennis-Racquet-Backpack-Silver/dp/B077BWVG82/ref=sr_1_1?keywords=adidas%2Btennis%2Bracket%2Bbackpack&amp;qid=1560219759&amp;s=gateway&amp;sr=8-1&amp;th=1","A")</f>
        <v>A</v>
      </c>
      <c r="H93" s="93"/>
      <c r="I93" s="93"/>
      <c r="J93" s="93">
        <v>64.31</v>
      </c>
      <c r="K93" s="111">
        <v>1.76</v>
      </c>
      <c r="L93" s="111">
        <f t="shared" si="149"/>
        <v>28.16</v>
      </c>
      <c r="M93" s="111">
        <f t="shared" si="1"/>
        <v>0.79832192000000002</v>
      </c>
      <c r="N93" s="93">
        <v>0</v>
      </c>
      <c r="O93" s="93">
        <v>0</v>
      </c>
      <c r="P93" s="95">
        <f t="shared" si="2"/>
        <v>64.31</v>
      </c>
      <c r="Q93" s="96">
        <f t="shared" si="113"/>
        <v>80387.5</v>
      </c>
      <c r="R93" s="96">
        <v>0</v>
      </c>
      <c r="S93" s="97">
        <f t="shared" si="24"/>
        <v>80400</v>
      </c>
      <c r="T93" s="97">
        <f>ROUNDUP(HLOOKUP(ROUNDUP(K93,0),'배송비 조회'!A$10:U$22,7,0)*C$3,-2)</f>
        <v>11200</v>
      </c>
      <c r="U93" s="97">
        <v>0</v>
      </c>
      <c r="V93" s="97">
        <f t="shared" si="150"/>
        <v>27500</v>
      </c>
      <c r="W93" s="97">
        <f t="shared" si="103"/>
        <v>45800</v>
      </c>
      <c r="X93" s="98">
        <f t="shared" si="131"/>
        <v>119100</v>
      </c>
      <c r="Y93" s="98">
        <f t="shared" si="27"/>
        <v>137400</v>
      </c>
      <c r="Z93" s="121">
        <v>0</v>
      </c>
      <c r="AA93" s="121">
        <f t="shared" si="6"/>
        <v>4525.8</v>
      </c>
      <c r="AB93" s="121">
        <f t="shared" si="7"/>
        <v>2382</v>
      </c>
      <c r="AC93" s="99">
        <f t="shared" si="8"/>
        <v>13740</v>
      </c>
      <c r="AD93" s="121">
        <f t="shared" si="9"/>
        <v>112192.2</v>
      </c>
      <c r="AE93" s="99">
        <f t="shared" si="10"/>
        <v>123660</v>
      </c>
      <c r="AF93" s="121">
        <f t="shared" si="11"/>
        <v>1121.922</v>
      </c>
      <c r="AG93" s="100">
        <f t="shared" si="28"/>
        <v>19482.777999999998</v>
      </c>
      <c r="AH93" s="101">
        <f t="shared" si="29"/>
        <v>30950.578000000001</v>
      </c>
      <c r="AI93" s="102">
        <f t="shared" ref="AI93:AJ93" si="152">AG93/X93</f>
        <v>0.1635833585222502</v>
      </c>
      <c r="AJ93" s="102">
        <f t="shared" si="152"/>
        <v>0.22525893740902475</v>
      </c>
      <c r="AK93" s="103"/>
      <c r="AL93" s="104"/>
      <c r="AM93" s="17"/>
      <c r="AN93" s="17"/>
      <c r="AO93" s="17"/>
      <c r="AP93" s="17"/>
      <c r="AQ93" s="17"/>
      <c r="AR93" s="17"/>
      <c r="AS93" s="17"/>
      <c r="AT93" s="17"/>
      <c r="AU93" s="17"/>
      <c r="AV93" s="17"/>
      <c r="AW93" s="297"/>
    </row>
    <row r="94" spans="1:49" ht="13.2">
      <c r="A94" s="328">
        <f>HYPERLINK("https://smartstore.naver.com/brickstore2019/products/4549469150",AW:AW)</f>
        <v>4549469150</v>
      </c>
      <c r="B94" s="265"/>
      <c r="C94" s="330" t="s">
        <v>398</v>
      </c>
      <c r="D94" s="116"/>
      <c r="E94" s="304" t="s">
        <v>399</v>
      </c>
      <c r="F94" s="141" t="s">
        <v>400</v>
      </c>
      <c r="G94" s="279" t="s">
        <v>1293</v>
      </c>
      <c r="H94" s="93"/>
      <c r="I94" s="93"/>
      <c r="J94" s="93">
        <v>21.99</v>
      </c>
      <c r="K94" s="111">
        <f t="shared" ref="K94:K95" si="153">IF(L94&gt;0,L94*0.0625,)</f>
        <v>0.3</v>
      </c>
      <c r="L94" s="111">
        <v>4.8</v>
      </c>
      <c r="M94" s="111">
        <f t="shared" si="1"/>
        <v>0.13607759999999999</v>
      </c>
      <c r="N94" s="93">
        <v>0</v>
      </c>
      <c r="O94" s="93">
        <v>0</v>
      </c>
      <c r="P94" s="95">
        <f t="shared" si="2"/>
        <v>21.99</v>
      </c>
      <c r="Q94" s="96">
        <f t="shared" si="113"/>
        <v>27487.499999999996</v>
      </c>
      <c r="R94" s="96">
        <v>0</v>
      </c>
      <c r="S94" s="97">
        <f t="shared" si="24"/>
        <v>27500</v>
      </c>
      <c r="T94" s="97">
        <f>ROUNDUP(HLOOKUP(ROUNDUP(K94,0),'배송비 조회'!A$10:U$22,7,0)*C$3,-2)</f>
        <v>9000</v>
      </c>
      <c r="U94" s="97">
        <v>0</v>
      </c>
      <c r="V94" s="97">
        <f>ROUND(IF(R94&gt;0,0,(S94+T94)*0.4),-2)</f>
        <v>14600</v>
      </c>
      <c r="W94" s="97">
        <f t="shared" si="103"/>
        <v>18300</v>
      </c>
      <c r="X94" s="98">
        <f t="shared" si="131"/>
        <v>51100</v>
      </c>
      <c r="Y94" s="98">
        <f t="shared" si="27"/>
        <v>54800</v>
      </c>
      <c r="Z94" s="142">
        <v>0</v>
      </c>
      <c r="AA94" s="142">
        <f t="shared" si="6"/>
        <v>1941.8</v>
      </c>
      <c r="AB94" s="142">
        <f t="shared" si="7"/>
        <v>1022</v>
      </c>
      <c r="AC94" s="99">
        <f t="shared" si="8"/>
        <v>5480</v>
      </c>
      <c r="AD94" s="142">
        <f t="shared" si="9"/>
        <v>48136.2</v>
      </c>
      <c r="AE94" s="99">
        <f t="shared" si="10"/>
        <v>49320</v>
      </c>
      <c r="AF94" s="142">
        <f t="shared" si="11"/>
        <v>481.36199999999997</v>
      </c>
      <c r="AG94" s="100">
        <f t="shared" si="28"/>
        <v>11167.338</v>
      </c>
      <c r="AH94" s="101">
        <f t="shared" si="29"/>
        <v>12351.138000000003</v>
      </c>
      <c r="AI94" s="102">
        <f t="shared" ref="AI94:AJ94" si="154">AG94/X94</f>
        <v>0.21853890410958904</v>
      </c>
      <c r="AJ94" s="102">
        <f t="shared" si="154"/>
        <v>0.22538572992700734</v>
      </c>
      <c r="AK94" s="103"/>
      <c r="AL94" s="104"/>
      <c r="AM94" s="17"/>
      <c r="AN94" s="17"/>
      <c r="AO94" s="17"/>
      <c r="AP94" s="17"/>
      <c r="AQ94" s="17"/>
      <c r="AR94" s="17"/>
      <c r="AS94" s="17"/>
      <c r="AT94" s="17"/>
      <c r="AU94" s="17"/>
      <c r="AV94" s="17"/>
      <c r="AW94" s="299">
        <v>4549469150</v>
      </c>
    </row>
    <row r="95" spans="1:49" ht="13.2">
      <c r="A95" s="302"/>
      <c r="B95" s="265"/>
      <c r="C95" s="302"/>
      <c r="D95" s="116"/>
      <c r="E95" s="302"/>
      <c r="F95" s="123" t="s">
        <v>403</v>
      </c>
      <c r="G95" s="279" t="s">
        <v>1293</v>
      </c>
      <c r="H95" s="93"/>
      <c r="I95" s="93"/>
      <c r="J95" s="93">
        <v>34.99</v>
      </c>
      <c r="K95" s="111">
        <f t="shared" si="153"/>
        <v>0.3</v>
      </c>
      <c r="L95" s="111">
        <v>4.8</v>
      </c>
      <c r="M95" s="111">
        <f t="shared" si="1"/>
        <v>0.13607759999999999</v>
      </c>
      <c r="N95" s="93">
        <v>0</v>
      </c>
      <c r="O95" s="93">
        <v>0</v>
      </c>
      <c r="P95" s="95">
        <f t="shared" si="2"/>
        <v>34.99</v>
      </c>
      <c r="Q95" s="96">
        <f t="shared" si="113"/>
        <v>43737.5</v>
      </c>
      <c r="R95" s="96">
        <v>0</v>
      </c>
      <c r="S95" s="97">
        <f t="shared" si="24"/>
        <v>43700</v>
      </c>
      <c r="T95" s="97">
        <f>ROUNDUP(HLOOKUP(ROUNDUP(K95,0),'배송비 조회'!A$10:U$22,7,0)*C$3,-2)</f>
        <v>9000</v>
      </c>
      <c r="U95" s="97">
        <v>0</v>
      </c>
      <c r="V95" s="97">
        <f t="shared" ref="V95:V99" si="155">ROUND(IF(R95&gt;0,0,(S95+T95)*0.3),-2)</f>
        <v>15800</v>
      </c>
      <c r="W95" s="97">
        <f t="shared" si="103"/>
        <v>26400</v>
      </c>
      <c r="X95" s="98">
        <f t="shared" si="131"/>
        <v>68500</v>
      </c>
      <c r="Y95" s="98">
        <f t="shared" si="27"/>
        <v>79100</v>
      </c>
      <c r="Z95" s="142">
        <v>0</v>
      </c>
      <c r="AA95" s="142">
        <f t="shared" si="6"/>
        <v>2603</v>
      </c>
      <c r="AB95" s="142">
        <f t="shared" si="7"/>
        <v>1370</v>
      </c>
      <c r="AC95" s="99">
        <f t="shared" si="8"/>
        <v>7910</v>
      </c>
      <c r="AD95" s="142">
        <f t="shared" si="9"/>
        <v>64527</v>
      </c>
      <c r="AE95" s="99">
        <f t="shared" si="10"/>
        <v>71190</v>
      </c>
      <c r="AF95" s="142">
        <f t="shared" si="11"/>
        <v>645.27</v>
      </c>
      <c r="AG95" s="100">
        <f t="shared" si="28"/>
        <v>11144.23</v>
      </c>
      <c r="AH95" s="101">
        <f t="shared" si="29"/>
        <v>17807.23</v>
      </c>
      <c r="AI95" s="102">
        <f t="shared" ref="AI95:AJ95" si="156">AG95/X95</f>
        <v>0.16268948905109487</v>
      </c>
      <c r="AJ95" s="102">
        <f t="shared" si="156"/>
        <v>0.22512300884955752</v>
      </c>
      <c r="AK95" s="103"/>
      <c r="AL95" s="104"/>
      <c r="AM95" s="17"/>
      <c r="AN95" s="17"/>
      <c r="AO95" s="17"/>
      <c r="AP95" s="17"/>
      <c r="AQ95" s="17"/>
      <c r="AR95" s="17"/>
      <c r="AS95" s="17"/>
      <c r="AT95" s="17"/>
      <c r="AU95" s="17"/>
      <c r="AV95" s="17"/>
      <c r="AW95" s="297"/>
    </row>
    <row r="96" spans="1:49" ht="13.2">
      <c r="A96" s="119">
        <f>HYPERLINK("https://smartstore.naver.com/brickstore2019/products/4550155317",AW:AW)</f>
        <v>4550155317</v>
      </c>
      <c r="B96" s="266"/>
      <c r="C96" s="117" t="s">
        <v>407</v>
      </c>
      <c r="D96" s="117"/>
      <c r="E96" s="117" t="s">
        <v>408</v>
      </c>
      <c r="F96" s="123"/>
      <c r="G96" s="92" t="str">
        <f>HYPERLINK("https://www.amazon.com/Citizen-Eco-Drive-Promaster-Nighthawk-BJ7000-52E/dp/B00074KYC8","A")</f>
        <v>A</v>
      </c>
      <c r="H96" s="93"/>
      <c r="I96" s="93"/>
      <c r="J96" s="93">
        <v>187.98</v>
      </c>
      <c r="K96" s="111">
        <v>1.3</v>
      </c>
      <c r="L96" s="111">
        <f t="shared" ref="L96:L99" si="157">IF(K96&gt;0,K96*16,)</f>
        <v>20.8</v>
      </c>
      <c r="M96" s="111">
        <f t="shared" si="1"/>
        <v>0.58966960000000002</v>
      </c>
      <c r="N96" s="93">
        <v>0</v>
      </c>
      <c r="O96" s="93">
        <v>0</v>
      </c>
      <c r="P96" s="95">
        <f t="shared" si="2"/>
        <v>187.98</v>
      </c>
      <c r="Q96" s="96">
        <f t="shared" si="113"/>
        <v>234975</v>
      </c>
      <c r="R96" s="96">
        <v>0</v>
      </c>
      <c r="S96" s="97">
        <f t="shared" si="24"/>
        <v>235000</v>
      </c>
      <c r="T96" s="97">
        <f>ROUNDUP(HLOOKUP(ROUNDUP(K96,0),'배송비 조회'!A$10:U$22,7,0)*C$3,-2)</f>
        <v>11200</v>
      </c>
      <c r="U96" s="97">
        <v>0</v>
      </c>
      <c r="V96" s="97">
        <f t="shared" si="155"/>
        <v>73900</v>
      </c>
      <c r="W96" s="97">
        <f t="shared" si="103"/>
        <v>123100</v>
      </c>
      <c r="X96" s="98">
        <f t="shared" si="131"/>
        <v>320100</v>
      </c>
      <c r="Y96" s="98">
        <f t="shared" si="27"/>
        <v>369300</v>
      </c>
      <c r="Z96" s="121">
        <v>0</v>
      </c>
      <c r="AA96" s="121">
        <f t="shared" si="6"/>
        <v>12163.8</v>
      </c>
      <c r="AB96" s="121">
        <f t="shared" si="7"/>
        <v>6402</v>
      </c>
      <c r="AC96" s="99">
        <f t="shared" si="8"/>
        <v>36930</v>
      </c>
      <c r="AD96" s="121">
        <f t="shared" si="9"/>
        <v>301534.2</v>
      </c>
      <c r="AE96" s="99">
        <f t="shared" si="10"/>
        <v>332370</v>
      </c>
      <c r="AF96" s="121">
        <f t="shared" si="11"/>
        <v>3015.3420000000001</v>
      </c>
      <c r="AG96" s="100">
        <f t="shared" si="28"/>
        <v>52343.858000000015</v>
      </c>
      <c r="AH96" s="101">
        <f t="shared" si="29"/>
        <v>83179.657999999996</v>
      </c>
      <c r="AI96" s="102">
        <f t="shared" ref="AI96:AJ96" si="158">AG96/X96</f>
        <v>0.16352345517025935</v>
      </c>
      <c r="AJ96" s="102">
        <f t="shared" si="158"/>
        <v>0.22523600866504195</v>
      </c>
      <c r="AK96" s="103"/>
      <c r="AL96" s="104"/>
      <c r="AM96" s="17"/>
      <c r="AN96" s="17"/>
      <c r="AO96" s="17"/>
      <c r="AP96" s="17"/>
      <c r="AQ96" s="17"/>
      <c r="AR96" s="17"/>
      <c r="AS96" s="17"/>
      <c r="AT96" s="17"/>
      <c r="AU96" s="17"/>
      <c r="AV96" s="17"/>
      <c r="AW96" s="22">
        <v>4550155317</v>
      </c>
    </row>
    <row r="97" spans="1:49" ht="13.2">
      <c r="A97" s="303">
        <f>HYPERLINK("https://smartstore.naver.com/brickstore2019/products/4551740184",AW:AW)</f>
        <v>4551740184</v>
      </c>
      <c r="B97" s="266"/>
      <c r="C97" s="304" t="s">
        <v>410</v>
      </c>
      <c r="D97" s="117"/>
      <c r="E97" s="304" t="s">
        <v>411</v>
      </c>
      <c r="F97" s="123" t="s">
        <v>412</v>
      </c>
      <c r="G97" s="144" t="str">
        <f>HYPERLINK("https://www.amazon.com/Samsonite-Modern-Utility-Laptop-Backpack/dp/B07KD95RTZ/ref=sr_1_5?keywords=samsonite%2Bbackpack&amp;qid=1560434338&amp;refinements=p_89%3ASamsonite&amp;rnid=2528832011&amp;s=gateway&amp;sr=8-5&amp;th=1","A")</f>
        <v>A</v>
      </c>
      <c r="H97" s="93"/>
      <c r="I97" s="93"/>
      <c r="J97" s="93">
        <v>70</v>
      </c>
      <c r="K97" s="111">
        <v>2.5499999999999998</v>
      </c>
      <c r="L97" s="111">
        <f t="shared" si="157"/>
        <v>40.799999999999997</v>
      </c>
      <c r="M97" s="111">
        <f t="shared" si="1"/>
        <v>1.1566596</v>
      </c>
      <c r="N97" s="93">
        <v>0</v>
      </c>
      <c r="O97" s="93">
        <v>0</v>
      </c>
      <c r="P97" s="95">
        <f t="shared" si="2"/>
        <v>70</v>
      </c>
      <c r="Q97" s="96">
        <f t="shared" si="113"/>
        <v>87500</v>
      </c>
      <c r="R97" s="96">
        <v>0</v>
      </c>
      <c r="S97" s="97">
        <f t="shared" si="24"/>
        <v>87500</v>
      </c>
      <c r="T97" s="97">
        <f>ROUNDUP(HLOOKUP(ROUNDUP(K97,0),'배송비 조회'!A$10:U$22,7,0)*C$3,-2)</f>
        <v>13400</v>
      </c>
      <c r="U97" s="97">
        <v>0</v>
      </c>
      <c r="V97" s="97">
        <f t="shared" si="155"/>
        <v>30300</v>
      </c>
      <c r="W97" s="97">
        <f t="shared" si="103"/>
        <v>50500</v>
      </c>
      <c r="X97" s="98">
        <f t="shared" si="131"/>
        <v>131200</v>
      </c>
      <c r="Y97" s="98">
        <f t="shared" si="27"/>
        <v>151400</v>
      </c>
      <c r="Z97" s="121">
        <v>0</v>
      </c>
      <c r="AA97" s="121">
        <f t="shared" si="6"/>
        <v>4985.5999999999995</v>
      </c>
      <c r="AB97" s="121">
        <f t="shared" si="7"/>
        <v>2624</v>
      </c>
      <c r="AC97" s="99">
        <f t="shared" si="8"/>
        <v>15140</v>
      </c>
      <c r="AD97" s="121">
        <f t="shared" si="9"/>
        <v>123590.39999999999</v>
      </c>
      <c r="AE97" s="99">
        <f t="shared" si="10"/>
        <v>136260</v>
      </c>
      <c r="AF97" s="121">
        <f t="shared" si="11"/>
        <v>1235.904</v>
      </c>
      <c r="AG97" s="100">
        <f t="shared" si="28"/>
        <v>21454.495999999992</v>
      </c>
      <c r="AH97" s="101">
        <f t="shared" si="29"/>
        <v>34124.095999999998</v>
      </c>
      <c r="AI97" s="102">
        <f t="shared" ref="AI97:AJ97" si="159">AG97/X97</f>
        <v>0.16352512195121946</v>
      </c>
      <c r="AJ97" s="102">
        <f t="shared" si="159"/>
        <v>0.22539033025099073</v>
      </c>
      <c r="AK97" s="103"/>
      <c r="AL97" s="104"/>
      <c r="AM97" s="17"/>
      <c r="AN97" s="17"/>
      <c r="AO97" s="17"/>
      <c r="AP97" s="17"/>
      <c r="AQ97" s="17"/>
      <c r="AR97" s="17"/>
      <c r="AS97" s="17"/>
      <c r="AT97" s="17"/>
      <c r="AU97" s="17"/>
      <c r="AV97" s="17"/>
      <c r="AW97" s="296">
        <v>4551740184</v>
      </c>
    </row>
    <row r="98" spans="1:49" ht="13.2">
      <c r="A98" s="302"/>
      <c r="B98" s="266"/>
      <c r="C98" s="302"/>
      <c r="D98" s="117"/>
      <c r="E98" s="302"/>
      <c r="F98" s="123" t="s">
        <v>416</v>
      </c>
      <c r="G98" s="144" t="str">
        <f>HYPERLINK("https://www.amazon.com/Samsonite-Modern-Utility-Laptop-Backpack/dp/B073C97T3V/ref=sr_1_5?keywords=samsonite%2Bbackpack&amp;qid=1560434338&amp;refinements=p_89%3ASamsonite&amp;rnid=2528832011&amp;s=gateway&amp;sr=8-5&amp;th=1","A")</f>
        <v>A</v>
      </c>
      <c r="H98" s="93"/>
      <c r="I98" s="93"/>
      <c r="J98" s="93">
        <v>60</v>
      </c>
      <c r="K98" s="111">
        <v>2.5499999999999998</v>
      </c>
      <c r="L98" s="111">
        <f t="shared" si="157"/>
        <v>40.799999999999997</v>
      </c>
      <c r="M98" s="111">
        <f t="shared" si="1"/>
        <v>1.1566596</v>
      </c>
      <c r="N98" s="93">
        <v>0</v>
      </c>
      <c r="O98" s="93">
        <v>0</v>
      </c>
      <c r="P98" s="95">
        <f t="shared" si="2"/>
        <v>60</v>
      </c>
      <c r="Q98" s="96">
        <f t="shared" si="113"/>
        <v>75000</v>
      </c>
      <c r="R98" s="96">
        <v>0</v>
      </c>
      <c r="S98" s="97">
        <f t="shared" si="24"/>
        <v>75000</v>
      </c>
      <c r="T98" s="97">
        <f>ROUNDUP(HLOOKUP(ROUNDUP(K98,0),'배송비 조회'!A$10:U$22,7,0)*C$3,-2)</f>
        <v>13400</v>
      </c>
      <c r="U98" s="97">
        <v>0</v>
      </c>
      <c r="V98" s="97">
        <f t="shared" si="155"/>
        <v>26500</v>
      </c>
      <c r="W98" s="97">
        <f t="shared" si="103"/>
        <v>44200</v>
      </c>
      <c r="X98" s="98">
        <f t="shared" si="131"/>
        <v>114900</v>
      </c>
      <c r="Y98" s="98">
        <f t="shared" si="27"/>
        <v>132600</v>
      </c>
      <c r="Z98" s="121">
        <v>0</v>
      </c>
      <c r="AA98" s="121">
        <f t="shared" si="6"/>
        <v>4366.2</v>
      </c>
      <c r="AB98" s="121">
        <f t="shared" si="7"/>
        <v>2298</v>
      </c>
      <c r="AC98" s="99">
        <f t="shared" si="8"/>
        <v>13260</v>
      </c>
      <c r="AD98" s="121">
        <f t="shared" si="9"/>
        <v>108235.8</v>
      </c>
      <c r="AE98" s="99">
        <f t="shared" si="10"/>
        <v>119340</v>
      </c>
      <c r="AF98" s="121">
        <f t="shared" si="11"/>
        <v>1082.3579999999999</v>
      </c>
      <c r="AG98" s="100">
        <f t="shared" si="28"/>
        <v>18753.442000000003</v>
      </c>
      <c r="AH98" s="101">
        <f t="shared" si="29"/>
        <v>29857.642</v>
      </c>
      <c r="AI98" s="102">
        <f t="shared" ref="AI98:AJ98" si="160">AG98/X98</f>
        <v>0.1632153350739774</v>
      </c>
      <c r="AJ98" s="102">
        <f t="shared" si="160"/>
        <v>0.22517075414781296</v>
      </c>
      <c r="AK98" s="103">
        <f>X98-X97</f>
        <v>-16300</v>
      </c>
      <c r="AL98" s="104"/>
      <c r="AM98" s="17"/>
      <c r="AN98" s="17"/>
      <c r="AO98" s="17"/>
      <c r="AP98" s="17"/>
      <c r="AQ98" s="17"/>
      <c r="AR98" s="17"/>
      <c r="AS98" s="17"/>
      <c r="AT98" s="17"/>
      <c r="AU98" s="17"/>
      <c r="AV98" s="17"/>
      <c r="AW98" s="297"/>
    </row>
    <row r="99" spans="1:49" ht="13.2">
      <c r="A99" s="302"/>
      <c r="B99" s="266"/>
      <c r="C99" s="302"/>
      <c r="D99" s="117"/>
      <c r="E99" s="302"/>
      <c r="F99" s="123" t="s">
        <v>417</v>
      </c>
      <c r="G99" s="144" t="str">
        <f>HYPERLINK("https://www.amazon.com/Samsonite-Modern-Utility-Laptop-Backpack/dp/B07KD81W74/ref=sr_1_5?keywords=samsonite%2Bbackpack&amp;qid=1560434338&amp;refinements=p_89%3ASamsonite&amp;rnid=2528832011&amp;s=gateway&amp;sr=8-5&amp;th=1","A")</f>
        <v>A</v>
      </c>
      <c r="H99" s="93"/>
      <c r="I99" s="93"/>
      <c r="J99" s="93">
        <v>70</v>
      </c>
      <c r="K99" s="111">
        <v>2.5499999999999998</v>
      </c>
      <c r="L99" s="111">
        <f t="shared" si="157"/>
        <v>40.799999999999997</v>
      </c>
      <c r="M99" s="111">
        <f t="shared" si="1"/>
        <v>1.1566596</v>
      </c>
      <c r="N99" s="93">
        <v>0</v>
      </c>
      <c r="O99" s="93">
        <v>0</v>
      </c>
      <c r="P99" s="95">
        <f t="shared" si="2"/>
        <v>70</v>
      </c>
      <c r="Q99" s="96">
        <f t="shared" si="113"/>
        <v>87500</v>
      </c>
      <c r="R99" s="96">
        <v>0</v>
      </c>
      <c r="S99" s="97">
        <f t="shared" si="24"/>
        <v>87500</v>
      </c>
      <c r="T99" s="97">
        <f>ROUNDUP(HLOOKUP(ROUNDUP(K99,0),'배송비 조회'!A$10:U$22,7,0)*C$3,-2)</f>
        <v>13400</v>
      </c>
      <c r="U99" s="97">
        <v>0</v>
      </c>
      <c r="V99" s="97">
        <f t="shared" si="155"/>
        <v>30300</v>
      </c>
      <c r="W99" s="97">
        <f t="shared" si="103"/>
        <v>50500</v>
      </c>
      <c r="X99" s="98">
        <f t="shared" si="131"/>
        <v>131200</v>
      </c>
      <c r="Y99" s="98">
        <f t="shared" si="27"/>
        <v>151400</v>
      </c>
      <c r="Z99" s="121">
        <v>0</v>
      </c>
      <c r="AA99" s="121">
        <f t="shared" si="6"/>
        <v>4985.5999999999995</v>
      </c>
      <c r="AB99" s="121">
        <f t="shared" si="7"/>
        <v>2624</v>
      </c>
      <c r="AC99" s="99">
        <f t="shared" si="8"/>
        <v>15140</v>
      </c>
      <c r="AD99" s="121">
        <f t="shared" si="9"/>
        <v>123590.39999999999</v>
      </c>
      <c r="AE99" s="99">
        <f t="shared" si="10"/>
        <v>136260</v>
      </c>
      <c r="AF99" s="121">
        <f t="shared" si="11"/>
        <v>1235.904</v>
      </c>
      <c r="AG99" s="100">
        <f t="shared" si="28"/>
        <v>21454.495999999992</v>
      </c>
      <c r="AH99" s="101">
        <f t="shared" si="29"/>
        <v>34124.095999999998</v>
      </c>
      <c r="AI99" s="102">
        <f t="shared" ref="AI99:AJ99" si="161">AG99/X99</f>
        <v>0.16352512195121946</v>
      </c>
      <c r="AJ99" s="102">
        <f t="shared" si="161"/>
        <v>0.22539033025099073</v>
      </c>
      <c r="AK99" s="103">
        <f>X99-X97</f>
        <v>0</v>
      </c>
      <c r="AL99" s="104"/>
      <c r="AM99" s="17"/>
      <c r="AN99" s="17"/>
      <c r="AO99" s="17"/>
      <c r="AP99" s="17"/>
      <c r="AQ99" s="17"/>
      <c r="AR99" s="17"/>
      <c r="AS99" s="17"/>
      <c r="AT99" s="17"/>
      <c r="AU99" s="17"/>
      <c r="AV99" s="17"/>
      <c r="AW99" s="297"/>
    </row>
    <row r="100" spans="1:49" ht="13.2">
      <c r="A100" s="303">
        <f>HYPERLINK("https://smartstore.naver.com/brickstore2019/products/4556434495",AW:AW)</f>
        <v>4556434495</v>
      </c>
      <c r="B100" s="266"/>
      <c r="C100" s="304" t="s">
        <v>420</v>
      </c>
      <c r="D100" s="117"/>
      <c r="E100" s="304" t="s">
        <v>421</v>
      </c>
      <c r="F100" s="123" t="s">
        <v>55</v>
      </c>
      <c r="G100" s="144" t="str">
        <f>HYPERLINK("https://www.amazon.com/Coleman-Claret-Insulated-Stainless-Seafoam/dp/B0728968XF/ref=sr_1_6?keywords=camping%2Bwine&amp;qid=1560697329&amp;s=gateway&amp;sr=8-6&amp;th=1","A")</f>
        <v>A</v>
      </c>
      <c r="H100" s="93"/>
      <c r="I100" s="93"/>
      <c r="J100" s="93">
        <v>15</v>
      </c>
      <c r="K100" s="111">
        <f t="shared" ref="K100:K104" si="162">IF(L100&gt;0,L100*0.0625,)</f>
        <v>0.35</v>
      </c>
      <c r="L100" s="111">
        <v>5.6</v>
      </c>
      <c r="M100" s="111">
        <f t="shared" si="1"/>
        <v>0.15875719999999999</v>
      </c>
      <c r="N100" s="93">
        <v>0</v>
      </c>
      <c r="O100" s="93">
        <v>0</v>
      </c>
      <c r="P100" s="95">
        <f t="shared" si="2"/>
        <v>15</v>
      </c>
      <c r="Q100" s="96">
        <f t="shared" si="113"/>
        <v>18750</v>
      </c>
      <c r="R100" s="96">
        <v>0</v>
      </c>
      <c r="S100" s="97">
        <f t="shared" si="24"/>
        <v>18800</v>
      </c>
      <c r="T100" s="97">
        <f>ROUNDUP(HLOOKUP(ROUNDUP(K100,0),'배송비 조회'!A$10:U$22,7,0)*C$3,-2)</f>
        <v>9000</v>
      </c>
      <c r="U100" s="97">
        <v>0</v>
      </c>
      <c r="V100" s="97">
        <f t="shared" ref="V100:V105" si="163">ROUND(IF(R100&gt;0,0,(S100+T100)*0.5),-2)</f>
        <v>13900</v>
      </c>
      <c r="W100" s="97">
        <f t="shared" si="103"/>
        <v>13900</v>
      </c>
      <c r="X100" s="98">
        <f t="shared" si="131"/>
        <v>41700</v>
      </c>
      <c r="Y100" s="98">
        <f t="shared" si="27"/>
        <v>41700</v>
      </c>
      <c r="Z100" s="121">
        <v>0</v>
      </c>
      <c r="AA100" s="121">
        <f t="shared" si="6"/>
        <v>1584.6</v>
      </c>
      <c r="AB100" s="121">
        <f t="shared" si="7"/>
        <v>834</v>
      </c>
      <c r="AC100" s="99">
        <f t="shared" si="8"/>
        <v>4170</v>
      </c>
      <c r="AD100" s="121">
        <f t="shared" si="9"/>
        <v>39281.4</v>
      </c>
      <c r="AE100" s="99">
        <f t="shared" si="10"/>
        <v>37530</v>
      </c>
      <c r="AF100" s="121">
        <f t="shared" si="11"/>
        <v>392.81400000000002</v>
      </c>
      <c r="AG100" s="100">
        <f t="shared" si="28"/>
        <v>11138.586000000003</v>
      </c>
      <c r="AH100" s="101">
        <f t="shared" si="29"/>
        <v>9387.1860000000015</v>
      </c>
      <c r="AI100" s="102">
        <f t="shared" ref="AI100:AJ100" si="164">AG100/X100</f>
        <v>0.26711237410071947</v>
      </c>
      <c r="AJ100" s="102">
        <f t="shared" si="164"/>
        <v>0.22511237410071946</v>
      </c>
      <c r="AK100" s="103"/>
      <c r="AL100" s="104"/>
      <c r="AM100" s="17"/>
      <c r="AN100" s="17"/>
      <c r="AO100" s="17"/>
      <c r="AP100" s="17"/>
      <c r="AQ100" s="17"/>
      <c r="AR100" s="17"/>
      <c r="AS100" s="17"/>
      <c r="AT100" s="17"/>
      <c r="AU100" s="17"/>
      <c r="AV100" s="17"/>
      <c r="AW100" s="296">
        <v>4556434495</v>
      </c>
    </row>
    <row r="101" spans="1:49" ht="13.2">
      <c r="A101" s="302"/>
      <c r="B101" s="266"/>
      <c r="C101" s="302"/>
      <c r="D101" s="117"/>
      <c r="E101" s="302"/>
      <c r="F101" s="123" t="s">
        <v>423</v>
      </c>
      <c r="G101" s="144" t="str">
        <f>HYPERLINK("https://www.amazon.com/Coleman-Claret-Insulated-Stainless-Seafoam/dp/B076ZP8ZRM/ref=sr_1_6?keywords=camping%2Bwine&amp;qid=1560697329&amp;s=gateway&amp;sr=8-6&amp;th=1","A")</f>
        <v>A</v>
      </c>
      <c r="H101" s="93"/>
      <c r="I101" s="93"/>
      <c r="J101" s="93">
        <v>15</v>
      </c>
      <c r="K101" s="111">
        <f t="shared" si="162"/>
        <v>0.35</v>
      </c>
      <c r="L101" s="111">
        <v>5.6</v>
      </c>
      <c r="M101" s="111">
        <f t="shared" si="1"/>
        <v>0.15875719999999999</v>
      </c>
      <c r="N101" s="93">
        <v>0</v>
      </c>
      <c r="O101" s="93">
        <v>0</v>
      </c>
      <c r="P101" s="95">
        <f t="shared" si="2"/>
        <v>15</v>
      </c>
      <c r="Q101" s="96">
        <f t="shared" ref="Q101:Q132" si="165">P101*C$3</f>
        <v>18750</v>
      </c>
      <c r="R101" s="96">
        <v>0</v>
      </c>
      <c r="S101" s="97">
        <f t="shared" si="24"/>
        <v>18800</v>
      </c>
      <c r="T101" s="97">
        <f>ROUNDUP(HLOOKUP(ROUNDUP(K101,0),'배송비 조회'!A$10:U$22,7,0)*C$3,-2)</f>
        <v>9000</v>
      </c>
      <c r="U101" s="97">
        <v>0</v>
      </c>
      <c r="V101" s="97">
        <f t="shared" si="163"/>
        <v>13900</v>
      </c>
      <c r="W101" s="97">
        <f t="shared" si="103"/>
        <v>13900</v>
      </c>
      <c r="X101" s="98">
        <f t="shared" si="131"/>
        <v>41700</v>
      </c>
      <c r="Y101" s="98">
        <f t="shared" si="27"/>
        <v>41700</v>
      </c>
      <c r="Z101" s="121">
        <v>0</v>
      </c>
      <c r="AA101" s="121">
        <f t="shared" si="6"/>
        <v>1584.6</v>
      </c>
      <c r="AB101" s="121">
        <f t="shared" si="7"/>
        <v>834</v>
      </c>
      <c r="AC101" s="99">
        <f t="shared" si="8"/>
        <v>4170</v>
      </c>
      <c r="AD101" s="121">
        <f t="shared" si="9"/>
        <v>39281.4</v>
      </c>
      <c r="AE101" s="99">
        <f t="shared" si="10"/>
        <v>37530</v>
      </c>
      <c r="AF101" s="121">
        <f t="shared" si="11"/>
        <v>392.81400000000002</v>
      </c>
      <c r="AG101" s="100">
        <f t="shared" si="28"/>
        <v>11138.586000000003</v>
      </c>
      <c r="AH101" s="101">
        <f t="shared" si="29"/>
        <v>9387.1860000000015</v>
      </c>
      <c r="AI101" s="102">
        <f t="shared" ref="AI101:AJ101" si="166">AG101/X101</f>
        <v>0.26711237410071947</v>
      </c>
      <c r="AJ101" s="102">
        <f t="shared" si="166"/>
        <v>0.22511237410071946</v>
      </c>
      <c r="AK101" s="103"/>
      <c r="AL101" s="104"/>
      <c r="AM101" s="17"/>
      <c r="AN101" s="17"/>
      <c r="AO101" s="17"/>
      <c r="AP101" s="17"/>
      <c r="AQ101" s="17"/>
      <c r="AR101" s="17"/>
      <c r="AS101" s="17"/>
      <c r="AT101" s="17"/>
      <c r="AU101" s="17"/>
      <c r="AV101" s="17"/>
      <c r="AW101" s="297"/>
    </row>
    <row r="102" spans="1:49" ht="13.2">
      <c r="A102" s="302"/>
      <c r="B102" s="266"/>
      <c r="C102" s="302"/>
      <c r="D102" s="117"/>
      <c r="E102" s="302"/>
      <c r="F102" s="123" t="s">
        <v>427</v>
      </c>
      <c r="G102" s="144" t="str">
        <f>HYPERLINK("https://www.amazon.com/Coleman-Claret-Insulated-Stainless-Seafoam/dp/B076ZKR22R/ref=sr_1_6?keywords=camping%2Bwine&amp;qid=1560697329&amp;s=gateway&amp;sr=8-6&amp;th=1","A")</f>
        <v>A</v>
      </c>
      <c r="H102" s="93"/>
      <c r="I102" s="93"/>
      <c r="J102" s="93">
        <v>15</v>
      </c>
      <c r="K102" s="111">
        <f t="shared" si="162"/>
        <v>0.35</v>
      </c>
      <c r="L102" s="111">
        <v>5.6</v>
      </c>
      <c r="M102" s="111">
        <f t="shared" si="1"/>
        <v>0.15875719999999999</v>
      </c>
      <c r="N102" s="93">
        <v>0</v>
      </c>
      <c r="O102" s="93">
        <v>0</v>
      </c>
      <c r="P102" s="95">
        <f t="shared" si="2"/>
        <v>15</v>
      </c>
      <c r="Q102" s="96">
        <f t="shared" si="165"/>
        <v>18750</v>
      </c>
      <c r="R102" s="96">
        <v>0</v>
      </c>
      <c r="S102" s="97">
        <f t="shared" si="24"/>
        <v>18800</v>
      </c>
      <c r="T102" s="97">
        <f>ROUNDUP(HLOOKUP(ROUNDUP(K102,0),'배송비 조회'!A$10:U$22,7,0)*C$3,-2)</f>
        <v>9000</v>
      </c>
      <c r="U102" s="97">
        <v>0</v>
      </c>
      <c r="V102" s="97">
        <f t="shared" si="163"/>
        <v>13900</v>
      </c>
      <c r="W102" s="97">
        <f t="shared" si="103"/>
        <v>13900</v>
      </c>
      <c r="X102" s="98">
        <f t="shared" si="131"/>
        <v>41700</v>
      </c>
      <c r="Y102" s="98">
        <f t="shared" si="27"/>
        <v>41700</v>
      </c>
      <c r="Z102" s="121">
        <v>0</v>
      </c>
      <c r="AA102" s="121">
        <f t="shared" si="6"/>
        <v>1584.6</v>
      </c>
      <c r="AB102" s="121">
        <f t="shared" si="7"/>
        <v>834</v>
      </c>
      <c r="AC102" s="99">
        <f t="shared" si="8"/>
        <v>4170</v>
      </c>
      <c r="AD102" s="121">
        <f t="shared" si="9"/>
        <v>39281.4</v>
      </c>
      <c r="AE102" s="99">
        <f t="shared" si="10"/>
        <v>37530</v>
      </c>
      <c r="AF102" s="121">
        <f t="shared" si="11"/>
        <v>392.81400000000002</v>
      </c>
      <c r="AG102" s="100">
        <f t="shared" si="28"/>
        <v>11138.586000000003</v>
      </c>
      <c r="AH102" s="101">
        <f t="shared" si="29"/>
        <v>9387.1860000000015</v>
      </c>
      <c r="AI102" s="102">
        <f t="shared" ref="AI102:AJ102" si="167">AG102/X102</f>
        <v>0.26711237410071947</v>
      </c>
      <c r="AJ102" s="102">
        <f t="shared" si="167"/>
        <v>0.22511237410071946</v>
      </c>
      <c r="AK102" s="103"/>
      <c r="AL102" s="104"/>
      <c r="AM102" s="17"/>
      <c r="AN102" s="17"/>
      <c r="AO102" s="17"/>
      <c r="AP102" s="17"/>
      <c r="AQ102" s="17"/>
      <c r="AR102" s="17"/>
      <c r="AS102" s="17"/>
      <c r="AT102" s="17"/>
      <c r="AU102" s="17"/>
      <c r="AV102" s="17"/>
      <c r="AW102" s="297"/>
    </row>
    <row r="103" spans="1:49" ht="13.2">
      <c r="A103" s="302"/>
      <c r="B103" s="266"/>
      <c r="C103" s="302"/>
      <c r="D103" s="117"/>
      <c r="E103" s="302"/>
      <c r="F103" s="123" t="s">
        <v>429</v>
      </c>
      <c r="G103" s="144" t="str">
        <f>HYPERLINK("https://www.amazon.com/Coleman-Claret-Insulated-Stainless-Seafoam/dp/B076ZKQL8Z/ref=sr_1_6?keywords=camping%2Bwine&amp;qid=1560697329&amp;s=gateway&amp;sr=8-6&amp;th=1","A")</f>
        <v>A</v>
      </c>
      <c r="H103" s="93"/>
      <c r="I103" s="93"/>
      <c r="J103" s="93">
        <v>15</v>
      </c>
      <c r="K103" s="111">
        <f t="shared" si="162"/>
        <v>0.35</v>
      </c>
      <c r="L103" s="111">
        <v>5.6</v>
      </c>
      <c r="M103" s="111">
        <f t="shared" si="1"/>
        <v>0.15875719999999999</v>
      </c>
      <c r="N103" s="93">
        <v>0</v>
      </c>
      <c r="O103" s="93">
        <v>0</v>
      </c>
      <c r="P103" s="95">
        <f t="shared" si="2"/>
        <v>15</v>
      </c>
      <c r="Q103" s="96">
        <f>P103*C3</f>
        <v>18750</v>
      </c>
      <c r="R103" s="96">
        <v>0</v>
      </c>
      <c r="S103" s="97">
        <f t="shared" si="24"/>
        <v>18800</v>
      </c>
      <c r="T103" s="97">
        <f>ROUNDUP(HLOOKUP(ROUNDUP(K103,0),'배송비 조회'!A$10:U$22,7,0)*C$3,-2)</f>
        <v>9000</v>
      </c>
      <c r="U103" s="97">
        <v>0</v>
      </c>
      <c r="V103" s="97">
        <f t="shared" si="163"/>
        <v>13900</v>
      </c>
      <c r="W103" s="97">
        <f t="shared" si="103"/>
        <v>13900</v>
      </c>
      <c r="X103" s="98">
        <f t="shared" si="131"/>
        <v>41700</v>
      </c>
      <c r="Y103" s="98">
        <f t="shared" si="27"/>
        <v>41700</v>
      </c>
      <c r="Z103" s="121">
        <v>0</v>
      </c>
      <c r="AA103" s="121">
        <f t="shared" si="6"/>
        <v>1584.6</v>
      </c>
      <c r="AB103" s="121">
        <f t="shared" si="7"/>
        <v>834</v>
      </c>
      <c r="AC103" s="99">
        <f t="shared" si="8"/>
        <v>4170</v>
      </c>
      <c r="AD103" s="121">
        <f t="shared" si="9"/>
        <v>39281.4</v>
      </c>
      <c r="AE103" s="99">
        <f t="shared" si="10"/>
        <v>37530</v>
      </c>
      <c r="AF103" s="121">
        <f t="shared" si="11"/>
        <v>392.81400000000002</v>
      </c>
      <c r="AG103" s="100">
        <f t="shared" si="28"/>
        <v>11138.586000000003</v>
      </c>
      <c r="AH103" s="101">
        <f t="shared" si="29"/>
        <v>9387.1860000000015</v>
      </c>
      <c r="AI103" s="102">
        <f t="shared" ref="AI103:AJ103" si="168">AG103/X103</f>
        <v>0.26711237410071947</v>
      </c>
      <c r="AJ103" s="102">
        <f t="shared" si="168"/>
        <v>0.22511237410071946</v>
      </c>
      <c r="AK103" s="103"/>
      <c r="AL103" s="104"/>
      <c r="AM103" s="17"/>
      <c r="AN103" s="17"/>
      <c r="AO103" s="17"/>
      <c r="AP103" s="17"/>
      <c r="AQ103" s="17"/>
      <c r="AR103" s="17"/>
      <c r="AS103" s="17"/>
      <c r="AT103" s="17"/>
      <c r="AU103" s="17"/>
      <c r="AV103" s="17"/>
      <c r="AW103" s="297"/>
    </row>
    <row r="104" spans="1:49" ht="13.2">
      <c r="A104" s="302"/>
      <c r="B104" s="266"/>
      <c r="C104" s="302"/>
      <c r="D104" s="117"/>
      <c r="E104" s="302"/>
      <c r="F104" s="123" t="s">
        <v>431</v>
      </c>
      <c r="G104" s="144" t="str">
        <f>HYPERLINK("https://www.amazon.com/Coleman-Claret-Insulated-Stainless-Seafoam/dp/B071Z7MNP1/ref=sr_1_6?keywords=camping%2Bwine&amp;qid=1560697329&amp;s=gateway&amp;sr=8-6&amp;th=1","A")</f>
        <v>A</v>
      </c>
      <c r="H104" s="93"/>
      <c r="I104" s="93"/>
      <c r="J104" s="93">
        <v>15</v>
      </c>
      <c r="K104" s="111">
        <f t="shared" si="162"/>
        <v>0.35</v>
      </c>
      <c r="L104" s="111">
        <v>5.6</v>
      </c>
      <c r="M104" s="111">
        <f t="shared" si="1"/>
        <v>0.15875719999999999</v>
      </c>
      <c r="N104" s="93">
        <v>0</v>
      </c>
      <c r="O104" s="93">
        <v>0</v>
      </c>
      <c r="P104" s="95">
        <f t="shared" si="2"/>
        <v>15</v>
      </c>
      <c r="Q104" s="96">
        <f>P104*C3</f>
        <v>18750</v>
      </c>
      <c r="R104" s="96">
        <v>0</v>
      </c>
      <c r="S104" s="97">
        <f t="shared" si="24"/>
        <v>18800</v>
      </c>
      <c r="T104" s="97">
        <f>ROUNDUP(HLOOKUP(ROUNDUP(K104,0),'배송비 조회'!A$10:U$22,7,0)*C$3,-2)</f>
        <v>9000</v>
      </c>
      <c r="U104" s="97">
        <v>0</v>
      </c>
      <c r="V104" s="97">
        <f t="shared" si="163"/>
        <v>13900</v>
      </c>
      <c r="W104" s="97">
        <f t="shared" si="103"/>
        <v>13900</v>
      </c>
      <c r="X104" s="98">
        <f t="shared" si="131"/>
        <v>41700</v>
      </c>
      <c r="Y104" s="98">
        <f t="shared" si="27"/>
        <v>41700</v>
      </c>
      <c r="Z104" s="121">
        <v>0</v>
      </c>
      <c r="AA104" s="121">
        <f t="shared" si="6"/>
        <v>1584.6</v>
      </c>
      <c r="AB104" s="121">
        <f t="shared" si="7"/>
        <v>834</v>
      </c>
      <c r="AC104" s="99">
        <f t="shared" si="8"/>
        <v>4170</v>
      </c>
      <c r="AD104" s="121">
        <f t="shared" si="9"/>
        <v>39281.4</v>
      </c>
      <c r="AE104" s="99">
        <f t="shared" si="10"/>
        <v>37530</v>
      </c>
      <c r="AF104" s="121">
        <f t="shared" si="11"/>
        <v>392.81400000000002</v>
      </c>
      <c r="AG104" s="100">
        <f t="shared" si="28"/>
        <v>11138.586000000003</v>
      </c>
      <c r="AH104" s="101">
        <f t="shared" si="29"/>
        <v>9387.1860000000015</v>
      </c>
      <c r="AI104" s="102">
        <f t="shared" ref="AI104:AJ104" si="169">AG104/X104</f>
        <v>0.26711237410071947</v>
      </c>
      <c r="AJ104" s="102">
        <f t="shared" si="169"/>
        <v>0.22511237410071946</v>
      </c>
      <c r="AK104" s="103"/>
      <c r="AL104" s="104"/>
      <c r="AM104" s="17"/>
      <c r="AN104" s="17"/>
      <c r="AO104" s="17"/>
      <c r="AP104" s="17"/>
      <c r="AQ104" s="17"/>
      <c r="AR104" s="17"/>
      <c r="AS104" s="17"/>
      <c r="AT104" s="17"/>
      <c r="AU104" s="17"/>
      <c r="AV104" s="17"/>
      <c r="AW104" s="297"/>
    </row>
    <row r="105" spans="1:49" ht="13.2">
      <c r="A105" s="303">
        <f>HYPERLINK("https://smartstore.naver.com/brickstore2019/products/4556589270",AW:AW)</f>
        <v>4556589270</v>
      </c>
      <c r="B105" s="266"/>
      <c r="C105" s="304" t="s">
        <v>434</v>
      </c>
      <c r="D105" s="117"/>
      <c r="E105" s="304" t="s">
        <v>435</v>
      </c>
      <c r="F105" s="123" t="s">
        <v>436</v>
      </c>
      <c r="G105" s="336" t="str">
        <f>HYPERLINK("https://www.amazon.com/Coffee4u-Stainless-Freestanding-Tabletop-Stemware/dp/B07DVVCY8H/ref=sr_1_2_sspa?keywords=wine%2Bcup%2Bstand&amp;qid=1560697313&amp;s=gateway&amp;sr=8-2-spons&amp;th=1","A")</f>
        <v>A</v>
      </c>
      <c r="H105" s="93"/>
      <c r="I105" s="93"/>
      <c r="J105" s="93">
        <v>19</v>
      </c>
      <c r="K105" s="111">
        <v>1.3</v>
      </c>
      <c r="L105" s="111">
        <f t="shared" ref="L105:L106" si="170">IF(K105&gt;0,K105*16,)</f>
        <v>20.8</v>
      </c>
      <c r="M105" s="111">
        <f t="shared" si="1"/>
        <v>0.58966960000000002</v>
      </c>
      <c r="N105" s="93">
        <v>0</v>
      </c>
      <c r="O105" s="93">
        <v>0</v>
      </c>
      <c r="P105" s="95">
        <f t="shared" si="2"/>
        <v>19</v>
      </c>
      <c r="Q105" s="96">
        <f>P105*C3</f>
        <v>23750</v>
      </c>
      <c r="R105" s="96">
        <v>0</v>
      </c>
      <c r="S105" s="97">
        <f t="shared" si="24"/>
        <v>23800</v>
      </c>
      <c r="T105" s="97">
        <f>ROUNDUP(HLOOKUP(ROUNDUP(K105,0),'배송비 조회'!A$10:U$22,7,0)*C$3,-2)</f>
        <v>11200</v>
      </c>
      <c r="U105" s="97">
        <v>0</v>
      </c>
      <c r="V105" s="97">
        <f t="shared" si="163"/>
        <v>17500</v>
      </c>
      <c r="W105" s="97">
        <f t="shared" si="103"/>
        <v>17500</v>
      </c>
      <c r="X105" s="98">
        <f t="shared" si="131"/>
        <v>52500</v>
      </c>
      <c r="Y105" s="98">
        <f t="shared" si="27"/>
        <v>52500</v>
      </c>
      <c r="Z105" s="121">
        <v>0</v>
      </c>
      <c r="AA105" s="121">
        <f t="shared" si="6"/>
        <v>1995</v>
      </c>
      <c r="AB105" s="121">
        <f t="shared" si="7"/>
        <v>1050</v>
      </c>
      <c r="AC105" s="99">
        <f t="shared" si="8"/>
        <v>5250</v>
      </c>
      <c r="AD105" s="121">
        <f t="shared" si="9"/>
        <v>49455</v>
      </c>
      <c r="AE105" s="99">
        <f t="shared" si="10"/>
        <v>47250</v>
      </c>
      <c r="AF105" s="121">
        <f t="shared" si="11"/>
        <v>494.55</v>
      </c>
      <c r="AG105" s="100">
        <f t="shared" si="28"/>
        <v>14010.45</v>
      </c>
      <c r="AH105" s="101">
        <f t="shared" si="29"/>
        <v>11805.45</v>
      </c>
      <c r="AI105" s="102">
        <f t="shared" ref="AI105:AJ105" si="171">AG105/X105</f>
        <v>0.26686571428571432</v>
      </c>
      <c r="AJ105" s="102">
        <f t="shared" si="171"/>
        <v>0.22486571428571431</v>
      </c>
      <c r="AK105" s="103"/>
      <c r="AL105" s="104"/>
      <c r="AM105" s="17"/>
      <c r="AN105" s="17"/>
      <c r="AO105" s="17"/>
      <c r="AP105" s="17"/>
      <c r="AQ105" s="17"/>
      <c r="AR105" s="17"/>
      <c r="AS105" s="17"/>
      <c r="AT105" s="17"/>
      <c r="AU105" s="17"/>
      <c r="AV105" s="17"/>
      <c r="AW105" s="296">
        <v>4556589270</v>
      </c>
    </row>
    <row r="106" spans="1:49" ht="13.2">
      <c r="A106" s="302"/>
      <c r="B106" s="266"/>
      <c r="C106" s="302"/>
      <c r="D106" s="117"/>
      <c r="E106" s="302"/>
      <c r="F106" s="141" t="s">
        <v>439</v>
      </c>
      <c r="G106" s="302"/>
      <c r="H106" s="93"/>
      <c r="I106" s="93"/>
      <c r="J106" s="93">
        <v>19.989999999999998</v>
      </c>
      <c r="K106" s="111">
        <v>1.3</v>
      </c>
      <c r="L106" s="111">
        <f t="shared" si="170"/>
        <v>20.8</v>
      </c>
      <c r="M106" s="111">
        <f t="shared" si="1"/>
        <v>0.58966960000000002</v>
      </c>
      <c r="N106" s="93">
        <v>0</v>
      </c>
      <c r="O106" s="93">
        <v>5.99</v>
      </c>
      <c r="P106" s="95">
        <f t="shared" si="2"/>
        <v>25.979999999999997</v>
      </c>
      <c r="Q106" s="96">
        <f>P106*C3</f>
        <v>32474.999999999996</v>
      </c>
      <c r="R106" s="96">
        <f>ROUND(Q106*0.5,-2)</f>
        <v>16200</v>
      </c>
      <c r="S106" s="97">
        <f t="shared" si="24"/>
        <v>48700</v>
      </c>
      <c r="T106" s="97">
        <f>ROUNDUP(HLOOKUP(ROUNDUP(K106,0),'배송비 조회'!A$10:U$22,7,0)*C$3,-2)</f>
        <v>11200</v>
      </c>
      <c r="U106" s="97"/>
      <c r="V106" s="97"/>
      <c r="W106" s="97">
        <f t="shared" si="103"/>
        <v>0</v>
      </c>
      <c r="X106" s="98">
        <f>SUM(S106:T106)</f>
        <v>59900</v>
      </c>
      <c r="Y106" s="98">
        <f t="shared" si="27"/>
        <v>59900</v>
      </c>
      <c r="Z106" s="142"/>
      <c r="AA106" s="142">
        <f t="shared" si="6"/>
        <v>2276.1999999999998</v>
      </c>
      <c r="AB106" s="142">
        <f t="shared" si="7"/>
        <v>1198</v>
      </c>
      <c r="AC106" s="99">
        <f t="shared" si="8"/>
        <v>5990</v>
      </c>
      <c r="AD106" s="142">
        <f t="shared" si="9"/>
        <v>56425.8</v>
      </c>
      <c r="AE106" s="99">
        <f t="shared" si="10"/>
        <v>53910</v>
      </c>
      <c r="AF106" s="142">
        <f t="shared" si="11"/>
        <v>564.25800000000004</v>
      </c>
      <c r="AG106" s="100">
        <f t="shared" si="28"/>
        <v>12186.542000000005</v>
      </c>
      <c r="AH106" s="101">
        <f t="shared" si="29"/>
        <v>9670.742000000002</v>
      </c>
      <c r="AI106" s="102">
        <f t="shared" ref="AI106:AJ106" si="172">AG106/X106</f>
        <v>0.20344811352253764</v>
      </c>
      <c r="AJ106" s="102">
        <f t="shared" si="172"/>
        <v>0.1614481135225376</v>
      </c>
      <c r="AK106" s="103"/>
      <c r="AL106" s="104"/>
      <c r="AM106" s="17"/>
      <c r="AN106" s="17"/>
      <c r="AO106" s="17"/>
      <c r="AP106" s="17"/>
      <c r="AQ106" s="17"/>
      <c r="AR106" s="17"/>
      <c r="AS106" s="17"/>
      <c r="AT106" s="17"/>
      <c r="AU106" s="17"/>
      <c r="AV106" s="17"/>
      <c r="AW106" s="297"/>
    </row>
    <row r="107" spans="1:49" ht="13.2">
      <c r="A107" s="115">
        <f>HYPERLINK("https://smartstore.naver.com/brickstore2019/products/4558470291",AW:AW)</f>
        <v>4558470291</v>
      </c>
      <c r="B107" s="265"/>
      <c r="C107" s="116" t="s">
        <v>442</v>
      </c>
      <c r="D107" s="116"/>
      <c r="E107" s="117" t="s">
        <v>443</v>
      </c>
      <c r="F107" s="123"/>
      <c r="G107" s="124" t="str">
        <f>HYPERLINK("https://www.amazon.com/Citizen-Eco-Drive-Chronograph-Stainless-AT2141-52L/dp/B00UMD8ICW/ref=lp_19309464011_1_2?m=ATVPDKIKX0DER&amp;s=apparel&amp;ie=UTF8&amp;qid=1560196108&amp;sr=1-2&amp;nodeID=19309464011&amp;psd=1","A")</f>
        <v>A</v>
      </c>
      <c r="H107" s="125"/>
      <c r="I107" s="125"/>
      <c r="J107" s="93">
        <v>185</v>
      </c>
      <c r="K107" s="111">
        <v>2</v>
      </c>
      <c r="L107" s="111">
        <v>11.8</v>
      </c>
      <c r="M107" s="111">
        <f t="shared" si="1"/>
        <v>0.90718399999999999</v>
      </c>
      <c r="N107" s="93">
        <v>0</v>
      </c>
      <c r="O107" s="93">
        <v>0</v>
      </c>
      <c r="P107" s="95">
        <f t="shared" si="2"/>
        <v>185</v>
      </c>
      <c r="Q107" s="96">
        <f>P107*C3</f>
        <v>231250</v>
      </c>
      <c r="R107" s="96">
        <v>0</v>
      </c>
      <c r="S107" s="97">
        <f t="shared" si="24"/>
        <v>231300</v>
      </c>
      <c r="T107" s="97">
        <f>ROUNDUP(HLOOKUP(ROUNDUP(K107,0),'배송비 조회'!A$10:U$22,7,0)*C$3,-2)</f>
        <v>11200</v>
      </c>
      <c r="U107" s="97">
        <v>0</v>
      </c>
      <c r="V107" s="97">
        <f>ROUND(IF(R107&gt;0,0,(S107+T107)*0.3),-2)</f>
        <v>72800</v>
      </c>
      <c r="W107" s="97">
        <f t="shared" si="103"/>
        <v>121300</v>
      </c>
      <c r="X107" s="98">
        <f t="shared" ref="X107:X223" si="173">IF(R107&gt;0,SUM(S107:T107),SUM(S107:V107))</f>
        <v>315300</v>
      </c>
      <c r="Y107" s="98">
        <f t="shared" si="27"/>
        <v>363800</v>
      </c>
      <c r="Z107" s="121">
        <v>0</v>
      </c>
      <c r="AA107" s="121">
        <f t="shared" si="6"/>
        <v>11981.4</v>
      </c>
      <c r="AB107" s="121">
        <f t="shared" si="7"/>
        <v>6306</v>
      </c>
      <c r="AC107" s="99">
        <f t="shared" si="8"/>
        <v>36380</v>
      </c>
      <c r="AD107" s="121">
        <f t="shared" si="9"/>
        <v>297012.59999999998</v>
      </c>
      <c r="AE107" s="99">
        <f t="shared" si="10"/>
        <v>327420</v>
      </c>
      <c r="AF107" s="121">
        <f t="shared" si="11"/>
        <v>2970.1259999999997</v>
      </c>
      <c r="AG107" s="100">
        <f t="shared" si="28"/>
        <v>51592.47399999998</v>
      </c>
      <c r="AH107" s="101">
        <f t="shared" si="29"/>
        <v>81999.873999999996</v>
      </c>
      <c r="AI107" s="102">
        <f t="shared" ref="AI107:AJ107" si="174">AG107/X107</f>
        <v>0.16362979384712967</v>
      </c>
      <c r="AJ107" s="102">
        <f t="shared" si="174"/>
        <v>0.22539822429906542</v>
      </c>
      <c r="AK107" s="103"/>
      <c r="AL107" s="104"/>
      <c r="AM107" s="17"/>
      <c r="AN107" s="17"/>
      <c r="AO107" s="17"/>
      <c r="AP107" s="17"/>
      <c r="AQ107" s="17"/>
      <c r="AR107" s="17"/>
      <c r="AS107" s="17"/>
      <c r="AT107" s="17"/>
      <c r="AU107" s="17"/>
      <c r="AV107" s="17"/>
      <c r="AW107" s="24">
        <v>4558470291</v>
      </c>
    </row>
    <row r="108" spans="1:49" ht="13.2">
      <c r="A108" s="303">
        <f>HYPERLINK("https://smartstore.naver.com/brickstore2019/products/4560638018",AW:AW)</f>
        <v>4560638018</v>
      </c>
      <c r="B108" s="266"/>
      <c r="C108" s="304" t="s">
        <v>446</v>
      </c>
      <c r="D108" s="117"/>
      <c r="E108" s="335" t="s">
        <v>447</v>
      </c>
      <c r="F108" s="123" t="s">
        <v>242</v>
      </c>
      <c r="G108" s="124" t="str">
        <f>HYPERLINK("https://www.amazon.com/E4hats-NASA-Insignia-Embroidered-Washed/dp/B016Z67TM4/ref=sr_1_3?keywords=nasa%2Bhat&amp;qid=1560951482&amp;s=gateway&amp;sr=8-3&amp;th=1&amp;psc=1","A")</f>
        <v>A</v>
      </c>
      <c r="H108" s="125"/>
      <c r="I108" s="125"/>
      <c r="J108" s="93">
        <v>23</v>
      </c>
      <c r="K108" s="111">
        <v>0.66</v>
      </c>
      <c r="L108" s="111">
        <f t="shared" ref="L108:L109" si="175">IF(K108&gt;0,K108*16,)</f>
        <v>10.56</v>
      </c>
      <c r="M108" s="111">
        <f t="shared" si="1"/>
        <v>0.29937072000000003</v>
      </c>
      <c r="N108" s="93">
        <v>0</v>
      </c>
      <c r="O108" s="93">
        <v>0</v>
      </c>
      <c r="P108" s="95">
        <f t="shared" si="2"/>
        <v>23</v>
      </c>
      <c r="Q108" s="96">
        <f>P108*C3</f>
        <v>28750</v>
      </c>
      <c r="R108" s="96">
        <v>0</v>
      </c>
      <c r="S108" s="97">
        <f t="shared" si="24"/>
        <v>28800</v>
      </c>
      <c r="T108" s="97">
        <f>ROUNDUP(HLOOKUP(ROUNDUP(K108,0),'배송비 조회'!A$10:U$22,7,0)*C$3,-2)</f>
        <v>9000</v>
      </c>
      <c r="U108" s="97">
        <v>0</v>
      </c>
      <c r="V108" s="97">
        <f t="shared" ref="V108:V109" si="176">ROUND(IF(R108&gt;0,0,(S108+T108)*0.5),-2)</f>
        <v>18900</v>
      </c>
      <c r="W108" s="97">
        <f t="shared" si="103"/>
        <v>18900</v>
      </c>
      <c r="X108" s="98">
        <f t="shared" si="173"/>
        <v>56700</v>
      </c>
      <c r="Y108" s="98">
        <f t="shared" si="27"/>
        <v>56700</v>
      </c>
      <c r="Z108" s="121">
        <v>0</v>
      </c>
      <c r="AA108" s="121">
        <f t="shared" si="6"/>
        <v>2154.6</v>
      </c>
      <c r="AB108" s="121">
        <f t="shared" si="7"/>
        <v>1134</v>
      </c>
      <c r="AC108" s="99">
        <f t="shared" si="8"/>
        <v>5670</v>
      </c>
      <c r="AD108" s="121">
        <f t="shared" si="9"/>
        <v>53411.4</v>
      </c>
      <c r="AE108" s="99">
        <f t="shared" si="10"/>
        <v>51030</v>
      </c>
      <c r="AF108" s="121">
        <f t="shared" si="11"/>
        <v>534.11400000000003</v>
      </c>
      <c r="AG108" s="100">
        <f t="shared" si="28"/>
        <v>15127.286</v>
      </c>
      <c r="AH108" s="101">
        <f t="shared" si="29"/>
        <v>12745.885999999999</v>
      </c>
      <c r="AI108" s="102">
        <f t="shared" ref="AI108:AJ108" si="177">AG108/X108</f>
        <v>0.26679516754850086</v>
      </c>
      <c r="AJ108" s="102">
        <f t="shared" si="177"/>
        <v>0.22479516754850085</v>
      </c>
      <c r="AK108" s="103"/>
      <c r="AL108" s="104"/>
      <c r="AM108" s="17"/>
      <c r="AN108" s="17"/>
      <c r="AO108" s="17"/>
      <c r="AP108" s="17"/>
      <c r="AQ108" s="17"/>
      <c r="AR108" s="17"/>
      <c r="AS108" s="17"/>
      <c r="AT108" s="17"/>
      <c r="AU108" s="17"/>
      <c r="AV108" s="17"/>
      <c r="AW108" s="296">
        <v>4560638018</v>
      </c>
    </row>
    <row r="109" spans="1:49" ht="13.2">
      <c r="A109" s="302"/>
      <c r="B109" s="266"/>
      <c r="C109" s="302"/>
      <c r="D109" s="117"/>
      <c r="E109" s="302"/>
      <c r="F109" s="123" t="s">
        <v>92</v>
      </c>
      <c r="G109" s="124" t="str">
        <f>HYPERLINK("https://www.amazon.com/E4hats-NASA-Insignia-Embroidered-Washed/dp/B016Z67WAI/ref=sr_1_3?keywords=nasa%2Bhat&amp;qid=1560951482&amp;s=gateway&amp;sr=8-3&amp;th=1&amp;psc=1","A")</f>
        <v>A</v>
      </c>
      <c r="H109" s="125"/>
      <c r="I109" s="125"/>
      <c r="J109" s="93">
        <v>23</v>
      </c>
      <c r="K109" s="111">
        <v>0.66</v>
      </c>
      <c r="L109" s="111">
        <f t="shared" si="175"/>
        <v>10.56</v>
      </c>
      <c r="M109" s="111">
        <f t="shared" si="1"/>
        <v>0.29937072000000003</v>
      </c>
      <c r="N109" s="93">
        <v>0</v>
      </c>
      <c r="O109" s="93">
        <v>0</v>
      </c>
      <c r="P109" s="95">
        <f t="shared" si="2"/>
        <v>23</v>
      </c>
      <c r="Q109" s="96">
        <f>P109*C3</f>
        <v>28750</v>
      </c>
      <c r="R109" s="96">
        <v>0</v>
      </c>
      <c r="S109" s="97">
        <f t="shared" si="24"/>
        <v>28800</v>
      </c>
      <c r="T109" s="97">
        <f>ROUNDUP(HLOOKUP(ROUNDUP(K109,0),'배송비 조회'!A$10:U$22,7,0)*C$3,-2)</f>
        <v>9000</v>
      </c>
      <c r="U109" s="97">
        <v>0</v>
      </c>
      <c r="V109" s="97">
        <f t="shared" si="176"/>
        <v>18900</v>
      </c>
      <c r="W109" s="97">
        <f t="shared" si="103"/>
        <v>18900</v>
      </c>
      <c r="X109" s="98">
        <f t="shared" si="173"/>
        <v>56700</v>
      </c>
      <c r="Y109" s="98">
        <f t="shared" si="27"/>
        <v>56700</v>
      </c>
      <c r="Z109" s="121">
        <v>0</v>
      </c>
      <c r="AA109" s="121">
        <f t="shared" si="6"/>
        <v>2154.6</v>
      </c>
      <c r="AB109" s="121">
        <f t="shared" si="7"/>
        <v>1134</v>
      </c>
      <c r="AC109" s="99">
        <f t="shared" si="8"/>
        <v>5670</v>
      </c>
      <c r="AD109" s="121">
        <f t="shared" si="9"/>
        <v>53411.4</v>
      </c>
      <c r="AE109" s="99">
        <f t="shared" si="10"/>
        <v>51030</v>
      </c>
      <c r="AF109" s="121">
        <f t="shared" si="11"/>
        <v>534.11400000000003</v>
      </c>
      <c r="AG109" s="100">
        <f t="shared" si="28"/>
        <v>15127.286</v>
      </c>
      <c r="AH109" s="101">
        <f t="shared" si="29"/>
        <v>12745.885999999999</v>
      </c>
      <c r="AI109" s="102">
        <f t="shared" ref="AI109:AJ109" si="178">AG109/X109</f>
        <v>0.26679516754850086</v>
      </c>
      <c r="AJ109" s="102">
        <f t="shared" si="178"/>
        <v>0.22479516754850085</v>
      </c>
      <c r="AK109" s="103"/>
      <c r="AL109" s="104"/>
      <c r="AM109" s="17"/>
      <c r="AN109" s="17"/>
      <c r="AO109" s="17"/>
      <c r="AP109" s="17"/>
      <c r="AQ109" s="17"/>
      <c r="AR109" s="17"/>
      <c r="AS109" s="17"/>
      <c r="AT109" s="17"/>
      <c r="AU109" s="17"/>
      <c r="AV109" s="17"/>
      <c r="AW109" s="297"/>
    </row>
    <row r="110" spans="1:49" ht="13.2">
      <c r="A110" s="119">
        <f>HYPERLINK("https://smartstore.naver.com/brickstore2019/products/4565310486",AW:AW)</f>
        <v>4565310486</v>
      </c>
      <c r="B110" s="266"/>
      <c r="C110" s="117" t="s">
        <v>452</v>
      </c>
      <c r="D110" s="117"/>
      <c r="E110" s="117" t="s">
        <v>453</v>
      </c>
      <c r="F110" s="123"/>
      <c r="G110" s="124" t="str">
        <f>HYPERLINK("https://www.amazon.com/Bifold-Wallet-Credit-Slots-Window/dp/B01BHXN6CC/ref=sr_1_1?keywords=BMW+Bifold+Wallet+with+3+Credit+Card+Slots+and+ID+Window+-+Genuine+Leather&amp;qid=1562076373&amp;s=gateway&amp;sr=8-1","A")</f>
        <v>A</v>
      </c>
      <c r="H110" s="125"/>
      <c r="I110" s="125"/>
      <c r="J110" s="125">
        <v>36.9</v>
      </c>
      <c r="K110" s="111">
        <f t="shared" ref="K110:K113" si="179">IF(L110&gt;0,L110*0.0625,)</f>
        <v>0.3</v>
      </c>
      <c r="L110" s="111">
        <v>4.8</v>
      </c>
      <c r="M110" s="111">
        <f t="shared" si="1"/>
        <v>0.13607759999999999</v>
      </c>
      <c r="N110" s="93">
        <v>0</v>
      </c>
      <c r="O110" s="93">
        <v>0</v>
      </c>
      <c r="P110" s="95">
        <f t="shared" si="2"/>
        <v>36.9</v>
      </c>
      <c r="Q110" s="96">
        <f>P110*C3</f>
        <v>46125</v>
      </c>
      <c r="R110" s="96">
        <v>0</v>
      </c>
      <c r="S110" s="97">
        <f t="shared" si="24"/>
        <v>46100</v>
      </c>
      <c r="T110" s="97">
        <f>ROUNDUP(HLOOKUP(ROUNDUP(K110,0),'배송비 조회'!A$10:U$22,7,0)*C$3,-2)</f>
        <v>9000</v>
      </c>
      <c r="U110" s="97">
        <v>0</v>
      </c>
      <c r="V110" s="97">
        <f t="shared" ref="V110:V114" si="180">ROUND(IF(R110&gt;0,0,(S110+T110)*0.3),-2)</f>
        <v>16500</v>
      </c>
      <c r="W110" s="97">
        <f t="shared" si="103"/>
        <v>27600</v>
      </c>
      <c r="X110" s="98">
        <f t="shared" si="173"/>
        <v>71600</v>
      </c>
      <c r="Y110" s="98">
        <f t="shared" si="27"/>
        <v>82700</v>
      </c>
      <c r="Z110" s="121">
        <v>0</v>
      </c>
      <c r="AA110" s="121">
        <f t="shared" si="6"/>
        <v>2720.7999999999997</v>
      </c>
      <c r="AB110" s="121">
        <f t="shared" si="7"/>
        <v>1432</v>
      </c>
      <c r="AC110" s="99">
        <f t="shared" si="8"/>
        <v>8270</v>
      </c>
      <c r="AD110" s="121">
        <f t="shared" si="9"/>
        <v>67447.199999999997</v>
      </c>
      <c r="AE110" s="99">
        <f t="shared" si="10"/>
        <v>74430</v>
      </c>
      <c r="AF110" s="121">
        <f t="shared" si="11"/>
        <v>674.47199999999998</v>
      </c>
      <c r="AG110" s="100">
        <f t="shared" si="28"/>
        <v>11647.727999999996</v>
      </c>
      <c r="AH110" s="101">
        <f t="shared" si="29"/>
        <v>18630.527999999998</v>
      </c>
      <c r="AI110" s="102">
        <f t="shared" ref="AI110:AJ110" si="181">AG110/X110</f>
        <v>0.16267776536312842</v>
      </c>
      <c r="AJ110" s="102">
        <f t="shared" si="181"/>
        <v>0.22527845223700119</v>
      </c>
      <c r="AK110" s="103"/>
      <c r="AL110" s="104"/>
      <c r="AM110" s="17"/>
      <c r="AN110" s="17"/>
      <c r="AO110" s="17"/>
      <c r="AP110" s="17"/>
      <c r="AQ110" s="17"/>
      <c r="AR110" s="17"/>
      <c r="AS110" s="17"/>
      <c r="AT110" s="17"/>
      <c r="AU110" s="17"/>
      <c r="AV110" s="17"/>
      <c r="AW110" s="22">
        <v>4565310486</v>
      </c>
    </row>
    <row r="111" spans="1:49" ht="13.2">
      <c r="A111" s="119">
        <f>HYPERLINK("https://smartstore.naver.com/brickstore2019/products/4565315221",AW:AW)</f>
        <v>4565315221</v>
      </c>
      <c r="B111" s="266"/>
      <c r="C111" s="117" t="s">
        <v>455</v>
      </c>
      <c r="D111" s="117"/>
      <c r="E111" s="117" t="s">
        <v>456</v>
      </c>
      <c r="F111" s="123"/>
      <c r="G111" s="124" t="str">
        <f>HYPERLINK("https://www.amazon.com/Maserati-Bifold-Wallet-Slots-Window/dp/B01NBFVBF0/ref=sr_1_1?keywords=Maserati+Bifold+Wallet+with+3+Card+Slots+and+ID+Window+-+Genuine+Leather&amp;qid=1562076355&amp;s=gateway&amp;sr=8-1","A")</f>
        <v>A</v>
      </c>
      <c r="H111" s="125"/>
      <c r="I111" s="125"/>
      <c r="J111" s="125">
        <v>36.9</v>
      </c>
      <c r="K111" s="111">
        <f t="shared" si="179"/>
        <v>0.3</v>
      </c>
      <c r="L111" s="111">
        <v>4.8</v>
      </c>
      <c r="M111" s="111">
        <f t="shared" si="1"/>
        <v>0.13607759999999999</v>
      </c>
      <c r="N111" s="93">
        <v>0</v>
      </c>
      <c r="O111" s="93">
        <v>0</v>
      </c>
      <c r="P111" s="95">
        <f t="shared" si="2"/>
        <v>36.9</v>
      </c>
      <c r="Q111" s="96">
        <f>P111*C3</f>
        <v>46125</v>
      </c>
      <c r="R111" s="96">
        <v>0</v>
      </c>
      <c r="S111" s="97">
        <f t="shared" si="24"/>
        <v>46100</v>
      </c>
      <c r="T111" s="97">
        <f>ROUNDUP(HLOOKUP(ROUNDUP(K111,0),'배송비 조회'!A$10:U$22,7,0)*C$3,-2)</f>
        <v>9000</v>
      </c>
      <c r="U111" s="97">
        <v>0</v>
      </c>
      <c r="V111" s="97">
        <f t="shared" si="180"/>
        <v>16500</v>
      </c>
      <c r="W111" s="97">
        <f t="shared" si="103"/>
        <v>27600</v>
      </c>
      <c r="X111" s="98">
        <f t="shared" si="173"/>
        <v>71600</v>
      </c>
      <c r="Y111" s="98">
        <f t="shared" si="27"/>
        <v>82700</v>
      </c>
      <c r="Z111" s="121">
        <v>0</v>
      </c>
      <c r="AA111" s="121">
        <f t="shared" si="6"/>
        <v>2720.7999999999997</v>
      </c>
      <c r="AB111" s="121">
        <f t="shared" si="7"/>
        <v>1432</v>
      </c>
      <c r="AC111" s="99">
        <f t="shared" si="8"/>
        <v>8270</v>
      </c>
      <c r="AD111" s="121">
        <f t="shared" si="9"/>
        <v>67447.199999999997</v>
      </c>
      <c r="AE111" s="99">
        <f t="shared" si="10"/>
        <v>74430</v>
      </c>
      <c r="AF111" s="121">
        <f t="shared" si="11"/>
        <v>674.47199999999998</v>
      </c>
      <c r="AG111" s="100">
        <f t="shared" si="28"/>
        <v>11647.727999999996</v>
      </c>
      <c r="AH111" s="101">
        <f t="shared" si="29"/>
        <v>18630.527999999998</v>
      </c>
      <c r="AI111" s="102">
        <f t="shared" ref="AI111:AJ111" si="182">AG111/X111</f>
        <v>0.16267776536312842</v>
      </c>
      <c r="AJ111" s="102">
        <f t="shared" si="182"/>
        <v>0.22527845223700119</v>
      </c>
      <c r="AK111" s="103"/>
      <c r="AL111" s="104"/>
      <c r="AM111" s="17"/>
      <c r="AN111" s="17"/>
      <c r="AO111" s="17"/>
      <c r="AP111" s="17"/>
      <c r="AQ111" s="17"/>
      <c r="AR111" s="17"/>
      <c r="AS111" s="17"/>
      <c r="AT111" s="17"/>
      <c r="AU111" s="17"/>
      <c r="AV111" s="17"/>
      <c r="AW111" s="22">
        <v>4565315221</v>
      </c>
    </row>
    <row r="112" spans="1:49" ht="13.2">
      <c r="A112" s="119">
        <f>HYPERLINK("https://smartstore.naver.com/brickstore2019/products/4565318624",AW:AW)</f>
        <v>4565318624</v>
      </c>
      <c r="B112" s="266"/>
      <c r="C112" s="117" t="s">
        <v>458</v>
      </c>
      <c r="D112" s="117"/>
      <c r="E112" s="117" t="s">
        <v>459</v>
      </c>
      <c r="F112" s="123"/>
      <c r="G112" s="124" t="str">
        <f>HYPERLINK("https://www.amazon.com/Mercedes-Bifold-Wallet-Slots-Window/dp/B01BHXGGBA/ref=sr_1_1?keywords=Mercedes+Benz+Bifold+Wallet+with+3+Card+Slots+and+ID+Window+-+Genuine+Leather&amp;qid=1562076340&amp;s=gateway&amp;sr=8-1","A")</f>
        <v>A</v>
      </c>
      <c r="H112" s="125"/>
      <c r="I112" s="125"/>
      <c r="J112" s="125">
        <v>36.9</v>
      </c>
      <c r="K112" s="111">
        <f t="shared" si="179"/>
        <v>0.25</v>
      </c>
      <c r="L112" s="111">
        <v>4</v>
      </c>
      <c r="M112" s="111">
        <f t="shared" si="1"/>
        <v>0.113398</v>
      </c>
      <c r="N112" s="93">
        <v>0</v>
      </c>
      <c r="O112" s="93">
        <v>0</v>
      </c>
      <c r="P112" s="95">
        <f t="shared" si="2"/>
        <v>36.9</v>
      </c>
      <c r="Q112" s="96">
        <f>P112*C3</f>
        <v>46125</v>
      </c>
      <c r="R112" s="96">
        <v>0</v>
      </c>
      <c r="S112" s="97">
        <f t="shared" si="24"/>
        <v>46100</v>
      </c>
      <c r="T112" s="97">
        <f>ROUNDUP(HLOOKUP(ROUNDUP(K112,0),'배송비 조회'!A$10:U$22,7,0)*C$3,-2)</f>
        <v>9000</v>
      </c>
      <c r="U112" s="97">
        <v>0</v>
      </c>
      <c r="V112" s="97">
        <f t="shared" si="180"/>
        <v>16500</v>
      </c>
      <c r="W112" s="97">
        <f t="shared" si="103"/>
        <v>27600</v>
      </c>
      <c r="X112" s="98">
        <f t="shared" si="173"/>
        <v>71600</v>
      </c>
      <c r="Y112" s="98">
        <f t="shared" si="27"/>
        <v>82700</v>
      </c>
      <c r="Z112" s="121">
        <v>0</v>
      </c>
      <c r="AA112" s="121">
        <f t="shared" si="6"/>
        <v>2720.7999999999997</v>
      </c>
      <c r="AB112" s="121">
        <f t="shared" si="7"/>
        <v>1432</v>
      </c>
      <c r="AC112" s="99">
        <f t="shared" si="8"/>
        <v>8270</v>
      </c>
      <c r="AD112" s="121">
        <f t="shared" si="9"/>
        <v>67447.199999999997</v>
      </c>
      <c r="AE112" s="99">
        <f t="shared" si="10"/>
        <v>74430</v>
      </c>
      <c r="AF112" s="121">
        <f t="shared" si="11"/>
        <v>674.47199999999998</v>
      </c>
      <c r="AG112" s="100">
        <f t="shared" si="28"/>
        <v>11647.727999999996</v>
      </c>
      <c r="AH112" s="101">
        <f t="shared" si="29"/>
        <v>18630.527999999998</v>
      </c>
      <c r="AI112" s="102">
        <f t="shared" ref="AI112:AJ112" si="183">AG112/X112</f>
        <v>0.16267776536312842</v>
      </c>
      <c r="AJ112" s="102">
        <f t="shared" si="183"/>
        <v>0.22527845223700119</v>
      </c>
      <c r="AK112" s="103"/>
      <c r="AL112" s="104"/>
      <c r="AM112" s="17"/>
      <c r="AN112" s="17"/>
      <c r="AO112" s="17"/>
      <c r="AP112" s="17"/>
      <c r="AQ112" s="17"/>
      <c r="AR112" s="17"/>
      <c r="AS112" s="17"/>
      <c r="AT112" s="17"/>
      <c r="AU112" s="17"/>
      <c r="AV112" s="17"/>
      <c r="AW112" s="22">
        <v>4565318624</v>
      </c>
    </row>
    <row r="113" spans="1:49" ht="13.2">
      <c r="A113" s="119">
        <f>HYPERLINK("https://smartstore.naver.com/brickstore2019/products/4565416625",AW:AW)</f>
        <v>4565416625</v>
      </c>
      <c r="B113" s="266"/>
      <c r="C113" s="117" t="s">
        <v>461</v>
      </c>
      <c r="D113" s="117"/>
      <c r="E113" s="117" t="s">
        <v>462</v>
      </c>
      <c r="F113" s="123"/>
      <c r="G113" s="124" t="str">
        <f>HYPERLINK("https://www.amazon.com/Peak-Design-Tech-Pouch-Black/dp/B07GH28WNB/ref=sr_1_3?keywords=peak+design+tech+pouch&amp;qid=1561254354&amp;s=gateway&amp;sr=8-3","A")</f>
        <v>A</v>
      </c>
      <c r="H113" s="125"/>
      <c r="I113" s="125"/>
      <c r="J113" s="125">
        <v>60</v>
      </c>
      <c r="K113" s="111">
        <f t="shared" si="179"/>
        <v>0.66249999999999998</v>
      </c>
      <c r="L113" s="111">
        <v>10.6</v>
      </c>
      <c r="M113" s="111">
        <f t="shared" si="1"/>
        <v>0.30050470000000001</v>
      </c>
      <c r="N113" s="93">
        <v>0</v>
      </c>
      <c r="O113" s="93">
        <v>0</v>
      </c>
      <c r="P113" s="95">
        <f t="shared" si="2"/>
        <v>60</v>
      </c>
      <c r="Q113" s="96">
        <f>P113*C3</f>
        <v>75000</v>
      </c>
      <c r="R113" s="96">
        <v>0</v>
      </c>
      <c r="S113" s="97">
        <f t="shared" si="24"/>
        <v>75000</v>
      </c>
      <c r="T113" s="97">
        <f>ROUNDUP(HLOOKUP(ROUNDUP(K113,0),'배송비 조회'!A$10:U$22,7,0)*C$3,-2)</f>
        <v>9000</v>
      </c>
      <c r="U113" s="97">
        <v>0</v>
      </c>
      <c r="V113" s="97">
        <f t="shared" si="180"/>
        <v>25200</v>
      </c>
      <c r="W113" s="97">
        <f t="shared" si="103"/>
        <v>42000</v>
      </c>
      <c r="X113" s="98">
        <f t="shared" si="173"/>
        <v>109200</v>
      </c>
      <c r="Y113" s="98">
        <f t="shared" si="27"/>
        <v>126000</v>
      </c>
      <c r="Z113" s="121">
        <v>0</v>
      </c>
      <c r="AA113" s="121">
        <f t="shared" si="6"/>
        <v>4149.5999999999995</v>
      </c>
      <c r="AB113" s="121">
        <f t="shared" si="7"/>
        <v>2184</v>
      </c>
      <c r="AC113" s="99">
        <f t="shared" si="8"/>
        <v>12600</v>
      </c>
      <c r="AD113" s="121">
        <f t="shared" si="9"/>
        <v>102866.4</v>
      </c>
      <c r="AE113" s="99">
        <f t="shared" si="10"/>
        <v>113400</v>
      </c>
      <c r="AF113" s="121">
        <f t="shared" si="11"/>
        <v>1028.664</v>
      </c>
      <c r="AG113" s="100">
        <f t="shared" si="28"/>
        <v>17837.735999999994</v>
      </c>
      <c r="AH113" s="101">
        <f t="shared" si="29"/>
        <v>28371.336000000003</v>
      </c>
      <c r="AI113" s="102">
        <f t="shared" ref="AI113:AJ113" si="184">AG113/X113</f>
        <v>0.16334923076923072</v>
      </c>
      <c r="AJ113" s="102">
        <f t="shared" si="184"/>
        <v>0.22516933333333336</v>
      </c>
      <c r="AK113" s="103"/>
      <c r="AL113" s="104"/>
      <c r="AM113" s="17"/>
      <c r="AN113" s="17"/>
      <c r="AO113" s="17"/>
      <c r="AP113" s="17"/>
      <c r="AQ113" s="17"/>
      <c r="AR113" s="17"/>
      <c r="AS113" s="17"/>
      <c r="AT113" s="17"/>
      <c r="AU113" s="17"/>
      <c r="AV113" s="17"/>
      <c r="AW113" s="22">
        <v>4565416625</v>
      </c>
    </row>
    <row r="114" spans="1:49" ht="13.2">
      <c r="A114" s="303">
        <f>HYPERLINK("https://smartstore.naver.com/brickstore2019/products/4565526879",AW:AW)</f>
        <v>4565526879</v>
      </c>
      <c r="B114" s="266"/>
      <c r="C114" s="304" t="s">
        <v>464</v>
      </c>
      <c r="D114" s="117"/>
      <c r="E114" s="304" t="s">
        <v>465</v>
      </c>
      <c r="F114" s="123" t="s">
        <v>466</v>
      </c>
      <c r="G114" s="281" t="s">
        <v>1293</v>
      </c>
      <c r="H114" s="125"/>
      <c r="I114" s="125"/>
      <c r="J114" s="125">
        <v>130</v>
      </c>
      <c r="K114" s="111">
        <v>1.46</v>
      </c>
      <c r="L114" s="111">
        <f t="shared" ref="L114:L115" si="185">IF(K114&gt;0,K114*16,)</f>
        <v>23.36</v>
      </c>
      <c r="M114" s="111">
        <f t="shared" si="1"/>
        <v>0.66224432</v>
      </c>
      <c r="N114" s="93">
        <v>0</v>
      </c>
      <c r="O114" s="93">
        <v>0</v>
      </c>
      <c r="P114" s="95">
        <f t="shared" si="2"/>
        <v>130</v>
      </c>
      <c r="Q114" s="96">
        <f>P114*C3</f>
        <v>162500</v>
      </c>
      <c r="R114" s="96">
        <v>0</v>
      </c>
      <c r="S114" s="97">
        <f t="shared" si="24"/>
        <v>162500</v>
      </c>
      <c r="T114" s="97">
        <f>ROUNDUP(HLOOKUP(ROUNDUP(K114,0),'배송비 조회'!A$10:U$22,7,0)*C$3,-2)</f>
        <v>11200</v>
      </c>
      <c r="U114" s="97">
        <v>0</v>
      </c>
      <c r="V114" s="97">
        <f t="shared" si="180"/>
        <v>52100</v>
      </c>
      <c r="W114" s="97">
        <f t="shared" si="103"/>
        <v>86900</v>
      </c>
      <c r="X114" s="98">
        <f t="shared" si="173"/>
        <v>225800</v>
      </c>
      <c r="Y114" s="98">
        <f t="shared" si="27"/>
        <v>260600</v>
      </c>
      <c r="Z114" s="121">
        <v>0</v>
      </c>
      <c r="AA114" s="121">
        <f t="shared" si="6"/>
        <v>8580.4</v>
      </c>
      <c r="AB114" s="121">
        <f t="shared" si="7"/>
        <v>4516</v>
      </c>
      <c r="AC114" s="99">
        <f t="shared" si="8"/>
        <v>26060</v>
      </c>
      <c r="AD114" s="121">
        <f t="shared" si="9"/>
        <v>212703.6</v>
      </c>
      <c r="AE114" s="99">
        <f t="shared" si="10"/>
        <v>234540</v>
      </c>
      <c r="AF114" s="121">
        <f t="shared" si="11"/>
        <v>2127.0360000000001</v>
      </c>
      <c r="AG114" s="100">
        <f t="shared" si="28"/>
        <v>36876.564000000006</v>
      </c>
      <c r="AH114" s="101">
        <f t="shared" si="29"/>
        <v>58712.964000000007</v>
      </c>
      <c r="AI114" s="102">
        <f t="shared" ref="AI114:AJ114" si="186">AG114/X114</f>
        <v>0.16331516386182465</v>
      </c>
      <c r="AJ114" s="102">
        <f t="shared" si="186"/>
        <v>0.225299171143515</v>
      </c>
      <c r="AK114" s="103">
        <f>X114-X115</f>
        <v>-100700</v>
      </c>
      <c r="AL114" s="104"/>
      <c r="AM114" s="17"/>
      <c r="AN114" s="17"/>
      <c r="AO114" s="17"/>
      <c r="AP114" s="17"/>
      <c r="AQ114" s="17"/>
      <c r="AR114" s="17"/>
      <c r="AS114" s="17"/>
      <c r="AT114" s="17"/>
      <c r="AU114" s="17"/>
      <c r="AV114" s="17"/>
      <c r="AW114" s="296">
        <v>4565526879</v>
      </c>
    </row>
    <row r="115" spans="1:49" ht="13.2">
      <c r="A115" s="302"/>
      <c r="B115" s="266"/>
      <c r="C115" s="302"/>
      <c r="D115" s="117"/>
      <c r="E115" s="302"/>
      <c r="F115" s="91" t="s">
        <v>469</v>
      </c>
      <c r="G115" s="282" t="s">
        <v>1293</v>
      </c>
      <c r="H115" s="93"/>
      <c r="I115" s="93"/>
      <c r="J115" s="125">
        <v>200</v>
      </c>
      <c r="K115" s="111">
        <v>1.46</v>
      </c>
      <c r="L115" s="111">
        <f t="shared" si="185"/>
        <v>23.36</v>
      </c>
      <c r="M115" s="111">
        <f t="shared" si="1"/>
        <v>0.66224432</v>
      </c>
      <c r="N115" s="93">
        <v>0</v>
      </c>
      <c r="O115" s="93">
        <v>0</v>
      </c>
      <c r="P115" s="95">
        <f t="shared" si="2"/>
        <v>200</v>
      </c>
      <c r="Q115" s="96">
        <f>P115*C3</f>
        <v>250000</v>
      </c>
      <c r="R115" s="96">
        <v>0</v>
      </c>
      <c r="S115" s="97">
        <f t="shared" si="24"/>
        <v>250000</v>
      </c>
      <c r="T115" s="97">
        <f>ROUNDUP(HLOOKUP(ROUNDUP(K115,0),'배송비 조회'!A$10:U$22,7,0)*C$3,-2)</f>
        <v>11200</v>
      </c>
      <c r="U115" s="97">
        <v>0</v>
      </c>
      <c r="V115" s="97">
        <f>ROUND(IF(R115&gt;0,0,(S115+T115)*0.25),-2)</f>
        <v>65300</v>
      </c>
      <c r="W115" s="97">
        <f t="shared" si="103"/>
        <v>130600</v>
      </c>
      <c r="X115" s="98">
        <f t="shared" si="173"/>
        <v>326500</v>
      </c>
      <c r="Y115" s="98">
        <f t="shared" si="27"/>
        <v>391800</v>
      </c>
      <c r="Z115" s="121">
        <v>0</v>
      </c>
      <c r="AA115" s="121">
        <f t="shared" si="6"/>
        <v>12407</v>
      </c>
      <c r="AB115" s="121">
        <f t="shared" si="7"/>
        <v>6530</v>
      </c>
      <c r="AC115" s="99">
        <f t="shared" si="8"/>
        <v>39180</v>
      </c>
      <c r="AD115" s="121">
        <f t="shared" si="9"/>
        <v>307563</v>
      </c>
      <c r="AE115" s="99">
        <f t="shared" si="10"/>
        <v>352620</v>
      </c>
      <c r="AF115" s="121">
        <f t="shared" si="11"/>
        <v>3075.63</v>
      </c>
      <c r="AG115" s="100">
        <f t="shared" si="28"/>
        <v>43287.37</v>
      </c>
      <c r="AH115" s="101">
        <f t="shared" si="29"/>
        <v>88344.37</v>
      </c>
      <c r="AI115" s="102">
        <f t="shared" ref="AI115:AJ115" si="187">AG115/X115</f>
        <v>0.13258</v>
      </c>
      <c r="AJ115" s="102">
        <f t="shared" si="187"/>
        <v>0.22548333333333331</v>
      </c>
      <c r="AK115" s="103"/>
      <c r="AL115" s="104"/>
      <c r="AM115" s="17"/>
      <c r="AN115" s="17"/>
      <c r="AO115" s="17"/>
      <c r="AP115" s="17"/>
      <c r="AQ115" s="17"/>
      <c r="AR115" s="17"/>
      <c r="AS115" s="17"/>
      <c r="AT115" s="17"/>
      <c r="AU115" s="17"/>
      <c r="AV115" s="17"/>
      <c r="AW115" s="297"/>
    </row>
    <row r="116" spans="1:49" ht="13.2">
      <c r="A116" s="303">
        <f>HYPERLINK("https://smartstore.naver.com/brickstore2019/products/4565620710",AW:AW)</f>
        <v>4565620710</v>
      </c>
      <c r="B116" s="266"/>
      <c r="C116" s="304" t="s">
        <v>471</v>
      </c>
      <c r="D116" s="117"/>
      <c r="E116" s="304" t="s">
        <v>472</v>
      </c>
      <c r="F116" s="123" t="s">
        <v>55</v>
      </c>
      <c r="G116" s="124" t="str">
        <f>HYPERLINK("https://www.amazon.com/Wireless-Bluetooth-Adapter-QuietComfort-Headphones/dp/B01MTQGY69/ref=sr_1_1_sspa?crid=191Z2KBK481UZ&amp;keywords=bose%2Bqc25%2Bbluetooth%2Badapter&amp;qid=1561257912&amp;s=gateway&amp;sprefix=bose%2Bqc25%2Bblu%2Caps%2C561&amp;sr=8-1-spons&amp;th=1","A")</f>
        <v>A</v>
      </c>
      <c r="H116" s="125"/>
      <c r="I116" s="125"/>
      <c r="J116" s="125">
        <v>50</v>
      </c>
      <c r="K116" s="111">
        <f t="shared" ref="K116:K122" si="188">IF(L116&gt;0,L116*0.0625,)</f>
        <v>0.04</v>
      </c>
      <c r="L116" s="111">
        <v>0.64</v>
      </c>
      <c r="M116" s="111">
        <f t="shared" si="1"/>
        <v>1.8143679999999999E-2</v>
      </c>
      <c r="N116" s="93">
        <v>0</v>
      </c>
      <c r="O116" s="93">
        <v>0</v>
      </c>
      <c r="P116" s="95">
        <f t="shared" si="2"/>
        <v>50</v>
      </c>
      <c r="Q116" s="96">
        <f>P116*C3</f>
        <v>62500</v>
      </c>
      <c r="R116" s="96">
        <v>0</v>
      </c>
      <c r="S116" s="97">
        <f t="shared" si="24"/>
        <v>62500</v>
      </c>
      <c r="T116" s="97">
        <f>ROUNDUP(HLOOKUP(ROUNDUP(K116,0),'배송비 조회'!A$10:U$22,7,0)*C$3,-2)</f>
        <v>9000</v>
      </c>
      <c r="U116" s="97">
        <v>0</v>
      </c>
      <c r="V116" s="97">
        <f t="shared" ref="V116:V117" si="189">ROUND(IF(R116&gt;0,0,(S116+T116)*0.3),-2)</f>
        <v>21500</v>
      </c>
      <c r="W116" s="97">
        <f t="shared" si="103"/>
        <v>35800</v>
      </c>
      <c r="X116" s="98">
        <f t="shared" si="173"/>
        <v>93000</v>
      </c>
      <c r="Y116" s="98">
        <f t="shared" si="27"/>
        <v>107300</v>
      </c>
      <c r="Z116" s="121">
        <v>0</v>
      </c>
      <c r="AA116" s="121">
        <f t="shared" si="6"/>
        <v>3534</v>
      </c>
      <c r="AB116" s="121">
        <f t="shared" si="7"/>
        <v>1860</v>
      </c>
      <c r="AC116" s="99">
        <f t="shared" si="8"/>
        <v>10730</v>
      </c>
      <c r="AD116" s="121">
        <f t="shared" si="9"/>
        <v>87606</v>
      </c>
      <c r="AE116" s="99">
        <f t="shared" si="10"/>
        <v>96570</v>
      </c>
      <c r="AF116" s="121">
        <f t="shared" si="11"/>
        <v>876.06000000000006</v>
      </c>
      <c r="AG116" s="100">
        <f t="shared" si="28"/>
        <v>15229.939999999999</v>
      </c>
      <c r="AH116" s="101">
        <f t="shared" si="29"/>
        <v>24193.940000000002</v>
      </c>
      <c r="AI116" s="102">
        <f t="shared" ref="AI116:AJ116" si="190">AG116/X116</f>
        <v>0.16376279569892471</v>
      </c>
      <c r="AJ116" s="102">
        <f t="shared" si="190"/>
        <v>0.22547940354147253</v>
      </c>
      <c r="AK116" s="103"/>
      <c r="AL116" s="104"/>
      <c r="AM116" s="17"/>
      <c r="AN116" s="17"/>
      <c r="AO116" s="17"/>
      <c r="AP116" s="17"/>
      <c r="AQ116" s="17"/>
      <c r="AR116" s="17"/>
      <c r="AS116" s="17"/>
      <c r="AT116" s="17"/>
      <c r="AU116" s="17"/>
      <c r="AV116" s="17"/>
      <c r="AW116" s="296">
        <v>4565620710</v>
      </c>
    </row>
    <row r="117" spans="1:49" ht="13.2">
      <c r="A117" s="302"/>
      <c r="B117" s="266"/>
      <c r="C117" s="302"/>
      <c r="D117" s="117"/>
      <c r="E117" s="302"/>
      <c r="F117" s="108" t="s">
        <v>98</v>
      </c>
      <c r="G117" s="109" t="str">
        <f>HYPERLINK("https://www.amazon.com/Wireless-Bluetooth-Adapter-QuietComfort-Headphones/dp/B07FN56NJH/ref=sr_1_1_sspa?crid=191Z2KBK481UZ&amp;keywords=bose%2Bqc25%2Bbluetooth%2Badapter&amp;qid=1561257912&amp;s=gateway&amp;sprefix=bose%2Bqc25%2Bblu%2Caps%2C561&amp;sr=8-1-spons&amp;th=1","A")</f>
        <v>A</v>
      </c>
      <c r="H117" s="110"/>
      <c r="I117" s="110"/>
      <c r="J117" s="110">
        <v>50</v>
      </c>
      <c r="K117" s="153">
        <f t="shared" si="188"/>
        <v>0.04</v>
      </c>
      <c r="L117" s="153">
        <v>0.64</v>
      </c>
      <c r="M117" s="153">
        <f t="shared" si="1"/>
        <v>1.8143679999999999E-2</v>
      </c>
      <c r="N117" s="110">
        <v>0</v>
      </c>
      <c r="O117" s="110">
        <v>0</v>
      </c>
      <c r="P117" s="154">
        <f t="shared" si="2"/>
        <v>50</v>
      </c>
      <c r="Q117" s="155">
        <f>P117*C3</f>
        <v>62500</v>
      </c>
      <c r="R117" s="155">
        <v>0</v>
      </c>
      <c r="S117" s="155">
        <f t="shared" si="24"/>
        <v>62500</v>
      </c>
      <c r="T117" s="155">
        <f>ROUNDUP(HLOOKUP(ROUNDUP(K117,0),'배송비 조회'!A$10:U$22,7,0)*C$3,-2)</f>
        <v>9000</v>
      </c>
      <c r="U117" s="155">
        <v>0</v>
      </c>
      <c r="V117" s="155">
        <f t="shared" si="189"/>
        <v>21500</v>
      </c>
      <c r="W117" s="155">
        <f t="shared" si="103"/>
        <v>35800</v>
      </c>
      <c r="X117" s="155">
        <f t="shared" si="173"/>
        <v>93000</v>
      </c>
      <c r="Y117" s="155">
        <f t="shared" si="27"/>
        <v>107300</v>
      </c>
      <c r="Z117" s="133">
        <v>0</v>
      </c>
      <c r="AA117" s="133">
        <f t="shared" si="6"/>
        <v>3534</v>
      </c>
      <c r="AB117" s="133">
        <f t="shared" si="7"/>
        <v>1860</v>
      </c>
      <c r="AC117" s="133">
        <f t="shared" si="8"/>
        <v>10730</v>
      </c>
      <c r="AD117" s="133">
        <f t="shared" si="9"/>
        <v>87606</v>
      </c>
      <c r="AE117" s="133">
        <f t="shared" si="10"/>
        <v>96570</v>
      </c>
      <c r="AF117" s="133">
        <f t="shared" si="11"/>
        <v>876.06000000000006</v>
      </c>
      <c r="AG117" s="155">
        <f t="shared" si="28"/>
        <v>15229.939999999999</v>
      </c>
      <c r="AH117" s="155">
        <f t="shared" si="29"/>
        <v>24193.940000000002</v>
      </c>
      <c r="AI117" s="156">
        <f t="shared" ref="AI117:AJ117" si="191">AG117/X117</f>
        <v>0.16376279569892471</v>
      </c>
      <c r="AJ117" s="156">
        <f t="shared" si="191"/>
        <v>0.22547940354147253</v>
      </c>
      <c r="AK117" s="103"/>
      <c r="AL117" s="104"/>
      <c r="AM117" s="17"/>
      <c r="AN117" s="17"/>
      <c r="AO117" s="17"/>
      <c r="AP117" s="17"/>
      <c r="AQ117" s="17"/>
      <c r="AR117" s="17"/>
      <c r="AS117" s="17"/>
      <c r="AT117" s="17"/>
      <c r="AU117" s="17"/>
      <c r="AV117" s="17"/>
      <c r="AW117" s="297"/>
    </row>
    <row r="118" spans="1:49" ht="13.2">
      <c r="A118" s="119">
        <f>HYPERLINK("https://smartstore.naver.com/brickstore2019/products/4567420947",AW:AW)</f>
        <v>4567420947</v>
      </c>
      <c r="B118" s="266"/>
      <c r="C118" s="117" t="s">
        <v>475</v>
      </c>
      <c r="D118" s="117"/>
      <c r="E118" s="117" t="s">
        <v>476</v>
      </c>
      <c r="F118" s="123"/>
      <c r="G118" s="124" t="str">
        <f>HYPERLINK("https://www.amazon.com/dp/B076XNFGW4/ref=cm_sw_r_cp_api_i_a6leDbAPGYHBZ","A")</f>
        <v>A</v>
      </c>
      <c r="H118" s="125"/>
      <c r="I118" s="125"/>
      <c r="J118" s="93">
        <v>32</v>
      </c>
      <c r="K118" s="111">
        <f t="shared" si="188"/>
        <v>0.35</v>
      </c>
      <c r="L118" s="111">
        <v>5.6</v>
      </c>
      <c r="M118" s="111">
        <f t="shared" si="1"/>
        <v>0.15875719999999999</v>
      </c>
      <c r="N118" s="93">
        <v>0</v>
      </c>
      <c r="O118" s="93">
        <v>0</v>
      </c>
      <c r="P118" s="95">
        <f t="shared" si="2"/>
        <v>32</v>
      </c>
      <c r="Q118" s="96">
        <f>P118*C3</f>
        <v>40000</v>
      </c>
      <c r="R118" s="96">
        <v>0</v>
      </c>
      <c r="S118" s="97">
        <f t="shared" si="24"/>
        <v>40000</v>
      </c>
      <c r="T118" s="97">
        <f>ROUNDUP(HLOOKUP(ROUNDUP(K118,0),'배송비 조회'!A$10:U$22,7,0)*C$3,-2)</f>
        <v>9000</v>
      </c>
      <c r="U118" s="97">
        <v>0</v>
      </c>
      <c r="V118" s="97">
        <f>ROUND(IF(R118&gt;0,0,(S118+T118)*0.5),-2)</f>
        <v>24500</v>
      </c>
      <c r="W118" s="97">
        <f t="shared" si="103"/>
        <v>24500</v>
      </c>
      <c r="X118" s="98">
        <f t="shared" si="173"/>
        <v>73500</v>
      </c>
      <c r="Y118" s="98">
        <f t="shared" si="27"/>
        <v>73500</v>
      </c>
      <c r="Z118" s="121">
        <v>0</v>
      </c>
      <c r="AA118" s="121">
        <f t="shared" si="6"/>
        <v>2793</v>
      </c>
      <c r="AB118" s="121">
        <f t="shared" si="7"/>
        <v>1470</v>
      </c>
      <c r="AC118" s="99">
        <f t="shared" si="8"/>
        <v>7350</v>
      </c>
      <c r="AD118" s="121">
        <f t="shared" si="9"/>
        <v>69237</v>
      </c>
      <c r="AE118" s="99">
        <f t="shared" si="10"/>
        <v>66150</v>
      </c>
      <c r="AF118" s="121">
        <f t="shared" si="11"/>
        <v>692.37</v>
      </c>
      <c r="AG118" s="100">
        <f t="shared" si="28"/>
        <v>19544.63</v>
      </c>
      <c r="AH118" s="101">
        <f t="shared" si="29"/>
        <v>16457.63</v>
      </c>
      <c r="AI118" s="102">
        <f t="shared" ref="AI118:AJ118" si="192">AG118/X118</f>
        <v>0.26591333333333333</v>
      </c>
      <c r="AJ118" s="102">
        <f t="shared" si="192"/>
        <v>0.22391333333333335</v>
      </c>
      <c r="AK118" s="103"/>
      <c r="AL118" s="104"/>
      <c r="AM118" s="17"/>
      <c r="AN118" s="17"/>
      <c r="AO118" s="17"/>
      <c r="AP118" s="17"/>
      <c r="AQ118" s="17"/>
      <c r="AR118" s="17"/>
      <c r="AS118" s="17"/>
      <c r="AT118" s="17"/>
      <c r="AU118" s="17"/>
      <c r="AV118" s="17"/>
      <c r="AW118" s="22">
        <v>4567420947</v>
      </c>
    </row>
    <row r="119" spans="1:49" ht="13.2">
      <c r="A119" s="89">
        <f>HYPERLINK("https://smartstore.naver.com/brickstore2019/products/4567439786",AW:AW)</f>
        <v>4567439786</v>
      </c>
      <c r="B119" s="264">
        <v>330193296</v>
      </c>
      <c r="C119" s="114" t="s">
        <v>477</v>
      </c>
      <c r="D119" s="114" t="s">
        <v>478</v>
      </c>
      <c r="E119" s="117" t="s">
        <v>479</v>
      </c>
      <c r="F119" s="123"/>
      <c r="G119" s="124" t="str">
        <f>HYPERLINK("https://www.amazon.com/dp/B074JHPR2X/ref=cm_sw_r_cp_api_i_O4leDb4R4NHHW","A")</f>
        <v>A</v>
      </c>
      <c r="H119" s="125"/>
      <c r="I119" s="125"/>
      <c r="J119" s="93">
        <v>38</v>
      </c>
      <c r="K119" s="111">
        <f t="shared" si="188"/>
        <v>0.65</v>
      </c>
      <c r="L119" s="111">
        <v>10.4</v>
      </c>
      <c r="M119" s="111">
        <f t="shared" si="1"/>
        <v>0.29483480000000001</v>
      </c>
      <c r="N119" s="93">
        <v>0</v>
      </c>
      <c r="O119" s="93">
        <v>0</v>
      </c>
      <c r="P119" s="95">
        <f t="shared" si="2"/>
        <v>38</v>
      </c>
      <c r="Q119" s="96">
        <f>P119*C3</f>
        <v>47500</v>
      </c>
      <c r="R119" s="96">
        <v>0</v>
      </c>
      <c r="S119" s="97">
        <f t="shared" si="24"/>
        <v>47500</v>
      </c>
      <c r="T119" s="97">
        <f>ROUNDUP(HLOOKUP(ROUNDUP(K119,0),'배송비 조회'!A$10:U$22,7,0)*C$3,-2)</f>
        <v>9000</v>
      </c>
      <c r="U119" s="97">
        <v>0</v>
      </c>
      <c r="V119" s="97">
        <f t="shared" ref="V119:V123" si="193">ROUND(IF(R119&gt;0,0,(S119+T119)*0.3),-2)</f>
        <v>17000</v>
      </c>
      <c r="W119" s="97">
        <f>ROUND(IF(R119&gt;0,0,(S119+T119)*0.4),-2)</f>
        <v>22600</v>
      </c>
      <c r="X119" s="98">
        <f t="shared" si="173"/>
        <v>73500</v>
      </c>
      <c r="Y119" s="98">
        <f t="shared" si="27"/>
        <v>79100</v>
      </c>
      <c r="Z119" s="121">
        <v>0</v>
      </c>
      <c r="AA119" s="121">
        <f t="shared" si="6"/>
        <v>2793</v>
      </c>
      <c r="AB119" s="121">
        <f t="shared" si="7"/>
        <v>1470</v>
      </c>
      <c r="AC119" s="99">
        <f t="shared" si="8"/>
        <v>7910</v>
      </c>
      <c r="AD119" s="121">
        <f t="shared" si="9"/>
        <v>69237</v>
      </c>
      <c r="AE119" s="99">
        <f t="shared" si="10"/>
        <v>71190</v>
      </c>
      <c r="AF119" s="121">
        <f t="shared" si="11"/>
        <v>692.37</v>
      </c>
      <c r="AG119" s="100">
        <f t="shared" si="28"/>
        <v>12044.630000000001</v>
      </c>
      <c r="AH119" s="101">
        <f t="shared" si="29"/>
        <v>13997.630000000001</v>
      </c>
      <c r="AI119" s="102">
        <f t="shared" ref="AI119:AJ119" si="194">AG119/X119</f>
        <v>0.16387251700680275</v>
      </c>
      <c r="AJ119" s="102">
        <f t="shared" si="194"/>
        <v>0.17696118836915298</v>
      </c>
      <c r="AK119" s="103"/>
      <c r="AL119" s="104"/>
      <c r="AM119" s="17"/>
      <c r="AN119" s="17"/>
      <c r="AO119" s="17"/>
      <c r="AP119" s="17"/>
      <c r="AQ119" s="17"/>
      <c r="AR119" s="17"/>
      <c r="AS119" s="17"/>
      <c r="AT119" s="17"/>
      <c r="AU119" s="17"/>
      <c r="AV119" s="17"/>
      <c r="AW119" s="24">
        <v>4567439786</v>
      </c>
    </row>
    <row r="120" spans="1:49" ht="13.2">
      <c r="A120" s="303">
        <f>HYPERLINK("https://smartstore.naver.com/brickstore2019/products/4572462972",AW:AW)</f>
        <v>4572462972</v>
      </c>
      <c r="B120" s="266"/>
      <c r="C120" s="304" t="s">
        <v>482</v>
      </c>
      <c r="D120" s="117"/>
      <c r="E120" s="304" t="s">
        <v>483</v>
      </c>
      <c r="F120" s="123" t="s">
        <v>484</v>
      </c>
      <c r="G120" s="124" t="str">
        <f>HYPERLINK("https://www.amazon.com/Timex-TW5M16800-Ironman-Essential-Silicone/dp/B079HXN4P8/ref=sr_1_41?keywords=timex%2Bironman%2Bwatch&amp;qid=1561642286&amp;s=gateway&amp;sr=8-41&amp;th=1","A")</f>
        <v>A</v>
      </c>
      <c r="H120" s="125"/>
      <c r="I120" s="125"/>
      <c r="J120" s="125">
        <v>34.28</v>
      </c>
      <c r="K120" s="111">
        <f t="shared" si="188"/>
        <v>0.6</v>
      </c>
      <c r="L120" s="111">
        <v>9.6</v>
      </c>
      <c r="M120" s="111">
        <f t="shared" si="1"/>
        <v>0.27215519999999999</v>
      </c>
      <c r="N120" s="93">
        <v>0</v>
      </c>
      <c r="O120" s="93">
        <v>0</v>
      </c>
      <c r="P120" s="95">
        <f t="shared" si="2"/>
        <v>34.28</v>
      </c>
      <c r="Q120" s="96">
        <f>P120*C3</f>
        <v>42850</v>
      </c>
      <c r="R120" s="96">
        <v>0</v>
      </c>
      <c r="S120" s="97">
        <f t="shared" si="24"/>
        <v>42900</v>
      </c>
      <c r="T120" s="97">
        <f>ROUNDUP(HLOOKUP(ROUNDUP(K120,0),'배송비 조회'!A$10:U$22,7,0)*C$3,-2)</f>
        <v>9000</v>
      </c>
      <c r="U120" s="97">
        <v>0</v>
      </c>
      <c r="V120" s="97">
        <f t="shared" si="193"/>
        <v>15600</v>
      </c>
      <c r="W120" s="97">
        <f t="shared" ref="W120:W161" si="195">ROUND(IF(R120&gt;0,0,(S120+T120)*0.5),-2)</f>
        <v>26000</v>
      </c>
      <c r="X120" s="98">
        <f t="shared" si="173"/>
        <v>67500</v>
      </c>
      <c r="Y120" s="98">
        <f t="shared" si="27"/>
        <v>77900</v>
      </c>
      <c r="Z120" s="121">
        <v>0</v>
      </c>
      <c r="AA120" s="121">
        <f t="shared" si="6"/>
        <v>2565</v>
      </c>
      <c r="AB120" s="121">
        <f t="shared" si="7"/>
        <v>1350</v>
      </c>
      <c r="AC120" s="99">
        <f t="shared" si="8"/>
        <v>7790</v>
      </c>
      <c r="AD120" s="121">
        <f t="shared" si="9"/>
        <v>63585</v>
      </c>
      <c r="AE120" s="99">
        <f t="shared" si="10"/>
        <v>70110</v>
      </c>
      <c r="AF120" s="121">
        <f t="shared" si="11"/>
        <v>635.85</v>
      </c>
      <c r="AG120" s="100">
        <f t="shared" si="28"/>
        <v>11099.150000000001</v>
      </c>
      <c r="AH120" s="101">
        <f t="shared" si="29"/>
        <v>17624.150000000001</v>
      </c>
      <c r="AI120" s="102">
        <f t="shared" ref="AI120:AJ120" si="196">AG120/X120</f>
        <v>0.16443185185185188</v>
      </c>
      <c r="AJ120" s="102">
        <f t="shared" si="196"/>
        <v>0.22624069319640566</v>
      </c>
      <c r="AK120" s="103"/>
      <c r="AL120" s="104"/>
      <c r="AM120" s="17"/>
      <c r="AN120" s="17"/>
      <c r="AO120" s="17"/>
      <c r="AP120" s="17"/>
      <c r="AQ120" s="17"/>
      <c r="AR120" s="17"/>
      <c r="AS120" s="17"/>
      <c r="AT120" s="17"/>
      <c r="AU120" s="17"/>
      <c r="AV120" s="17"/>
      <c r="AW120" s="296">
        <v>4572462972</v>
      </c>
    </row>
    <row r="121" spans="1:49" ht="13.2">
      <c r="A121" s="302"/>
      <c r="B121" s="266"/>
      <c r="C121" s="302"/>
      <c r="D121" s="117"/>
      <c r="E121" s="302"/>
      <c r="F121" s="123" t="s">
        <v>486</v>
      </c>
      <c r="G121" s="124" t="str">
        <f>HYPERLINK("https://www.amazon.com/Timex-TW5M16800-Ironman-Essential-Silicone/dp/B079HZP6BW/ref=sr_1_41?keywords=timex%2Bironman%2Bwatch&amp;qid=1561642286&amp;s=gateway&amp;sr=8-41&amp;th=1","A")</f>
        <v>A</v>
      </c>
      <c r="H121" s="125"/>
      <c r="I121" s="125"/>
      <c r="J121" s="125">
        <v>43.85</v>
      </c>
      <c r="K121" s="111">
        <f t="shared" si="188"/>
        <v>0.6</v>
      </c>
      <c r="L121" s="111">
        <v>9.6</v>
      </c>
      <c r="M121" s="111">
        <f t="shared" si="1"/>
        <v>0.27215519999999999</v>
      </c>
      <c r="N121" s="93">
        <v>0</v>
      </c>
      <c r="O121" s="93">
        <v>0</v>
      </c>
      <c r="P121" s="95">
        <f t="shared" si="2"/>
        <v>43.85</v>
      </c>
      <c r="Q121" s="96">
        <f>P121*C3</f>
        <v>54812.5</v>
      </c>
      <c r="R121" s="96">
        <v>0</v>
      </c>
      <c r="S121" s="97">
        <f t="shared" si="24"/>
        <v>54800</v>
      </c>
      <c r="T121" s="97">
        <f>ROUNDUP(HLOOKUP(ROUNDUP(K121,0),'배송비 조회'!A$10:U$22,7,0)*C$3,-2)</f>
        <v>9000</v>
      </c>
      <c r="U121" s="97">
        <v>0</v>
      </c>
      <c r="V121" s="97">
        <f t="shared" si="193"/>
        <v>19100</v>
      </c>
      <c r="W121" s="97">
        <f t="shared" si="195"/>
        <v>31900</v>
      </c>
      <c r="X121" s="98">
        <f t="shared" si="173"/>
        <v>82900</v>
      </c>
      <c r="Y121" s="98">
        <f t="shared" si="27"/>
        <v>95700</v>
      </c>
      <c r="Z121" s="121">
        <v>0</v>
      </c>
      <c r="AA121" s="121">
        <f t="shared" si="6"/>
        <v>3150.2</v>
      </c>
      <c r="AB121" s="121">
        <f t="shared" si="7"/>
        <v>1658</v>
      </c>
      <c r="AC121" s="99">
        <f t="shared" si="8"/>
        <v>9570</v>
      </c>
      <c r="AD121" s="121">
        <f t="shared" si="9"/>
        <v>78091.8</v>
      </c>
      <c r="AE121" s="99">
        <f t="shared" si="10"/>
        <v>86130</v>
      </c>
      <c r="AF121" s="121">
        <f t="shared" si="11"/>
        <v>780.91800000000001</v>
      </c>
      <c r="AG121" s="100">
        <f t="shared" si="28"/>
        <v>13498.382000000001</v>
      </c>
      <c r="AH121" s="101">
        <f t="shared" si="29"/>
        <v>21536.581999999999</v>
      </c>
      <c r="AI121" s="102">
        <f t="shared" ref="AI121:AJ121" si="197">AG121/X121</f>
        <v>0.16282728588661038</v>
      </c>
      <c r="AJ121" s="102">
        <f t="shared" si="197"/>
        <v>0.2250426541274817</v>
      </c>
      <c r="AK121" s="103">
        <f t="shared" ref="AK121:AK122" si="198">X121-$X$120</f>
        <v>15400</v>
      </c>
      <c r="AL121" s="104"/>
      <c r="AM121" s="17"/>
      <c r="AN121" s="17"/>
      <c r="AO121" s="17"/>
      <c r="AP121" s="17"/>
      <c r="AQ121" s="17"/>
      <c r="AR121" s="17"/>
      <c r="AS121" s="17"/>
      <c r="AT121" s="17"/>
      <c r="AU121" s="17"/>
      <c r="AV121" s="17"/>
      <c r="AW121" s="297"/>
    </row>
    <row r="122" spans="1:49" ht="13.2">
      <c r="A122" s="302"/>
      <c r="B122" s="266"/>
      <c r="C122" s="302"/>
      <c r="D122" s="117"/>
      <c r="E122" s="302"/>
      <c r="F122" s="158" t="s">
        <v>488</v>
      </c>
      <c r="G122" s="124" t="str">
        <f>HYPERLINK("https://www.amazon.com/Timex-TW5M16800-Ironman-Essential-Silicone/dp/B079J9WMBQ/ref=sr_1_41?keywords=timex%2Bironman%2Bwatch&amp;qid=1561642286&amp;s=gateway&amp;sr=8-41&amp;th=1","A")</f>
        <v>A</v>
      </c>
      <c r="H122" s="125"/>
      <c r="I122" s="125"/>
      <c r="J122" s="125">
        <v>35</v>
      </c>
      <c r="K122" s="111">
        <f t="shared" si="188"/>
        <v>0.6</v>
      </c>
      <c r="L122" s="111">
        <v>9.6</v>
      </c>
      <c r="M122" s="111">
        <f t="shared" si="1"/>
        <v>0.27215519999999999</v>
      </c>
      <c r="N122" s="93">
        <v>0</v>
      </c>
      <c r="O122" s="93">
        <v>0</v>
      </c>
      <c r="P122" s="95">
        <f t="shared" si="2"/>
        <v>35</v>
      </c>
      <c r="Q122" s="96">
        <f>P122*C3</f>
        <v>43750</v>
      </c>
      <c r="R122" s="96">
        <v>0</v>
      </c>
      <c r="S122" s="97">
        <f t="shared" si="24"/>
        <v>43800</v>
      </c>
      <c r="T122" s="97">
        <f>ROUNDUP(HLOOKUP(ROUNDUP(K122,0),'배송비 조회'!A$10:U$22,7,0)*C$3,-2)</f>
        <v>9000</v>
      </c>
      <c r="U122" s="97">
        <v>0</v>
      </c>
      <c r="V122" s="97">
        <f t="shared" si="193"/>
        <v>15800</v>
      </c>
      <c r="W122" s="97">
        <f t="shared" si="195"/>
        <v>26400</v>
      </c>
      <c r="X122" s="98">
        <f t="shared" si="173"/>
        <v>68600</v>
      </c>
      <c r="Y122" s="98">
        <f t="shared" si="27"/>
        <v>79200</v>
      </c>
      <c r="Z122" s="121">
        <v>0</v>
      </c>
      <c r="AA122" s="121">
        <f t="shared" si="6"/>
        <v>2606.7999999999997</v>
      </c>
      <c r="AB122" s="121">
        <f t="shared" si="7"/>
        <v>1372</v>
      </c>
      <c r="AC122" s="99">
        <f t="shared" si="8"/>
        <v>7920</v>
      </c>
      <c r="AD122" s="121">
        <f t="shared" si="9"/>
        <v>64621.2</v>
      </c>
      <c r="AE122" s="99">
        <f t="shared" si="10"/>
        <v>71280</v>
      </c>
      <c r="AF122" s="121">
        <f t="shared" si="11"/>
        <v>646.21199999999999</v>
      </c>
      <c r="AG122" s="100">
        <f t="shared" si="28"/>
        <v>11224.987999999998</v>
      </c>
      <c r="AH122" s="101">
        <f t="shared" si="29"/>
        <v>17883.788</v>
      </c>
      <c r="AI122" s="102">
        <f t="shared" ref="AI122:AJ122" si="199">AG122/X122</f>
        <v>0.16362956268221571</v>
      </c>
      <c r="AJ122" s="102">
        <f t="shared" si="199"/>
        <v>0.22580540404040406</v>
      </c>
      <c r="AK122" s="103">
        <f t="shared" si="198"/>
        <v>1100</v>
      </c>
      <c r="AL122" s="104"/>
      <c r="AM122" s="17"/>
      <c r="AN122" s="17"/>
      <c r="AO122" s="17"/>
      <c r="AP122" s="17"/>
      <c r="AQ122" s="17"/>
      <c r="AR122" s="17"/>
      <c r="AS122" s="17"/>
      <c r="AT122" s="17"/>
      <c r="AU122" s="17"/>
      <c r="AV122" s="17"/>
      <c r="AW122" s="297"/>
    </row>
    <row r="123" spans="1:49" ht="13.2">
      <c r="A123" s="119">
        <f>HYPERLINK("https://smartstore.naver.com/brickstore2019/products/4577708170",AW:AW)</f>
        <v>4577708170</v>
      </c>
      <c r="B123" s="266"/>
      <c r="C123" s="117" t="s">
        <v>492</v>
      </c>
      <c r="D123" s="117"/>
      <c r="E123" s="117" t="s">
        <v>493</v>
      </c>
      <c r="F123" s="123"/>
      <c r="G123" s="124" t="str">
        <f>HYPERLINK("https://www.amazon.com/Gravitas%C2%B2-Footprint-Single-Handed-undocking-Built/dp/B01M7P23DK?ref_=bl_dp_s_web_9056527011","A")</f>
        <v>A</v>
      </c>
      <c r="H123" s="125"/>
      <c r="I123" s="125"/>
      <c r="J123" s="125">
        <v>59</v>
      </c>
      <c r="K123" s="111">
        <v>3.17</v>
      </c>
      <c r="L123" s="111">
        <f>IF(K123&gt;0,K123*16,)</f>
        <v>50.72</v>
      </c>
      <c r="M123" s="111">
        <f t="shared" si="1"/>
        <v>1.4378866399999999</v>
      </c>
      <c r="N123" s="93">
        <v>0</v>
      </c>
      <c r="O123" s="93">
        <v>0</v>
      </c>
      <c r="P123" s="95">
        <f t="shared" si="2"/>
        <v>59</v>
      </c>
      <c r="Q123" s="96">
        <f>P123*C3</f>
        <v>73750</v>
      </c>
      <c r="R123" s="96">
        <v>0</v>
      </c>
      <c r="S123" s="97">
        <f t="shared" si="24"/>
        <v>73800</v>
      </c>
      <c r="T123" s="97">
        <f>ROUNDUP(HLOOKUP(ROUNDUP(K123,0),'배송비 조회'!A$10:U$22,7,0)*C$3,-2)</f>
        <v>15600</v>
      </c>
      <c r="U123" s="97">
        <v>0</v>
      </c>
      <c r="V123" s="97">
        <f t="shared" si="193"/>
        <v>26800</v>
      </c>
      <c r="W123" s="97">
        <f t="shared" si="195"/>
        <v>44700</v>
      </c>
      <c r="X123" s="98">
        <f t="shared" si="173"/>
        <v>116200</v>
      </c>
      <c r="Y123" s="98">
        <f t="shared" si="27"/>
        <v>134100</v>
      </c>
      <c r="Z123" s="121">
        <v>0</v>
      </c>
      <c r="AA123" s="121">
        <f t="shared" si="6"/>
        <v>4415.5999999999995</v>
      </c>
      <c r="AB123" s="121">
        <f t="shared" si="7"/>
        <v>2324</v>
      </c>
      <c r="AC123" s="99">
        <f t="shared" si="8"/>
        <v>13410</v>
      </c>
      <c r="AD123" s="121">
        <f t="shared" si="9"/>
        <v>109460.4</v>
      </c>
      <c r="AE123" s="99">
        <f t="shared" si="10"/>
        <v>120690</v>
      </c>
      <c r="AF123" s="121">
        <f t="shared" si="11"/>
        <v>1094.604</v>
      </c>
      <c r="AG123" s="100">
        <f t="shared" si="28"/>
        <v>19015.795999999995</v>
      </c>
      <c r="AH123" s="101">
        <f t="shared" si="29"/>
        <v>30245.396000000001</v>
      </c>
      <c r="AI123" s="102">
        <f t="shared" ref="AI123:AJ123" si="200">AG123/X123</f>
        <v>0.16364712564543885</v>
      </c>
      <c r="AJ123" s="102">
        <f t="shared" si="200"/>
        <v>0.22554359433258764</v>
      </c>
      <c r="AK123" s="103"/>
      <c r="AL123" s="104"/>
      <c r="AM123" s="17"/>
      <c r="AN123" s="17"/>
      <c r="AO123" s="17"/>
      <c r="AP123" s="17"/>
      <c r="AQ123" s="17"/>
      <c r="AR123" s="17"/>
      <c r="AS123" s="17"/>
      <c r="AT123" s="17"/>
      <c r="AU123" s="17"/>
      <c r="AV123" s="17"/>
      <c r="AW123" s="22">
        <v>4577708170</v>
      </c>
    </row>
    <row r="124" spans="1:49" ht="13.2">
      <c r="A124" s="303">
        <f>HYPERLINK("https://smartstore.naver.com/brickstore2019/products/4579241908",AW:AW)</f>
        <v>4579241908</v>
      </c>
      <c r="B124" s="305"/>
      <c r="C124" s="304" t="s">
        <v>494</v>
      </c>
      <c r="D124" s="304"/>
      <c r="E124" s="304" t="s">
        <v>495</v>
      </c>
      <c r="F124" s="123" t="s">
        <v>98</v>
      </c>
      <c r="G124" s="92" t="str">
        <f>HYPERLINK("https://www.amazon.com/dp/B07KP33RD6/ref=sspa_dk_hqp_detail_aax_0?th=1","A")</f>
        <v>A</v>
      </c>
      <c r="H124" s="93"/>
      <c r="I124" s="93"/>
      <c r="J124" s="93">
        <v>16</v>
      </c>
      <c r="K124" s="111">
        <f t="shared" ref="K124:K126" si="201">IF(L124&gt;0,L124*0.0625,)</f>
        <v>0.6</v>
      </c>
      <c r="L124" s="111">
        <v>9.6</v>
      </c>
      <c r="M124" s="111">
        <f t="shared" si="1"/>
        <v>0.27215519999999999</v>
      </c>
      <c r="N124" s="93">
        <v>0</v>
      </c>
      <c r="O124" s="93">
        <v>0</v>
      </c>
      <c r="P124" s="95">
        <f t="shared" si="2"/>
        <v>16</v>
      </c>
      <c r="Q124" s="96">
        <f>P124*C3</f>
        <v>20000</v>
      </c>
      <c r="R124" s="96">
        <v>0</v>
      </c>
      <c r="S124" s="97">
        <f t="shared" si="24"/>
        <v>20000</v>
      </c>
      <c r="T124" s="97">
        <f>ROUNDUP(HLOOKUP(ROUNDUP(K124,0),'배송비 조회'!A$10:U$22,7,0)*C$3,-2)</f>
        <v>9000</v>
      </c>
      <c r="U124" s="97">
        <v>0</v>
      </c>
      <c r="V124" s="97">
        <f t="shared" ref="V124:V125" si="202">ROUND(IF(R124&gt;0,0,(S124+T124)*0.5),-2)</f>
        <v>14500</v>
      </c>
      <c r="W124" s="97">
        <f t="shared" si="195"/>
        <v>14500</v>
      </c>
      <c r="X124" s="98">
        <f t="shared" si="173"/>
        <v>43500</v>
      </c>
      <c r="Y124" s="98">
        <f t="shared" si="27"/>
        <v>43500</v>
      </c>
      <c r="Z124" s="121">
        <v>0</v>
      </c>
      <c r="AA124" s="121">
        <f t="shared" si="6"/>
        <v>1653</v>
      </c>
      <c r="AB124" s="121">
        <f t="shared" si="7"/>
        <v>870</v>
      </c>
      <c r="AC124" s="99">
        <f t="shared" si="8"/>
        <v>4350</v>
      </c>
      <c r="AD124" s="121">
        <f t="shared" si="9"/>
        <v>40977</v>
      </c>
      <c r="AE124" s="99">
        <f t="shared" si="10"/>
        <v>39150</v>
      </c>
      <c r="AF124" s="121">
        <f t="shared" si="11"/>
        <v>409.77</v>
      </c>
      <c r="AG124" s="100">
        <f t="shared" si="28"/>
        <v>11567.23</v>
      </c>
      <c r="AH124" s="101">
        <f t="shared" si="29"/>
        <v>9740.23</v>
      </c>
      <c r="AI124" s="102">
        <f t="shared" ref="AI124:AJ124" si="203">AG124/X124</f>
        <v>0.26591333333333333</v>
      </c>
      <c r="AJ124" s="102">
        <f t="shared" si="203"/>
        <v>0.22391333333333333</v>
      </c>
      <c r="AK124" s="103"/>
      <c r="AL124" s="104"/>
      <c r="AM124" s="17"/>
      <c r="AN124" s="17"/>
      <c r="AO124" s="17"/>
      <c r="AP124" s="17"/>
      <c r="AQ124" s="17"/>
      <c r="AR124" s="17"/>
      <c r="AS124" s="17"/>
      <c r="AT124" s="17"/>
      <c r="AU124" s="17"/>
      <c r="AV124" s="17"/>
      <c r="AW124" s="22">
        <v>4579241908</v>
      </c>
    </row>
    <row r="125" spans="1:49" ht="13.2">
      <c r="A125" s="302"/>
      <c r="B125" s="306"/>
      <c r="C125" s="302"/>
      <c r="D125" s="302"/>
      <c r="E125" s="302"/>
      <c r="F125" s="123" t="s">
        <v>496</v>
      </c>
      <c r="G125" s="92" t="str">
        <f>HYPERLINK("https://www.amazon.com/dp/B07NQ8JLDT/ref=sspa_dk_hqp_detail_aax_0?th=1","A")</f>
        <v>A</v>
      </c>
      <c r="H125" s="93"/>
      <c r="I125" s="93"/>
      <c r="J125" s="93">
        <v>16</v>
      </c>
      <c r="K125" s="111">
        <f t="shared" si="201"/>
        <v>0.6</v>
      </c>
      <c r="L125" s="111">
        <v>9.6</v>
      </c>
      <c r="M125" s="111">
        <f t="shared" si="1"/>
        <v>0.27215519999999999</v>
      </c>
      <c r="N125" s="93">
        <v>0</v>
      </c>
      <c r="O125" s="93">
        <v>0</v>
      </c>
      <c r="P125" s="95">
        <f t="shared" si="2"/>
        <v>16</v>
      </c>
      <c r="Q125" s="96">
        <f>P125*C3</f>
        <v>20000</v>
      </c>
      <c r="R125" s="96">
        <v>0</v>
      </c>
      <c r="S125" s="97">
        <f t="shared" si="24"/>
        <v>20000</v>
      </c>
      <c r="T125" s="97">
        <f>ROUNDUP(HLOOKUP(ROUNDUP(K125,0),'배송비 조회'!A$10:U$22,7,0)*C$3,-2)</f>
        <v>9000</v>
      </c>
      <c r="U125" s="97">
        <v>0</v>
      </c>
      <c r="V125" s="97">
        <f t="shared" si="202"/>
        <v>14500</v>
      </c>
      <c r="W125" s="97">
        <f t="shared" si="195"/>
        <v>14500</v>
      </c>
      <c r="X125" s="98">
        <f t="shared" si="173"/>
        <v>43500</v>
      </c>
      <c r="Y125" s="98">
        <f t="shared" si="27"/>
        <v>43500</v>
      </c>
      <c r="Z125" s="121">
        <v>0</v>
      </c>
      <c r="AA125" s="121">
        <f t="shared" si="6"/>
        <v>1653</v>
      </c>
      <c r="AB125" s="121">
        <f t="shared" si="7"/>
        <v>870</v>
      </c>
      <c r="AC125" s="99">
        <f t="shared" si="8"/>
        <v>4350</v>
      </c>
      <c r="AD125" s="121">
        <f t="shared" si="9"/>
        <v>40977</v>
      </c>
      <c r="AE125" s="99">
        <f t="shared" si="10"/>
        <v>39150</v>
      </c>
      <c r="AF125" s="121">
        <f t="shared" si="11"/>
        <v>409.77</v>
      </c>
      <c r="AG125" s="100">
        <f t="shared" si="28"/>
        <v>11567.23</v>
      </c>
      <c r="AH125" s="101">
        <f t="shared" si="29"/>
        <v>9740.23</v>
      </c>
      <c r="AI125" s="102">
        <f t="shared" ref="AI125:AJ125" si="204">AG125/X125</f>
        <v>0.26591333333333333</v>
      </c>
      <c r="AJ125" s="102">
        <f t="shared" si="204"/>
        <v>0.22391333333333333</v>
      </c>
      <c r="AK125" s="103"/>
      <c r="AL125" s="104"/>
      <c r="AM125" s="17"/>
      <c r="AN125" s="17"/>
      <c r="AO125" s="17"/>
      <c r="AP125" s="17"/>
      <c r="AQ125" s="17"/>
      <c r="AR125" s="17"/>
      <c r="AS125" s="17"/>
      <c r="AT125" s="17"/>
      <c r="AU125" s="17"/>
      <c r="AV125" s="17"/>
      <c r="AW125" s="22"/>
    </row>
    <row r="126" spans="1:49" ht="13.2">
      <c r="A126" s="159">
        <f>HYPERLINK("https://smartstore.naver.com/brickstore2019/products/4580774649",AW:AW)</f>
        <v>4580774649</v>
      </c>
      <c r="B126" s="271"/>
      <c r="C126" s="160" t="s">
        <v>497</v>
      </c>
      <c r="D126" s="160"/>
      <c r="E126" s="160" t="s">
        <v>498</v>
      </c>
      <c r="F126" s="91"/>
      <c r="G126" s="92" t="str">
        <f>HYPERLINK("https://www.amazon.com/dp/B07Q5XCTYV/ref=cm_sw_r_cp_api_i_XPihDbKV7P1HT","A")</f>
        <v>A</v>
      </c>
      <c r="H126" s="93"/>
      <c r="I126" s="93"/>
      <c r="J126" s="93">
        <v>34.99</v>
      </c>
      <c r="K126" s="111" t="str">
        <f t="shared" ca="1" si="201"/>
        <v>#REF!</v>
      </c>
      <c r="L126" s="111" t="str">
        <f t="shared" ref="L126:L128" ca="1" si="205">IF(K126&gt;0,K126*16,)</f>
        <v>#REF!</v>
      </c>
      <c r="M126" s="111" t="str">
        <f t="shared" ca="1" si="1"/>
        <v>#REF!</v>
      </c>
      <c r="N126" s="93">
        <v>0</v>
      </c>
      <c r="O126" s="93">
        <v>0</v>
      </c>
      <c r="P126" s="95">
        <f t="shared" si="2"/>
        <v>34.99</v>
      </c>
      <c r="Q126" s="96">
        <f>P126*C3</f>
        <v>43737.5</v>
      </c>
      <c r="R126" s="96">
        <v>0</v>
      </c>
      <c r="S126" s="97">
        <f t="shared" si="24"/>
        <v>43700</v>
      </c>
      <c r="T126" s="97" t="str">
        <f ca="1">ROUNDUP(HLOOKUP(ROUNDUP(K126,0),'배송비 조회'!A$10:U$22,7,0)*C$3,-2)</f>
        <v>#REF!</v>
      </c>
      <c r="U126" s="97">
        <v>0</v>
      </c>
      <c r="V126" s="97" t="str">
        <f t="shared" ref="V126:V128" ca="1" si="206">ROUND(IF(R126&gt;0,0,(S126+T126)*0.3),-2)</f>
        <v>#REF!</v>
      </c>
      <c r="W126" s="97" t="str">
        <f t="shared" ca="1" si="195"/>
        <v>#REF!</v>
      </c>
      <c r="X126" s="98" t="str">
        <f t="shared" ca="1" si="173"/>
        <v>#REF!</v>
      </c>
      <c r="Y126" s="98" t="str">
        <f t="shared" ca="1" si="27"/>
        <v>#REF!</v>
      </c>
      <c r="Z126" s="133"/>
      <c r="AA126" s="133" t="str">
        <f t="shared" ca="1" si="6"/>
        <v>#REF!</v>
      </c>
      <c r="AB126" s="133" t="str">
        <f t="shared" ca="1" si="7"/>
        <v>#REF!</v>
      </c>
      <c r="AC126" s="99" t="str">
        <f t="shared" ca="1" si="8"/>
        <v>#REF!</v>
      </c>
      <c r="AD126" s="133" t="str">
        <f t="shared" ca="1" si="9"/>
        <v>#REF!</v>
      </c>
      <c r="AE126" s="99" t="str">
        <f t="shared" ca="1" si="10"/>
        <v>#REF!</v>
      </c>
      <c r="AF126" s="133" t="str">
        <f t="shared" ca="1" si="11"/>
        <v>#REF!</v>
      </c>
      <c r="AG126" s="100" t="str">
        <f t="shared" ca="1" si="28"/>
        <v>#REF!</v>
      </c>
      <c r="AH126" s="101" t="str">
        <f t="shared" ca="1" si="29"/>
        <v>#REF!</v>
      </c>
      <c r="AI126" s="102" t="str">
        <f t="shared" ref="AI126:AJ126" ca="1" si="207">AG126/X126</f>
        <v>#REF!</v>
      </c>
      <c r="AJ126" s="102" t="str">
        <f t="shared" ca="1" si="207"/>
        <v>#REF!</v>
      </c>
      <c r="AK126" s="103"/>
      <c r="AL126" s="104"/>
      <c r="AM126" s="17"/>
      <c r="AN126" s="17"/>
      <c r="AO126" s="17"/>
      <c r="AP126" s="17"/>
      <c r="AQ126" s="17"/>
      <c r="AR126" s="17"/>
      <c r="AS126" s="17"/>
      <c r="AT126" s="17"/>
      <c r="AU126" s="17"/>
      <c r="AV126" s="17"/>
      <c r="AW126" s="19">
        <v>4580774649</v>
      </c>
    </row>
    <row r="127" spans="1:49" ht="13.2">
      <c r="A127" s="303">
        <f>HYPERLINK("https://smartstore.naver.com/brickstore2019/products/4585212654",AW:AW)</f>
        <v>4585212654</v>
      </c>
      <c r="B127" s="305"/>
      <c r="C127" s="307" t="s">
        <v>499</v>
      </c>
      <c r="D127" s="307"/>
      <c r="E127" s="307" t="s">
        <v>500</v>
      </c>
      <c r="F127" s="91" t="s">
        <v>501</v>
      </c>
      <c r="G127" s="279" t="s">
        <v>1293</v>
      </c>
      <c r="H127" s="93"/>
      <c r="I127" s="93"/>
      <c r="J127" s="93">
        <v>36</v>
      </c>
      <c r="K127" s="111">
        <v>2.6</v>
      </c>
      <c r="L127" s="111">
        <f t="shared" si="205"/>
        <v>41.6</v>
      </c>
      <c r="M127" s="111">
        <f t="shared" si="1"/>
        <v>1.1793392</v>
      </c>
      <c r="N127" s="93">
        <v>0</v>
      </c>
      <c r="O127" s="93">
        <v>0</v>
      </c>
      <c r="P127" s="95">
        <f t="shared" si="2"/>
        <v>36</v>
      </c>
      <c r="Q127" s="96">
        <f>P127*C3</f>
        <v>45000</v>
      </c>
      <c r="R127" s="96">
        <v>0</v>
      </c>
      <c r="S127" s="97">
        <f t="shared" si="24"/>
        <v>45000</v>
      </c>
      <c r="T127" s="97">
        <f>ROUNDUP(HLOOKUP(ROUNDUP(K127,0),'배송비 조회'!A$10:U$22,7,0)*C$3,-2)</f>
        <v>13400</v>
      </c>
      <c r="U127" s="97">
        <v>0</v>
      </c>
      <c r="V127" s="97">
        <f t="shared" si="206"/>
        <v>17500</v>
      </c>
      <c r="W127" s="97">
        <f t="shared" si="195"/>
        <v>29200</v>
      </c>
      <c r="X127" s="98">
        <f t="shared" si="173"/>
        <v>75900</v>
      </c>
      <c r="Y127" s="98">
        <f t="shared" si="27"/>
        <v>87600</v>
      </c>
      <c r="Z127" s="121">
        <v>0</v>
      </c>
      <c r="AA127" s="121">
        <f t="shared" si="6"/>
        <v>2884.2</v>
      </c>
      <c r="AB127" s="121">
        <f t="shared" si="7"/>
        <v>1518</v>
      </c>
      <c r="AC127" s="99">
        <f t="shared" si="8"/>
        <v>8760</v>
      </c>
      <c r="AD127" s="121">
        <f t="shared" si="9"/>
        <v>71497.8</v>
      </c>
      <c r="AE127" s="99">
        <f t="shared" si="10"/>
        <v>78840</v>
      </c>
      <c r="AF127" s="121">
        <f t="shared" si="11"/>
        <v>714.97800000000007</v>
      </c>
      <c r="AG127" s="100">
        <f t="shared" si="28"/>
        <v>12382.822000000004</v>
      </c>
      <c r="AH127" s="101">
        <f t="shared" si="29"/>
        <v>19725.021999999997</v>
      </c>
      <c r="AI127" s="102">
        <f t="shared" ref="AI127:AJ127" si="208">AG127/X127</f>
        <v>0.16314653491436104</v>
      </c>
      <c r="AJ127" s="102">
        <f t="shared" si="208"/>
        <v>0.22517148401826481</v>
      </c>
      <c r="AK127" s="103"/>
      <c r="AL127" s="104"/>
      <c r="AM127" s="17"/>
      <c r="AN127" s="17"/>
      <c r="AO127" s="17"/>
      <c r="AP127" s="17"/>
      <c r="AQ127" s="17"/>
      <c r="AR127" s="17"/>
      <c r="AS127" s="17"/>
      <c r="AT127" s="17"/>
      <c r="AU127" s="17"/>
      <c r="AV127" s="17"/>
      <c r="AW127" s="22">
        <v>4585212654</v>
      </c>
    </row>
    <row r="128" spans="1:49" ht="13.2">
      <c r="A128" s="302"/>
      <c r="B128" s="306"/>
      <c r="C128" s="302"/>
      <c r="D128" s="302"/>
      <c r="E128" s="302"/>
      <c r="F128" s="123" t="s">
        <v>502</v>
      </c>
      <c r="G128" s="279" t="s">
        <v>1293</v>
      </c>
      <c r="H128" s="279" t="e">
        <f>HYPERLINK("https://www.amazon.com/CVLIFE-Military-Tactical-Backpacks-Rucksacks/dp/B07KY7BFKC/ref=sr_1_1?keywords=CVLIFE%2BMilitary%2BTactical%2BMolle%2BBackpacks%2B3%2BDay%2BAssault%2BPack%2BBug%2BOut%2BBag%2BArmy%2BRucksacks%2Bfor%2BOutdoor%2BHiking%2BCamping%2BFis"&amp;"hing%2BHunting%2Bwith%2BTactical%2BFlag%2BPatch&amp;qid=1562312614&amp;s=gateway&amp;sr=8-1&amp;th=1","A")</f>
        <v>#VALUE!</v>
      </c>
      <c r="I128" s="279"/>
      <c r="J128" s="93">
        <v>36</v>
      </c>
      <c r="K128" s="111">
        <v>2.6</v>
      </c>
      <c r="L128" s="111">
        <f t="shared" si="205"/>
        <v>41.6</v>
      </c>
      <c r="M128" s="111">
        <f t="shared" si="1"/>
        <v>1.1793392</v>
      </c>
      <c r="N128" s="93">
        <v>0</v>
      </c>
      <c r="O128" s="93">
        <v>0</v>
      </c>
      <c r="P128" s="95">
        <f t="shared" si="2"/>
        <v>36</v>
      </c>
      <c r="Q128" s="96">
        <f>P128*C3</f>
        <v>45000</v>
      </c>
      <c r="R128" s="96">
        <v>0</v>
      </c>
      <c r="S128" s="97">
        <f t="shared" si="24"/>
        <v>45000</v>
      </c>
      <c r="T128" s="97">
        <f>ROUNDUP(HLOOKUP(ROUNDUP(K128,0),'배송비 조회'!A$10:U$22,7,0)*C$3,-2)</f>
        <v>13400</v>
      </c>
      <c r="U128" s="97">
        <v>0</v>
      </c>
      <c r="V128" s="97">
        <f t="shared" si="206"/>
        <v>17500</v>
      </c>
      <c r="W128" s="97">
        <f t="shared" si="195"/>
        <v>29200</v>
      </c>
      <c r="X128" s="98">
        <f t="shared" si="173"/>
        <v>75900</v>
      </c>
      <c r="Y128" s="98">
        <f t="shared" si="27"/>
        <v>87600</v>
      </c>
      <c r="Z128" s="121">
        <v>0</v>
      </c>
      <c r="AA128" s="121">
        <f t="shared" si="6"/>
        <v>2884.2</v>
      </c>
      <c r="AB128" s="121">
        <f t="shared" si="7"/>
        <v>1518</v>
      </c>
      <c r="AC128" s="99">
        <f t="shared" si="8"/>
        <v>8760</v>
      </c>
      <c r="AD128" s="121">
        <f t="shared" si="9"/>
        <v>71497.8</v>
      </c>
      <c r="AE128" s="99">
        <f t="shared" si="10"/>
        <v>78840</v>
      </c>
      <c r="AF128" s="121">
        <f t="shared" si="11"/>
        <v>714.97800000000007</v>
      </c>
      <c r="AG128" s="100">
        <f t="shared" si="28"/>
        <v>12382.822000000004</v>
      </c>
      <c r="AH128" s="101">
        <f t="shared" si="29"/>
        <v>19725.021999999997</v>
      </c>
      <c r="AI128" s="102">
        <f t="shared" ref="AI128:AJ128" si="209">AG128/X128</f>
        <v>0.16314653491436104</v>
      </c>
      <c r="AJ128" s="102">
        <f t="shared" si="209"/>
        <v>0.22517148401826481</v>
      </c>
      <c r="AK128" s="103"/>
      <c r="AL128" s="104"/>
      <c r="AM128" s="17"/>
      <c r="AN128" s="17"/>
      <c r="AO128" s="17"/>
      <c r="AP128" s="17"/>
      <c r="AQ128" s="17"/>
      <c r="AR128" s="17"/>
      <c r="AS128" s="17"/>
      <c r="AT128" s="17"/>
      <c r="AU128" s="17"/>
      <c r="AV128" s="17"/>
      <c r="AW128" s="22"/>
    </row>
    <row r="129" spans="1:49" ht="13.2">
      <c r="A129" s="119">
        <f>HYPERLINK("https://smartstore.naver.com/brickstore2019/products/4585227922",AW:AW)</f>
        <v>4585227922</v>
      </c>
      <c r="B129" s="266"/>
      <c r="C129" s="117" t="s">
        <v>503</v>
      </c>
      <c r="D129" s="117"/>
      <c r="E129" s="117" t="s">
        <v>504</v>
      </c>
      <c r="F129" s="123"/>
      <c r="G129" s="92" t="str">
        <f>HYPERLINK("https://www.amazon.com/OIVO-Controller-Compatible-Playstation-Indicators/dp/B075YBBQMM?SubscriptionId=AKIAJ6HCB5BRWX67J5VQ&amp;tag=207858-20&amp;linkCode=xm2&amp;camp=2025&amp;creative=165953&amp;creativeASIN=B07B9PKT24&amp;th=1","A")</f>
        <v>A</v>
      </c>
      <c r="H129" s="93"/>
      <c r="I129" s="93"/>
      <c r="J129" s="93">
        <v>14</v>
      </c>
      <c r="K129" s="111">
        <f t="shared" ref="K129:K131" si="210">IF(L129&gt;0,L129*0.0625,)</f>
        <v>0.3</v>
      </c>
      <c r="L129" s="111">
        <v>4.8</v>
      </c>
      <c r="M129" s="111">
        <f t="shared" si="1"/>
        <v>0.13607759999999999</v>
      </c>
      <c r="N129" s="93">
        <v>0</v>
      </c>
      <c r="O129" s="93">
        <v>0</v>
      </c>
      <c r="P129" s="95">
        <f t="shared" si="2"/>
        <v>14</v>
      </c>
      <c r="Q129" s="96">
        <f>P129*C3</f>
        <v>17500</v>
      </c>
      <c r="R129" s="96">
        <v>0</v>
      </c>
      <c r="S129" s="97">
        <f t="shared" si="24"/>
        <v>17500</v>
      </c>
      <c r="T129" s="97">
        <f>ROUNDUP(HLOOKUP(ROUNDUP(K129,0),'배송비 조회'!A$10:U$22,7,0)*C$3,-2)</f>
        <v>9000</v>
      </c>
      <c r="U129" s="97">
        <v>0</v>
      </c>
      <c r="V129" s="97">
        <f>ROUND(IF(R129&gt;0,0,(S129+T129)*0.6),-2)</f>
        <v>15900</v>
      </c>
      <c r="W129" s="97">
        <f t="shared" si="195"/>
        <v>13300</v>
      </c>
      <c r="X129" s="98">
        <f t="shared" si="173"/>
        <v>42400</v>
      </c>
      <c r="Y129" s="98">
        <f t="shared" si="27"/>
        <v>39800</v>
      </c>
      <c r="Z129" s="121">
        <v>0</v>
      </c>
      <c r="AA129" s="121">
        <f t="shared" si="6"/>
        <v>1611.2</v>
      </c>
      <c r="AB129" s="121">
        <f t="shared" si="7"/>
        <v>848</v>
      </c>
      <c r="AC129" s="99">
        <f t="shared" si="8"/>
        <v>3980</v>
      </c>
      <c r="AD129" s="121">
        <f t="shared" si="9"/>
        <v>39940.800000000003</v>
      </c>
      <c r="AE129" s="99">
        <f t="shared" si="10"/>
        <v>35820</v>
      </c>
      <c r="AF129" s="121">
        <f t="shared" si="11"/>
        <v>399.40800000000002</v>
      </c>
      <c r="AG129" s="100">
        <f t="shared" si="28"/>
        <v>13041.392000000003</v>
      </c>
      <c r="AH129" s="101">
        <f t="shared" si="29"/>
        <v>8920.5920000000006</v>
      </c>
      <c r="AI129" s="102">
        <f t="shared" ref="AI129:AJ129" si="211">AG129/X129</f>
        <v>0.30758000000000008</v>
      </c>
      <c r="AJ129" s="102">
        <f t="shared" si="211"/>
        <v>0.22413547738693468</v>
      </c>
      <c r="AK129" s="103"/>
      <c r="AL129" s="104"/>
      <c r="AM129" s="17"/>
      <c r="AN129" s="17"/>
      <c r="AO129" s="17"/>
      <c r="AP129" s="17"/>
      <c r="AQ129" s="17"/>
      <c r="AR129" s="17"/>
      <c r="AS129" s="17"/>
      <c r="AT129" s="17"/>
      <c r="AU129" s="17"/>
      <c r="AV129" s="17"/>
      <c r="AW129" s="22">
        <v>4585227922</v>
      </c>
    </row>
    <row r="130" spans="1:49" ht="13.2">
      <c r="A130" s="105">
        <f>HYPERLINK("https://smartstore.naver.com/brickstore2019/products/4585234622",AW:AW)</f>
        <v>4585234622</v>
      </c>
      <c r="B130" s="263"/>
      <c r="C130" s="107" t="s">
        <v>505</v>
      </c>
      <c r="D130" s="107"/>
      <c r="E130" s="107" t="s">
        <v>506</v>
      </c>
      <c r="F130" s="108"/>
      <c r="G130" s="109" t="str">
        <f>HYPERLINK("https://www.amazon.com/Wireless-Portable-Security-Recorder-Activated/dp/B07QNP7ZD6?SubscriptionId=AKIAJ6HCB5BRWX67J5VQ&amp;tag=207858-20&amp;linkCode=xm2&amp;camp=2025&amp;creative=165953&amp;creativeASIN=B07QNP7ZD6#customerReviews","A")</f>
        <v>A</v>
      </c>
      <c r="H130" s="110" t="s">
        <v>60</v>
      </c>
      <c r="I130" s="110"/>
      <c r="J130" s="110">
        <v>30</v>
      </c>
      <c r="K130" s="153">
        <f t="shared" si="210"/>
        <v>0.35</v>
      </c>
      <c r="L130" s="153">
        <v>5.6</v>
      </c>
      <c r="M130" s="153">
        <f t="shared" si="1"/>
        <v>0.15875719999999999</v>
      </c>
      <c r="N130" s="110">
        <v>0</v>
      </c>
      <c r="O130" s="110">
        <v>0</v>
      </c>
      <c r="P130" s="154">
        <f t="shared" si="2"/>
        <v>30</v>
      </c>
      <c r="Q130" s="155">
        <f>P130*C3</f>
        <v>37500</v>
      </c>
      <c r="R130" s="155">
        <v>0</v>
      </c>
      <c r="S130" s="155">
        <f t="shared" si="24"/>
        <v>37500</v>
      </c>
      <c r="T130" s="155">
        <f>ROUNDUP(HLOOKUP(ROUNDUP(K130,0),'배송비 조회'!A$10:U$22,7,0)*C$3,-2)</f>
        <v>9000</v>
      </c>
      <c r="U130" s="155">
        <v>0</v>
      </c>
      <c r="V130" s="155">
        <f>ROUND(IF(R130&gt;0,0,(S130+T130)*0.4),-2)</f>
        <v>18600</v>
      </c>
      <c r="W130" s="155">
        <f t="shared" si="195"/>
        <v>23300</v>
      </c>
      <c r="X130" s="155">
        <f t="shared" si="173"/>
        <v>65100</v>
      </c>
      <c r="Y130" s="155">
        <f t="shared" si="27"/>
        <v>69800</v>
      </c>
      <c r="Z130" s="133">
        <v>0</v>
      </c>
      <c r="AA130" s="133">
        <f t="shared" si="6"/>
        <v>2473.7999999999997</v>
      </c>
      <c r="AB130" s="133">
        <f t="shared" si="7"/>
        <v>1302</v>
      </c>
      <c r="AC130" s="133">
        <f t="shared" si="8"/>
        <v>6980</v>
      </c>
      <c r="AD130" s="133">
        <f t="shared" si="9"/>
        <v>61324.2</v>
      </c>
      <c r="AE130" s="133">
        <f t="shared" si="10"/>
        <v>62820</v>
      </c>
      <c r="AF130" s="133">
        <f t="shared" si="11"/>
        <v>613.24199999999996</v>
      </c>
      <c r="AG130" s="155">
        <f t="shared" si="28"/>
        <v>14210.957999999999</v>
      </c>
      <c r="AH130" s="155">
        <f t="shared" si="29"/>
        <v>15706.758000000002</v>
      </c>
      <c r="AI130" s="156">
        <f t="shared" ref="AI130:AJ130" si="212">AG130/X130</f>
        <v>0.21829428571428569</v>
      </c>
      <c r="AJ130" s="156">
        <f t="shared" si="212"/>
        <v>0.22502518624641837</v>
      </c>
      <c r="AK130" s="161"/>
      <c r="AL130" s="162"/>
      <c r="AM130" s="38"/>
      <c r="AN130" s="38"/>
      <c r="AO130" s="38"/>
      <c r="AP130" s="38"/>
      <c r="AQ130" s="38"/>
      <c r="AR130" s="38"/>
      <c r="AS130" s="38"/>
      <c r="AT130" s="38"/>
      <c r="AU130" s="38"/>
      <c r="AV130" s="38"/>
      <c r="AW130" s="19">
        <v>4585234622</v>
      </c>
    </row>
    <row r="131" spans="1:49" ht="13.2">
      <c r="A131" s="119">
        <f>HYPERLINK("https://smartstore.naver.com/brickstore2019/products/4585306311",AW:AW)</f>
        <v>4585306311</v>
      </c>
      <c r="B131" s="266"/>
      <c r="C131" s="117" t="s">
        <v>507</v>
      </c>
      <c r="D131" s="117"/>
      <c r="E131" s="117" t="s">
        <v>508</v>
      </c>
      <c r="F131" s="123"/>
      <c r="G131" s="124" t="str">
        <f>HYPERLINK("https://www.amazon.com/VELCRO-Brand-Reusable-Fastening-Organizing/dp/B001E1Y5O6/ref=sr_1_1_sspa?keywords=Velcro%2BBrand%2BOne%2BWrap%2Bthin%2Bties&amp;qid=1562317812&amp;s=gateway&amp;sr=8-1-spons&amp;th=1","A")</f>
        <v>A</v>
      </c>
      <c r="H131" s="125"/>
      <c r="I131" s="125"/>
      <c r="J131" s="125">
        <v>13</v>
      </c>
      <c r="K131" s="111">
        <f t="shared" si="210"/>
        <v>0.22</v>
      </c>
      <c r="L131" s="111">
        <v>3.52</v>
      </c>
      <c r="M131" s="111">
        <f t="shared" si="1"/>
        <v>9.9790240000000002E-2</v>
      </c>
      <c r="N131" s="93">
        <v>0</v>
      </c>
      <c r="O131" s="93">
        <v>0</v>
      </c>
      <c r="P131" s="95">
        <f t="shared" si="2"/>
        <v>13</v>
      </c>
      <c r="Q131" s="96">
        <f>P131*C3</f>
        <v>16250</v>
      </c>
      <c r="R131" s="96">
        <v>0</v>
      </c>
      <c r="S131" s="97">
        <f t="shared" si="24"/>
        <v>16300</v>
      </c>
      <c r="T131" s="97">
        <f>ROUNDUP(HLOOKUP(ROUNDUP(K131,0),'배송비 조회'!A$10:U$22,7,0)*C$3,-2)</f>
        <v>9000</v>
      </c>
      <c r="U131" s="97">
        <v>0</v>
      </c>
      <c r="V131" s="97">
        <f>ROUND(IF(R131&gt;0,0,(S131+T131)*0.6),-2)</f>
        <v>15200</v>
      </c>
      <c r="W131" s="97">
        <f t="shared" si="195"/>
        <v>12700</v>
      </c>
      <c r="X131" s="98">
        <f t="shared" si="173"/>
        <v>40500</v>
      </c>
      <c r="Y131" s="98">
        <f t="shared" si="27"/>
        <v>38000</v>
      </c>
      <c r="Z131" s="121">
        <v>0</v>
      </c>
      <c r="AA131" s="121">
        <f t="shared" si="6"/>
        <v>1539</v>
      </c>
      <c r="AB131" s="121">
        <f t="shared" si="7"/>
        <v>810</v>
      </c>
      <c r="AC131" s="99">
        <f t="shared" si="8"/>
        <v>3800</v>
      </c>
      <c r="AD131" s="121">
        <f t="shared" si="9"/>
        <v>38151</v>
      </c>
      <c r="AE131" s="99">
        <f t="shared" si="10"/>
        <v>34200</v>
      </c>
      <c r="AF131" s="121">
        <f t="shared" si="11"/>
        <v>381.51</v>
      </c>
      <c r="AG131" s="100">
        <f t="shared" si="28"/>
        <v>12519.490000000002</v>
      </c>
      <c r="AH131" s="101">
        <f t="shared" si="29"/>
        <v>8568.4900000000016</v>
      </c>
      <c r="AI131" s="102">
        <f t="shared" ref="AI131:AJ131" si="213">AG131/X131</f>
        <v>0.30912320987654324</v>
      </c>
      <c r="AJ131" s="102">
        <f t="shared" si="213"/>
        <v>0.22548657894736845</v>
      </c>
      <c r="AK131" s="103"/>
      <c r="AL131" s="104"/>
      <c r="AM131" s="17"/>
      <c r="AN131" s="17"/>
      <c r="AO131" s="17"/>
      <c r="AP131" s="17"/>
      <c r="AQ131" s="17"/>
      <c r="AR131" s="17"/>
      <c r="AS131" s="17"/>
      <c r="AT131" s="17"/>
      <c r="AU131" s="17"/>
      <c r="AV131" s="17"/>
      <c r="AW131" s="22">
        <v>4585306311</v>
      </c>
    </row>
    <row r="132" spans="1:49" ht="13.2">
      <c r="A132" s="119">
        <f>HYPERLINK("https://smartstore.naver.com/brickstore2019/products/4585320054",AW:AW)</f>
        <v>4585320054</v>
      </c>
      <c r="B132" s="266"/>
      <c r="C132" s="117" t="s">
        <v>509</v>
      </c>
      <c r="D132" s="117"/>
      <c r="E132" s="117" t="s">
        <v>510</v>
      </c>
      <c r="F132" s="123"/>
      <c r="G132" s="124" t="str">
        <f>HYPERLINK("https://www.amazon.com/PowerA-Joy-Pro-Controller-Charging-Dock/dp/B075FF6HDN/ref=sr_1_1?keywords=PowerA%2BJoy-Con%2B%26%2BPro%2BController%2BCharging%2BDock%2B-%2BNintendo%2BSwitch&amp;qid=1562476652&amp;s=gateway&amp;sr=8-1&amp;th=1","A")</f>
        <v>A</v>
      </c>
      <c r="H132" s="125"/>
      <c r="I132" s="125"/>
      <c r="J132" s="125">
        <v>25</v>
      </c>
      <c r="K132" s="111">
        <v>2</v>
      </c>
      <c r="L132" s="111">
        <f t="shared" ref="L132:L133" si="214">IF(K132&gt;0,K132*16,)</f>
        <v>32</v>
      </c>
      <c r="M132" s="111">
        <f t="shared" si="1"/>
        <v>0.90718399999999999</v>
      </c>
      <c r="N132" s="93">
        <v>0</v>
      </c>
      <c r="O132" s="93">
        <v>0</v>
      </c>
      <c r="P132" s="95">
        <f t="shared" si="2"/>
        <v>25</v>
      </c>
      <c r="Q132" s="96">
        <f>P132*C3</f>
        <v>31250</v>
      </c>
      <c r="R132" s="96">
        <v>0</v>
      </c>
      <c r="S132" s="97">
        <f t="shared" si="24"/>
        <v>31300</v>
      </c>
      <c r="T132" s="97">
        <f>ROUNDUP(HLOOKUP(ROUNDUP(K132,0),'배송비 조회'!A$10:U$22,7,0)*C$3,-2)</f>
        <v>11200</v>
      </c>
      <c r="U132" s="97">
        <v>0</v>
      </c>
      <c r="V132" s="97">
        <f t="shared" ref="V132:V134" si="215">ROUND(IF(R132&gt;0,0,(S132+T132)*0.3),-2)</f>
        <v>12800</v>
      </c>
      <c r="W132" s="97">
        <f t="shared" si="195"/>
        <v>21300</v>
      </c>
      <c r="X132" s="98">
        <f t="shared" si="173"/>
        <v>55300</v>
      </c>
      <c r="Y132" s="98">
        <f t="shared" si="27"/>
        <v>63800</v>
      </c>
      <c r="Z132" s="121">
        <v>0</v>
      </c>
      <c r="AA132" s="121">
        <f t="shared" si="6"/>
        <v>2101.4</v>
      </c>
      <c r="AB132" s="121">
        <f t="shared" si="7"/>
        <v>1106</v>
      </c>
      <c r="AC132" s="99">
        <f t="shared" si="8"/>
        <v>6380</v>
      </c>
      <c r="AD132" s="121">
        <f t="shared" si="9"/>
        <v>52092.6</v>
      </c>
      <c r="AE132" s="99">
        <f t="shared" si="10"/>
        <v>57420</v>
      </c>
      <c r="AF132" s="121">
        <f t="shared" si="11"/>
        <v>520.92600000000004</v>
      </c>
      <c r="AG132" s="100">
        <f t="shared" si="28"/>
        <v>9121.6739999999991</v>
      </c>
      <c r="AH132" s="101">
        <f t="shared" si="29"/>
        <v>14449.074000000001</v>
      </c>
      <c r="AI132" s="102">
        <f t="shared" ref="AI132:AJ132" si="216">AG132/X132</f>
        <v>0.16494889692585893</v>
      </c>
      <c r="AJ132" s="102">
        <f t="shared" si="216"/>
        <v>0.22647451410658309</v>
      </c>
      <c r="AK132" s="103"/>
      <c r="AL132" s="104"/>
      <c r="AM132" s="17"/>
      <c r="AN132" s="17"/>
      <c r="AO132" s="17"/>
      <c r="AP132" s="17"/>
      <c r="AQ132" s="17"/>
      <c r="AR132" s="17"/>
      <c r="AS132" s="17"/>
      <c r="AT132" s="17"/>
      <c r="AU132" s="17"/>
      <c r="AV132" s="17"/>
      <c r="AW132" s="22">
        <v>4585320054</v>
      </c>
    </row>
    <row r="133" spans="1:49" ht="13.2">
      <c r="A133" s="89">
        <f>HYPERLINK("https://smartstore.naver.com/brickstore2019/products/4585684336",AW:AW)</f>
        <v>4585684336</v>
      </c>
      <c r="B133" s="264"/>
      <c r="C133" s="114" t="s">
        <v>511</v>
      </c>
      <c r="D133" s="114"/>
      <c r="E133" s="114" t="s">
        <v>512</v>
      </c>
      <c r="F133" s="91"/>
      <c r="G133" s="92" t="str">
        <f>HYPERLINK("https://www.amazon.com/Samsonite-Modern-Utility-Laptop-Backpack/dp/B076MYW7CM/ref=sr_1_6?keywords=samsonite+backpack&amp;qid=1562478905&amp;refinements=p_89%3ASamsonite&amp;rnid=2528832011&amp;s=gateway&amp;sr=8-6","A")</f>
        <v>A</v>
      </c>
      <c r="H133" s="93"/>
      <c r="I133" s="93"/>
      <c r="J133" s="93">
        <v>82</v>
      </c>
      <c r="K133" s="111">
        <v>3</v>
      </c>
      <c r="L133" s="111">
        <f t="shared" si="214"/>
        <v>48</v>
      </c>
      <c r="M133" s="111">
        <f t="shared" si="1"/>
        <v>1.360776</v>
      </c>
      <c r="N133" s="93">
        <v>0</v>
      </c>
      <c r="O133" s="93">
        <v>0</v>
      </c>
      <c r="P133" s="95">
        <f t="shared" si="2"/>
        <v>82</v>
      </c>
      <c r="Q133" s="96">
        <f>P133*C3</f>
        <v>102500</v>
      </c>
      <c r="R133" s="96">
        <v>0</v>
      </c>
      <c r="S133" s="97">
        <f t="shared" si="24"/>
        <v>102500</v>
      </c>
      <c r="T133" s="97">
        <f>ROUNDUP(HLOOKUP(ROUNDUP(K133,0),'배송비 조회'!A$10:U$22,7,0)*C$3,-2)</f>
        <v>13400</v>
      </c>
      <c r="U133" s="97">
        <v>0</v>
      </c>
      <c r="V133" s="97">
        <f t="shared" si="215"/>
        <v>34800</v>
      </c>
      <c r="W133" s="97">
        <f t="shared" si="195"/>
        <v>58000</v>
      </c>
      <c r="X133" s="98">
        <f t="shared" si="173"/>
        <v>150700</v>
      </c>
      <c r="Y133" s="98">
        <f t="shared" si="27"/>
        <v>173900</v>
      </c>
      <c r="Z133" s="121">
        <v>0</v>
      </c>
      <c r="AA133" s="121">
        <f t="shared" si="6"/>
        <v>5726.5999999999995</v>
      </c>
      <c r="AB133" s="121">
        <f t="shared" si="7"/>
        <v>3014</v>
      </c>
      <c r="AC133" s="99">
        <f t="shared" si="8"/>
        <v>17390</v>
      </c>
      <c r="AD133" s="121">
        <f t="shared" si="9"/>
        <v>141959.4</v>
      </c>
      <c r="AE133" s="99">
        <f t="shared" si="10"/>
        <v>156510</v>
      </c>
      <c r="AF133" s="121">
        <f t="shared" si="11"/>
        <v>1419.5940000000001</v>
      </c>
      <c r="AG133" s="100">
        <f t="shared" si="28"/>
        <v>24639.805999999997</v>
      </c>
      <c r="AH133" s="101">
        <f t="shared" si="29"/>
        <v>39190.406000000003</v>
      </c>
      <c r="AI133" s="102">
        <f t="shared" ref="AI133:AJ133" si="217">AG133/X133</f>
        <v>0.1635023623092236</v>
      </c>
      <c r="AJ133" s="102">
        <f t="shared" si="217"/>
        <v>0.22536173663024728</v>
      </c>
      <c r="AK133" s="103"/>
      <c r="AL133" s="104"/>
      <c r="AM133" s="17"/>
      <c r="AN133" s="17"/>
      <c r="AO133" s="17"/>
      <c r="AP133" s="17"/>
      <c r="AQ133" s="17"/>
      <c r="AR133" s="17"/>
      <c r="AS133" s="17"/>
      <c r="AT133" s="17"/>
      <c r="AU133" s="17"/>
      <c r="AV133" s="17"/>
      <c r="AW133" s="33">
        <v>4585684336</v>
      </c>
    </row>
    <row r="134" spans="1:49" ht="13.2">
      <c r="A134" s="119">
        <f>HYPERLINK("https://smartstore.naver.com/brickstore2019/products/4585698573",AW:AW)</f>
        <v>4585698573</v>
      </c>
      <c r="B134" s="266"/>
      <c r="C134" s="117" t="s">
        <v>513</v>
      </c>
      <c r="D134" s="117"/>
      <c r="E134" s="117" t="s">
        <v>514</v>
      </c>
      <c r="F134" s="123"/>
      <c r="G134" s="124" t="str">
        <f>HYPERLINK("https://www.amazon.com/Seiko-SNK805-Automatic-Stainless-Canvas/dp/B000LTAY1U/ref=sr_1_4?keywords=seiko+5&amp;qid=1562505155&amp;s=gateway&amp;sr=8-4","A")</f>
        <v>A</v>
      </c>
      <c r="H134" s="125"/>
      <c r="I134" s="125"/>
      <c r="J134" s="125">
        <v>80</v>
      </c>
      <c r="K134" s="111">
        <f>IF(L134&gt;0,L134*0.0625,)</f>
        <v>0.5</v>
      </c>
      <c r="L134" s="111">
        <v>8</v>
      </c>
      <c r="M134" s="111">
        <f t="shared" si="1"/>
        <v>0.226796</v>
      </c>
      <c r="N134" s="93">
        <v>0</v>
      </c>
      <c r="O134" s="93">
        <v>0</v>
      </c>
      <c r="P134" s="95">
        <f t="shared" si="2"/>
        <v>80</v>
      </c>
      <c r="Q134" s="96">
        <f>P134*C3</f>
        <v>100000</v>
      </c>
      <c r="R134" s="96">
        <v>0</v>
      </c>
      <c r="S134" s="97">
        <f t="shared" si="24"/>
        <v>100000</v>
      </c>
      <c r="T134" s="97">
        <f>ROUNDUP(HLOOKUP(ROUNDUP(K134,0),'배송비 조회'!A$10:U$22,7,0)*C$3,-2)</f>
        <v>9000</v>
      </c>
      <c r="U134" s="97">
        <v>0</v>
      </c>
      <c r="V134" s="97">
        <f t="shared" si="215"/>
        <v>32700</v>
      </c>
      <c r="W134" s="97">
        <f t="shared" si="195"/>
        <v>54500</v>
      </c>
      <c r="X134" s="98">
        <f t="shared" si="173"/>
        <v>141700</v>
      </c>
      <c r="Y134" s="98">
        <f t="shared" si="27"/>
        <v>163500</v>
      </c>
      <c r="Z134" s="121">
        <v>0</v>
      </c>
      <c r="AA134" s="121">
        <f t="shared" si="6"/>
        <v>5384.5999999999995</v>
      </c>
      <c r="AB134" s="121">
        <f t="shared" si="7"/>
        <v>2834</v>
      </c>
      <c r="AC134" s="99">
        <f t="shared" si="8"/>
        <v>16350</v>
      </c>
      <c r="AD134" s="121">
        <f t="shared" si="9"/>
        <v>133481.4</v>
      </c>
      <c r="AE134" s="99">
        <f t="shared" si="10"/>
        <v>147150</v>
      </c>
      <c r="AF134" s="121">
        <f t="shared" si="11"/>
        <v>1334.8140000000001</v>
      </c>
      <c r="AG134" s="100">
        <f t="shared" si="28"/>
        <v>23146.585999999996</v>
      </c>
      <c r="AH134" s="101">
        <f t="shared" si="29"/>
        <v>36815.186000000002</v>
      </c>
      <c r="AI134" s="102">
        <f t="shared" ref="AI134:AJ134" si="218">AG134/X134</f>
        <v>0.16334923076923075</v>
      </c>
      <c r="AJ134" s="102">
        <f t="shared" si="218"/>
        <v>0.22516933333333333</v>
      </c>
      <c r="AK134" s="103"/>
      <c r="AL134" s="104"/>
      <c r="AM134" s="17"/>
      <c r="AN134" s="17"/>
      <c r="AO134" s="17"/>
      <c r="AP134" s="17"/>
      <c r="AQ134" s="17"/>
      <c r="AR134" s="17"/>
      <c r="AS134" s="17"/>
      <c r="AT134" s="17"/>
      <c r="AU134" s="17"/>
      <c r="AV134" s="17"/>
      <c r="AW134" s="22">
        <v>4585698573</v>
      </c>
    </row>
    <row r="135" spans="1:49" ht="13.2">
      <c r="A135" s="303">
        <f>HYPERLINK("https://smartstore.naver.com/brickstore2019/products/4588865158",AW:AW)</f>
        <v>4588865158</v>
      </c>
      <c r="B135" s="266"/>
      <c r="C135" s="304" t="s">
        <v>515</v>
      </c>
      <c r="D135" s="117"/>
      <c r="E135" s="304" t="s">
        <v>516</v>
      </c>
      <c r="F135" s="123" t="s">
        <v>55</v>
      </c>
      <c r="G135" s="124" t="str">
        <f>HYPERLINK("https://www.amazon.com/Backpack-Resistant-University-Anti-Theft-Black/dp/B07D9DNC74/ref=sr_1_4?crid=1PI3RQ0R5X0B&amp;keywords=tigernu%2Bbackpack&amp;qid=1562680394&amp;refinements=p_89%3ATIGERNU&amp;rnid=2528832011&amp;s=gateway&amp;sprefix=tigernu%2B%2Caps%2C352&amp;sr=8-4&amp;th=1","A")</f>
        <v>A</v>
      </c>
      <c r="H135" s="125"/>
      <c r="I135" s="125"/>
      <c r="J135" s="93">
        <v>36</v>
      </c>
      <c r="K135" s="111">
        <v>1.6</v>
      </c>
      <c r="L135" s="111">
        <f t="shared" ref="L135:L137" si="219">IF(K135&gt;0,K135*16,)</f>
        <v>25.6</v>
      </c>
      <c r="M135" s="111">
        <f t="shared" si="1"/>
        <v>0.72574720000000004</v>
      </c>
      <c r="N135" s="93">
        <v>0</v>
      </c>
      <c r="O135" s="93">
        <v>0</v>
      </c>
      <c r="P135" s="95">
        <f t="shared" si="2"/>
        <v>36</v>
      </c>
      <c r="Q135" s="96">
        <f>P135*C3</f>
        <v>45000</v>
      </c>
      <c r="R135" s="96">
        <v>0</v>
      </c>
      <c r="S135" s="97">
        <f t="shared" si="24"/>
        <v>45000</v>
      </c>
      <c r="T135" s="97">
        <f>ROUNDUP(HLOOKUP(ROUNDUP(K135,0),'배송비 조회'!A$10:U$22,7,0)*C$3,-2)</f>
        <v>11200</v>
      </c>
      <c r="U135" s="97">
        <v>0</v>
      </c>
      <c r="V135" s="97">
        <f t="shared" ref="V135:V136" si="220">ROUND(IF(R135&gt;0,0,(S135+T135)*0.4),-2)</f>
        <v>22500</v>
      </c>
      <c r="W135" s="97">
        <f t="shared" si="195"/>
        <v>28100</v>
      </c>
      <c r="X135" s="98">
        <f t="shared" si="173"/>
        <v>78700</v>
      </c>
      <c r="Y135" s="98">
        <f t="shared" si="27"/>
        <v>84300</v>
      </c>
      <c r="Z135" s="121">
        <v>0</v>
      </c>
      <c r="AA135" s="121">
        <f t="shared" si="6"/>
        <v>2990.6</v>
      </c>
      <c r="AB135" s="121">
        <f t="shared" si="7"/>
        <v>1574</v>
      </c>
      <c r="AC135" s="99">
        <f t="shared" si="8"/>
        <v>8430</v>
      </c>
      <c r="AD135" s="121">
        <f t="shared" si="9"/>
        <v>74135.399999999994</v>
      </c>
      <c r="AE135" s="99">
        <f t="shared" si="10"/>
        <v>75870</v>
      </c>
      <c r="AF135" s="121">
        <f t="shared" si="11"/>
        <v>741.35399999999993</v>
      </c>
      <c r="AG135" s="100">
        <f t="shared" si="28"/>
        <v>17194.045999999995</v>
      </c>
      <c r="AH135" s="101">
        <f t="shared" si="29"/>
        <v>18928.646000000001</v>
      </c>
      <c r="AI135" s="102">
        <f t="shared" ref="AI135:AJ135" si="221">AG135/X135</f>
        <v>0.21847580686149931</v>
      </c>
      <c r="AJ135" s="102">
        <f t="shared" si="221"/>
        <v>0.2245390984578885</v>
      </c>
      <c r="AK135" s="103"/>
      <c r="AL135" s="104"/>
      <c r="AM135" s="17"/>
      <c r="AN135" s="17"/>
      <c r="AO135" s="17"/>
      <c r="AP135" s="17"/>
      <c r="AQ135" s="17"/>
      <c r="AR135" s="17"/>
      <c r="AS135" s="17"/>
      <c r="AT135" s="17"/>
      <c r="AU135" s="17"/>
      <c r="AV135" s="17"/>
      <c r="AW135" s="296">
        <v>4588865158</v>
      </c>
    </row>
    <row r="136" spans="1:49" ht="13.2">
      <c r="A136" s="302"/>
      <c r="B136" s="266"/>
      <c r="C136" s="302"/>
      <c r="D136" s="117"/>
      <c r="E136" s="302"/>
      <c r="F136" s="123" t="s">
        <v>92</v>
      </c>
      <c r="G136" s="124" t="str">
        <f>HYPERLINK("https://www.amazon.com/Backpack-Resistant-University-Anti-Theft-Black/dp/B07D9G2X2B/ref=sr_1_4?crid=1PI3RQ0R5X0B&amp;keywords=tigernu%2Bbackpack&amp;qid=1562680394&amp;refinements=p_89%3ATIGERNU&amp;rnid=2528832011&amp;s=gateway&amp;sprefix=tigernu%2B%2Caps%2C352&amp;sr=8-4&amp;th=1","A")</f>
        <v>A</v>
      </c>
      <c r="H136" s="125"/>
      <c r="I136" s="125"/>
      <c r="J136" s="93">
        <v>30</v>
      </c>
      <c r="K136" s="111">
        <v>1.6</v>
      </c>
      <c r="L136" s="111">
        <f t="shared" si="219"/>
        <v>25.6</v>
      </c>
      <c r="M136" s="111">
        <f t="shared" si="1"/>
        <v>0.72574720000000004</v>
      </c>
      <c r="N136" s="93">
        <v>0</v>
      </c>
      <c r="O136" s="93">
        <v>0</v>
      </c>
      <c r="P136" s="95">
        <f t="shared" si="2"/>
        <v>30</v>
      </c>
      <c r="Q136" s="96">
        <f>P136*C3</f>
        <v>37500</v>
      </c>
      <c r="R136" s="96">
        <v>0</v>
      </c>
      <c r="S136" s="97">
        <f t="shared" si="24"/>
        <v>37500</v>
      </c>
      <c r="T136" s="97">
        <f>ROUNDUP(HLOOKUP(ROUNDUP(K136,0),'배송비 조회'!A$10:U$22,7,0)*C$3,-2)</f>
        <v>11200</v>
      </c>
      <c r="U136" s="97">
        <v>0</v>
      </c>
      <c r="V136" s="97">
        <f t="shared" si="220"/>
        <v>19500</v>
      </c>
      <c r="W136" s="97">
        <f t="shared" si="195"/>
        <v>24400</v>
      </c>
      <c r="X136" s="98">
        <f t="shared" si="173"/>
        <v>68200</v>
      </c>
      <c r="Y136" s="98">
        <f t="shared" si="27"/>
        <v>73100</v>
      </c>
      <c r="Z136" s="121">
        <v>0</v>
      </c>
      <c r="AA136" s="121">
        <f t="shared" si="6"/>
        <v>2591.6</v>
      </c>
      <c r="AB136" s="121">
        <f t="shared" si="7"/>
        <v>1364</v>
      </c>
      <c r="AC136" s="99">
        <f t="shared" si="8"/>
        <v>7310</v>
      </c>
      <c r="AD136" s="121">
        <f t="shared" si="9"/>
        <v>64244.399999999994</v>
      </c>
      <c r="AE136" s="99">
        <f t="shared" si="10"/>
        <v>65790</v>
      </c>
      <c r="AF136" s="121">
        <f t="shared" si="11"/>
        <v>642.44399999999996</v>
      </c>
      <c r="AG136" s="100">
        <f t="shared" si="28"/>
        <v>14901.955999999995</v>
      </c>
      <c r="AH136" s="101">
        <f t="shared" si="29"/>
        <v>16447.556</v>
      </c>
      <c r="AI136" s="102">
        <f t="shared" ref="AI136:AJ136" si="222">AG136/X136</f>
        <v>0.21850375366568908</v>
      </c>
      <c r="AJ136" s="102">
        <f t="shared" si="222"/>
        <v>0.22500076607387143</v>
      </c>
      <c r="AK136" s="103"/>
      <c r="AL136" s="104"/>
      <c r="AM136" s="17"/>
      <c r="AN136" s="17"/>
      <c r="AO136" s="17"/>
      <c r="AP136" s="17"/>
      <c r="AQ136" s="17"/>
      <c r="AR136" s="17"/>
      <c r="AS136" s="17"/>
      <c r="AT136" s="17"/>
      <c r="AU136" s="17"/>
      <c r="AV136" s="17"/>
      <c r="AW136" s="297"/>
    </row>
    <row r="137" spans="1:49" ht="13.2">
      <c r="A137" s="105">
        <f>HYPERLINK("https://smartstore.naver.com/brickstore2019/products/4590410862",AW:AW)</f>
        <v>4590410862</v>
      </c>
      <c r="B137" s="263"/>
      <c r="C137" s="107" t="s">
        <v>517</v>
      </c>
      <c r="D137" s="107"/>
      <c r="E137" s="107" t="s">
        <v>518</v>
      </c>
      <c r="F137" s="108"/>
      <c r="G137" s="109" t="str">
        <f>HYPERLINK("https://www.amazon.com/Under-Armour-Contender-Backpack-Khaki/dp/B077KG9M73/ref=sr_1_25?crid=1FO64TWRE1U1L&amp;keywords=under%2Barmour%2Bbackpack&amp;qid=1562768108&amp;s=gateway&amp;sprefix=under%2Barmour%2Bba%2Caps%2C346&amp;sr=8-25&amp;th=1&amp;psc=1","A")</f>
        <v>A</v>
      </c>
      <c r="H137" s="110" t="s">
        <v>60</v>
      </c>
      <c r="I137" s="110"/>
      <c r="J137" s="110">
        <v>80</v>
      </c>
      <c r="K137" s="153">
        <v>2.2000000000000002</v>
      </c>
      <c r="L137" s="153">
        <f t="shared" si="219"/>
        <v>35.200000000000003</v>
      </c>
      <c r="M137" s="153">
        <f t="shared" si="1"/>
        <v>0.99790240000000008</v>
      </c>
      <c r="N137" s="110">
        <v>0</v>
      </c>
      <c r="O137" s="110">
        <v>0</v>
      </c>
      <c r="P137" s="154">
        <f t="shared" si="2"/>
        <v>80</v>
      </c>
      <c r="Q137" s="155">
        <f>P137*C3</f>
        <v>100000</v>
      </c>
      <c r="R137" s="155">
        <v>0</v>
      </c>
      <c r="S137" s="155">
        <f t="shared" si="24"/>
        <v>100000</v>
      </c>
      <c r="T137" s="155">
        <f>ROUNDUP(HLOOKUP(ROUNDUP(K137,0),'배송비 조회'!A$10:U$22,7,0)*C$3,-2)</f>
        <v>13400</v>
      </c>
      <c r="U137" s="155">
        <v>0</v>
      </c>
      <c r="V137" s="155">
        <f>ROUND(IF(R137&gt;0,0,(S137+T137)*0.3),-2)</f>
        <v>34000</v>
      </c>
      <c r="W137" s="155">
        <f t="shared" si="195"/>
        <v>56700</v>
      </c>
      <c r="X137" s="155">
        <f t="shared" si="173"/>
        <v>147400</v>
      </c>
      <c r="Y137" s="155">
        <f t="shared" si="27"/>
        <v>170100</v>
      </c>
      <c r="Z137" s="133">
        <v>0</v>
      </c>
      <c r="AA137" s="133">
        <f t="shared" si="6"/>
        <v>5601.2</v>
      </c>
      <c r="AB137" s="133">
        <f t="shared" si="7"/>
        <v>2948</v>
      </c>
      <c r="AC137" s="133">
        <f t="shared" si="8"/>
        <v>17010</v>
      </c>
      <c r="AD137" s="133">
        <f t="shared" si="9"/>
        <v>138850.79999999999</v>
      </c>
      <c r="AE137" s="133">
        <f t="shared" si="10"/>
        <v>153090</v>
      </c>
      <c r="AF137" s="133">
        <f t="shared" si="11"/>
        <v>1388.5079999999998</v>
      </c>
      <c r="AG137" s="155">
        <f t="shared" si="28"/>
        <v>24062.291999999987</v>
      </c>
      <c r="AH137" s="155">
        <f t="shared" si="29"/>
        <v>38301.491999999998</v>
      </c>
      <c r="AI137" s="156">
        <f t="shared" ref="AI137:AJ137" si="223">AG137/X137</f>
        <v>0.16324485753052909</v>
      </c>
      <c r="AJ137" s="156">
        <f t="shared" si="223"/>
        <v>0.22517044091710758</v>
      </c>
      <c r="AK137" s="161"/>
      <c r="AL137" s="162"/>
      <c r="AM137" s="38"/>
      <c r="AN137" s="38"/>
      <c r="AO137" s="38"/>
      <c r="AP137" s="38"/>
      <c r="AQ137" s="38"/>
      <c r="AR137" s="38"/>
      <c r="AS137" s="38"/>
      <c r="AT137" s="38"/>
      <c r="AU137" s="38"/>
      <c r="AV137" s="38"/>
      <c r="AW137" s="19">
        <v>4590410862</v>
      </c>
    </row>
    <row r="138" spans="1:49" ht="13.2">
      <c r="A138" s="159">
        <f>HYPERLINK("https://smartstore.naver.com/brickstore2019/products/4595193469",AW:AW)</f>
        <v>4595193469</v>
      </c>
      <c r="B138" s="271"/>
      <c r="C138" s="160" t="s">
        <v>519</v>
      </c>
      <c r="D138" s="160"/>
      <c r="E138" s="160" t="s">
        <v>520</v>
      </c>
      <c r="F138" s="91"/>
      <c r="G138" s="92" t="str">
        <f>HYPERLINK("https://www.amazon.com/Tigernu-Sling-Crossbody-Headphone-Resistant/dp/B07D9DRT6P?ref_=bl_dp_s_web_12733822011#customerReviews","A")</f>
        <v>A</v>
      </c>
      <c r="H138" s="93"/>
      <c r="I138" s="93"/>
      <c r="J138" s="93">
        <v>24.99</v>
      </c>
      <c r="K138" s="111">
        <f>IF(L138&gt;0,L138*0.0625,)</f>
        <v>0.85</v>
      </c>
      <c r="L138" s="111">
        <v>13.6</v>
      </c>
      <c r="M138" s="111">
        <f t="shared" si="1"/>
        <v>0.38555319999999998</v>
      </c>
      <c r="N138" s="93">
        <v>0</v>
      </c>
      <c r="O138" s="93">
        <v>0</v>
      </c>
      <c r="P138" s="95">
        <f t="shared" si="2"/>
        <v>24.99</v>
      </c>
      <c r="Q138" s="96">
        <f>P138*C3</f>
        <v>31237.499999999996</v>
      </c>
      <c r="R138" s="96">
        <v>0</v>
      </c>
      <c r="S138" s="97">
        <f t="shared" si="24"/>
        <v>31200</v>
      </c>
      <c r="T138" s="97">
        <f>ROUNDUP(HLOOKUP(ROUNDUP(K138,0),'배송비 조회'!A$10:U$22,7,0)*C$3,-2)</f>
        <v>9000</v>
      </c>
      <c r="U138" s="97">
        <v>0</v>
      </c>
      <c r="V138" s="97">
        <f>ROUND(IF(R138&gt;0,0,(S138+T138)*0.4),-2)</f>
        <v>16100</v>
      </c>
      <c r="W138" s="97">
        <f t="shared" si="195"/>
        <v>20100</v>
      </c>
      <c r="X138" s="98">
        <f t="shared" si="173"/>
        <v>56300</v>
      </c>
      <c r="Y138" s="98">
        <f t="shared" si="27"/>
        <v>60300</v>
      </c>
      <c r="Z138" s="142">
        <v>0</v>
      </c>
      <c r="AA138" s="142">
        <f t="shared" si="6"/>
        <v>2139.4</v>
      </c>
      <c r="AB138" s="142">
        <f t="shared" si="7"/>
        <v>1126</v>
      </c>
      <c r="AC138" s="99">
        <f t="shared" si="8"/>
        <v>6030</v>
      </c>
      <c r="AD138" s="142">
        <f t="shared" si="9"/>
        <v>53034.6</v>
      </c>
      <c r="AE138" s="99">
        <f t="shared" si="10"/>
        <v>54270</v>
      </c>
      <c r="AF138" s="142">
        <f t="shared" si="11"/>
        <v>530.346</v>
      </c>
      <c r="AG138" s="100">
        <f t="shared" si="28"/>
        <v>12266.754000000001</v>
      </c>
      <c r="AH138" s="101">
        <f t="shared" si="29"/>
        <v>13502.154000000002</v>
      </c>
      <c r="AI138" s="102">
        <f t="shared" ref="AI138:AJ138" si="224">AG138/X138</f>
        <v>0.21788195381882772</v>
      </c>
      <c r="AJ138" s="102">
        <f t="shared" si="224"/>
        <v>0.22391631840796022</v>
      </c>
      <c r="AK138" s="103"/>
      <c r="AL138" s="104"/>
      <c r="AM138" s="17"/>
      <c r="AN138" s="17"/>
      <c r="AO138" s="17"/>
      <c r="AP138" s="17"/>
      <c r="AQ138" s="17"/>
      <c r="AR138" s="17"/>
      <c r="AS138" s="17"/>
      <c r="AT138" s="17"/>
      <c r="AU138" s="17"/>
      <c r="AV138" s="17"/>
      <c r="AW138" s="33">
        <v>4595193469</v>
      </c>
    </row>
    <row r="139" spans="1:49" ht="13.2">
      <c r="A139" s="119">
        <f>HYPERLINK("https://smartstore.naver.com/brickstore2019/products/4595204831",AW:AW)</f>
        <v>4595204831</v>
      </c>
      <c r="B139" s="266"/>
      <c r="C139" s="117" t="s">
        <v>521</v>
      </c>
      <c r="D139" s="117"/>
      <c r="E139" s="117" t="s">
        <v>522</v>
      </c>
      <c r="F139" s="123"/>
      <c r="G139" s="124" t="str">
        <f>HYPERLINK("https://www.amazon.com/Under-Armour-Recruit-2-0-Backpack/dp/B077KF7RXQ/ref=sr_1_6?crid=3I8FMDYWBIQE7&amp;keywords=under%2Barmour%2Bbackpack&amp;qid=1563081070&amp;s=gateway&amp;sprefix=underarmour%2Bbackpack%2Caps%2C382&amp;sr=8-6&amp;th=1&amp;psc=1","A")</f>
        <v>A</v>
      </c>
      <c r="H139" s="125"/>
      <c r="I139" s="125"/>
      <c r="J139" s="125">
        <v>65</v>
      </c>
      <c r="K139" s="111">
        <v>1.44</v>
      </c>
      <c r="L139" s="111">
        <f t="shared" ref="L139:L144" si="225">IF(K139&gt;0,K139*16,)</f>
        <v>23.04</v>
      </c>
      <c r="M139" s="111">
        <f t="shared" si="1"/>
        <v>0.65317247999999994</v>
      </c>
      <c r="N139" s="93">
        <v>0</v>
      </c>
      <c r="O139" s="93">
        <v>0</v>
      </c>
      <c r="P139" s="95">
        <f t="shared" si="2"/>
        <v>65</v>
      </c>
      <c r="Q139" s="96">
        <f>P139*C3</f>
        <v>81250</v>
      </c>
      <c r="R139" s="96">
        <v>0</v>
      </c>
      <c r="S139" s="97">
        <f t="shared" si="24"/>
        <v>81300</v>
      </c>
      <c r="T139" s="97">
        <f>ROUNDUP(HLOOKUP(ROUNDUP(K139,0),'배송비 조회'!A$10:U$22,7,0)*C$3,-2)</f>
        <v>11200</v>
      </c>
      <c r="U139" s="97">
        <v>0</v>
      </c>
      <c r="V139" s="97">
        <f t="shared" ref="V139:V141" si="226">ROUND(IF(R139&gt;0,0,(S139+T139)*0.3),-2)</f>
        <v>27800</v>
      </c>
      <c r="W139" s="97">
        <f t="shared" si="195"/>
        <v>46300</v>
      </c>
      <c r="X139" s="98">
        <f t="shared" si="173"/>
        <v>120300</v>
      </c>
      <c r="Y139" s="98">
        <f t="shared" si="27"/>
        <v>138800</v>
      </c>
      <c r="Z139" s="121"/>
      <c r="AA139" s="121">
        <f t="shared" si="6"/>
        <v>4571.3999999999996</v>
      </c>
      <c r="AB139" s="121">
        <f t="shared" si="7"/>
        <v>2406</v>
      </c>
      <c r="AC139" s="99">
        <f t="shared" si="8"/>
        <v>13880</v>
      </c>
      <c r="AD139" s="121">
        <f t="shared" si="9"/>
        <v>113322.6</v>
      </c>
      <c r="AE139" s="99">
        <f t="shared" si="10"/>
        <v>124920</v>
      </c>
      <c r="AF139" s="121">
        <f t="shared" si="11"/>
        <v>1133.2260000000001</v>
      </c>
      <c r="AG139" s="100">
        <f t="shared" si="28"/>
        <v>19739.374000000007</v>
      </c>
      <c r="AH139" s="101">
        <f t="shared" si="29"/>
        <v>31336.773999999998</v>
      </c>
      <c r="AI139" s="102">
        <f t="shared" ref="AI139:AJ139" si="227">AG139/X139</f>
        <v>0.16408457190357445</v>
      </c>
      <c r="AJ139" s="102">
        <f t="shared" si="227"/>
        <v>0.22576926512968298</v>
      </c>
      <c r="AK139" s="103"/>
      <c r="AL139" s="104"/>
      <c r="AM139" s="17"/>
      <c r="AN139" s="17"/>
      <c r="AO139" s="17"/>
      <c r="AP139" s="17"/>
      <c r="AQ139" s="17"/>
      <c r="AR139" s="17"/>
      <c r="AS139" s="17"/>
      <c r="AT139" s="17"/>
      <c r="AU139" s="17"/>
      <c r="AV139" s="17"/>
      <c r="AW139" s="22">
        <v>4595204831</v>
      </c>
    </row>
    <row r="140" spans="1:49" ht="13.2">
      <c r="A140" s="105">
        <f>HYPERLINK("https://smartstore.naver.com/brickstore2019/products/4595215826",AW:AW)</f>
        <v>4595215826</v>
      </c>
      <c r="B140" s="263"/>
      <c r="C140" s="107" t="s">
        <v>523</v>
      </c>
      <c r="D140" s="107"/>
      <c r="E140" s="107" t="s">
        <v>524</v>
      </c>
      <c r="F140" s="108"/>
      <c r="G140" s="109" t="str">
        <f>HYPERLINK("https://www.amazon.com/Under-Armour-Recruit-Backpack-Overcast/dp/B01M272Q37/ref=sr_1_11?crid=3I8FMDYWBIQE7&amp;keywords=under%2Barmour%2Bbackpack&amp;qid=1563081070&amp;s=gateway&amp;sprefix=underarmour%2Bbackpack%2Caps%2C382&amp;sr=8-11&amp;th=1&amp;psc=1","A")</f>
        <v>A</v>
      </c>
      <c r="H140" s="110" t="s">
        <v>60</v>
      </c>
      <c r="I140" s="110"/>
      <c r="J140" s="110">
        <v>80.72</v>
      </c>
      <c r="K140" s="153">
        <v>1.45</v>
      </c>
      <c r="L140" s="153">
        <f t="shared" si="225"/>
        <v>23.2</v>
      </c>
      <c r="M140" s="153">
        <f t="shared" si="1"/>
        <v>0.65770839999999997</v>
      </c>
      <c r="N140" s="110">
        <v>0</v>
      </c>
      <c r="O140" s="110">
        <v>0</v>
      </c>
      <c r="P140" s="154">
        <f t="shared" si="2"/>
        <v>80.72</v>
      </c>
      <c r="Q140" s="155">
        <f>P140*C3</f>
        <v>100900</v>
      </c>
      <c r="R140" s="155">
        <v>0</v>
      </c>
      <c r="S140" s="155">
        <f t="shared" si="24"/>
        <v>100900</v>
      </c>
      <c r="T140" s="155">
        <f>ROUNDUP(HLOOKUP(ROUNDUP(K140,0),'배송비 조회'!A$10:U$22,7,0)*C$3,-2)</f>
        <v>11200</v>
      </c>
      <c r="U140" s="155">
        <v>0</v>
      </c>
      <c r="V140" s="155">
        <f t="shared" si="226"/>
        <v>33600</v>
      </c>
      <c r="W140" s="155">
        <f t="shared" si="195"/>
        <v>56100</v>
      </c>
      <c r="X140" s="155">
        <f t="shared" si="173"/>
        <v>145700</v>
      </c>
      <c r="Y140" s="155">
        <f t="shared" si="27"/>
        <v>168200</v>
      </c>
      <c r="Z140" s="133">
        <v>0</v>
      </c>
      <c r="AA140" s="133">
        <f t="shared" si="6"/>
        <v>5536.5999999999995</v>
      </c>
      <c r="AB140" s="133">
        <f t="shared" si="7"/>
        <v>2914</v>
      </c>
      <c r="AC140" s="133">
        <f t="shared" si="8"/>
        <v>16820</v>
      </c>
      <c r="AD140" s="133">
        <f t="shared" si="9"/>
        <v>137249.4</v>
      </c>
      <c r="AE140" s="133">
        <f t="shared" si="10"/>
        <v>151380</v>
      </c>
      <c r="AF140" s="133">
        <f t="shared" si="11"/>
        <v>1372.4939999999999</v>
      </c>
      <c r="AG140" s="155">
        <f t="shared" si="28"/>
        <v>23776.905999999995</v>
      </c>
      <c r="AH140" s="155">
        <f t="shared" si="29"/>
        <v>37907.506000000001</v>
      </c>
      <c r="AI140" s="156">
        <f t="shared" ref="AI140:AJ140" si="228">AG140/X140</f>
        <v>0.16319084420041177</v>
      </c>
      <c r="AJ140" s="156">
        <f t="shared" si="228"/>
        <v>0.22537161712247325</v>
      </c>
      <c r="AK140" s="161"/>
      <c r="AL140" s="162"/>
      <c r="AM140" s="38"/>
      <c r="AN140" s="38"/>
      <c r="AO140" s="38"/>
      <c r="AP140" s="38"/>
      <c r="AQ140" s="38"/>
      <c r="AR140" s="38"/>
      <c r="AS140" s="38"/>
      <c r="AT140" s="38"/>
      <c r="AU140" s="38"/>
      <c r="AV140" s="38"/>
      <c r="AW140" s="19">
        <v>4595215826</v>
      </c>
    </row>
    <row r="141" spans="1:49" ht="13.2">
      <c r="A141" s="119">
        <f>HYPERLINK("https://smartstore.naver.com/brickstore2019/products/4600357080",AW:AW)</f>
        <v>4600357080</v>
      </c>
      <c r="B141" s="266"/>
      <c r="C141" s="117" t="s">
        <v>525</v>
      </c>
      <c r="D141" s="117"/>
      <c r="E141" s="117" t="s">
        <v>526</v>
      </c>
      <c r="F141" s="123"/>
      <c r="G141" s="124" t="str">
        <f>HYPERLINK("https://www.amazon.com/Citizen-Eco-Drive-Promaster-Diver-BN0151-09L/dp/B00PXVU3GM?ref_=w_bl_sl_ap_wa_web_2587295011","A")</f>
        <v>A</v>
      </c>
      <c r="H141" s="125"/>
      <c r="I141" s="125"/>
      <c r="J141" s="93">
        <v>163</v>
      </c>
      <c r="K141" s="111">
        <v>1.4</v>
      </c>
      <c r="L141" s="111">
        <f t="shared" si="225"/>
        <v>22.4</v>
      </c>
      <c r="M141" s="111">
        <f t="shared" si="1"/>
        <v>0.63502879999999995</v>
      </c>
      <c r="N141" s="93">
        <v>0</v>
      </c>
      <c r="O141" s="93">
        <v>0</v>
      </c>
      <c r="P141" s="95">
        <f t="shared" si="2"/>
        <v>163</v>
      </c>
      <c r="Q141" s="96">
        <f>P141*C3</f>
        <v>203750</v>
      </c>
      <c r="R141" s="96">
        <v>0</v>
      </c>
      <c r="S141" s="97">
        <f t="shared" si="24"/>
        <v>203800</v>
      </c>
      <c r="T141" s="97">
        <f>ROUNDUP(HLOOKUP(ROUNDUP(K141,0),'배송비 조회'!A$10:U$22,7,0)*C$3,-2)</f>
        <v>11200</v>
      </c>
      <c r="U141" s="97">
        <v>0</v>
      </c>
      <c r="V141" s="97">
        <f t="shared" si="226"/>
        <v>64500</v>
      </c>
      <c r="W141" s="97">
        <f t="shared" si="195"/>
        <v>107500</v>
      </c>
      <c r="X141" s="98">
        <f t="shared" si="173"/>
        <v>279500</v>
      </c>
      <c r="Y141" s="98">
        <f t="shared" si="27"/>
        <v>322500</v>
      </c>
      <c r="Z141" s="121">
        <v>0</v>
      </c>
      <c r="AA141" s="121">
        <f t="shared" si="6"/>
        <v>10621</v>
      </c>
      <c r="AB141" s="121">
        <f t="shared" si="7"/>
        <v>5590</v>
      </c>
      <c r="AC141" s="99">
        <f t="shared" si="8"/>
        <v>32250</v>
      </c>
      <c r="AD141" s="121">
        <f t="shared" si="9"/>
        <v>263289</v>
      </c>
      <c r="AE141" s="99">
        <f t="shared" si="10"/>
        <v>290250</v>
      </c>
      <c r="AF141" s="121">
        <f t="shared" si="11"/>
        <v>2632.89</v>
      </c>
      <c r="AG141" s="100">
        <f t="shared" si="28"/>
        <v>45706.11</v>
      </c>
      <c r="AH141" s="101">
        <f t="shared" si="29"/>
        <v>72667.11</v>
      </c>
      <c r="AI141" s="102">
        <f t="shared" ref="AI141:AJ141" si="229">AG141/X141</f>
        <v>0.16352812164579605</v>
      </c>
      <c r="AJ141" s="102">
        <f t="shared" si="229"/>
        <v>0.22532437209302325</v>
      </c>
      <c r="AK141" s="103"/>
      <c r="AL141" s="104"/>
      <c r="AM141" s="17"/>
      <c r="AN141" s="17"/>
      <c r="AO141" s="17"/>
      <c r="AP141" s="17"/>
      <c r="AQ141" s="17"/>
      <c r="AR141" s="17"/>
      <c r="AS141" s="17"/>
      <c r="AT141" s="17"/>
      <c r="AU141" s="17"/>
      <c r="AV141" s="17"/>
      <c r="AW141" s="22">
        <v>4600357080</v>
      </c>
    </row>
    <row r="142" spans="1:49" ht="13.2">
      <c r="A142" s="303">
        <f>HYPERLINK("https://smartstore.naver.com/brickstore2019/products/4601835341",AW:AW)</f>
        <v>4601835341</v>
      </c>
      <c r="B142" s="266"/>
      <c r="C142" s="304" t="s">
        <v>527</v>
      </c>
      <c r="D142" s="117"/>
      <c r="E142" s="304" t="s">
        <v>528</v>
      </c>
      <c r="F142" s="123" t="s">
        <v>529</v>
      </c>
      <c r="G142" s="124" t="str">
        <f>HYPERLINK("https://www.amazon.com/FLPSDE-Chamber-Insulated-Stainless-Adventure/dp/B07MVQLLDQ?th=1","A")</f>
        <v>A</v>
      </c>
      <c r="H142" s="125"/>
      <c r="I142" s="125"/>
      <c r="J142" s="93">
        <v>35</v>
      </c>
      <c r="K142" s="111">
        <v>1.05</v>
      </c>
      <c r="L142" s="111">
        <f t="shared" si="225"/>
        <v>16.8</v>
      </c>
      <c r="M142" s="111">
        <f t="shared" si="1"/>
        <v>0.47627160000000002</v>
      </c>
      <c r="N142" s="93">
        <v>0</v>
      </c>
      <c r="O142" s="93">
        <v>0</v>
      </c>
      <c r="P142" s="95">
        <f t="shared" si="2"/>
        <v>35</v>
      </c>
      <c r="Q142" s="96">
        <f>P142*C$3</f>
        <v>43750</v>
      </c>
      <c r="R142" s="96">
        <v>0</v>
      </c>
      <c r="S142" s="97">
        <f t="shared" si="24"/>
        <v>43800</v>
      </c>
      <c r="T142" s="97">
        <f>ROUNDUP(HLOOKUP(ROUNDUP(K142,0),'배송비 조회'!A$10:U$22,7,0)*C$3,-2)</f>
        <v>11200</v>
      </c>
      <c r="U142" s="97">
        <v>0</v>
      </c>
      <c r="V142" s="97">
        <f t="shared" ref="V142:V144" si="230">ROUND(IF(R142&gt;0,0,(S142+T142)*0.4),-2)</f>
        <v>22000</v>
      </c>
      <c r="W142" s="97">
        <f t="shared" si="195"/>
        <v>27500</v>
      </c>
      <c r="X142" s="98">
        <f t="shared" si="173"/>
        <v>77000</v>
      </c>
      <c r="Y142" s="98">
        <f t="shared" si="27"/>
        <v>82500</v>
      </c>
      <c r="Z142" s="121">
        <v>0</v>
      </c>
      <c r="AA142" s="121">
        <f t="shared" si="6"/>
        <v>2926</v>
      </c>
      <c r="AB142" s="121">
        <f t="shared" si="7"/>
        <v>1540</v>
      </c>
      <c r="AC142" s="99">
        <f t="shared" si="8"/>
        <v>8250</v>
      </c>
      <c r="AD142" s="121">
        <f t="shared" si="9"/>
        <v>72534</v>
      </c>
      <c r="AE142" s="99">
        <f t="shared" si="10"/>
        <v>74250</v>
      </c>
      <c r="AF142" s="121">
        <f t="shared" si="11"/>
        <v>725.34</v>
      </c>
      <c r="AG142" s="100">
        <f t="shared" si="28"/>
        <v>16858.66</v>
      </c>
      <c r="AH142" s="101">
        <f t="shared" si="29"/>
        <v>18574.66</v>
      </c>
      <c r="AI142" s="102">
        <f t="shared" ref="AI142:AJ142" si="231">AG142/X142</f>
        <v>0.21894363636363637</v>
      </c>
      <c r="AJ142" s="102">
        <f t="shared" si="231"/>
        <v>0.22514739393939392</v>
      </c>
      <c r="AK142" s="103"/>
      <c r="AL142" s="104"/>
      <c r="AM142" s="17"/>
      <c r="AN142" s="17"/>
      <c r="AO142" s="17"/>
      <c r="AP142" s="17"/>
      <c r="AQ142" s="17"/>
      <c r="AR142" s="17"/>
      <c r="AS142" s="17"/>
      <c r="AT142" s="17"/>
      <c r="AU142" s="17"/>
      <c r="AV142" s="17"/>
      <c r="AW142" s="296">
        <v>4601835341</v>
      </c>
    </row>
    <row r="143" spans="1:49" ht="13.2">
      <c r="A143" s="302"/>
      <c r="B143" s="266"/>
      <c r="C143" s="302"/>
      <c r="D143" s="117"/>
      <c r="E143" s="302"/>
      <c r="F143" s="123" t="s">
        <v>530</v>
      </c>
      <c r="G143" s="124" t="str">
        <f>HYPERLINK("https://www.amazon.com/FLPSDE-Chamber-Insulated-Stainless-Adventure/dp/B07MVQJ9JJ?th=1","A")</f>
        <v>A</v>
      </c>
      <c r="H143" s="125"/>
      <c r="I143" s="125"/>
      <c r="J143" s="93">
        <v>35</v>
      </c>
      <c r="K143" s="111">
        <v>1.05</v>
      </c>
      <c r="L143" s="111">
        <f t="shared" si="225"/>
        <v>16.8</v>
      </c>
      <c r="M143" s="111">
        <f t="shared" si="1"/>
        <v>0.47627160000000002</v>
      </c>
      <c r="N143" s="93">
        <v>0</v>
      </c>
      <c r="O143" s="93">
        <v>0</v>
      </c>
      <c r="P143" s="95">
        <f t="shared" si="2"/>
        <v>35</v>
      </c>
      <c r="Q143" s="96">
        <f>P143*C$3</f>
        <v>43750</v>
      </c>
      <c r="R143" s="96">
        <v>0</v>
      </c>
      <c r="S143" s="97">
        <f t="shared" si="24"/>
        <v>43800</v>
      </c>
      <c r="T143" s="97">
        <f>ROUNDUP(HLOOKUP(ROUNDUP(K143,0),'배송비 조회'!A$10:U$22,7,0)*C$3,-2)</f>
        <v>11200</v>
      </c>
      <c r="U143" s="97">
        <v>0</v>
      </c>
      <c r="V143" s="97">
        <f t="shared" si="230"/>
        <v>22000</v>
      </c>
      <c r="W143" s="97">
        <f t="shared" si="195"/>
        <v>27500</v>
      </c>
      <c r="X143" s="98">
        <f t="shared" si="173"/>
        <v>77000</v>
      </c>
      <c r="Y143" s="98">
        <f t="shared" si="27"/>
        <v>82500</v>
      </c>
      <c r="Z143" s="121">
        <v>0</v>
      </c>
      <c r="AA143" s="121">
        <f t="shared" si="6"/>
        <v>2926</v>
      </c>
      <c r="AB143" s="121">
        <f t="shared" si="7"/>
        <v>1540</v>
      </c>
      <c r="AC143" s="99">
        <f t="shared" si="8"/>
        <v>8250</v>
      </c>
      <c r="AD143" s="121">
        <f t="shared" si="9"/>
        <v>72534</v>
      </c>
      <c r="AE143" s="99">
        <f t="shared" si="10"/>
        <v>74250</v>
      </c>
      <c r="AF143" s="121">
        <f t="shared" si="11"/>
        <v>725.34</v>
      </c>
      <c r="AG143" s="100">
        <f t="shared" si="28"/>
        <v>16858.66</v>
      </c>
      <c r="AH143" s="101">
        <f t="shared" si="29"/>
        <v>18574.66</v>
      </c>
      <c r="AI143" s="102">
        <f t="shared" ref="AI143:AJ143" si="232">AG143/X143</f>
        <v>0.21894363636363637</v>
      </c>
      <c r="AJ143" s="102">
        <f t="shared" si="232"/>
        <v>0.22514739393939392</v>
      </c>
      <c r="AK143" s="103"/>
      <c r="AL143" s="104"/>
      <c r="AM143" s="17"/>
      <c r="AN143" s="17"/>
      <c r="AO143" s="17"/>
      <c r="AP143" s="17"/>
      <c r="AQ143" s="17"/>
      <c r="AR143" s="17"/>
      <c r="AS143" s="17"/>
      <c r="AT143" s="17"/>
      <c r="AU143" s="17"/>
      <c r="AV143" s="17"/>
      <c r="AW143" s="297"/>
    </row>
    <row r="144" spans="1:49" ht="13.2">
      <c r="A144" s="302"/>
      <c r="B144" s="266"/>
      <c r="C144" s="302"/>
      <c r="D144" s="117"/>
      <c r="E144" s="302"/>
      <c r="F144" s="123" t="s">
        <v>531</v>
      </c>
      <c r="G144" s="124" t="str">
        <f>HYPERLINK("https://www.amazon.com/FLPSDE-Chamber-Insulated-Stainless-Adventure/dp/B07MVSPJQC?th=1","A")</f>
        <v>A</v>
      </c>
      <c r="H144" s="125"/>
      <c r="I144" s="125"/>
      <c r="J144" s="93">
        <v>35</v>
      </c>
      <c r="K144" s="111">
        <v>1.05</v>
      </c>
      <c r="L144" s="111">
        <f t="shared" si="225"/>
        <v>16.8</v>
      </c>
      <c r="M144" s="111">
        <f t="shared" si="1"/>
        <v>0.47627160000000002</v>
      </c>
      <c r="N144" s="93">
        <v>0</v>
      </c>
      <c r="O144" s="93">
        <v>0</v>
      </c>
      <c r="P144" s="95">
        <f t="shared" si="2"/>
        <v>35</v>
      </c>
      <c r="Q144" s="96">
        <f>P144*C$3</f>
        <v>43750</v>
      </c>
      <c r="R144" s="96">
        <v>0</v>
      </c>
      <c r="S144" s="97">
        <f t="shared" si="24"/>
        <v>43800</v>
      </c>
      <c r="T144" s="97">
        <f>ROUNDUP(HLOOKUP(ROUNDUP(K144,0),'배송비 조회'!A$10:U$22,7,0)*C$3,-2)</f>
        <v>11200</v>
      </c>
      <c r="U144" s="97">
        <v>0</v>
      </c>
      <c r="V144" s="97">
        <f t="shared" si="230"/>
        <v>22000</v>
      </c>
      <c r="W144" s="97">
        <f t="shared" si="195"/>
        <v>27500</v>
      </c>
      <c r="X144" s="98">
        <f t="shared" si="173"/>
        <v>77000</v>
      </c>
      <c r="Y144" s="98">
        <f t="shared" si="27"/>
        <v>82500</v>
      </c>
      <c r="Z144" s="121">
        <v>0</v>
      </c>
      <c r="AA144" s="121">
        <f t="shared" si="6"/>
        <v>2926</v>
      </c>
      <c r="AB144" s="121">
        <f t="shared" si="7"/>
        <v>1540</v>
      </c>
      <c r="AC144" s="99">
        <f t="shared" si="8"/>
        <v>8250</v>
      </c>
      <c r="AD144" s="121">
        <f t="shared" si="9"/>
        <v>72534</v>
      </c>
      <c r="AE144" s="99">
        <f t="shared" si="10"/>
        <v>74250</v>
      </c>
      <c r="AF144" s="121">
        <f t="shared" si="11"/>
        <v>725.34</v>
      </c>
      <c r="AG144" s="100">
        <f t="shared" si="28"/>
        <v>16858.66</v>
      </c>
      <c r="AH144" s="101">
        <f t="shared" si="29"/>
        <v>18574.66</v>
      </c>
      <c r="AI144" s="102">
        <f t="shared" ref="AI144:AJ144" si="233">AG144/X144</f>
        <v>0.21894363636363637</v>
      </c>
      <c r="AJ144" s="102">
        <f t="shared" si="233"/>
        <v>0.22514739393939392</v>
      </c>
      <c r="AK144" s="103"/>
      <c r="AL144" s="104"/>
      <c r="AM144" s="17"/>
      <c r="AN144" s="17"/>
      <c r="AO144" s="17"/>
      <c r="AP144" s="17"/>
      <c r="AQ144" s="17"/>
      <c r="AR144" s="17"/>
      <c r="AS144" s="17"/>
      <c r="AT144" s="17"/>
      <c r="AU144" s="17"/>
      <c r="AV144" s="17"/>
      <c r="AW144" s="297"/>
    </row>
    <row r="145" spans="1:49" ht="13.2">
      <c r="A145" s="119">
        <f>HYPERLINK("https://smartstore.naver.com/brickstore2019v/products/4607116252",AW:AW)</f>
        <v>4607116252</v>
      </c>
      <c r="B145" s="266"/>
      <c r="C145" s="117" t="s">
        <v>532</v>
      </c>
      <c r="D145" s="117"/>
      <c r="E145" s="117" t="s">
        <v>533</v>
      </c>
      <c r="F145" s="123"/>
      <c r="G145" s="124" t="str">
        <f>HYPERLINK("https://www.amazon.com/Citizen-Womens-Japanese-Quartz-Stainless-Steel-Silver/dp/B07P3D6ZMG","A")</f>
        <v>A</v>
      </c>
      <c r="H145" s="125"/>
      <c r="I145" s="125"/>
      <c r="J145" s="93">
        <v>116.82</v>
      </c>
      <c r="K145" s="111">
        <f t="shared" ref="K145:K154" si="234">IF(L145&gt;0,L145*0.0625,)</f>
        <v>0.5</v>
      </c>
      <c r="L145" s="111">
        <v>8</v>
      </c>
      <c r="M145" s="111">
        <f t="shared" si="1"/>
        <v>0.226796</v>
      </c>
      <c r="N145" s="93">
        <v>0</v>
      </c>
      <c r="O145" s="93">
        <v>0</v>
      </c>
      <c r="P145" s="95">
        <f t="shared" si="2"/>
        <v>116.82</v>
      </c>
      <c r="Q145" s="96">
        <f>P145*C3</f>
        <v>146025</v>
      </c>
      <c r="R145" s="96">
        <v>0</v>
      </c>
      <c r="S145" s="97">
        <f t="shared" si="24"/>
        <v>146000</v>
      </c>
      <c r="T145" s="97">
        <f>ROUNDUP(HLOOKUP(ROUNDUP(K145,0),'배송비 조회'!A$10:U$22,7,0)*C$3,-2)</f>
        <v>9000</v>
      </c>
      <c r="U145" s="97">
        <v>0</v>
      </c>
      <c r="V145" s="97">
        <f t="shared" ref="V145:V150" si="235">ROUND(IF(R145&gt;0,0,(S145+T145)*0.3),-2)</f>
        <v>46500</v>
      </c>
      <c r="W145" s="97">
        <f t="shared" si="195"/>
        <v>77500</v>
      </c>
      <c r="X145" s="98">
        <f t="shared" si="173"/>
        <v>201500</v>
      </c>
      <c r="Y145" s="98">
        <f t="shared" si="27"/>
        <v>232500</v>
      </c>
      <c r="Z145" s="121">
        <v>0</v>
      </c>
      <c r="AA145" s="121">
        <f t="shared" si="6"/>
        <v>7657</v>
      </c>
      <c r="AB145" s="121">
        <f t="shared" si="7"/>
        <v>4030</v>
      </c>
      <c r="AC145" s="99">
        <f t="shared" si="8"/>
        <v>23250</v>
      </c>
      <c r="AD145" s="121">
        <f t="shared" si="9"/>
        <v>189813</v>
      </c>
      <c r="AE145" s="99">
        <f t="shared" si="10"/>
        <v>209250</v>
      </c>
      <c r="AF145" s="121">
        <f t="shared" si="11"/>
        <v>1898.13</v>
      </c>
      <c r="AG145" s="100">
        <f t="shared" si="28"/>
        <v>32889.870000000003</v>
      </c>
      <c r="AH145" s="101">
        <f t="shared" si="29"/>
        <v>52326.87</v>
      </c>
      <c r="AI145" s="102">
        <f t="shared" ref="AI145:AJ145" si="236">AG145/X145</f>
        <v>0.16322516129032261</v>
      </c>
      <c r="AJ145" s="102">
        <f t="shared" si="236"/>
        <v>0.22506180645161292</v>
      </c>
      <c r="AK145" s="103"/>
      <c r="AL145" s="104"/>
      <c r="AM145" s="17"/>
      <c r="AN145" s="17"/>
      <c r="AO145" s="17"/>
      <c r="AP145" s="17"/>
      <c r="AQ145" s="17"/>
      <c r="AR145" s="17"/>
      <c r="AS145" s="17"/>
      <c r="AT145" s="17"/>
      <c r="AU145" s="17"/>
      <c r="AV145" s="17"/>
      <c r="AW145" s="22">
        <v>4607116252</v>
      </c>
    </row>
    <row r="146" spans="1:49" ht="13.2">
      <c r="A146" s="119">
        <f>HYPERLINK("https://smartstore.naver.com/brickstore2019/products/4607127124",AW:AW)</f>
        <v>4607127124</v>
      </c>
      <c r="B146" s="266"/>
      <c r="C146" s="117" t="s">
        <v>534</v>
      </c>
      <c r="D146" s="117"/>
      <c r="E146" s="117" t="s">
        <v>535</v>
      </c>
      <c r="F146" s="123"/>
      <c r="G146" s="124" t="str">
        <f>HYPERLINK("https://www.amazon.com/Citizen-Eco-Drive-Stainless-Japanese-Quartz-Calfskin/dp/B07MK3YMVB/ref=sr_1_1?keywords=Citizen+CA7027-08E&amp;qid=1566897693&amp;s=gateway&amp;sr=8-1","A")</f>
        <v>A</v>
      </c>
      <c r="H146" s="125"/>
      <c r="I146" s="125"/>
      <c r="J146" s="93">
        <v>177</v>
      </c>
      <c r="K146" s="111">
        <f t="shared" si="234"/>
        <v>0.5</v>
      </c>
      <c r="L146" s="111">
        <v>8</v>
      </c>
      <c r="M146" s="111">
        <f t="shared" si="1"/>
        <v>0.226796</v>
      </c>
      <c r="N146" s="93">
        <v>0</v>
      </c>
      <c r="O146" s="93">
        <v>0</v>
      </c>
      <c r="P146" s="95">
        <f t="shared" si="2"/>
        <v>177</v>
      </c>
      <c r="Q146" s="96">
        <f>P146*C3</f>
        <v>221250</v>
      </c>
      <c r="R146" s="96">
        <v>0</v>
      </c>
      <c r="S146" s="97">
        <f t="shared" si="24"/>
        <v>221300</v>
      </c>
      <c r="T146" s="97">
        <f>ROUNDUP(HLOOKUP(ROUNDUP(K146,0),'배송비 조회'!A$10:U$22,7,0)*C$3,-2)</f>
        <v>9000</v>
      </c>
      <c r="U146" s="97">
        <v>0</v>
      </c>
      <c r="V146" s="97">
        <f t="shared" si="235"/>
        <v>69100</v>
      </c>
      <c r="W146" s="97">
        <f t="shared" si="195"/>
        <v>115200</v>
      </c>
      <c r="X146" s="98">
        <f t="shared" si="173"/>
        <v>299400</v>
      </c>
      <c r="Y146" s="98">
        <f t="shared" si="27"/>
        <v>345500</v>
      </c>
      <c r="Z146" s="121">
        <v>0</v>
      </c>
      <c r="AA146" s="121">
        <f t="shared" si="6"/>
        <v>11377.199999999999</v>
      </c>
      <c r="AB146" s="121">
        <f t="shared" si="7"/>
        <v>5988</v>
      </c>
      <c r="AC146" s="99">
        <f t="shared" si="8"/>
        <v>34550</v>
      </c>
      <c r="AD146" s="121">
        <f t="shared" si="9"/>
        <v>282034.8</v>
      </c>
      <c r="AE146" s="99">
        <f t="shared" si="10"/>
        <v>310950</v>
      </c>
      <c r="AF146" s="121">
        <f t="shared" si="11"/>
        <v>2820.348</v>
      </c>
      <c r="AG146" s="100">
        <f t="shared" si="28"/>
        <v>48964.45199999999</v>
      </c>
      <c r="AH146" s="101">
        <f t="shared" si="29"/>
        <v>77879.652000000002</v>
      </c>
      <c r="AI146" s="102">
        <f t="shared" ref="AI146:AJ146" si="237">AG146/X146</f>
        <v>0.16354192384769536</v>
      </c>
      <c r="AJ146" s="102">
        <f t="shared" si="237"/>
        <v>0.22541143849493489</v>
      </c>
      <c r="AK146" s="103"/>
      <c r="AL146" s="104"/>
      <c r="AM146" s="17"/>
      <c r="AN146" s="17"/>
      <c r="AO146" s="17"/>
      <c r="AP146" s="17"/>
      <c r="AQ146" s="17"/>
      <c r="AR146" s="17"/>
      <c r="AS146" s="17"/>
      <c r="AT146" s="17"/>
      <c r="AU146" s="17"/>
      <c r="AV146" s="17"/>
      <c r="AW146" s="22">
        <v>4607127124</v>
      </c>
    </row>
    <row r="147" spans="1:49" ht="13.2">
      <c r="A147" s="89">
        <f>HYPERLINK("https://smartstore.naver.com/brickstore2019/products/4609828845",AW:AW)</f>
        <v>4609828845</v>
      </c>
      <c r="B147" s="264"/>
      <c r="C147" s="114" t="s">
        <v>536</v>
      </c>
      <c r="D147" s="114"/>
      <c r="E147" s="117" t="s">
        <v>537</v>
      </c>
      <c r="F147" s="123"/>
      <c r="G147" s="124" t="str">
        <f>HYPERLINK("https://www.amazon.com/Citizen-Eco-Drive-Japanese-Quartz-Stainless-Steel-Silver/dp/B07MQW83RN","A")</f>
        <v>A</v>
      </c>
      <c r="H147" s="125"/>
      <c r="I147" s="125"/>
      <c r="J147" s="93">
        <v>144.1</v>
      </c>
      <c r="K147" s="111">
        <f t="shared" si="234"/>
        <v>0.6</v>
      </c>
      <c r="L147" s="111">
        <v>9.6</v>
      </c>
      <c r="M147" s="111">
        <f t="shared" si="1"/>
        <v>0.27215519999999999</v>
      </c>
      <c r="N147" s="93">
        <v>0</v>
      </c>
      <c r="O147" s="93">
        <v>0</v>
      </c>
      <c r="P147" s="95">
        <f t="shared" si="2"/>
        <v>144.1</v>
      </c>
      <c r="Q147" s="96">
        <f>P147*C3</f>
        <v>180125</v>
      </c>
      <c r="R147" s="96">
        <v>0</v>
      </c>
      <c r="S147" s="97">
        <f t="shared" si="24"/>
        <v>180100</v>
      </c>
      <c r="T147" s="97">
        <f>ROUNDUP(HLOOKUP(ROUNDUP(K147,0),'배송비 조회'!A$10:U$22,7,0)*C$3,-2)</f>
        <v>9000</v>
      </c>
      <c r="U147" s="97">
        <v>0</v>
      </c>
      <c r="V147" s="97">
        <f t="shared" si="235"/>
        <v>56700</v>
      </c>
      <c r="W147" s="97">
        <f t="shared" si="195"/>
        <v>94600</v>
      </c>
      <c r="X147" s="98">
        <f t="shared" si="173"/>
        <v>245800</v>
      </c>
      <c r="Y147" s="98">
        <f t="shared" si="27"/>
        <v>283700</v>
      </c>
      <c r="Z147" s="121"/>
      <c r="AA147" s="121">
        <f t="shared" si="6"/>
        <v>9340.4</v>
      </c>
      <c r="AB147" s="121">
        <f t="shared" si="7"/>
        <v>4916</v>
      </c>
      <c r="AC147" s="99">
        <f t="shared" si="8"/>
        <v>28370</v>
      </c>
      <c r="AD147" s="121">
        <f t="shared" si="9"/>
        <v>231543.6</v>
      </c>
      <c r="AE147" s="99">
        <f t="shared" si="10"/>
        <v>255330</v>
      </c>
      <c r="AF147" s="121">
        <f t="shared" si="11"/>
        <v>2315.4360000000001</v>
      </c>
      <c r="AG147" s="100">
        <f t="shared" si="28"/>
        <v>40103.164000000004</v>
      </c>
      <c r="AH147" s="101">
        <f t="shared" si="29"/>
        <v>63889.563999999998</v>
      </c>
      <c r="AI147" s="102">
        <f t="shared" ref="AI147:AJ147" si="238">AG147/X147</f>
        <v>0.16315363710333605</v>
      </c>
      <c r="AJ147" s="102">
        <f t="shared" si="238"/>
        <v>0.2252011420514628</v>
      </c>
      <c r="AK147" s="103"/>
      <c r="AL147" s="104"/>
      <c r="AM147" s="17"/>
      <c r="AN147" s="17"/>
      <c r="AO147" s="17"/>
      <c r="AP147" s="17"/>
      <c r="AQ147" s="17"/>
      <c r="AR147" s="17"/>
      <c r="AS147" s="17"/>
      <c r="AT147" s="17"/>
      <c r="AU147" s="17"/>
      <c r="AV147" s="17"/>
      <c r="AW147" s="30">
        <v>4609828845</v>
      </c>
    </row>
    <row r="148" spans="1:49" ht="13.2">
      <c r="A148" s="89">
        <f>HYPERLINK("https://smartstore.naver.com/brickstore2019/products/4609851797",AW:AW)</f>
        <v>4609851797</v>
      </c>
      <c r="B148" s="264"/>
      <c r="C148" s="114" t="s">
        <v>538</v>
      </c>
      <c r="D148" s="114"/>
      <c r="E148" s="117" t="s">
        <v>539</v>
      </c>
      <c r="F148" s="123"/>
      <c r="G148" s="124" t="str">
        <f>HYPERLINK("https://www.amazon.com/Citizen-Eco-Drive-Titanium-Watch-AW1490-50E/dp/B0183NSQOM?ref_=w_bl_sl_ap_wa_web_2587295011","A")</f>
        <v>A</v>
      </c>
      <c r="H148" s="125"/>
      <c r="I148" s="125"/>
      <c r="J148" s="93">
        <v>184.52</v>
      </c>
      <c r="K148" s="111">
        <f t="shared" si="234"/>
        <v>0.75</v>
      </c>
      <c r="L148" s="111">
        <v>12</v>
      </c>
      <c r="M148" s="111">
        <f t="shared" si="1"/>
        <v>0.340194</v>
      </c>
      <c r="N148" s="93">
        <v>0</v>
      </c>
      <c r="O148" s="93">
        <v>0</v>
      </c>
      <c r="P148" s="95">
        <f t="shared" si="2"/>
        <v>184.52</v>
      </c>
      <c r="Q148" s="96">
        <f>P148*C3</f>
        <v>230650</v>
      </c>
      <c r="R148" s="96">
        <v>0</v>
      </c>
      <c r="S148" s="97">
        <f t="shared" si="24"/>
        <v>230700</v>
      </c>
      <c r="T148" s="97">
        <f>ROUNDUP(HLOOKUP(ROUNDUP(K148,0),'배송비 조회'!A$10:U$22,7,0)*C$3,-2)</f>
        <v>9000</v>
      </c>
      <c r="U148" s="97">
        <v>0</v>
      </c>
      <c r="V148" s="97">
        <f t="shared" si="235"/>
        <v>71900</v>
      </c>
      <c r="W148" s="97">
        <f t="shared" si="195"/>
        <v>119900</v>
      </c>
      <c r="X148" s="98">
        <f t="shared" si="173"/>
        <v>311600</v>
      </c>
      <c r="Y148" s="98">
        <f t="shared" si="27"/>
        <v>359600</v>
      </c>
      <c r="Z148" s="121">
        <v>0</v>
      </c>
      <c r="AA148" s="121">
        <f t="shared" si="6"/>
        <v>11840.8</v>
      </c>
      <c r="AB148" s="121">
        <f t="shared" si="7"/>
        <v>6232</v>
      </c>
      <c r="AC148" s="99">
        <f t="shared" si="8"/>
        <v>35960</v>
      </c>
      <c r="AD148" s="121">
        <f t="shared" si="9"/>
        <v>293527.2</v>
      </c>
      <c r="AE148" s="99">
        <f t="shared" si="10"/>
        <v>323640</v>
      </c>
      <c r="AF148" s="121">
        <f t="shared" si="11"/>
        <v>2935.2720000000004</v>
      </c>
      <c r="AG148" s="100">
        <f t="shared" si="28"/>
        <v>50941.928000000014</v>
      </c>
      <c r="AH148" s="101">
        <f t="shared" si="29"/>
        <v>81054.728000000003</v>
      </c>
      <c r="AI148" s="102">
        <f t="shared" ref="AI148:AJ148" si="239">AG148/X148</f>
        <v>0.16348500641848529</v>
      </c>
      <c r="AJ148" s="102">
        <f t="shared" si="239"/>
        <v>0.22540246941045608</v>
      </c>
      <c r="AK148" s="103"/>
      <c r="AL148" s="104"/>
      <c r="AM148" s="17"/>
      <c r="AN148" s="17"/>
      <c r="AO148" s="17"/>
      <c r="AP148" s="17"/>
      <c r="AQ148" s="17"/>
      <c r="AR148" s="17"/>
      <c r="AS148" s="17"/>
      <c r="AT148" s="17"/>
      <c r="AU148" s="17"/>
      <c r="AV148" s="17"/>
      <c r="AW148" s="30">
        <v>4609851797</v>
      </c>
    </row>
    <row r="149" spans="1:49" ht="13.2">
      <c r="A149" s="309">
        <f>HYPERLINK("https://smartstore.naver.com/brickstore2019/products/4611122824",AW:AW)</f>
        <v>4611122824</v>
      </c>
      <c r="B149" s="270"/>
      <c r="C149" s="310" t="s">
        <v>540</v>
      </c>
      <c r="D149" s="139"/>
      <c r="E149" s="310" t="s">
        <v>541</v>
      </c>
      <c r="F149" s="141" t="s">
        <v>542</v>
      </c>
      <c r="G149" s="124" t="str">
        <f>HYPERLINK("https://www.amazon.com/Bose-SoundSport-headphones-Samsung-Charcoal/dp/B0117RFPCC/","A")</f>
        <v>A</v>
      </c>
      <c r="H149" s="125"/>
      <c r="I149" s="125"/>
      <c r="J149" s="93">
        <v>100</v>
      </c>
      <c r="K149" s="111">
        <f t="shared" si="234"/>
        <v>0.5</v>
      </c>
      <c r="L149" s="111">
        <v>8</v>
      </c>
      <c r="M149" s="111">
        <f t="shared" si="1"/>
        <v>0.226796</v>
      </c>
      <c r="N149" s="93">
        <v>0</v>
      </c>
      <c r="O149" s="93">
        <v>0</v>
      </c>
      <c r="P149" s="95">
        <f t="shared" si="2"/>
        <v>100</v>
      </c>
      <c r="Q149" s="96">
        <f>P149*C3</f>
        <v>125000</v>
      </c>
      <c r="R149" s="96">
        <v>0</v>
      </c>
      <c r="S149" s="97">
        <f t="shared" si="24"/>
        <v>125000</v>
      </c>
      <c r="T149" s="97">
        <f>ROUNDUP(HLOOKUP(ROUNDUP(K149,0),'배송비 조회'!A$10:U$22,7,0)*C$3,-2)</f>
        <v>9000</v>
      </c>
      <c r="U149" s="97">
        <v>0</v>
      </c>
      <c r="V149" s="97">
        <f t="shared" si="235"/>
        <v>40200</v>
      </c>
      <c r="W149" s="97">
        <f t="shared" si="195"/>
        <v>67000</v>
      </c>
      <c r="X149" s="98">
        <f t="shared" si="173"/>
        <v>174200</v>
      </c>
      <c r="Y149" s="98">
        <f t="shared" si="27"/>
        <v>201000</v>
      </c>
      <c r="Z149" s="121">
        <v>0</v>
      </c>
      <c r="AA149" s="121">
        <f t="shared" si="6"/>
        <v>6619.5999999999995</v>
      </c>
      <c r="AB149" s="121">
        <f t="shared" si="7"/>
        <v>3484</v>
      </c>
      <c r="AC149" s="99">
        <f t="shared" si="8"/>
        <v>20100</v>
      </c>
      <c r="AD149" s="121">
        <f t="shared" si="9"/>
        <v>164096.4</v>
      </c>
      <c r="AE149" s="99">
        <f t="shared" si="10"/>
        <v>180900</v>
      </c>
      <c r="AF149" s="121">
        <f t="shared" si="11"/>
        <v>1640.9639999999999</v>
      </c>
      <c r="AG149" s="100">
        <f t="shared" si="28"/>
        <v>28455.435999999994</v>
      </c>
      <c r="AH149" s="101">
        <f t="shared" si="29"/>
        <v>45259.036</v>
      </c>
      <c r="AI149" s="102">
        <f t="shared" ref="AI149:AJ149" si="240">AG149/X149</f>
        <v>0.16334923076923075</v>
      </c>
      <c r="AJ149" s="102">
        <f t="shared" si="240"/>
        <v>0.22516933333333333</v>
      </c>
      <c r="AK149" s="103"/>
      <c r="AL149" s="104"/>
      <c r="AM149" s="17"/>
      <c r="AN149" s="17"/>
      <c r="AO149" s="17"/>
      <c r="AP149" s="17"/>
      <c r="AQ149" s="17"/>
      <c r="AR149" s="17"/>
      <c r="AS149" s="17"/>
      <c r="AT149" s="17"/>
      <c r="AU149" s="17"/>
      <c r="AV149" s="17"/>
      <c r="AW149" s="296">
        <v>4611122824</v>
      </c>
    </row>
    <row r="150" spans="1:49" ht="13.2">
      <c r="A150" s="302"/>
      <c r="B150" s="270"/>
      <c r="C150" s="302"/>
      <c r="D150" s="139"/>
      <c r="E150" s="302"/>
      <c r="F150" s="141" t="s">
        <v>543</v>
      </c>
      <c r="G150" s="124" t="str">
        <f>HYPERLINK("https://www.amazon.com/Bose-SoundSport-headphones-Samsung-Charcoal/dp/B0117RFOEG/?th=1","A")</f>
        <v>A</v>
      </c>
      <c r="H150" s="125"/>
      <c r="I150" s="125"/>
      <c r="J150" s="93">
        <v>100</v>
      </c>
      <c r="K150" s="111">
        <f t="shared" si="234"/>
        <v>0.5</v>
      </c>
      <c r="L150" s="111">
        <v>8</v>
      </c>
      <c r="M150" s="111">
        <f t="shared" si="1"/>
        <v>0.226796</v>
      </c>
      <c r="N150" s="93">
        <v>0</v>
      </c>
      <c r="O150" s="93">
        <v>0</v>
      </c>
      <c r="P150" s="95">
        <f t="shared" si="2"/>
        <v>100</v>
      </c>
      <c r="Q150" s="96">
        <f>P150*C3</f>
        <v>125000</v>
      </c>
      <c r="R150" s="96">
        <v>0</v>
      </c>
      <c r="S150" s="97">
        <f t="shared" si="24"/>
        <v>125000</v>
      </c>
      <c r="T150" s="97">
        <f>ROUNDUP(HLOOKUP(ROUNDUP(K150,0),'배송비 조회'!A$10:U$22,7,0)*C$3,-2)</f>
        <v>9000</v>
      </c>
      <c r="U150" s="97">
        <v>0</v>
      </c>
      <c r="V150" s="97">
        <f t="shared" si="235"/>
        <v>40200</v>
      </c>
      <c r="W150" s="97">
        <f t="shared" si="195"/>
        <v>67000</v>
      </c>
      <c r="X150" s="98">
        <f t="shared" si="173"/>
        <v>174200</v>
      </c>
      <c r="Y150" s="98">
        <f t="shared" si="27"/>
        <v>201000</v>
      </c>
      <c r="Z150" s="121">
        <v>0</v>
      </c>
      <c r="AA150" s="121">
        <f t="shared" si="6"/>
        <v>6619.5999999999995</v>
      </c>
      <c r="AB150" s="121">
        <f t="shared" si="7"/>
        <v>3484</v>
      </c>
      <c r="AC150" s="99">
        <f t="shared" si="8"/>
        <v>20100</v>
      </c>
      <c r="AD150" s="121">
        <f t="shared" si="9"/>
        <v>164096.4</v>
      </c>
      <c r="AE150" s="99">
        <f t="shared" si="10"/>
        <v>180900</v>
      </c>
      <c r="AF150" s="121">
        <f t="shared" si="11"/>
        <v>1640.9639999999999</v>
      </c>
      <c r="AG150" s="100">
        <f t="shared" si="28"/>
        <v>28455.435999999994</v>
      </c>
      <c r="AH150" s="101">
        <f t="shared" si="29"/>
        <v>45259.036</v>
      </c>
      <c r="AI150" s="102">
        <f t="shared" ref="AI150:AJ150" si="241">AG150/X150</f>
        <v>0.16334923076923075</v>
      </c>
      <c r="AJ150" s="102">
        <f t="shared" si="241"/>
        <v>0.22516933333333333</v>
      </c>
      <c r="AK150" s="103">
        <f>X150-X149</f>
        <v>0</v>
      </c>
      <c r="AL150" s="104"/>
      <c r="AM150" s="17"/>
      <c r="AN150" s="17"/>
      <c r="AO150" s="17"/>
      <c r="AP150" s="17"/>
      <c r="AQ150" s="17"/>
      <c r="AR150" s="17"/>
      <c r="AS150" s="17"/>
      <c r="AT150" s="17"/>
      <c r="AU150" s="17"/>
      <c r="AV150" s="17"/>
      <c r="AW150" s="297"/>
    </row>
    <row r="151" spans="1:49" ht="13.2">
      <c r="A151" s="159">
        <f>HYPERLINK("https://smartstore.naver.com/brickstore2019/products/4611140630",AW:AW)</f>
        <v>4611140630</v>
      </c>
      <c r="B151" s="271"/>
      <c r="C151" s="160" t="s">
        <v>544</v>
      </c>
      <c r="D151" s="160"/>
      <c r="E151" s="160" t="s">
        <v>545</v>
      </c>
      <c r="F151" s="91"/>
      <c r="G151" s="92" t="str">
        <f>HYPERLINK("https://www.amazon.com/Titleist-Performance-Visor-Black-White/dp/B07Q23LWDZ/ref=sr_1_4?crid=28ENSLLUUOPRA&amp;keywords=titleist+hat&amp;qid=1564061491&amp;s=gateway&amp;sprefix=title%2Caps%2C384&amp;sr=8-4","A")</f>
        <v>A</v>
      </c>
      <c r="H151" s="93"/>
      <c r="I151" s="93"/>
      <c r="J151" s="93">
        <v>26.95</v>
      </c>
      <c r="K151" s="111">
        <f t="shared" si="234"/>
        <v>0.2</v>
      </c>
      <c r="L151" s="111">
        <v>3.2</v>
      </c>
      <c r="M151" s="111">
        <f t="shared" si="1"/>
        <v>9.0718400000000005E-2</v>
      </c>
      <c r="N151" s="93">
        <v>0</v>
      </c>
      <c r="O151" s="93">
        <v>0</v>
      </c>
      <c r="P151" s="95">
        <f t="shared" si="2"/>
        <v>26.95</v>
      </c>
      <c r="Q151" s="96">
        <f>P151*C3</f>
        <v>33687.5</v>
      </c>
      <c r="R151" s="96">
        <v>0</v>
      </c>
      <c r="S151" s="97">
        <f t="shared" si="24"/>
        <v>33700</v>
      </c>
      <c r="T151" s="97">
        <f>ROUNDUP(HLOOKUP(ROUNDUP(K151,0),'배송비 조회'!A$10:U$22,7,0)*C$3,-2)</f>
        <v>9000</v>
      </c>
      <c r="U151" s="97">
        <v>0</v>
      </c>
      <c r="V151" s="97">
        <f t="shared" ref="V151:V152" si="242">ROUND(IF(R151&gt;0,0,(S151+T151)*0.4),-2)</f>
        <v>17100</v>
      </c>
      <c r="W151" s="97">
        <f t="shared" si="195"/>
        <v>21400</v>
      </c>
      <c r="X151" s="98">
        <f t="shared" si="173"/>
        <v>59800</v>
      </c>
      <c r="Y151" s="98">
        <f t="shared" si="27"/>
        <v>64100</v>
      </c>
      <c r="Z151" s="142">
        <v>0</v>
      </c>
      <c r="AA151" s="142">
        <f t="shared" si="6"/>
        <v>2272.4</v>
      </c>
      <c r="AB151" s="142">
        <f t="shared" si="7"/>
        <v>1196</v>
      </c>
      <c r="AC151" s="99">
        <f t="shared" si="8"/>
        <v>6410</v>
      </c>
      <c r="AD151" s="142">
        <f t="shared" si="9"/>
        <v>56331.6</v>
      </c>
      <c r="AE151" s="99">
        <f t="shared" si="10"/>
        <v>57690</v>
      </c>
      <c r="AF151" s="142">
        <f t="shared" si="11"/>
        <v>563.31600000000003</v>
      </c>
      <c r="AG151" s="100">
        <f t="shared" si="28"/>
        <v>13080.784</v>
      </c>
      <c r="AH151" s="101">
        <f t="shared" si="29"/>
        <v>14439.184000000001</v>
      </c>
      <c r="AI151" s="102">
        <f t="shared" ref="AI151:AJ151" si="243">AG151/X151</f>
        <v>0.21874220735785951</v>
      </c>
      <c r="AJ151" s="102">
        <f t="shared" si="243"/>
        <v>0.22526028081123248</v>
      </c>
      <c r="AK151" s="103"/>
      <c r="AL151" s="104"/>
      <c r="AM151" s="17"/>
      <c r="AN151" s="17"/>
      <c r="AO151" s="17"/>
      <c r="AP151" s="17"/>
      <c r="AQ151" s="17"/>
      <c r="AR151" s="17"/>
      <c r="AS151" s="17"/>
      <c r="AT151" s="17"/>
      <c r="AU151" s="17"/>
      <c r="AV151" s="17"/>
      <c r="AW151" s="33">
        <v>4611140630</v>
      </c>
    </row>
    <row r="152" spans="1:49" ht="13.2">
      <c r="A152" s="119">
        <f>HYPERLINK("https://smartstore.naver.com/brickstore2019/products/4613084762",AW:AW)</f>
        <v>4613084762</v>
      </c>
      <c r="B152" s="266"/>
      <c r="C152" s="117" t="s">
        <v>546</v>
      </c>
      <c r="D152" s="117"/>
      <c r="E152" s="117" t="s">
        <v>547</v>
      </c>
      <c r="F152" s="91"/>
      <c r="G152" s="92" t="str">
        <f>HYPERLINK("https://www.amazon.com/Titleist-Mens-Nantucket-Golf-Black/dp/B07Q24FSBH/ref=sr_1_6?crid=24BJ4HF6PD8TE&amp;keywords=titleist%2Bgolf%2Bhat&amp;qid=1564189685&amp;refinements=p_89%3ATitleist&amp;rnid=2528832011&amp;s=gateway&amp;sprefix=titl%2Caps%2C450&amp;sr=8-6&amp;th=1","A")</f>
        <v>A</v>
      </c>
      <c r="H152" s="93"/>
      <c r="I152" s="93"/>
      <c r="J152" s="93">
        <v>29.95</v>
      </c>
      <c r="K152" s="82">
        <f t="shared" si="234"/>
        <v>0.25</v>
      </c>
      <c r="L152" s="82">
        <v>4</v>
      </c>
      <c r="M152" s="82">
        <f t="shared" si="1"/>
        <v>0.113398</v>
      </c>
      <c r="N152" s="93">
        <v>0</v>
      </c>
      <c r="O152" s="93">
        <v>0</v>
      </c>
      <c r="P152" s="95">
        <f t="shared" si="2"/>
        <v>29.95</v>
      </c>
      <c r="Q152" s="96">
        <f>P152*C3</f>
        <v>37437.5</v>
      </c>
      <c r="R152" s="96">
        <v>0</v>
      </c>
      <c r="S152" s="97">
        <f t="shared" si="24"/>
        <v>37400</v>
      </c>
      <c r="T152" s="97">
        <f>ROUNDUP(HLOOKUP(ROUNDUP(K152,0),'배송비 조회'!A$10:U$22,7,0)*C$3,-2)</f>
        <v>9000</v>
      </c>
      <c r="U152" s="97">
        <v>0</v>
      </c>
      <c r="V152" s="97">
        <f t="shared" si="242"/>
        <v>18600</v>
      </c>
      <c r="W152" s="97">
        <f t="shared" si="195"/>
        <v>23200</v>
      </c>
      <c r="X152" s="98">
        <f t="shared" si="173"/>
        <v>65000</v>
      </c>
      <c r="Y152" s="98">
        <f t="shared" si="27"/>
        <v>69600</v>
      </c>
      <c r="Z152" s="121">
        <v>0</v>
      </c>
      <c r="AA152" s="121">
        <f t="shared" si="6"/>
        <v>2470</v>
      </c>
      <c r="AB152" s="121">
        <f t="shared" si="7"/>
        <v>1300</v>
      </c>
      <c r="AC152" s="99">
        <f t="shared" si="8"/>
        <v>6960</v>
      </c>
      <c r="AD152" s="121">
        <f t="shared" si="9"/>
        <v>61230</v>
      </c>
      <c r="AE152" s="99">
        <f t="shared" si="10"/>
        <v>62640</v>
      </c>
      <c r="AF152" s="121">
        <f t="shared" si="11"/>
        <v>612.30000000000007</v>
      </c>
      <c r="AG152" s="100">
        <f t="shared" si="28"/>
        <v>14180.2</v>
      </c>
      <c r="AH152" s="101">
        <f t="shared" si="29"/>
        <v>15590.2</v>
      </c>
      <c r="AI152" s="102">
        <f t="shared" ref="AI152:AJ152" si="244">AG152/X152</f>
        <v>0.21815692307692308</v>
      </c>
      <c r="AJ152" s="102">
        <f t="shared" si="244"/>
        <v>0.22399712643678163</v>
      </c>
      <c r="AK152" s="103"/>
      <c r="AL152" s="104"/>
      <c r="AM152" s="17"/>
      <c r="AN152" s="17"/>
      <c r="AO152" s="17"/>
      <c r="AP152" s="17"/>
      <c r="AQ152" s="17"/>
      <c r="AR152" s="17"/>
      <c r="AS152" s="17"/>
      <c r="AT152" s="17"/>
      <c r="AU152" s="17"/>
      <c r="AV152" s="17"/>
      <c r="AW152" s="22">
        <v>4613084762</v>
      </c>
    </row>
    <row r="153" spans="1:49" ht="13.2">
      <c r="A153" s="303">
        <f>HYPERLINK("https://smartstore.naver.com/brickstore2019/products/4619259975",AW:AW)</f>
        <v>4619259975</v>
      </c>
      <c r="B153" s="266"/>
      <c r="C153" s="304" t="s">
        <v>548</v>
      </c>
      <c r="D153" s="117"/>
      <c r="E153" s="304" t="s">
        <v>549</v>
      </c>
      <c r="F153" s="91" t="s">
        <v>363</v>
      </c>
      <c r="G153" s="92" t="str">
        <f>HYPERLINK("https://www.amazon.com/AUKEY-Portable-Aluminum-Transfer-MacBook/dp/B01IDIA0DW?th=1","A")</f>
        <v>A</v>
      </c>
      <c r="H153" s="93"/>
      <c r="I153" s="93"/>
      <c r="J153" s="93">
        <v>16.989999999999998</v>
      </c>
      <c r="K153" s="82">
        <f t="shared" si="234"/>
        <v>0.5</v>
      </c>
      <c r="L153" s="82">
        <v>8</v>
      </c>
      <c r="M153" s="82">
        <f t="shared" si="1"/>
        <v>0.226796</v>
      </c>
      <c r="N153" s="93">
        <v>0</v>
      </c>
      <c r="O153" s="93">
        <v>0</v>
      </c>
      <c r="P153" s="95">
        <f t="shared" si="2"/>
        <v>16.989999999999998</v>
      </c>
      <c r="Q153" s="96">
        <f>P153*C$3</f>
        <v>21237.499999999996</v>
      </c>
      <c r="R153" s="96">
        <v>0</v>
      </c>
      <c r="S153" s="97">
        <f t="shared" si="24"/>
        <v>21200</v>
      </c>
      <c r="T153" s="97">
        <f>ROUNDUP(HLOOKUP(ROUNDUP(K153,0),'배송비 조회'!A$10:U$22,7,0)*C$3,-2)</f>
        <v>9000</v>
      </c>
      <c r="U153" s="97">
        <v>0</v>
      </c>
      <c r="V153" s="97">
        <f t="shared" ref="V153:V154" si="245">ROUND(IF(R153&gt;0,0,(S153+T153)*0.5),-2)</f>
        <v>15100</v>
      </c>
      <c r="W153" s="97">
        <f t="shared" si="195"/>
        <v>15100</v>
      </c>
      <c r="X153" s="98">
        <f t="shared" si="173"/>
        <v>45300</v>
      </c>
      <c r="Y153" s="98">
        <f t="shared" si="27"/>
        <v>45300</v>
      </c>
      <c r="Z153" s="121">
        <v>0</v>
      </c>
      <c r="AA153" s="121">
        <f t="shared" si="6"/>
        <v>1721.3999999999999</v>
      </c>
      <c r="AB153" s="121">
        <f t="shared" si="7"/>
        <v>906</v>
      </c>
      <c r="AC153" s="99">
        <f t="shared" si="8"/>
        <v>4530</v>
      </c>
      <c r="AD153" s="121">
        <f t="shared" si="9"/>
        <v>42672.6</v>
      </c>
      <c r="AE153" s="99">
        <f t="shared" si="10"/>
        <v>40770</v>
      </c>
      <c r="AF153" s="121">
        <f t="shared" si="11"/>
        <v>426.726</v>
      </c>
      <c r="AG153" s="100">
        <f t="shared" si="28"/>
        <v>12008.374000000003</v>
      </c>
      <c r="AH153" s="101">
        <f t="shared" si="29"/>
        <v>10105.774000000005</v>
      </c>
      <c r="AI153" s="102">
        <f t="shared" ref="AI153:AJ153" si="246">AG153/X153</f>
        <v>0.26508551876379699</v>
      </c>
      <c r="AJ153" s="102">
        <f t="shared" si="246"/>
        <v>0.22308551876379701</v>
      </c>
      <c r="AK153" s="103"/>
      <c r="AL153" s="104"/>
      <c r="AM153" s="17"/>
      <c r="AN153" s="17"/>
      <c r="AO153" s="17"/>
      <c r="AP153" s="17"/>
      <c r="AQ153" s="17"/>
      <c r="AR153" s="17"/>
      <c r="AS153" s="17"/>
      <c r="AT153" s="17"/>
      <c r="AU153" s="17"/>
      <c r="AV153" s="17"/>
      <c r="AW153" s="296">
        <v>4619259975</v>
      </c>
    </row>
    <row r="154" spans="1:49" ht="13.2">
      <c r="A154" s="302"/>
      <c r="B154" s="266"/>
      <c r="C154" s="302"/>
      <c r="D154" s="117"/>
      <c r="E154" s="302"/>
      <c r="F154" s="91" t="s">
        <v>135</v>
      </c>
      <c r="G154" s="92" t="str">
        <f>HYPERLINK("https://www.amazon.com/AUKEY-Portable-Aluminum-Transfer-MacBook/dp/B00KOHQU58?th=1","A")</f>
        <v>A</v>
      </c>
      <c r="H154" s="93"/>
      <c r="I154" s="93"/>
      <c r="J154" s="93">
        <v>16.989999999999998</v>
      </c>
      <c r="K154" s="82">
        <f t="shared" si="234"/>
        <v>0.5</v>
      </c>
      <c r="L154" s="82">
        <v>8</v>
      </c>
      <c r="M154" s="82">
        <f t="shared" si="1"/>
        <v>0.226796</v>
      </c>
      <c r="N154" s="93">
        <v>0</v>
      </c>
      <c r="O154" s="93">
        <v>0</v>
      </c>
      <c r="P154" s="95">
        <f t="shared" si="2"/>
        <v>16.989999999999998</v>
      </c>
      <c r="Q154" s="96">
        <f>P154*C$3</f>
        <v>21237.499999999996</v>
      </c>
      <c r="R154" s="96">
        <v>0</v>
      </c>
      <c r="S154" s="97">
        <f t="shared" si="24"/>
        <v>21200</v>
      </c>
      <c r="T154" s="97">
        <f>ROUNDUP(HLOOKUP(ROUNDUP(K154,0),'배송비 조회'!A$10:U$22,7,0)*C$3,-2)</f>
        <v>9000</v>
      </c>
      <c r="U154" s="97">
        <v>0</v>
      </c>
      <c r="V154" s="97">
        <f t="shared" si="245"/>
        <v>15100</v>
      </c>
      <c r="W154" s="97">
        <f t="shared" si="195"/>
        <v>15100</v>
      </c>
      <c r="X154" s="98">
        <f t="shared" si="173"/>
        <v>45300</v>
      </c>
      <c r="Y154" s="98">
        <f t="shared" si="27"/>
        <v>45300</v>
      </c>
      <c r="Z154" s="121">
        <v>0</v>
      </c>
      <c r="AA154" s="121">
        <f t="shared" si="6"/>
        <v>1721.3999999999999</v>
      </c>
      <c r="AB154" s="121">
        <f t="shared" si="7"/>
        <v>906</v>
      </c>
      <c r="AC154" s="99">
        <f t="shared" si="8"/>
        <v>4530</v>
      </c>
      <c r="AD154" s="121">
        <f t="shared" si="9"/>
        <v>42672.6</v>
      </c>
      <c r="AE154" s="99">
        <f t="shared" si="10"/>
        <v>40770</v>
      </c>
      <c r="AF154" s="121">
        <f t="shared" si="11"/>
        <v>426.726</v>
      </c>
      <c r="AG154" s="100">
        <f t="shared" si="28"/>
        <v>12008.374000000003</v>
      </c>
      <c r="AH154" s="101">
        <f t="shared" si="29"/>
        <v>10105.774000000005</v>
      </c>
      <c r="AI154" s="102">
        <f t="shared" ref="AI154:AJ154" si="247">AG154/X154</f>
        <v>0.26508551876379699</v>
      </c>
      <c r="AJ154" s="102">
        <f t="shared" si="247"/>
        <v>0.22308551876379701</v>
      </c>
      <c r="AK154" s="103"/>
      <c r="AL154" s="104"/>
      <c r="AM154" s="17"/>
      <c r="AN154" s="17"/>
      <c r="AO154" s="17"/>
      <c r="AP154" s="17"/>
      <c r="AQ154" s="17"/>
      <c r="AR154" s="17"/>
      <c r="AS154" s="17"/>
      <c r="AT154" s="17"/>
      <c r="AU154" s="17"/>
      <c r="AV154" s="17"/>
      <c r="AW154" s="297"/>
    </row>
    <row r="155" spans="1:49" ht="13.2">
      <c r="A155" s="163" t="str">
        <f>HYPERLINK("https://smartstore.naver.com/brickstore2019/products/4619259975","4619259975")</f>
        <v>4619259975</v>
      </c>
      <c r="B155" s="272"/>
      <c r="C155" s="165" t="s">
        <v>550</v>
      </c>
      <c r="D155" s="165"/>
      <c r="E155" s="165" t="s">
        <v>551</v>
      </c>
      <c r="F155" s="91"/>
      <c r="G155" s="92" t="str">
        <f>HYPERLINK("https://www.amazon.com/AUKEY-Bluetooth-Wireless-Compatible-Smartphones/dp/B06X1G9W88#customerReviews","A")</f>
        <v>A</v>
      </c>
      <c r="H155" s="93"/>
      <c r="I155" s="93"/>
      <c r="J155" s="93">
        <v>39.99</v>
      </c>
      <c r="K155" s="166">
        <v>1.8</v>
      </c>
      <c r="L155" s="166">
        <f>IF(K155&gt;0,K155*16,)</f>
        <v>28.8</v>
      </c>
      <c r="M155" s="166">
        <f t="shared" si="1"/>
        <v>0.81646560000000001</v>
      </c>
      <c r="N155" s="93">
        <v>0</v>
      </c>
      <c r="O155" s="93">
        <v>0</v>
      </c>
      <c r="P155" s="95">
        <f t="shared" si="2"/>
        <v>39.99</v>
      </c>
      <c r="Q155" s="96">
        <f>P155*C3</f>
        <v>49987.5</v>
      </c>
      <c r="R155" s="96">
        <v>0</v>
      </c>
      <c r="S155" s="97">
        <f t="shared" si="24"/>
        <v>50000</v>
      </c>
      <c r="T155" s="97">
        <f>ROUNDUP(HLOOKUP(ROUNDUP(K155,0),'배송비 조회'!A$10:U$22,7,0)*C$3,-2)</f>
        <v>11200</v>
      </c>
      <c r="U155" s="97">
        <v>0</v>
      </c>
      <c r="V155" s="97">
        <f>ROUND(IF(R155&gt;0,0,(S155+T155)*0.3),-2)</f>
        <v>18400</v>
      </c>
      <c r="W155" s="97">
        <f t="shared" si="195"/>
        <v>30600</v>
      </c>
      <c r="X155" s="98">
        <f t="shared" si="173"/>
        <v>79600</v>
      </c>
      <c r="Y155" s="98">
        <f t="shared" si="27"/>
        <v>91800</v>
      </c>
      <c r="Z155" s="167">
        <v>0</v>
      </c>
      <c r="AA155" s="167">
        <f t="shared" si="6"/>
        <v>3024.7999999999997</v>
      </c>
      <c r="AB155" s="167">
        <f t="shared" si="7"/>
        <v>1592</v>
      </c>
      <c r="AC155" s="99">
        <f t="shared" si="8"/>
        <v>9180</v>
      </c>
      <c r="AD155" s="167">
        <f t="shared" si="9"/>
        <v>74983.199999999997</v>
      </c>
      <c r="AE155" s="99">
        <f t="shared" si="10"/>
        <v>82620</v>
      </c>
      <c r="AF155" s="167">
        <f t="shared" si="11"/>
        <v>749.83199999999999</v>
      </c>
      <c r="AG155" s="100">
        <f t="shared" si="28"/>
        <v>13045.867999999999</v>
      </c>
      <c r="AH155" s="101">
        <f t="shared" si="29"/>
        <v>20682.668000000001</v>
      </c>
      <c r="AI155" s="102">
        <f t="shared" ref="AI155:AJ155" si="248">AG155/X155</f>
        <v>0.16389281407035175</v>
      </c>
      <c r="AJ155" s="102">
        <f t="shared" si="248"/>
        <v>0.225301394335512</v>
      </c>
      <c r="AK155" s="103"/>
      <c r="AL155" s="104"/>
      <c r="AM155" s="17"/>
      <c r="AN155" s="17"/>
      <c r="AO155" s="17"/>
      <c r="AP155" s="17"/>
      <c r="AQ155" s="17"/>
      <c r="AR155" s="17"/>
      <c r="AS155" s="17"/>
      <c r="AT155" s="17"/>
      <c r="AU155" s="17"/>
      <c r="AV155" s="17"/>
      <c r="AW155" s="31"/>
    </row>
    <row r="156" spans="1:49" ht="13.2">
      <c r="A156" s="328">
        <f>HYPERLINK("https://smartstore.naver.com/brickstore2019/products/4621775460",AW:AW)</f>
        <v>4621775460</v>
      </c>
      <c r="B156" s="356">
        <v>10275853267</v>
      </c>
      <c r="C156" s="307" t="s">
        <v>552</v>
      </c>
      <c r="D156" s="357" t="s">
        <v>552</v>
      </c>
      <c r="E156" s="304" t="s">
        <v>553</v>
      </c>
      <c r="F156" s="123" t="s">
        <v>55</v>
      </c>
      <c r="G156" s="124" t="str">
        <f>HYPERLINK("https://www.amazon.com/dp/B07KK941H8/ref=twister_B07SG1NB96?_encoding=UTF8&amp;th=1","A")</f>
        <v>A</v>
      </c>
      <c r="H156" s="125"/>
      <c r="I156" s="125"/>
      <c r="J156" s="125">
        <v>30</v>
      </c>
      <c r="K156" s="82">
        <f t="shared" ref="K156:K160" si="249">IF(L156&gt;0,L156*0.0625,)</f>
        <v>0.8</v>
      </c>
      <c r="L156" s="82">
        <v>12.8</v>
      </c>
      <c r="M156" s="82">
        <f t="shared" si="1"/>
        <v>0.36287360000000002</v>
      </c>
      <c r="N156" s="93">
        <v>0</v>
      </c>
      <c r="O156" s="93">
        <v>0</v>
      </c>
      <c r="P156" s="95">
        <f t="shared" si="2"/>
        <v>30</v>
      </c>
      <c r="Q156" s="96">
        <f>P156*C$3</f>
        <v>37500</v>
      </c>
      <c r="R156" s="96">
        <v>0</v>
      </c>
      <c r="S156" s="97">
        <f t="shared" si="24"/>
        <v>37500</v>
      </c>
      <c r="T156" s="97">
        <f>ROUNDUP(HLOOKUP(ROUNDUP(K156,0),'배송비 조회'!A$10:U$22,7,0)*C$3,-2)</f>
        <v>9000</v>
      </c>
      <c r="U156" s="97">
        <v>0</v>
      </c>
      <c r="V156" s="97">
        <f t="shared" ref="V156:V160" si="250">ROUND(IF(R156&gt;0,0,(S156+T156)*0.4),-2)</f>
        <v>18600</v>
      </c>
      <c r="W156" s="97">
        <f t="shared" si="195"/>
        <v>23300</v>
      </c>
      <c r="X156" s="98">
        <f t="shared" si="173"/>
        <v>65100</v>
      </c>
      <c r="Y156" s="98">
        <f t="shared" si="27"/>
        <v>69800</v>
      </c>
      <c r="Z156" s="121">
        <v>0</v>
      </c>
      <c r="AA156" s="121">
        <f t="shared" si="6"/>
        <v>2473.7999999999997</v>
      </c>
      <c r="AB156" s="121">
        <f t="shared" si="7"/>
        <v>1302</v>
      </c>
      <c r="AC156" s="99">
        <f t="shared" si="8"/>
        <v>6980</v>
      </c>
      <c r="AD156" s="121">
        <f t="shared" si="9"/>
        <v>61324.2</v>
      </c>
      <c r="AE156" s="99">
        <f t="shared" si="10"/>
        <v>62820</v>
      </c>
      <c r="AF156" s="121">
        <f t="shared" si="11"/>
        <v>613.24199999999996</v>
      </c>
      <c r="AG156" s="100">
        <f t="shared" si="28"/>
        <v>14210.957999999999</v>
      </c>
      <c r="AH156" s="101">
        <f t="shared" si="29"/>
        <v>15706.758000000002</v>
      </c>
      <c r="AI156" s="102">
        <f t="shared" ref="AI156:AJ156" si="251">AG156/X156</f>
        <v>0.21829428571428569</v>
      </c>
      <c r="AJ156" s="102">
        <f t="shared" si="251"/>
        <v>0.22502518624641837</v>
      </c>
      <c r="AK156" s="103"/>
      <c r="AL156" s="104"/>
      <c r="AM156" s="17"/>
      <c r="AN156" s="17"/>
      <c r="AO156" s="17"/>
      <c r="AP156" s="17"/>
      <c r="AQ156" s="17"/>
      <c r="AR156" s="17"/>
      <c r="AS156" s="17"/>
      <c r="AT156" s="17"/>
      <c r="AU156" s="17"/>
      <c r="AV156" s="17"/>
      <c r="AW156" s="299">
        <v>4621775460</v>
      </c>
    </row>
    <row r="157" spans="1:49" ht="13.2">
      <c r="A157" s="302"/>
      <c r="B157" s="306"/>
      <c r="C157" s="302"/>
      <c r="D157" s="302"/>
      <c r="E157" s="302"/>
      <c r="F157" s="168" t="s">
        <v>554</v>
      </c>
      <c r="G157" s="124" t="str">
        <f>HYPERLINK("https://www.amazon.com/dp/B07KKBH4W6/ref=twister_B07SG1NB96?_encoding=UTF8&amp;th=1","A")</f>
        <v>A</v>
      </c>
      <c r="H157" s="125"/>
      <c r="I157" s="125"/>
      <c r="J157" s="169">
        <v>30</v>
      </c>
      <c r="K157" s="82">
        <f t="shared" si="249"/>
        <v>0.8</v>
      </c>
      <c r="L157" s="82">
        <v>12.8</v>
      </c>
      <c r="M157" s="82">
        <f t="shared" si="1"/>
        <v>0.36287360000000002</v>
      </c>
      <c r="N157" s="93">
        <v>0</v>
      </c>
      <c r="O157" s="93">
        <v>0</v>
      </c>
      <c r="P157" s="95">
        <f t="shared" si="2"/>
        <v>30</v>
      </c>
      <c r="Q157" s="96">
        <f>P157*C$3</f>
        <v>37500</v>
      </c>
      <c r="R157" s="96">
        <v>0</v>
      </c>
      <c r="S157" s="97">
        <f t="shared" si="24"/>
        <v>37500</v>
      </c>
      <c r="T157" s="97">
        <f>ROUNDUP(HLOOKUP(ROUNDUP(K157,0),'배송비 조회'!A$10:U$22,7,0)*C$3,-2)</f>
        <v>9000</v>
      </c>
      <c r="U157" s="97">
        <v>0</v>
      </c>
      <c r="V157" s="97">
        <f t="shared" si="250"/>
        <v>18600</v>
      </c>
      <c r="W157" s="97">
        <f t="shared" si="195"/>
        <v>23300</v>
      </c>
      <c r="X157" s="98">
        <f t="shared" si="173"/>
        <v>65100</v>
      </c>
      <c r="Y157" s="98">
        <f t="shared" si="27"/>
        <v>69800</v>
      </c>
      <c r="Z157" s="121">
        <v>0</v>
      </c>
      <c r="AA157" s="121">
        <f t="shared" si="6"/>
        <v>2473.7999999999997</v>
      </c>
      <c r="AB157" s="121">
        <f t="shared" si="7"/>
        <v>1302</v>
      </c>
      <c r="AC157" s="99">
        <f t="shared" si="8"/>
        <v>6980</v>
      </c>
      <c r="AD157" s="121">
        <f t="shared" si="9"/>
        <v>61324.2</v>
      </c>
      <c r="AE157" s="99">
        <f t="shared" si="10"/>
        <v>62820</v>
      </c>
      <c r="AF157" s="121">
        <f t="shared" si="11"/>
        <v>613.24199999999996</v>
      </c>
      <c r="AG157" s="100">
        <f t="shared" si="28"/>
        <v>14210.957999999999</v>
      </c>
      <c r="AH157" s="101">
        <f t="shared" si="29"/>
        <v>15706.758000000002</v>
      </c>
      <c r="AI157" s="102">
        <f t="shared" ref="AI157:AJ157" si="252">AG157/X157</f>
        <v>0.21829428571428569</v>
      </c>
      <c r="AJ157" s="102">
        <f t="shared" si="252"/>
        <v>0.22502518624641837</v>
      </c>
      <c r="AK157" s="103"/>
      <c r="AL157" s="104"/>
      <c r="AM157" s="17"/>
      <c r="AN157" s="17"/>
      <c r="AO157" s="17"/>
      <c r="AP157" s="17"/>
      <c r="AQ157" s="17"/>
      <c r="AR157" s="17"/>
      <c r="AS157" s="17"/>
      <c r="AT157" s="17"/>
      <c r="AU157" s="17"/>
      <c r="AV157" s="17"/>
      <c r="AW157" s="297"/>
    </row>
    <row r="158" spans="1:49" ht="13.2">
      <c r="A158" s="302"/>
      <c r="B158" s="306"/>
      <c r="C158" s="302"/>
      <c r="D158" s="302"/>
      <c r="E158" s="302"/>
      <c r="F158" s="168" t="s">
        <v>555</v>
      </c>
      <c r="G158" s="124" t="str">
        <f>HYPERLINK("https://www.amazon.com/dp/B07KKBDNM1/ref=twister_B07SG1NB96?_encoding=UTF8&amp;th=1","A")</f>
        <v>A</v>
      </c>
      <c r="H158" s="125"/>
      <c r="I158" s="125"/>
      <c r="J158" s="125">
        <v>30</v>
      </c>
      <c r="K158" s="82">
        <f t="shared" si="249"/>
        <v>0.8</v>
      </c>
      <c r="L158" s="82">
        <v>12.8</v>
      </c>
      <c r="M158" s="82">
        <f t="shared" si="1"/>
        <v>0.36287360000000002</v>
      </c>
      <c r="N158" s="93">
        <v>0</v>
      </c>
      <c r="O158" s="93">
        <v>0</v>
      </c>
      <c r="P158" s="95">
        <f t="shared" si="2"/>
        <v>30</v>
      </c>
      <c r="Q158" s="96">
        <f>P158*C$3</f>
        <v>37500</v>
      </c>
      <c r="R158" s="96">
        <v>0</v>
      </c>
      <c r="S158" s="97">
        <f t="shared" si="24"/>
        <v>37500</v>
      </c>
      <c r="T158" s="97">
        <f>ROUNDUP(HLOOKUP(ROUNDUP(K158,0),'배송비 조회'!A$10:U$22,7,0)*C$3,-2)</f>
        <v>9000</v>
      </c>
      <c r="U158" s="97">
        <v>0</v>
      </c>
      <c r="V158" s="97">
        <f t="shared" si="250"/>
        <v>18600</v>
      </c>
      <c r="W158" s="97">
        <f t="shared" si="195"/>
        <v>23300</v>
      </c>
      <c r="X158" s="98">
        <f t="shared" si="173"/>
        <v>65100</v>
      </c>
      <c r="Y158" s="98">
        <f t="shared" si="27"/>
        <v>69800</v>
      </c>
      <c r="Z158" s="121">
        <v>0</v>
      </c>
      <c r="AA158" s="121">
        <f t="shared" si="6"/>
        <v>2473.7999999999997</v>
      </c>
      <c r="AB158" s="121">
        <f t="shared" si="7"/>
        <v>1302</v>
      </c>
      <c r="AC158" s="99">
        <f t="shared" si="8"/>
        <v>6980</v>
      </c>
      <c r="AD158" s="121">
        <f t="shared" si="9"/>
        <v>61324.2</v>
      </c>
      <c r="AE158" s="99">
        <f t="shared" si="10"/>
        <v>62820</v>
      </c>
      <c r="AF158" s="121">
        <f t="shared" si="11"/>
        <v>613.24199999999996</v>
      </c>
      <c r="AG158" s="100">
        <f t="shared" si="28"/>
        <v>14210.957999999999</v>
      </c>
      <c r="AH158" s="101">
        <f t="shared" si="29"/>
        <v>15706.758000000002</v>
      </c>
      <c r="AI158" s="102">
        <f t="shared" ref="AI158:AJ158" si="253">AG158/X158</f>
        <v>0.21829428571428569</v>
      </c>
      <c r="AJ158" s="102">
        <f t="shared" si="253"/>
        <v>0.22502518624641837</v>
      </c>
      <c r="AK158" s="103"/>
      <c r="AL158" s="104"/>
      <c r="AM158" s="17"/>
      <c r="AN158" s="17"/>
      <c r="AO158" s="17"/>
      <c r="AP158" s="17"/>
      <c r="AQ158" s="17"/>
      <c r="AR158" s="17"/>
      <c r="AS158" s="17"/>
      <c r="AT158" s="17"/>
      <c r="AU158" s="17"/>
      <c r="AV158" s="17"/>
      <c r="AW158" s="297"/>
    </row>
    <row r="159" spans="1:49" ht="13.2">
      <c r="A159" s="302"/>
      <c r="B159" s="306"/>
      <c r="C159" s="302"/>
      <c r="D159" s="302"/>
      <c r="E159" s="302"/>
      <c r="F159" s="168" t="s">
        <v>363</v>
      </c>
      <c r="G159" s="124" t="str">
        <f>HYPERLINK("https://www.amazon.com/dp/B07MTYTB3D/ref=twister_B07SG1NB96?_encoding=UTF8&amp;th=1","A")</f>
        <v>A</v>
      </c>
      <c r="H159" s="125"/>
      <c r="I159" s="125"/>
      <c r="J159" s="125">
        <v>30</v>
      </c>
      <c r="K159" s="82">
        <f t="shared" si="249"/>
        <v>0.8</v>
      </c>
      <c r="L159" s="82">
        <v>12.8</v>
      </c>
      <c r="M159" s="82">
        <f t="shared" si="1"/>
        <v>0.36287360000000002</v>
      </c>
      <c r="N159" s="93">
        <v>0</v>
      </c>
      <c r="O159" s="93">
        <v>0</v>
      </c>
      <c r="P159" s="95">
        <f t="shared" si="2"/>
        <v>30</v>
      </c>
      <c r="Q159" s="96">
        <f>P159*C$3</f>
        <v>37500</v>
      </c>
      <c r="R159" s="96">
        <v>0</v>
      </c>
      <c r="S159" s="97">
        <f t="shared" si="24"/>
        <v>37500</v>
      </c>
      <c r="T159" s="97">
        <f>ROUNDUP(HLOOKUP(ROUNDUP(K159,0),'배송비 조회'!A$10:U$22,7,0)*C$3,-2)</f>
        <v>9000</v>
      </c>
      <c r="U159" s="97">
        <v>0</v>
      </c>
      <c r="V159" s="97">
        <f t="shared" si="250"/>
        <v>18600</v>
      </c>
      <c r="W159" s="97">
        <f t="shared" si="195"/>
        <v>23300</v>
      </c>
      <c r="X159" s="98">
        <f t="shared" si="173"/>
        <v>65100</v>
      </c>
      <c r="Y159" s="98">
        <f t="shared" si="27"/>
        <v>69800</v>
      </c>
      <c r="Z159" s="121">
        <v>0</v>
      </c>
      <c r="AA159" s="121">
        <f t="shared" si="6"/>
        <v>2473.7999999999997</v>
      </c>
      <c r="AB159" s="121">
        <f t="shared" si="7"/>
        <v>1302</v>
      </c>
      <c r="AC159" s="99">
        <f t="shared" si="8"/>
        <v>6980</v>
      </c>
      <c r="AD159" s="121">
        <f t="shared" si="9"/>
        <v>61324.2</v>
      </c>
      <c r="AE159" s="99">
        <f t="shared" si="10"/>
        <v>62820</v>
      </c>
      <c r="AF159" s="121">
        <f t="shared" si="11"/>
        <v>613.24199999999996</v>
      </c>
      <c r="AG159" s="100">
        <f t="shared" si="28"/>
        <v>14210.957999999999</v>
      </c>
      <c r="AH159" s="101">
        <f t="shared" si="29"/>
        <v>15706.758000000002</v>
      </c>
      <c r="AI159" s="102">
        <f t="shared" ref="AI159:AJ159" si="254">AG159/X159</f>
        <v>0.21829428571428569</v>
      </c>
      <c r="AJ159" s="102">
        <f t="shared" si="254"/>
        <v>0.22502518624641837</v>
      </c>
      <c r="AK159" s="103"/>
      <c r="AL159" s="104"/>
      <c r="AM159" s="17"/>
      <c r="AN159" s="17"/>
      <c r="AO159" s="17"/>
      <c r="AP159" s="17"/>
      <c r="AQ159" s="17"/>
      <c r="AR159" s="17"/>
      <c r="AS159" s="17"/>
      <c r="AT159" s="17"/>
      <c r="AU159" s="17"/>
      <c r="AV159" s="17"/>
      <c r="AW159" s="297"/>
    </row>
    <row r="160" spans="1:49" ht="13.2">
      <c r="A160" s="119">
        <f>HYPERLINK("https://smartstore.naver.com/brickstore2019/products/4621785662",AW:AW)</f>
        <v>4621785662</v>
      </c>
      <c r="B160" s="264"/>
      <c r="C160" s="114" t="s">
        <v>556</v>
      </c>
      <c r="D160" s="114"/>
      <c r="E160" s="117" t="s">
        <v>557</v>
      </c>
      <c r="F160" s="168"/>
      <c r="G160" s="124" t="str">
        <f>HYPERLINK("https://www.amazon.com/Arteck-Microsoft-Ultra-Slim-Bluetooth-Rechargeable/dp/B07P211Q4R/ref=sr_1_15?crid=GCI0JPS7JRLN&amp;keywords=surface+go+accessories&amp;qid=1564879648&amp;s=gateway&amp;sprefix=surface+go+%2Caps%2C1108&amp;sr=8-15","A")</f>
        <v>A</v>
      </c>
      <c r="H160" s="125"/>
      <c r="I160" s="125"/>
      <c r="J160" s="125">
        <v>35</v>
      </c>
      <c r="K160" s="82">
        <f t="shared" si="249"/>
        <v>0.75</v>
      </c>
      <c r="L160" s="82">
        <v>12</v>
      </c>
      <c r="M160" s="82">
        <f t="shared" si="1"/>
        <v>0.340194</v>
      </c>
      <c r="N160" s="93">
        <v>0</v>
      </c>
      <c r="O160" s="93">
        <v>0</v>
      </c>
      <c r="P160" s="95">
        <f t="shared" si="2"/>
        <v>35</v>
      </c>
      <c r="Q160" s="96">
        <f>P160*C3</f>
        <v>43750</v>
      </c>
      <c r="R160" s="96">
        <v>0</v>
      </c>
      <c r="S160" s="97">
        <f t="shared" si="24"/>
        <v>43800</v>
      </c>
      <c r="T160" s="97">
        <f>ROUNDUP(HLOOKUP(ROUNDUP(K160,0),'배송비 조회'!A$10:U$22,7,0)*C$3,-2)</f>
        <v>9000</v>
      </c>
      <c r="U160" s="97">
        <v>0</v>
      </c>
      <c r="V160" s="97">
        <f t="shared" si="250"/>
        <v>21100</v>
      </c>
      <c r="W160" s="97">
        <f t="shared" si="195"/>
        <v>26400</v>
      </c>
      <c r="X160" s="98">
        <f t="shared" si="173"/>
        <v>73900</v>
      </c>
      <c r="Y160" s="98">
        <f t="shared" si="27"/>
        <v>79200</v>
      </c>
      <c r="Z160" s="121">
        <v>0</v>
      </c>
      <c r="AA160" s="121">
        <f t="shared" si="6"/>
        <v>2808.2</v>
      </c>
      <c r="AB160" s="121">
        <f t="shared" si="7"/>
        <v>1478</v>
      </c>
      <c r="AC160" s="99">
        <f t="shared" si="8"/>
        <v>7920</v>
      </c>
      <c r="AD160" s="121">
        <f t="shared" si="9"/>
        <v>69613.8</v>
      </c>
      <c r="AE160" s="99">
        <f t="shared" si="10"/>
        <v>71280</v>
      </c>
      <c r="AF160" s="121">
        <f t="shared" si="11"/>
        <v>696.13800000000003</v>
      </c>
      <c r="AG160" s="100">
        <f t="shared" si="28"/>
        <v>16167.662000000004</v>
      </c>
      <c r="AH160" s="101">
        <f t="shared" si="29"/>
        <v>17833.862000000001</v>
      </c>
      <c r="AI160" s="102">
        <f t="shared" ref="AI160:AJ160" si="255">AG160/X160</f>
        <v>0.21877756427604877</v>
      </c>
      <c r="AJ160" s="102">
        <f t="shared" si="255"/>
        <v>0.22517502525252525</v>
      </c>
      <c r="AK160" s="103"/>
      <c r="AL160" s="104"/>
      <c r="AM160" s="17"/>
      <c r="AN160" s="17"/>
      <c r="AO160" s="17"/>
      <c r="AP160" s="17"/>
      <c r="AQ160" s="17"/>
      <c r="AR160" s="17"/>
      <c r="AS160" s="17"/>
      <c r="AT160" s="17"/>
      <c r="AU160" s="17"/>
      <c r="AV160" s="17"/>
      <c r="AW160" s="22">
        <v>4621785662</v>
      </c>
    </row>
    <row r="161" spans="1:49" ht="13.2">
      <c r="A161" s="119">
        <f>HYPERLINK("https://smartstore.naver.com/brickstore2019/products/4621819959",AW:AW)</f>
        <v>4621819959</v>
      </c>
      <c r="B161" s="264"/>
      <c r="C161" s="114" t="s">
        <v>558</v>
      </c>
      <c r="D161" s="117"/>
      <c r="E161" s="117" t="s">
        <v>559</v>
      </c>
      <c r="F161" s="168"/>
      <c r="G161" s="124" t="str">
        <f>HYPERLINK("https://www.amazon.com/Microsoft-Surface-Eletrand-High-Speed-Keyboard/dp/B07L819M55/ref=sr_1_3?crid=32NNJY0JSF0X9&amp;keywords=surface%2Bgo%2Baccessories&amp;qid=1564885661&amp;s=gateway&amp;sprefix=surface%2Bgo%2Bac%2Caps%2C343&amp;sr=8-3&amp;th=1","A")</f>
        <v>A</v>
      </c>
      <c r="H161" s="125"/>
      <c r="I161" s="125"/>
      <c r="J161" s="125">
        <v>12.99</v>
      </c>
      <c r="K161" s="82">
        <v>0.8</v>
      </c>
      <c r="L161" s="82">
        <f t="shared" ref="L161:L174" si="256">IF(K161&gt;0,K161*16,)</f>
        <v>12.8</v>
      </c>
      <c r="M161" s="82">
        <f t="shared" si="1"/>
        <v>0.36287360000000002</v>
      </c>
      <c r="N161" s="93">
        <v>0</v>
      </c>
      <c r="O161" s="93">
        <v>0</v>
      </c>
      <c r="P161" s="95">
        <f t="shared" si="2"/>
        <v>12.99</v>
      </c>
      <c r="Q161" s="96">
        <f>P161*C3</f>
        <v>16237.5</v>
      </c>
      <c r="R161" s="96">
        <v>0</v>
      </c>
      <c r="S161" s="97">
        <f t="shared" si="24"/>
        <v>16200</v>
      </c>
      <c r="T161" s="97">
        <f>ROUNDUP(HLOOKUP(ROUNDUP(K161,0),'배송비 조회'!A$10:U$22,7,0)*C$3,-2)</f>
        <v>9000</v>
      </c>
      <c r="U161" s="97">
        <v>0</v>
      </c>
      <c r="V161" s="97">
        <f>ROUND(IF(R161&gt;0,0,(S161+T161)*0.6),-2)</f>
        <v>15100</v>
      </c>
      <c r="W161" s="97">
        <f t="shared" si="195"/>
        <v>12600</v>
      </c>
      <c r="X161" s="98">
        <f t="shared" si="173"/>
        <v>40300</v>
      </c>
      <c r="Y161" s="98">
        <f t="shared" si="27"/>
        <v>37800</v>
      </c>
      <c r="Z161" s="121">
        <v>0</v>
      </c>
      <c r="AA161" s="121">
        <f t="shared" si="6"/>
        <v>1531.3999999999999</v>
      </c>
      <c r="AB161" s="121">
        <f t="shared" si="7"/>
        <v>806</v>
      </c>
      <c r="AC161" s="99">
        <f t="shared" si="8"/>
        <v>3780</v>
      </c>
      <c r="AD161" s="121">
        <f t="shared" si="9"/>
        <v>37962.6</v>
      </c>
      <c r="AE161" s="99">
        <f t="shared" si="10"/>
        <v>34020</v>
      </c>
      <c r="AF161" s="121">
        <f t="shared" si="11"/>
        <v>379.62599999999998</v>
      </c>
      <c r="AG161" s="100">
        <f t="shared" si="28"/>
        <v>12345.473999999998</v>
      </c>
      <c r="AH161" s="101">
        <f t="shared" si="29"/>
        <v>8402.8739999999998</v>
      </c>
      <c r="AI161" s="102">
        <f t="shared" ref="AI161:AJ161" si="257">AG161/X161</f>
        <v>0.30633930521091807</v>
      </c>
      <c r="AJ161" s="102">
        <f t="shared" si="257"/>
        <v>0.22229825396825395</v>
      </c>
      <c r="AK161" s="103"/>
      <c r="AL161" s="104"/>
      <c r="AM161" s="17"/>
      <c r="AN161" s="17"/>
      <c r="AO161" s="17"/>
      <c r="AP161" s="17"/>
      <c r="AQ161" s="17"/>
      <c r="AR161" s="17"/>
      <c r="AS161" s="17"/>
      <c r="AT161" s="17"/>
      <c r="AU161" s="17"/>
      <c r="AV161" s="17"/>
      <c r="AW161" s="22">
        <v>4621819959</v>
      </c>
    </row>
    <row r="162" spans="1:49" ht="13.2">
      <c r="A162" s="328">
        <f>HYPERLINK("https://smartstore.naver.com/brickstore2019/products/4621851752",AW:AW)</f>
        <v>4621851752</v>
      </c>
      <c r="B162" s="329" t="str">
        <f>HYPERLINK("https://www.coupang.com/vp/products/329824264?vendorItemId=5524584247&amp;isAddedCart=","329824264")</f>
        <v>329824264</v>
      </c>
      <c r="C162" s="307" t="s">
        <v>560</v>
      </c>
      <c r="D162" s="358" t="s">
        <v>1296</v>
      </c>
      <c r="E162" s="304" t="s">
        <v>561</v>
      </c>
      <c r="F162" s="168" t="s">
        <v>562</v>
      </c>
      <c r="G162" s="124" t="str">
        <f>HYPERLINK("https://www.amazon.com/Surfacekit-Surface-Docking-Portable-Accessories/dp/B07PG8HQG1/ref=sr_1_1_sspa?crid=32NNJY0JSF0X9&amp;keywords=surface%2Bgo%2Baccessories&amp;qid=1564885661&amp;s=gateway&amp;sprefix=surface%2Bgo%2Bac%2Caps%2C343&amp;sr=8-1-spons&amp;th=1","A")</f>
        <v>A</v>
      </c>
      <c r="H162" s="125"/>
      <c r="I162" s="125"/>
      <c r="J162" s="125">
        <v>26</v>
      </c>
      <c r="K162" s="82">
        <v>0.8</v>
      </c>
      <c r="L162" s="82">
        <f t="shared" si="256"/>
        <v>12.8</v>
      </c>
      <c r="M162" s="82">
        <f t="shared" si="1"/>
        <v>0.36287360000000002</v>
      </c>
      <c r="N162" s="93">
        <v>0</v>
      </c>
      <c r="O162" s="93">
        <v>0</v>
      </c>
      <c r="P162" s="95">
        <f t="shared" si="2"/>
        <v>26</v>
      </c>
      <c r="Q162" s="96">
        <f>P162*C3</f>
        <v>32500</v>
      </c>
      <c r="R162" s="96">
        <v>0</v>
      </c>
      <c r="S162" s="97">
        <f t="shared" si="24"/>
        <v>32500</v>
      </c>
      <c r="T162" s="97">
        <f>ROUNDUP(HLOOKUP(ROUNDUP(K162,0),'배송비 조회'!A$10:U$22,7,0)*C$3,-2)</f>
        <v>9000</v>
      </c>
      <c r="U162" s="97">
        <v>0</v>
      </c>
      <c r="V162" s="97">
        <f t="shared" ref="V162:V164" si="258">ROUND(IF(R162&gt;0,0,(S162+T162)*0.4),-2)</f>
        <v>16600</v>
      </c>
      <c r="W162" s="97">
        <f t="shared" ref="W162:W164" si="259">V162+(S162+T162)*0.1</f>
        <v>20750</v>
      </c>
      <c r="X162" s="98">
        <f t="shared" si="173"/>
        <v>58100</v>
      </c>
      <c r="Y162" s="98">
        <f t="shared" si="27"/>
        <v>62250</v>
      </c>
      <c r="Z162" s="121">
        <v>0</v>
      </c>
      <c r="AA162" s="121">
        <f t="shared" si="6"/>
        <v>2207.7999999999997</v>
      </c>
      <c r="AB162" s="121">
        <f t="shared" si="7"/>
        <v>1162</v>
      </c>
      <c r="AC162" s="99">
        <f t="shared" si="8"/>
        <v>6225</v>
      </c>
      <c r="AD162" s="121">
        <f t="shared" si="9"/>
        <v>54730.2</v>
      </c>
      <c r="AE162" s="99">
        <f t="shared" si="10"/>
        <v>56025</v>
      </c>
      <c r="AF162" s="121">
        <f t="shared" si="11"/>
        <v>547.30200000000002</v>
      </c>
      <c r="AG162" s="100">
        <f t="shared" si="28"/>
        <v>12682.897999999997</v>
      </c>
      <c r="AH162" s="101">
        <f t="shared" si="29"/>
        <v>13977.698</v>
      </c>
      <c r="AI162" s="102">
        <f t="shared" ref="AI162:AJ162" si="260">AG162/X162</f>
        <v>0.21829428571428566</v>
      </c>
      <c r="AJ162" s="102">
        <f t="shared" si="260"/>
        <v>0.22454133333333334</v>
      </c>
      <c r="AK162" s="103"/>
      <c r="AL162" s="104"/>
      <c r="AM162" s="17"/>
      <c r="AN162" s="17"/>
      <c r="AO162" s="17"/>
      <c r="AP162" s="17"/>
      <c r="AQ162" s="17"/>
      <c r="AR162" s="17"/>
      <c r="AS162" s="17"/>
      <c r="AT162" s="17"/>
      <c r="AU162" s="17"/>
      <c r="AV162" s="17"/>
      <c r="AW162" s="299">
        <v>4621851752</v>
      </c>
    </row>
    <row r="163" spans="1:49" ht="13.2">
      <c r="A163" s="302"/>
      <c r="B163" s="306"/>
      <c r="C163" s="302"/>
      <c r="D163" s="302"/>
      <c r="E163" s="302"/>
      <c r="F163" s="123" t="s">
        <v>563</v>
      </c>
      <c r="G163" s="124" t="str">
        <f>HYPERLINK("https://www.amazon.com/Surfacekit-Surface-Docking-Portable-Accessories/dp/B07KRZQS39/ref=sr_1_1_sspa?crid=32NNJY0JSF0X9&amp;keywords=surface%2Bgo%2Baccessories&amp;qid=1564885661&amp;s=gateway&amp;sprefix=surface%2Bgo%2Bac%2Caps%2C343&amp;sr=8-1-spons&amp;th=1","A")</f>
        <v>A</v>
      </c>
      <c r="H163" s="125"/>
      <c r="I163" s="125"/>
      <c r="J163" s="125">
        <v>26</v>
      </c>
      <c r="K163" s="82">
        <v>0.8</v>
      </c>
      <c r="L163" s="82">
        <f t="shared" si="256"/>
        <v>12.8</v>
      </c>
      <c r="M163" s="82">
        <f t="shared" si="1"/>
        <v>0.36287360000000002</v>
      </c>
      <c r="N163" s="93">
        <v>0</v>
      </c>
      <c r="O163" s="93">
        <v>0</v>
      </c>
      <c r="P163" s="95">
        <f t="shared" si="2"/>
        <v>26</v>
      </c>
      <c r="Q163" s="96">
        <f>P163*C3</f>
        <v>32500</v>
      </c>
      <c r="R163" s="96">
        <v>0</v>
      </c>
      <c r="S163" s="97">
        <f t="shared" si="24"/>
        <v>32500</v>
      </c>
      <c r="T163" s="97">
        <f>ROUNDUP(HLOOKUP(ROUNDUP(K163,0),'배송비 조회'!A$10:U$22,7,0)*C$3,-2)</f>
        <v>9000</v>
      </c>
      <c r="U163" s="97">
        <v>0</v>
      </c>
      <c r="V163" s="97">
        <f t="shared" si="258"/>
        <v>16600</v>
      </c>
      <c r="W163" s="97">
        <f t="shared" si="259"/>
        <v>20750</v>
      </c>
      <c r="X163" s="98">
        <f t="shared" si="173"/>
        <v>58100</v>
      </c>
      <c r="Y163" s="98">
        <f t="shared" si="27"/>
        <v>62250</v>
      </c>
      <c r="Z163" s="121">
        <v>0</v>
      </c>
      <c r="AA163" s="121">
        <f t="shared" si="6"/>
        <v>2207.7999999999997</v>
      </c>
      <c r="AB163" s="121">
        <f t="shared" si="7"/>
        <v>1162</v>
      </c>
      <c r="AC163" s="99">
        <f t="shared" si="8"/>
        <v>6225</v>
      </c>
      <c r="AD163" s="121">
        <f t="shared" si="9"/>
        <v>54730.2</v>
      </c>
      <c r="AE163" s="99">
        <f t="shared" si="10"/>
        <v>56025</v>
      </c>
      <c r="AF163" s="121">
        <f t="shared" si="11"/>
        <v>547.30200000000002</v>
      </c>
      <c r="AG163" s="100">
        <f t="shared" si="28"/>
        <v>12682.897999999997</v>
      </c>
      <c r="AH163" s="101">
        <f t="shared" si="29"/>
        <v>13977.698</v>
      </c>
      <c r="AI163" s="102">
        <f t="shared" ref="AI163:AJ163" si="261">AG163/X163</f>
        <v>0.21829428571428566</v>
      </c>
      <c r="AJ163" s="102">
        <f t="shared" si="261"/>
        <v>0.22454133333333334</v>
      </c>
      <c r="AK163" s="103"/>
      <c r="AL163" s="104"/>
      <c r="AM163" s="17"/>
      <c r="AN163" s="17"/>
      <c r="AO163" s="17"/>
      <c r="AP163" s="17"/>
      <c r="AQ163" s="17"/>
      <c r="AR163" s="17"/>
      <c r="AS163" s="17"/>
      <c r="AT163" s="17"/>
      <c r="AU163" s="17"/>
      <c r="AV163" s="17"/>
      <c r="AW163" s="297"/>
    </row>
    <row r="164" spans="1:49" ht="13.2">
      <c r="A164" s="302"/>
      <c r="B164" s="306"/>
      <c r="C164" s="302"/>
      <c r="D164" s="302"/>
      <c r="E164" s="302"/>
      <c r="F164" s="123" t="s">
        <v>564</v>
      </c>
      <c r="G164" s="124" t="str">
        <f>HYPERLINK("https://www.amazon.com/Surfacekit-Surface-Docking-Portable-Accessories/dp/B07M7GB4GB/ref=sr_1_1_sspa?crid=32NNJY0JSF0X9&amp;keywords=surface%2Bgo%2Baccessories&amp;qid=1564885661&amp;s=gateway&amp;sprefix=surface%2Bgo%2Bac%2Caps%2C343&amp;sr=8-1-spons&amp;th=1","A")</f>
        <v>A</v>
      </c>
      <c r="H164" s="125"/>
      <c r="I164" s="125"/>
      <c r="J164" s="125">
        <v>27</v>
      </c>
      <c r="K164" s="82">
        <v>0.8</v>
      </c>
      <c r="L164" s="82">
        <f t="shared" si="256"/>
        <v>12.8</v>
      </c>
      <c r="M164" s="82">
        <f t="shared" si="1"/>
        <v>0.36287360000000002</v>
      </c>
      <c r="N164" s="93">
        <v>0</v>
      </c>
      <c r="O164" s="93">
        <v>0</v>
      </c>
      <c r="P164" s="95">
        <f t="shared" si="2"/>
        <v>27</v>
      </c>
      <c r="Q164" s="96">
        <f>P164*C3</f>
        <v>33750</v>
      </c>
      <c r="R164" s="96">
        <v>0</v>
      </c>
      <c r="S164" s="97">
        <f t="shared" si="24"/>
        <v>33800</v>
      </c>
      <c r="T164" s="97">
        <f>ROUNDUP(HLOOKUP(ROUNDUP(K164,0),'배송비 조회'!A$10:U$22,7,0)*C$3,-2)</f>
        <v>9000</v>
      </c>
      <c r="U164" s="97">
        <v>0</v>
      </c>
      <c r="V164" s="97">
        <f t="shared" si="258"/>
        <v>17100</v>
      </c>
      <c r="W164" s="97">
        <f t="shared" si="259"/>
        <v>21380</v>
      </c>
      <c r="X164" s="98">
        <f t="shared" si="173"/>
        <v>59900</v>
      </c>
      <c r="Y164" s="98">
        <f t="shared" si="27"/>
        <v>64180</v>
      </c>
      <c r="Z164" s="121">
        <v>0</v>
      </c>
      <c r="AA164" s="121">
        <f t="shared" si="6"/>
        <v>2276.1999999999998</v>
      </c>
      <c r="AB164" s="121">
        <f t="shared" si="7"/>
        <v>1198</v>
      </c>
      <c r="AC164" s="99">
        <f t="shared" si="8"/>
        <v>6418</v>
      </c>
      <c r="AD164" s="121">
        <f t="shared" si="9"/>
        <v>56425.8</v>
      </c>
      <c r="AE164" s="99">
        <f t="shared" si="10"/>
        <v>57762</v>
      </c>
      <c r="AF164" s="121">
        <f t="shared" si="11"/>
        <v>564.25800000000004</v>
      </c>
      <c r="AG164" s="100">
        <f t="shared" si="28"/>
        <v>13111.542000000001</v>
      </c>
      <c r="AH164" s="101">
        <f t="shared" si="29"/>
        <v>14447.741999999998</v>
      </c>
      <c r="AI164" s="102">
        <f t="shared" ref="AI164:AJ164" si="262">AG164/X164</f>
        <v>0.21889051752921537</v>
      </c>
      <c r="AJ164" s="102">
        <f t="shared" si="262"/>
        <v>0.22511283889062011</v>
      </c>
      <c r="AK164" s="103"/>
      <c r="AL164" s="104"/>
      <c r="AM164" s="17"/>
      <c r="AN164" s="17"/>
      <c r="AO164" s="17"/>
      <c r="AP164" s="17"/>
      <c r="AQ164" s="17"/>
      <c r="AR164" s="17"/>
      <c r="AS164" s="17"/>
      <c r="AT164" s="17"/>
      <c r="AU164" s="17"/>
      <c r="AV164" s="17"/>
      <c r="AW164" s="297"/>
    </row>
    <row r="165" spans="1:49" ht="13.2">
      <c r="A165" s="119">
        <f>HYPERLINK("https://smartstore.naver.com/brickstore2019/products/4622137745",AW:AW)</f>
        <v>4622137745</v>
      </c>
      <c r="B165" s="266"/>
      <c r="C165" s="117" t="s">
        <v>565</v>
      </c>
      <c r="D165" s="117"/>
      <c r="E165" s="126" t="s">
        <v>566</v>
      </c>
      <c r="F165" s="123"/>
      <c r="G165" s="124" t="str">
        <f>HYPERLINK("https://www.amazon.com/Makeup-Mirror-Vanity-Lights-Magnification/dp/B07HNS6Q5B/ref=sr_1_9?keywords=LED+Lighted+Makeup+Mirror&amp;qid=1564924137&amp;s=beauty&amp;sr=1-9","A")</f>
        <v>A</v>
      </c>
      <c r="H165" s="125"/>
      <c r="I165" s="125"/>
      <c r="J165" s="93">
        <v>39</v>
      </c>
      <c r="K165" s="82">
        <v>2.2000000000000002</v>
      </c>
      <c r="L165" s="82">
        <f t="shared" si="256"/>
        <v>35.200000000000003</v>
      </c>
      <c r="M165" s="82">
        <f t="shared" si="1"/>
        <v>0.99790240000000008</v>
      </c>
      <c r="N165" s="93">
        <v>0</v>
      </c>
      <c r="O165" s="93">
        <v>0</v>
      </c>
      <c r="P165" s="95">
        <f t="shared" si="2"/>
        <v>39</v>
      </c>
      <c r="Q165" s="96">
        <f>P165*C3</f>
        <v>48750</v>
      </c>
      <c r="R165" s="96">
        <v>0</v>
      </c>
      <c r="S165" s="97">
        <f t="shared" si="24"/>
        <v>48800</v>
      </c>
      <c r="T165" s="97">
        <f>ROUNDUP(HLOOKUP(ROUNDUP(K165,0),'배송비 조회'!A$10:U$22,7,0)*C$3,-2)</f>
        <v>13400</v>
      </c>
      <c r="U165" s="97">
        <v>0</v>
      </c>
      <c r="V165" s="97">
        <f t="shared" ref="V165:V175" si="263">ROUND(IF(R165&gt;0,0,(S165+T165)*0.3),-2)</f>
        <v>18700</v>
      </c>
      <c r="W165" s="97">
        <f t="shared" ref="W165:W274" si="264">ROUND(IF(R165&gt;0,0,(S165+T165)*0.5),-2)</f>
        <v>31100</v>
      </c>
      <c r="X165" s="98">
        <f t="shared" si="173"/>
        <v>80900</v>
      </c>
      <c r="Y165" s="98">
        <f t="shared" si="27"/>
        <v>93300</v>
      </c>
      <c r="Z165" s="121">
        <v>0</v>
      </c>
      <c r="AA165" s="121">
        <f t="shared" si="6"/>
        <v>3074.2</v>
      </c>
      <c r="AB165" s="121">
        <f t="shared" si="7"/>
        <v>1618</v>
      </c>
      <c r="AC165" s="99">
        <f t="shared" si="8"/>
        <v>9330</v>
      </c>
      <c r="AD165" s="121">
        <f t="shared" si="9"/>
        <v>76207.8</v>
      </c>
      <c r="AE165" s="99">
        <f t="shared" si="10"/>
        <v>83970</v>
      </c>
      <c r="AF165" s="121">
        <f t="shared" si="11"/>
        <v>762.07800000000009</v>
      </c>
      <c r="AG165" s="100">
        <f t="shared" si="28"/>
        <v>13295.722000000002</v>
      </c>
      <c r="AH165" s="101">
        <f t="shared" si="29"/>
        <v>21057.921999999999</v>
      </c>
      <c r="AI165" s="102">
        <f t="shared" ref="AI165:AJ165" si="265">AG165/X165</f>
        <v>0.16434761433868977</v>
      </c>
      <c r="AJ165" s="102">
        <f t="shared" si="265"/>
        <v>0.22570120042872452</v>
      </c>
      <c r="AK165" s="103"/>
      <c r="AL165" s="104"/>
      <c r="AM165" s="17"/>
      <c r="AN165" s="17"/>
      <c r="AO165" s="17"/>
      <c r="AP165" s="17"/>
      <c r="AQ165" s="17"/>
      <c r="AR165" s="17"/>
      <c r="AS165" s="17"/>
      <c r="AT165" s="17"/>
      <c r="AU165" s="17"/>
      <c r="AV165" s="17"/>
      <c r="AW165" s="22">
        <v>4622137745</v>
      </c>
    </row>
    <row r="166" spans="1:49" ht="13.2">
      <c r="A166" s="119">
        <f>HYPERLINK("https://smartstore.naver.com/brickstore2019/products/4622117899",AW:AW)</f>
        <v>4622117899</v>
      </c>
      <c r="B166" s="266"/>
      <c r="C166" s="117" t="s">
        <v>567</v>
      </c>
      <c r="D166" s="117"/>
      <c r="E166" s="117" t="s">
        <v>568</v>
      </c>
      <c r="F166" s="168"/>
      <c r="G166" s="124" t="str">
        <f>HYPERLINK("https://www.amazon.com/Backpack-Business-Backpacks-Charging-Resistant/dp/B07R191VDB/ref=sr_1_1?crid=1M8R3K5R6ENOI&amp;keywords=tigernu+backpack&amp;qid=1564925635&amp;refinements=p_89%3ATIGERNU&amp;rnid=2528832011&amp;s=gateway&amp;sprefix=tigernu+ba%2Caps%2C363&amp;sr=8-1","A")</f>
        <v>A</v>
      </c>
      <c r="H166" s="125"/>
      <c r="I166" s="125"/>
      <c r="J166" s="125">
        <v>34</v>
      </c>
      <c r="K166" s="82">
        <v>2.16</v>
      </c>
      <c r="L166" s="82">
        <f t="shared" si="256"/>
        <v>34.56</v>
      </c>
      <c r="M166" s="82">
        <f t="shared" si="1"/>
        <v>0.97975872000000008</v>
      </c>
      <c r="N166" s="93">
        <v>0</v>
      </c>
      <c r="O166" s="93">
        <v>0</v>
      </c>
      <c r="P166" s="95">
        <f t="shared" si="2"/>
        <v>34</v>
      </c>
      <c r="Q166" s="96">
        <f>P166*C3</f>
        <v>42500</v>
      </c>
      <c r="R166" s="96">
        <v>0</v>
      </c>
      <c r="S166" s="97">
        <f t="shared" si="24"/>
        <v>42500</v>
      </c>
      <c r="T166" s="97">
        <f>ROUNDUP(HLOOKUP(ROUNDUP(K166,0),'배송비 조회'!A$10:U$22,7,0)*C$3,-2)</f>
        <v>13400</v>
      </c>
      <c r="U166" s="97">
        <v>0</v>
      </c>
      <c r="V166" s="97">
        <f t="shared" si="263"/>
        <v>16800</v>
      </c>
      <c r="W166" s="97">
        <f t="shared" si="264"/>
        <v>28000</v>
      </c>
      <c r="X166" s="98">
        <f t="shared" si="173"/>
        <v>72700</v>
      </c>
      <c r="Y166" s="98">
        <f t="shared" si="27"/>
        <v>83900</v>
      </c>
      <c r="Z166" s="121">
        <v>0</v>
      </c>
      <c r="AA166" s="121">
        <f t="shared" si="6"/>
        <v>2762.6</v>
      </c>
      <c r="AB166" s="121">
        <f t="shared" si="7"/>
        <v>1454</v>
      </c>
      <c r="AC166" s="99">
        <f t="shared" si="8"/>
        <v>8390</v>
      </c>
      <c r="AD166" s="121">
        <f t="shared" si="9"/>
        <v>68483.399999999994</v>
      </c>
      <c r="AE166" s="99">
        <f t="shared" si="10"/>
        <v>75510</v>
      </c>
      <c r="AF166" s="121">
        <f t="shared" si="11"/>
        <v>684.83399999999995</v>
      </c>
      <c r="AG166" s="100">
        <f t="shared" si="28"/>
        <v>11898.565999999995</v>
      </c>
      <c r="AH166" s="101">
        <f t="shared" si="29"/>
        <v>18925.166000000001</v>
      </c>
      <c r="AI166" s="102">
        <f t="shared" ref="AI166:AJ166" si="266">AG166/X166</f>
        <v>0.16366665749656115</v>
      </c>
      <c r="AJ166" s="102">
        <f t="shared" si="266"/>
        <v>0.22556812872467225</v>
      </c>
      <c r="AK166" s="103"/>
      <c r="AL166" s="104"/>
      <c r="AM166" s="17"/>
      <c r="AN166" s="17"/>
      <c r="AO166" s="17"/>
      <c r="AP166" s="17"/>
      <c r="AQ166" s="17"/>
      <c r="AR166" s="17"/>
      <c r="AS166" s="17"/>
      <c r="AT166" s="17"/>
      <c r="AU166" s="17"/>
      <c r="AV166" s="17"/>
      <c r="AW166" s="22">
        <v>4622117899</v>
      </c>
    </row>
    <row r="167" spans="1:49" ht="13.2">
      <c r="A167" s="119">
        <f>HYPERLINK("https://smartstore.naver.com/brickstore2019/products/4623560286",AW:AW)</f>
        <v>4623560286</v>
      </c>
      <c r="B167" s="266"/>
      <c r="C167" s="117" t="s">
        <v>569</v>
      </c>
      <c r="D167" s="117"/>
      <c r="E167" s="117" t="s">
        <v>570</v>
      </c>
      <c r="F167" s="168"/>
      <c r="G167" s="124" t="str">
        <f>HYPERLINK("https://www.amazon.com/Backpack-Business-Backpacks-Charging-Resistant/dp/B07R3H75R7/ref=sr_1_2?keywords=tigernu+backpack&amp;qid=1565012059&amp;refinements=p_89%3ATIGERNU&amp;rnid=2528832011&amp;s=gateway&amp;sr=8-2","A")</f>
        <v>A</v>
      </c>
      <c r="H167" s="125"/>
      <c r="I167" s="125"/>
      <c r="J167" s="125">
        <v>31.42</v>
      </c>
      <c r="K167" s="82">
        <v>2.2999999999999998</v>
      </c>
      <c r="L167" s="82">
        <f t="shared" si="256"/>
        <v>36.799999999999997</v>
      </c>
      <c r="M167" s="82">
        <f t="shared" si="1"/>
        <v>1.0432615999999999</v>
      </c>
      <c r="N167" s="93">
        <v>0</v>
      </c>
      <c r="O167" s="93">
        <v>0</v>
      </c>
      <c r="P167" s="95">
        <f t="shared" si="2"/>
        <v>31.42</v>
      </c>
      <c r="Q167" s="96">
        <f>P167*C3</f>
        <v>39275</v>
      </c>
      <c r="R167" s="96">
        <v>0</v>
      </c>
      <c r="S167" s="97">
        <f t="shared" si="24"/>
        <v>39300</v>
      </c>
      <c r="T167" s="97">
        <f>ROUNDUP(HLOOKUP(ROUNDUP(K167,0),'배송비 조회'!A$10:U$22,7,0)*C$3,-2)</f>
        <v>13400</v>
      </c>
      <c r="U167" s="97">
        <v>0</v>
      </c>
      <c r="V167" s="97">
        <f t="shared" si="263"/>
        <v>15800</v>
      </c>
      <c r="W167" s="97">
        <f t="shared" si="264"/>
        <v>26400</v>
      </c>
      <c r="X167" s="98">
        <f t="shared" si="173"/>
        <v>68500</v>
      </c>
      <c r="Y167" s="98">
        <f t="shared" si="27"/>
        <v>79100</v>
      </c>
      <c r="Z167" s="121">
        <v>0</v>
      </c>
      <c r="AA167" s="121">
        <f t="shared" si="6"/>
        <v>2603</v>
      </c>
      <c r="AB167" s="121">
        <f t="shared" si="7"/>
        <v>1370</v>
      </c>
      <c r="AC167" s="99">
        <f t="shared" si="8"/>
        <v>7910</v>
      </c>
      <c r="AD167" s="121">
        <f t="shared" si="9"/>
        <v>64527</v>
      </c>
      <c r="AE167" s="99">
        <f t="shared" si="10"/>
        <v>71190</v>
      </c>
      <c r="AF167" s="121">
        <f t="shared" si="11"/>
        <v>645.27</v>
      </c>
      <c r="AG167" s="100">
        <f t="shared" si="28"/>
        <v>11206.73</v>
      </c>
      <c r="AH167" s="101">
        <f t="shared" si="29"/>
        <v>17869.73</v>
      </c>
      <c r="AI167" s="102">
        <f t="shared" ref="AI167:AJ167" si="267">AG167/X167</f>
        <v>0.16360189781021897</v>
      </c>
      <c r="AJ167" s="102">
        <f t="shared" si="267"/>
        <v>0.22591314791403286</v>
      </c>
      <c r="AK167" s="103"/>
      <c r="AL167" s="104"/>
      <c r="AM167" s="17"/>
      <c r="AN167" s="17"/>
      <c r="AO167" s="17"/>
      <c r="AP167" s="17"/>
      <c r="AQ167" s="17"/>
      <c r="AR167" s="17"/>
      <c r="AS167" s="17"/>
      <c r="AT167" s="17"/>
      <c r="AU167" s="17"/>
      <c r="AV167" s="17"/>
      <c r="AW167" s="22">
        <v>4623560286</v>
      </c>
    </row>
    <row r="168" spans="1:49" ht="13.2">
      <c r="A168" s="284">
        <f>HYPERLINK("https://smartstore.naver.com/brickstore2019/products/4623599110",AW:AW)</f>
        <v>4623599110</v>
      </c>
      <c r="B168" s="266"/>
      <c r="C168" s="117" t="s">
        <v>571</v>
      </c>
      <c r="D168" s="117"/>
      <c r="E168" s="117" t="s">
        <v>572</v>
      </c>
      <c r="F168" s="168"/>
      <c r="G168" s="218" t="s">
        <v>1293</v>
      </c>
      <c r="J168" s="283">
        <v>31</v>
      </c>
      <c r="K168" s="82">
        <v>2.2999999999999998</v>
      </c>
      <c r="L168" s="82">
        <f t="shared" si="256"/>
        <v>36.799999999999997</v>
      </c>
      <c r="M168" s="82">
        <f t="shared" si="1"/>
        <v>1.0432615999999999</v>
      </c>
      <c r="N168" s="93">
        <v>0</v>
      </c>
      <c r="O168" s="93">
        <v>0</v>
      </c>
      <c r="P168" s="95">
        <f t="shared" si="2"/>
        <v>31</v>
      </c>
      <c r="Q168" s="96">
        <f>P168*C3</f>
        <v>38750</v>
      </c>
      <c r="R168" s="96">
        <v>0</v>
      </c>
      <c r="S168" s="97">
        <f t="shared" si="24"/>
        <v>38800</v>
      </c>
      <c r="T168" s="97">
        <f>ROUNDUP(HLOOKUP(ROUNDUP(K168,0),'배송비 조회'!A$10:U$22,7,0)*C$3,-2)</f>
        <v>13400</v>
      </c>
      <c r="U168" s="97">
        <v>0</v>
      </c>
      <c r="V168" s="97">
        <f t="shared" si="263"/>
        <v>15700</v>
      </c>
      <c r="W168" s="97">
        <f t="shared" si="264"/>
        <v>26100</v>
      </c>
      <c r="X168" s="98">
        <f t="shared" si="173"/>
        <v>67900</v>
      </c>
      <c r="Y168" s="98">
        <f t="shared" si="27"/>
        <v>78300</v>
      </c>
      <c r="Z168" s="121">
        <v>0</v>
      </c>
      <c r="AA168" s="121">
        <f t="shared" si="6"/>
        <v>2580.1999999999998</v>
      </c>
      <c r="AB168" s="121">
        <f t="shared" si="7"/>
        <v>1358</v>
      </c>
      <c r="AC168" s="99">
        <f t="shared" si="8"/>
        <v>7830</v>
      </c>
      <c r="AD168" s="121">
        <f t="shared" si="9"/>
        <v>63961.8</v>
      </c>
      <c r="AE168" s="99">
        <f t="shared" si="10"/>
        <v>70470</v>
      </c>
      <c r="AF168" s="121">
        <f t="shared" si="11"/>
        <v>639.61800000000005</v>
      </c>
      <c r="AG168" s="100">
        <f t="shared" si="28"/>
        <v>11172.182000000004</v>
      </c>
      <c r="AH168" s="101">
        <f t="shared" si="29"/>
        <v>17680.382000000001</v>
      </c>
      <c r="AI168" s="102">
        <f t="shared" ref="AI168:AJ168" si="268">AG168/X168</f>
        <v>0.16453876288659799</v>
      </c>
      <c r="AJ168" s="102">
        <f t="shared" si="268"/>
        <v>0.22580309067688381</v>
      </c>
      <c r="AK168" s="103"/>
      <c r="AL168" s="104"/>
      <c r="AM168" s="17"/>
      <c r="AN168" s="17"/>
      <c r="AO168" s="17"/>
      <c r="AP168" s="17"/>
      <c r="AQ168" s="17"/>
      <c r="AR168" s="17"/>
      <c r="AS168" s="17"/>
      <c r="AT168" s="17"/>
      <c r="AU168" s="17"/>
      <c r="AV168" s="17"/>
      <c r="AW168" s="22">
        <v>4623599110</v>
      </c>
    </row>
    <row r="169" spans="1:49" ht="13.2">
      <c r="A169" s="303">
        <f>HYPERLINK("https://smartstore.naver.com/brickstore2019/products/4625150730",AW:AW)</f>
        <v>4625150730</v>
      </c>
      <c r="B169" s="266"/>
      <c r="C169" s="304" t="s">
        <v>573</v>
      </c>
      <c r="D169" s="117"/>
      <c r="E169" s="304" t="s">
        <v>574</v>
      </c>
      <c r="F169" s="123" t="s">
        <v>575</v>
      </c>
      <c r="G169" s="124" t="str">
        <f>HYPERLINK("https://www.amazon.com/WEKAPO-Inflatable-Hammock-Portable-Design-Ideal-Traveling/dp/B075CGZHPJ/ref=sr_1_21_sspa?keywords=air%2Bsofa&amp;qid=1565095522&amp;s=gateway&amp;sr=8-21-spons&amp;th=1","A")</f>
        <v>A</v>
      </c>
      <c r="H169" s="125"/>
      <c r="I169" s="125"/>
      <c r="J169" s="93">
        <v>36</v>
      </c>
      <c r="K169" s="82">
        <v>2.7</v>
      </c>
      <c r="L169" s="82">
        <f t="shared" si="256"/>
        <v>43.2</v>
      </c>
      <c r="M169" s="82">
        <f t="shared" si="1"/>
        <v>1.2246984000000001</v>
      </c>
      <c r="N169" s="93">
        <v>0</v>
      </c>
      <c r="O169" s="93">
        <v>0</v>
      </c>
      <c r="P169" s="95">
        <f t="shared" si="2"/>
        <v>36</v>
      </c>
      <c r="Q169" s="96">
        <f>P169*C3</f>
        <v>45000</v>
      </c>
      <c r="R169" s="96">
        <v>0</v>
      </c>
      <c r="S169" s="97">
        <f t="shared" si="24"/>
        <v>45000</v>
      </c>
      <c r="T169" s="97">
        <f>ROUNDUP(HLOOKUP(ROUNDUP(K169,0),'배송비 조회'!A$10:U$22,7,0)*C$3,-2)</f>
        <v>13400</v>
      </c>
      <c r="U169" s="97">
        <v>0</v>
      </c>
      <c r="V169" s="97">
        <f t="shared" si="263"/>
        <v>17500</v>
      </c>
      <c r="W169" s="97">
        <f t="shared" si="264"/>
        <v>29200</v>
      </c>
      <c r="X169" s="98">
        <f t="shared" si="173"/>
        <v>75900</v>
      </c>
      <c r="Y169" s="98">
        <f t="shared" si="27"/>
        <v>87600</v>
      </c>
      <c r="Z169" s="121">
        <v>0</v>
      </c>
      <c r="AA169" s="121">
        <f t="shared" si="6"/>
        <v>2884.2</v>
      </c>
      <c r="AB169" s="121">
        <f t="shared" si="7"/>
        <v>1518</v>
      </c>
      <c r="AC169" s="99">
        <f t="shared" si="8"/>
        <v>8760</v>
      </c>
      <c r="AD169" s="121">
        <f t="shared" si="9"/>
        <v>71497.8</v>
      </c>
      <c r="AE169" s="99">
        <f t="shared" si="10"/>
        <v>78840</v>
      </c>
      <c r="AF169" s="121">
        <f t="shared" si="11"/>
        <v>714.97800000000007</v>
      </c>
      <c r="AG169" s="100">
        <f t="shared" si="28"/>
        <v>12382.822000000004</v>
      </c>
      <c r="AH169" s="101">
        <f t="shared" si="29"/>
        <v>19725.021999999997</v>
      </c>
      <c r="AI169" s="102">
        <f t="shared" ref="AI169:AJ169" si="269">AG169/X169</f>
        <v>0.16314653491436104</v>
      </c>
      <c r="AJ169" s="102">
        <f t="shared" si="269"/>
        <v>0.22517148401826481</v>
      </c>
      <c r="AK169" s="103"/>
      <c r="AL169" s="104"/>
      <c r="AM169" s="17"/>
      <c r="AN169" s="17"/>
      <c r="AO169" s="17"/>
      <c r="AP169" s="17"/>
      <c r="AQ169" s="17"/>
      <c r="AR169" s="17"/>
      <c r="AS169" s="17"/>
      <c r="AT169" s="17"/>
      <c r="AU169" s="17"/>
      <c r="AV169" s="17"/>
      <c r="AW169" s="296">
        <v>4625150730</v>
      </c>
    </row>
    <row r="170" spans="1:49" ht="13.2">
      <c r="A170" s="302"/>
      <c r="B170" s="266"/>
      <c r="C170" s="302"/>
      <c r="D170" s="117"/>
      <c r="E170" s="302"/>
      <c r="F170" s="123" t="s">
        <v>576</v>
      </c>
      <c r="G170" s="124" t="str">
        <f>HYPERLINK("https://www.amazon.com/WEKAPO-Inflatable-Hammock-Portable-Design-Ideal-Traveling/dp/B075C98V8K/ref=sr_1_21_sspa?keywords=air%2Bsofa&amp;qid=1565095522&amp;s=gateway&amp;sr=8-21-spons&amp;th=1","A")</f>
        <v>A</v>
      </c>
      <c r="H170" s="125"/>
      <c r="I170" s="125"/>
      <c r="J170" s="93">
        <v>40</v>
      </c>
      <c r="K170" s="82">
        <v>2.7</v>
      </c>
      <c r="L170" s="82">
        <f t="shared" si="256"/>
        <v>43.2</v>
      </c>
      <c r="M170" s="82">
        <f t="shared" si="1"/>
        <v>1.2246984000000001</v>
      </c>
      <c r="N170" s="93">
        <v>0</v>
      </c>
      <c r="O170" s="93">
        <v>0</v>
      </c>
      <c r="P170" s="95">
        <f t="shared" si="2"/>
        <v>40</v>
      </c>
      <c r="Q170" s="96">
        <f>P170*C3</f>
        <v>50000</v>
      </c>
      <c r="R170" s="96">
        <v>0</v>
      </c>
      <c r="S170" s="97">
        <f t="shared" si="24"/>
        <v>50000</v>
      </c>
      <c r="T170" s="97">
        <f>ROUNDUP(HLOOKUP(ROUNDUP(K170,0),'배송비 조회'!A$10:U$22,7,0)*C$3,-2)</f>
        <v>13400</v>
      </c>
      <c r="U170" s="97">
        <v>0</v>
      </c>
      <c r="V170" s="97">
        <f t="shared" si="263"/>
        <v>19000</v>
      </c>
      <c r="W170" s="97">
        <f t="shared" si="264"/>
        <v>31700</v>
      </c>
      <c r="X170" s="98">
        <f t="shared" si="173"/>
        <v>82400</v>
      </c>
      <c r="Y170" s="98">
        <f t="shared" si="27"/>
        <v>95100</v>
      </c>
      <c r="Z170" s="121">
        <v>0</v>
      </c>
      <c r="AA170" s="121">
        <f t="shared" si="6"/>
        <v>3131.2</v>
      </c>
      <c r="AB170" s="121">
        <f t="shared" si="7"/>
        <v>1648</v>
      </c>
      <c r="AC170" s="99">
        <f t="shared" si="8"/>
        <v>9510</v>
      </c>
      <c r="AD170" s="121">
        <f t="shared" si="9"/>
        <v>77620.800000000003</v>
      </c>
      <c r="AE170" s="99">
        <f t="shared" si="10"/>
        <v>85590</v>
      </c>
      <c r="AF170" s="121">
        <f t="shared" si="11"/>
        <v>776.20800000000008</v>
      </c>
      <c r="AG170" s="100">
        <f t="shared" si="28"/>
        <v>13444.592000000004</v>
      </c>
      <c r="AH170" s="101">
        <f t="shared" si="29"/>
        <v>21413.792000000001</v>
      </c>
      <c r="AI170" s="102">
        <f t="shared" ref="AI170:AJ170" si="270">AG170/X170</f>
        <v>0.16316252427184472</v>
      </c>
      <c r="AJ170" s="102">
        <f t="shared" si="270"/>
        <v>0.22517131440588856</v>
      </c>
      <c r="AK170" s="103"/>
      <c r="AL170" s="104"/>
      <c r="AM170" s="17"/>
      <c r="AN170" s="17"/>
      <c r="AO170" s="17"/>
      <c r="AP170" s="17"/>
      <c r="AQ170" s="17"/>
      <c r="AR170" s="17"/>
      <c r="AS170" s="17"/>
      <c r="AT170" s="17"/>
      <c r="AU170" s="17"/>
      <c r="AV170" s="17"/>
      <c r="AW170" s="297"/>
    </row>
    <row r="171" spans="1:49" ht="13.2">
      <c r="A171" s="302"/>
      <c r="B171" s="266"/>
      <c r="C171" s="302"/>
      <c r="D171" s="117"/>
      <c r="E171" s="302"/>
      <c r="F171" s="123" t="s">
        <v>577</v>
      </c>
      <c r="G171" s="124" t="str">
        <f>HYPERLINK("https://www.amazon.com/WEKAPO-Inflatable-Hammock-Portable-Design-Ideal-Traveling/dp/B073PWF537/ref=sr_1_21_sspa?keywords=air%2Bsofa&amp;qid=1565095522&amp;s=gateway&amp;sr=8-21-spons&amp;th=1","A")</f>
        <v>A</v>
      </c>
      <c r="H171" s="125"/>
      <c r="I171" s="125"/>
      <c r="J171" s="93">
        <v>40</v>
      </c>
      <c r="K171" s="82">
        <v>2.7</v>
      </c>
      <c r="L171" s="82">
        <f t="shared" si="256"/>
        <v>43.2</v>
      </c>
      <c r="M171" s="82">
        <f t="shared" si="1"/>
        <v>1.2246984000000001</v>
      </c>
      <c r="N171" s="93">
        <v>0</v>
      </c>
      <c r="O171" s="93">
        <v>0</v>
      </c>
      <c r="P171" s="95">
        <f t="shared" si="2"/>
        <v>40</v>
      </c>
      <c r="Q171" s="96">
        <f>P171*C3</f>
        <v>50000</v>
      </c>
      <c r="R171" s="96">
        <v>0</v>
      </c>
      <c r="S171" s="97">
        <f t="shared" si="24"/>
        <v>50000</v>
      </c>
      <c r="T171" s="97">
        <f>ROUNDUP(HLOOKUP(ROUNDUP(K171,0),'배송비 조회'!A$10:U$22,7,0)*C$3,-2)</f>
        <v>13400</v>
      </c>
      <c r="U171" s="97">
        <v>0</v>
      </c>
      <c r="V171" s="97">
        <f t="shared" si="263"/>
        <v>19000</v>
      </c>
      <c r="W171" s="97">
        <f t="shared" si="264"/>
        <v>31700</v>
      </c>
      <c r="X171" s="98">
        <f t="shared" si="173"/>
        <v>82400</v>
      </c>
      <c r="Y171" s="98">
        <f t="shared" si="27"/>
        <v>95100</v>
      </c>
      <c r="Z171" s="121">
        <v>0</v>
      </c>
      <c r="AA171" s="121">
        <f t="shared" si="6"/>
        <v>3131.2</v>
      </c>
      <c r="AB171" s="121">
        <f t="shared" si="7"/>
        <v>1648</v>
      </c>
      <c r="AC171" s="99">
        <f t="shared" si="8"/>
        <v>9510</v>
      </c>
      <c r="AD171" s="121">
        <f t="shared" si="9"/>
        <v>77620.800000000003</v>
      </c>
      <c r="AE171" s="99">
        <f t="shared" si="10"/>
        <v>85590</v>
      </c>
      <c r="AF171" s="121">
        <f t="shared" si="11"/>
        <v>776.20800000000008</v>
      </c>
      <c r="AG171" s="100">
        <f t="shared" si="28"/>
        <v>13444.592000000004</v>
      </c>
      <c r="AH171" s="101">
        <f t="shared" si="29"/>
        <v>21413.792000000001</v>
      </c>
      <c r="AI171" s="102">
        <f t="shared" ref="AI171:AJ171" si="271">AG171/X171</f>
        <v>0.16316252427184472</v>
      </c>
      <c r="AJ171" s="102">
        <f t="shared" si="271"/>
        <v>0.22517131440588856</v>
      </c>
      <c r="AK171" s="103"/>
      <c r="AL171" s="104"/>
      <c r="AM171" s="17"/>
      <c r="AN171" s="17"/>
      <c r="AO171" s="17"/>
      <c r="AP171" s="17"/>
      <c r="AQ171" s="17"/>
      <c r="AR171" s="17"/>
      <c r="AS171" s="17"/>
      <c r="AT171" s="17"/>
      <c r="AU171" s="17"/>
      <c r="AV171" s="17"/>
      <c r="AW171" s="297"/>
    </row>
    <row r="172" spans="1:49" ht="13.2">
      <c r="A172" s="302"/>
      <c r="B172" s="266"/>
      <c r="C172" s="302"/>
      <c r="D172" s="117"/>
      <c r="E172" s="302"/>
      <c r="F172" s="123" t="s">
        <v>578</v>
      </c>
      <c r="G172" s="124" t="str">
        <f>HYPERLINK("https://www.amazon.com/WEKAPO-Inflatable-Hammock-Portable-Design-Ideal-Traveling/dp/B075CFXHSZ/ref=sr_1_21_sspa?keywords=air%2Bsofa&amp;qid=1565095522&amp;s=gateway&amp;sr=8-21-spons&amp;th=1","A")</f>
        <v>A</v>
      </c>
      <c r="H172" s="125"/>
      <c r="I172" s="125"/>
      <c r="J172" s="93">
        <v>40</v>
      </c>
      <c r="K172" s="82">
        <v>2.7</v>
      </c>
      <c r="L172" s="82">
        <f t="shared" si="256"/>
        <v>43.2</v>
      </c>
      <c r="M172" s="82">
        <f t="shared" si="1"/>
        <v>1.2246984000000001</v>
      </c>
      <c r="N172" s="93">
        <v>0</v>
      </c>
      <c r="O172" s="93">
        <v>0</v>
      </c>
      <c r="P172" s="95">
        <f t="shared" si="2"/>
        <v>40</v>
      </c>
      <c r="Q172" s="96">
        <f>P172*C3</f>
        <v>50000</v>
      </c>
      <c r="R172" s="96">
        <v>0</v>
      </c>
      <c r="S172" s="97">
        <f t="shared" si="24"/>
        <v>50000</v>
      </c>
      <c r="T172" s="97">
        <f>ROUNDUP(HLOOKUP(ROUNDUP(K172,0),'배송비 조회'!A$10:U$22,7,0)*C$3,-2)</f>
        <v>13400</v>
      </c>
      <c r="U172" s="97">
        <v>0</v>
      </c>
      <c r="V172" s="97">
        <f t="shared" si="263"/>
        <v>19000</v>
      </c>
      <c r="W172" s="97">
        <f t="shared" si="264"/>
        <v>31700</v>
      </c>
      <c r="X172" s="98">
        <f t="shared" si="173"/>
        <v>82400</v>
      </c>
      <c r="Y172" s="98">
        <f t="shared" si="27"/>
        <v>95100</v>
      </c>
      <c r="Z172" s="121">
        <v>0</v>
      </c>
      <c r="AA172" s="121">
        <f t="shared" si="6"/>
        <v>3131.2</v>
      </c>
      <c r="AB172" s="121">
        <f t="shared" si="7"/>
        <v>1648</v>
      </c>
      <c r="AC172" s="99">
        <f t="shared" si="8"/>
        <v>9510</v>
      </c>
      <c r="AD172" s="121">
        <f t="shared" si="9"/>
        <v>77620.800000000003</v>
      </c>
      <c r="AE172" s="99">
        <f t="shared" si="10"/>
        <v>85590</v>
      </c>
      <c r="AF172" s="121">
        <f t="shared" si="11"/>
        <v>776.20800000000008</v>
      </c>
      <c r="AG172" s="100">
        <f t="shared" si="28"/>
        <v>13444.592000000004</v>
      </c>
      <c r="AH172" s="101">
        <f t="shared" si="29"/>
        <v>21413.792000000001</v>
      </c>
      <c r="AI172" s="102">
        <f t="shared" ref="AI172:AJ172" si="272">AG172/X172</f>
        <v>0.16316252427184472</v>
      </c>
      <c r="AJ172" s="102">
        <f t="shared" si="272"/>
        <v>0.22517131440588856</v>
      </c>
      <c r="AK172" s="103"/>
      <c r="AL172" s="104"/>
      <c r="AM172" s="17"/>
      <c r="AN172" s="17"/>
      <c r="AO172" s="17"/>
      <c r="AP172" s="17"/>
      <c r="AQ172" s="17"/>
      <c r="AR172" s="17"/>
      <c r="AS172" s="17"/>
      <c r="AT172" s="17"/>
      <c r="AU172" s="17"/>
      <c r="AV172" s="17"/>
      <c r="AW172" s="297"/>
    </row>
    <row r="173" spans="1:49" ht="13.2">
      <c r="A173" s="302"/>
      <c r="B173" s="266"/>
      <c r="C173" s="302"/>
      <c r="D173" s="117"/>
      <c r="E173" s="302"/>
      <c r="F173" s="123" t="s">
        <v>579</v>
      </c>
      <c r="G173" s="124" t="str">
        <f>HYPERLINK("https://www.amazon.com/WEKAPO-Inflatable-Hammock-Portable-Design-Ideal-Traveling/dp/B073PVXSZS/ref=sr_1_21_sspa?keywords=air%2Bsofa&amp;qid=1565095522&amp;s=gateway&amp;sr=8-21-spons&amp;th=1","A")</f>
        <v>A</v>
      </c>
      <c r="H173" s="125"/>
      <c r="I173" s="125"/>
      <c r="J173" s="93">
        <v>40</v>
      </c>
      <c r="K173" s="82">
        <v>2.7</v>
      </c>
      <c r="L173" s="82">
        <f t="shared" si="256"/>
        <v>43.2</v>
      </c>
      <c r="M173" s="82">
        <f t="shared" si="1"/>
        <v>1.2246984000000001</v>
      </c>
      <c r="N173" s="93">
        <v>0</v>
      </c>
      <c r="O173" s="93">
        <v>0</v>
      </c>
      <c r="P173" s="95">
        <f t="shared" si="2"/>
        <v>40</v>
      </c>
      <c r="Q173" s="96">
        <f>P173*C3</f>
        <v>50000</v>
      </c>
      <c r="R173" s="96">
        <v>0</v>
      </c>
      <c r="S173" s="97">
        <f t="shared" si="24"/>
        <v>50000</v>
      </c>
      <c r="T173" s="97">
        <f>ROUNDUP(HLOOKUP(ROUNDUP(K173,0),'배송비 조회'!A$10:U$22,7,0)*C$3,-2)</f>
        <v>13400</v>
      </c>
      <c r="U173" s="97">
        <v>0</v>
      </c>
      <c r="V173" s="97">
        <f t="shared" si="263"/>
        <v>19000</v>
      </c>
      <c r="W173" s="97">
        <f t="shared" si="264"/>
        <v>31700</v>
      </c>
      <c r="X173" s="98">
        <f t="shared" si="173"/>
        <v>82400</v>
      </c>
      <c r="Y173" s="98">
        <f t="shared" si="27"/>
        <v>95100</v>
      </c>
      <c r="Z173" s="121">
        <v>0</v>
      </c>
      <c r="AA173" s="121">
        <f t="shared" si="6"/>
        <v>3131.2</v>
      </c>
      <c r="AB173" s="121">
        <f t="shared" si="7"/>
        <v>1648</v>
      </c>
      <c r="AC173" s="99">
        <f t="shared" si="8"/>
        <v>9510</v>
      </c>
      <c r="AD173" s="121">
        <f t="shared" si="9"/>
        <v>77620.800000000003</v>
      </c>
      <c r="AE173" s="99">
        <f t="shared" si="10"/>
        <v>85590</v>
      </c>
      <c r="AF173" s="121">
        <f t="shared" si="11"/>
        <v>776.20800000000008</v>
      </c>
      <c r="AG173" s="100">
        <f t="shared" si="28"/>
        <v>13444.592000000004</v>
      </c>
      <c r="AH173" s="101">
        <f t="shared" si="29"/>
        <v>21413.792000000001</v>
      </c>
      <c r="AI173" s="102">
        <f t="shared" ref="AI173:AJ173" si="273">AG173/X173</f>
        <v>0.16316252427184472</v>
      </c>
      <c r="AJ173" s="102">
        <f t="shared" si="273"/>
        <v>0.22517131440588856</v>
      </c>
      <c r="AK173" s="103"/>
      <c r="AL173" s="104"/>
      <c r="AM173" s="17"/>
      <c r="AN173" s="17"/>
      <c r="AO173" s="17"/>
      <c r="AP173" s="17"/>
      <c r="AQ173" s="17"/>
      <c r="AR173" s="17"/>
      <c r="AS173" s="17"/>
      <c r="AT173" s="17"/>
      <c r="AU173" s="17"/>
      <c r="AV173" s="17"/>
      <c r="AW173" s="297"/>
    </row>
    <row r="174" spans="1:49" ht="13.2">
      <c r="A174" s="302"/>
      <c r="B174" s="266"/>
      <c r="C174" s="302"/>
      <c r="D174" s="117"/>
      <c r="E174" s="302"/>
      <c r="F174" s="123" t="s">
        <v>580</v>
      </c>
      <c r="G174" s="124" t="str">
        <f>HYPERLINK("https://www.amazon.com/WEKAPO-Inflatable-Hammock-Portable-Design-Ideal-Traveling/dp/B073PVYF7C/ref=sr_1_21_sspa?keywords=air%2Bsofa&amp;qid=1565095522&amp;s=gateway&amp;sr=8-21-spons&amp;th=1","A")</f>
        <v>A</v>
      </c>
      <c r="H174" s="125"/>
      <c r="I174" s="125"/>
      <c r="J174" s="93">
        <v>40</v>
      </c>
      <c r="K174" s="82">
        <v>2.7</v>
      </c>
      <c r="L174" s="82">
        <f t="shared" si="256"/>
        <v>43.2</v>
      </c>
      <c r="M174" s="82">
        <f t="shared" si="1"/>
        <v>1.2246984000000001</v>
      </c>
      <c r="N174" s="93">
        <v>0</v>
      </c>
      <c r="O174" s="93">
        <v>0</v>
      </c>
      <c r="P174" s="95">
        <f t="shared" si="2"/>
        <v>40</v>
      </c>
      <c r="Q174" s="96">
        <f>P174*C3</f>
        <v>50000</v>
      </c>
      <c r="R174" s="96">
        <v>0</v>
      </c>
      <c r="S174" s="97">
        <f t="shared" si="24"/>
        <v>50000</v>
      </c>
      <c r="T174" s="97">
        <f>ROUNDUP(HLOOKUP(ROUNDUP(K174,0),'배송비 조회'!A$10:U$22,7,0)*C$3,-2)</f>
        <v>13400</v>
      </c>
      <c r="U174" s="97">
        <v>0</v>
      </c>
      <c r="V174" s="97">
        <f t="shared" si="263"/>
        <v>19000</v>
      </c>
      <c r="W174" s="97">
        <f t="shared" si="264"/>
        <v>31700</v>
      </c>
      <c r="X174" s="98">
        <f t="shared" si="173"/>
        <v>82400</v>
      </c>
      <c r="Y174" s="98">
        <f t="shared" si="27"/>
        <v>95100</v>
      </c>
      <c r="Z174" s="121">
        <v>0</v>
      </c>
      <c r="AA174" s="121">
        <f t="shared" si="6"/>
        <v>3131.2</v>
      </c>
      <c r="AB174" s="121">
        <f t="shared" si="7"/>
        <v>1648</v>
      </c>
      <c r="AC174" s="99">
        <f t="shared" si="8"/>
        <v>9510</v>
      </c>
      <c r="AD174" s="121">
        <f t="shared" si="9"/>
        <v>77620.800000000003</v>
      </c>
      <c r="AE174" s="99">
        <f t="shared" si="10"/>
        <v>85590</v>
      </c>
      <c r="AF174" s="121">
        <f t="shared" si="11"/>
        <v>776.20800000000008</v>
      </c>
      <c r="AG174" s="100">
        <f t="shared" si="28"/>
        <v>13444.592000000004</v>
      </c>
      <c r="AH174" s="101">
        <f t="shared" si="29"/>
        <v>21413.792000000001</v>
      </c>
      <c r="AI174" s="102">
        <f t="shared" ref="AI174:AJ174" si="274">AG174/X174</f>
        <v>0.16316252427184472</v>
      </c>
      <c r="AJ174" s="102">
        <f t="shared" si="274"/>
        <v>0.22517131440588856</v>
      </c>
      <c r="AK174" s="103"/>
      <c r="AL174" s="104"/>
      <c r="AM174" s="17"/>
      <c r="AN174" s="17"/>
      <c r="AO174" s="17"/>
      <c r="AP174" s="17"/>
      <c r="AQ174" s="17"/>
      <c r="AR174" s="17"/>
      <c r="AS174" s="17"/>
      <c r="AT174" s="17"/>
      <c r="AU174" s="17"/>
      <c r="AV174" s="17"/>
      <c r="AW174" s="297"/>
    </row>
    <row r="175" spans="1:49" ht="13.2">
      <c r="A175" s="119">
        <f>HYPERLINK("https://smartstore.naver.com/brickstore2019/products/4625128891",AW:AW)</f>
        <v>4625128891</v>
      </c>
      <c r="B175" s="266"/>
      <c r="C175" s="117" t="s">
        <v>581</v>
      </c>
      <c r="D175" s="117"/>
      <c r="E175" s="117" t="s">
        <v>582</v>
      </c>
      <c r="F175" s="168"/>
      <c r="G175" s="124" t="str">
        <f>HYPERLINK("https://www.amazon.com/Purgo-Adapter-Dongle-Surface-USB-C/dp/B07QDPFLJ1/ref=sr_1_1_sspa?crid=2WRTPTOKFYHFT&amp;keywords=surface+go+accessories&amp;qid=1565099369&amp;s=gateway&amp;sprefix=surfacego+ac%2Caps%2C-1&amp;sr=8-1-spons&amp;psc=1#customerReviews","A")</f>
        <v>A</v>
      </c>
      <c r="H175" s="125"/>
      <c r="I175" s="125"/>
      <c r="J175" s="93">
        <v>40</v>
      </c>
      <c r="K175" s="82">
        <f t="shared" ref="K175:K176" si="275">IF(L175&gt;0,L175*0.0625,)</f>
        <v>0.1</v>
      </c>
      <c r="L175" s="82">
        <v>1.6</v>
      </c>
      <c r="M175" s="82">
        <f t="shared" si="1"/>
        <v>4.5359200000000002E-2</v>
      </c>
      <c r="N175" s="93">
        <v>0</v>
      </c>
      <c r="O175" s="93">
        <v>0</v>
      </c>
      <c r="P175" s="95">
        <f t="shared" si="2"/>
        <v>40</v>
      </c>
      <c r="Q175" s="96">
        <f>P175*C3</f>
        <v>50000</v>
      </c>
      <c r="R175" s="96">
        <v>0</v>
      </c>
      <c r="S175" s="97">
        <f t="shared" si="24"/>
        <v>50000</v>
      </c>
      <c r="T175" s="97">
        <f>ROUNDUP(HLOOKUP(ROUNDUP(K175,0),'배송비 조회'!A$10:U$22,7,0)*C$3,-2)</f>
        <v>9000</v>
      </c>
      <c r="U175" s="97">
        <v>0</v>
      </c>
      <c r="V175" s="97">
        <f t="shared" si="263"/>
        <v>17700</v>
      </c>
      <c r="W175" s="97">
        <f t="shared" si="264"/>
        <v>29500</v>
      </c>
      <c r="X175" s="98">
        <f t="shared" si="173"/>
        <v>76700</v>
      </c>
      <c r="Y175" s="98">
        <f t="shared" si="27"/>
        <v>88500</v>
      </c>
      <c r="Z175" s="121">
        <v>0</v>
      </c>
      <c r="AA175" s="121">
        <f t="shared" si="6"/>
        <v>2914.6</v>
      </c>
      <c r="AB175" s="121">
        <f t="shared" si="7"/>
        <v>1534</v>
      </c>
      <c r="AC175" s="99">
        <f t="shared" si="8"/>
        <v>8850</v>
      </c>
      <c r="AD175" s="121">
        <f t="shared" si="9"/>
        <v>72251.399999999994</v>
      </c>
      <c r="AE175" s="99">
        <f t="shared" si="10"/>
        <v>79650</v>
      </c>
      <c r="AF175" s="121">
        <f t="shared" si="11"/>
        <v>722.51400000000001</v>
      </c>
      <c r="AG175" s="100">
        <f t="shared" si="28"/>
        <v>12528.885999999995</v>
      </c>
      <c r="AH175" s="101">
        <f t="shared" si="29"/>
        <v>19927.486000000001</v>
      </c>
      <c r="AI175" s="102">
        <f t="shared" ref="AI175:AJ175" si="276">AG175/X175</f>
        <v>0.16334923076923069</v>
      </c>
      <c r="AJ175" s="102">
        <f t="shared" si="276"/>
        <v>0.22516933333333333</v>
      </c>
      <c r="AK175" s="103"/>
      <c r="AL175" s="104"/>
      <c r="AM175" s="17"/>
      <c r="AN175" s="17"/>
      <c r="AO175" s="17"/>
      <c r="AP175" s="17"/>
      <c r="AQ175" s="17"/>
      <c r="AR175" s="17"/>
      <c r="AS175" s="17"/>
      <c r="AT175" s="17"/>
      <c r="AU175" s="17"/>
      <c r="AV175" s="17"/>
      <c r="AW175" s="22">
        <v>4625128891</v>
      </c>
    </row>
    <row r="176" spans="1:49" ht="13.2">
      <c r="A176" s="119">
        <f>HYPERLINK("https://smartstore.naver.com/brickstore2019/products/4625145100",AW:AW)</f>
        <v>4625145100</v>
      </c>
      <c r="B176" s="266"/>
      <c r="C176" s="117" t="s">
        <v>583</v>
      </c>
      <c r="D176" s="117"/>
      <c r="E176" s="117" t="s">
        <v>584</v>
      </c>
      <c r="F176" s="168"/>
      <c r="G176" s="124" t="str">
        <f>HYPERLINK("https://www.amazon.com/Surface-Reader-Build-Adapter-Microsoft/dp/B07CYMPV5H/ref=sr_1_4?keywords=Opluz+surface+pro&amp;qid=1565100964&amp;s=gateway&amp;sr=8-4","A")</f>
        <v>A</v>
      </c>
      <c r="H176" s="125"/>
      <c r="I176" s="125"/>
      <c r="J176" s="93">
        <v>25</v>
      </c>
      <c r="K176" s="82">
        <f t="shared" si="275"/>
        <v>0.1</v>
      </c>
      <c r="L176" s="82">
        <v>1.6</v>
      </c>
      <c r="M176" s="82">
        <f t="shared" si="1"/>
        <v>4.5359200000000002E-2</v>
      </c>
      <c r="N176" s="93">
        <v>0</v>
      </c>
      <c r="O176" s="93">
        <v>0</v>
      </c>
      <c r="P176" s="95">
        <f t="shared" si="2"/>
        <v>25</v>
      </c>
      <c r="Q176" s="96">
        <f>P176*C3</f>
        <v>31250</v>
      </c>
      <c r="R176" s="96">
        <v>0</v>
      </c>
      <c r="S176" s="97">
        <f t="shared" si="24"/>
        <v>31300</v>
      </c>
      <c r="T176" s="97">
        <f>ROUNDUP(HLOOKUP(ROUNDUP(K176,0),'배송비 조회'!A$10:U$22,7,0)*C$3,-2)</f>
        <v>9000</v>
      </c>
      <c r="U176" s="97">
        <v>0</v>
      </c>
      <c r="V176" s="97">
        <f>ROUND(IF(R176&gt;0,0,(S176+T176)*0.4),-2)</f>
        <v>16100</v>
      </c>
      <c r="W176" s="97">
        <f t="shared" si="264"/>
        <v>20200</v>
      </c>
      <c r="X176" s="98">
        <f t="shared" si="173"/>
        <v>56400</v>
      </c>
      <c r="Y176" s="98">
        <f t="shared" si="27"/>
        <v>60500</v>
      </c>
      <c r="Z176" s="121">
        <v>0</v>
      </c>
      <c r="AA176" s="121">
        <f t="shared" si="6"/>
        <v>2143.1999999999998</v>
      </c>
      <c r="AB176" s="121">
        <f t="shared" si="7"/>
        <v>1128</v>
      </c>
      <c r="AC176" s="99">
        <f t="shared" si="8"/>
        <v>6050</v>
      </c>
      <c r="AD176" s="121">
        <f t="shared" si="9"/>
        <v>53128.800000000003</v>
      </c>
      <c r="AE176" s="99">
        <f t="shared" si="10"/>
        <v>54450</v>
      </c>
      <c r="AF176" s="121">
        <f t="shared" si="11"/>
        <v>531.28800000000001</v>
      </c>
      <c r="AG176" s="100">
        <f t="shared" si="28"/>
        <v>12347.512000000002</v>
      </c>
      <c r="AH176" s="101">
        <f t="shared" si="29"/>
        <v>13668.712</v>
      </c>
      <c r="AI176" s="102">
        <f t="shared" ref="AI176:AJ176" si="277">AG176/X176</f>
        <v>0.21892751773049648</v>
      </c>
      <c r="AJ176" s="102">
        <f t="shared" si="277"/>
        <v>0.22592912396694215</v>
      </c>
      <c r="AK176" s="103"/>
      <c r="AL176" s="104"/>
      <c r="AM176" s="17"/>
      <c r="AN176" s="17"/>
      <c r="AO176" s="17"/>
      <c r="AP176" s="17"/>
      <c r="AQ176" s="17"/>
      <c r="AR176" s="17"/>
      <c r="AS176" s="17"/>
      <c r="AT176" s="17"/>
      <c r="AU176" s="17"/>
      <c r="AV176" s="17"/>
      <c r="AW176" s="22">
        <v>4625145100</v>
      </c>
    </row>
    <row r="177" spans="1:49" ht="13.2">
      <c r="A177" s="119">
        <f>HYPERLINK("https://smartstore.naver.com/brickstore2019/products/4626658498",AW:AW)</f>
        <v>4626658498</v>
      </c>
      <c r="B177" s="266"/>
      <c r="C177" s="117" t="s">
        <v>585</v>
      </c>
      <c r="D177" s="117"/>
      <c r="E177" s="117" t="s">
        <v>586</v>
      </c>
      <c r="F177" s="168"/>
      <c r="G177" s="124" t="str">
        <f>HYPERLINK("https://www.amazon.com/Delkin-DDMNT-TRIPLE-Gecko-Three-Arm-Suction/dp/B00A86MMY8/ref=sr_1_3?keywords=%5BDelkin%5DDelkin+DDMNT-TRIPLE+Fat+Gecko+Three-Arm+Suction+Mount+%28Black%29&amp;qid=1565188010&amp;s=gateway&amp;sr=8-3","A")</f>
        <v>A</v>
      </c>
      <c r="H177" s="125"/>
      <c r="I177" s="125"/>
      <c r="J177" s="93">
        <v>69.34</v>
      </c>
      <c r="K177" s="82">
        <v>1.8</v>
      </c>
      <c r="L177" s="82">
        <f>IF(K177&gt;0,K177*16,)</f>
        <v>28.8</v>
      </c>
      <c r="M177" s="82">
        <f t="shared" si="1"/>
        <v>0.81646560000000001</v>
      </c>
      <c r="N177" s="93">
        <v>0</v>
      </c>
      <c r="O177" s="93">
        <v>0</v>
      </c>
      <c r="P177" s="95">
        <f t="shared" si="2"/>
        <v>69.34</v>
      </c>
      <c r="Q177" s="96">
        <f>P177*C3</f>
        <v>86675</v>
      </c>
      <c r="R177" s="96">
        <v>0</v>
      </c>
      <c r="S177" s="97">
        <f t="shared" si="24"/>
        <v>86700</v>
      </c>
      <c r="T177" s="97">
        <f>ROUNDUP(HLOOKUP(ROUNDUP(K177,0),'배송비 조회'!A$10:U$22,7,0)*C$3,-2)</f>
        <v>11200</v>
      </c>
      <c r="U177" s="97">
        <v>0</v>
      </c>
      <c r="V177" s="97">
        <f>ROUND(IF(R177&gt;0,0,(S177+T177)*0.3),-2)</f>
        <v>29400</v>
      </c>
      <c r="W177" s="97">
        <f t="shared" si="264"/>
        <v>49000</v>
      </c>
      <c r="X177" s="98">
        <f t="shared" si="173"/>
        <v>127300</v>
      </c>
      <c r="Y177" s="98">
        <f t="shared" si="27"/>
        <v>146900</v>
      </c>
      <c r="Z177" s="121">
        <v>0</v>
      </c>
      <c r="AA177" s="121">
        <f t="shared" si="6"/>
        <v>4837.3999999999996</v>
      </c>
      <c r="AB177" s="121">
        <f t="shared" si="7"/>
        <v>2546</v>
      </c>
      <c r="AC177" s="99">
        <f t="shared" si="8"/>
        <v>14690</v>
      </c>
      <c r="AD177" s="121">
        <f t="shared" si="9"/>
        <v>119916.6</v>
      </c>
      <c r="AE177" s="99">
        <f t="shared" si="10"/>
        <v>132210</v>
      </c>
      <c r="AF177" s="121">
        <f t="shared" si="11"/>
        <v>1199.1660000000002</v>
      </c>
      <c r="AG177" s="100">
        <f t="shared" si="28"/>
        <v>20842.434000000005</v>
      </c>
      <c r="AH177" s="101">
        <f t="shared" si="29"/>
        <v>33135.834000000003</v>
      </c>
      <c r="AI177" s="102">
        <f t="shared" ref="AI177:AJ177" si="278">AG177/X177</f>
        <v>0.16372689709348001</v>
      </c>
      <c r="AJ177" s="102">
        <f t="shared" si="278"/>
        <v>0.22556728386657593</v>
      </c>
      <c r="AK177" s="103"/>
      <c r="AL177" s="104"/>
      <c r="AM177" s="17"/>
      <c r="AN177" s="17"/>
      <c r="AO177" s="17"/>
      <c r="AP177" s="17"/>
      <c r="AQ177" s="17"/>
      <c r="AR177" s="17"/>
      <c r="AS177" s="17"/>
      <c r="AT177" s="17"/>
      <c r="AU177" s="17"/>
      <c r="AV177" s="17"/>
      <c r="AW177" s="22">
        <v>4626658498</v>
      </c>
    </row>
    <row r="178" spans="1:49" ht="13.2">
      <c r="A178" s="119">
        <f>HYPERLINK("https://smartstore.naver.com/brickstore2019/products/4627871862",AW:AW)</f>
        <v>4627871862</v>
      </c>
      <c r="B178" s="266"/>
      <c r="C178" s="117" t="s">
        <v>587</v>
      </c>
      <c r="D178" s="117"/>
      <c r="E178" s="117" t="s">
        <v>588</v>
      </c>
      <c r="F178" s="168"/>
      <c r="G178" s="124" t="str">
        <f>HYPERLINK("https://www.amazon.com/MoKo-Microsoft-Protective-Compatible-Keyboard/dp/B07JR8NMQ4/ref=sr_1_3?keywords=surface+go+case&amp;qid=1565273645&amp;s=gateway&amp;sr=8-3","A")</f>
        <v>A</v>
      </c>
      <c r="H178" s="125"/>
      <c r="I178" s="125"/>
      <c r="J178" s="125">
        <v>26</v>
      </c>
      <c r="K178" s="82">
        <f t="shared" ref="K178:K182" si="279">IF(L178&gt;0,L178*0.0625,)</f>
        <v>0.45</v>
      </c>
      <c r="L178" s="82">
        <v>7.2</v>
      </c>
      <c r="M178" s="82">
        <f t="shared" si="1"/>
        <v>0.2041164</v>
      </c>
      <c r="N178" s="93">
        <v>0</v>
      </c>
      <c r="O178" s="93">
        <v>0</v>
      </c>
      <c r="P178" s="95">
        <f t="shared" si="2"/>
        <v>26</v>
      </c>
      <c r="Q178" s="96">
        <f>P178*C3</f>
        <v>32500</v>
      </c>
      <c r="R178" s="96">
        <v>0</v>
      </c>
      <c r="S178" s="97">
        <f t="shared" si="24"/>
        <v>32500</v>
      </c>
      <c r="T178" s="97">
        <f>ROUNDUP(HLOOKUP(ROUNDUP(K178,0),'배송비 조회'!A$10:U$22,7,0)*C$3,-2)</f>
        <v>9000</v>
      </c>
      <c r="U178" s="97">
        <v>0</v>
      </c>
      <c r="V178" s="97">
        <f>ROUND(IF(R178&gt;0,0,(S178+T178)*0.4),-2)</f>
        <v>16600</v>
      </c>
      <c r="W178" s="97">
        <f t="shared" si="264"/>
        <v>20800</v>
      </c>
      <c r="X178" s="98">
        <f t="shared" si="173"/>
        <v>58100</v>
      </c>
      <c r="Y178" s="98">
        <f t="shared" si="27"/>
        <v>62300</v>
      </c>
      <c r="Z178" s="121"/>
      <c r="AA178" s="121">
        <f t="shared" si="6"/>
        <v>2207.7999999999997</v>
      </c>
      <c r="AB178" s="121">
        <f t="shared" si="7"/>
        <v>1162</v>
      </c>
      <c r="AC178" s="99">
        <f t="shared" si="8"/>
        <v>6230</v>
      </c>
      <c r="AD178" s="121">
        <f t="shared" si="9"/>
        <v>54730.2</v>
      </c>
      <c r="AE178" s="99">
        <f t="shared" si="10"/>
        <v>56070</v>
      </c>
      <c r="AF178" s="121">
        <f t="shared" si="11"/>
        <v>547.30200000000002</v>
      </c>
      <c r="AG178" s="100">
        <f t="shared" si="28"/>
        <v>12682.897999999997</v>
      </c>
      <c r="AH178" s="101">
        <f t="shared" si="29"/>
        <v>14022.698</v>
      </c>
      <c r="AI178" s="102">
        <f t="shared" ref="AI178:AJ178" si="280">AG178/X178</f>
        <v>0.21829428571428566</v>
      </c>
      <c r="AJ178" s="102">
        <f t="shared" si="280"/>
        <v>0.22508343499197433</v>
      </c>
      <c r="AK178" s="103"/>
      <c r="AL178" s="104"/>
      <c r="AM178" s="17"/>
      <c r="AN178" s="17"/>
      <c r="AO178" s="17"/>
      <c r="AP178" s="17"/>
      <c r="AQ178" s="17"/>
      <c r="AR178" s="17"/>
      <c r="AS178" s="17"/>
      <c r="AT178" s="17"/>
      <c r="AU178" s="17"/>
      <c r="AV178" s="17"/>
      <c r="AW178" s="22">
        <v>4627871862</v>
      </c>
    </row>
    <row r="179" spans="1:49" ht="13.2">
      <c r="A179" s="119">
        <f>HYPERLINK("https://smartstore.naver.com/brickstore2019/products/4629745633",AW:AW)</f>
        <v>4629745633</v>
      </c>
      <c r="B179" s="266"/>
      <c r="C179" s="117" t="s">
        <v>589</v>
      </c>
      <c r="D179" s="117"/>
      <c r="E179" s="117" t="s">
        <v>590</v>
      </c>
      <c r="F179" s="168"/>
      <c r="G179" s="124" t="str">
        <f>HYPERLINK("https://www.amazon.com/Microsoft-i-Blason-Protective-Compatible-Keyboard/dp/B07L3MFZ2Q/ref=sr_1_11?keywords=surface+go+case&amp;qid=1565415024&amp;s=gateway&amp;sr=8-11#customerReviews","A")</f>
        <v>A</v>
      </c>
      <c r="H179" s="125"/>
      <c r="I179" s="125"/>
      <c r="J179" s="125">
        <v>19.989999999999998</v>
      </c>
      <c r="K179" s="82">
        <f t="shared" si="279"/>
        <v>0.51249999999999996</v>
      </c>
      <c r="L179" s="82">
        <v>8.1999999999999993</v>
      </c>
      <c r="M179" s="82">
        <f t="shared" si="1"/>
        <v>0.23246589999999998</v>
      </c>
      <c r="N179" s="93">
        <v>0</v>
      </c>
      <c r="O179" s="93">
        <v>0</v>
      </c>
      <c r="P179" s="95">
        <f t="shared" si="2"/>
        <v>19.989999999999998</v>
      </c>
      <c r="Q179" s="96">
        <f>P179*C3</f>
        <v>24987.499999999996</v>
      </c>
      <c r="R179" s="96">
        <v>0</v>
      </c>
      <c r="S179" s="97">
        <f t="shared" si="24"/>
        <v>25000</v>
      </c>
      <c r="T179" s="97">
        <f>ROUNDUP(HLOOKUP(ROUNDUP(K179,0),'배송비 조회'!A$10:U$22,7,0)*C$3,-2)</f>
        <v>9000</v>
      </c>
      <c r="U179" s="97">
        <v>0</v>
      </c>
      <c r="V179" s="97">
        <f>ROUND(IF(R179&gt;0,0,(S179+T179)*0.5),-2)</f>
        <v>17000</v>
      </c>
      <c r="W179" s="97">
        <f t="shared" si="264"/>
        <v>17000</v>
      </c>
      <c r="X179" s="98">
        <f t="shared" si="173"/>
        <v>51000</v>
      </c>
      <c r="Y179" s="98">
        <f t="shared" si="27"/>
        <v>51000</v>
      </c>
      <c r="Z179" s="121">
        <v>0</v>
      </c>
      <c r="AA179" s="121">
        <f t="shared" si="6"/>
        <v>1938</v>
      </c>
      <c r="AB179" s="121">
        <f t="shared" si="7"/>
        <v>1020</v>
      </c>
      <c r="AC179" s="99">
        <f t="shared" si="8"/>
        <v>5100</v>
      </c>
      <c r="AD179" s="121">
        <f t="shared" si="9"/>
        <v>48042</v>
      </c>
      <c r="AE179" s="99">
        <f t="shared" si="10"/>
        <v>45900</v>
      </c>
      <c r="AF179" s="121">
        <f t="shared" si="11"/>
        <v>480.42</v>
      </c>
      <c r="AG179" s="100">
        <f t="shared" si="28"/>
        <v>13574.080000000005</v>
      </c>
      <c r="AH179" s="101">
        <f t="shared" si="29"/>
        <v>11432.080000000005</v>
      </c>
      <c r="AI179" s="102">
        <f t="shared" ref="AI179:AJ179" si="281">AG179/X179</f>
        <v>0.26615843137254913</v>
      </c>
      <c r="AJ179" s="102">
        <f t="shared" si="281"/>
        <v>0.22415843137254912</v>
      </c>
      <c r="AK179" s="103"/>
      <c r="AL179" s="104"/>
      <c r="AM179" s="17"/>
      <c r="AN179" s="17"/>
      <c r="AO179" s="17"/>
      <c r="AP179" s="17"/>
      <c r="AQ179" s="17"/>
      <c r="AR179" s="17"/>
      <c r="AS179" s="17"/>
      <c r="AT179" s="17"/>
      <c r="AU179" s="17"/>
      <c r="AV179" s="17"/>
      <c r="AW179" s="22">
        <v>4629745633</v>
      </c>
    </row>
    <row r="180" spans="1:49" ht="13.2">
      <c r="A180" s="303">
        <f>HYPERLINK("https://smartstore.naver.com/brickstore2019/products/4629769298",AW:AW)</f>
        <v>4629769298</v>
      </c>
      <c r="B180" s="266"/>
      <c r="C180" s="304" t="s">
        <v>591</v>
      </c>
      <c r="D180" s="117"/>
      <c r="E180" s="304" t="s">
        <v>592</v>
      </c>
      <c r="F180" s="168" t="s">
        <v>593</v>
      </c>
      <c r="G180" s="124" t="str">
        <f t="shared" ref="G180:G181" si="282">HYPERLINK("https://www.amazon.com/ProCase-Protective-Surface-Microsoft-Compatible/dp/B07GZCZ7LZ/ref=sr_1_12?keywords=surface%2Bgo%2Bcase&amp;qid=1565415024&amp;s=gateway&amp;sr=8-12&amp;th=1","A")</f>
        <v>A</v>
      </c>
      <c r="H180" s="125"/>
      <c r="I180" s="125"/>
      <c r="J180" s="125">
        <v>13</v>
      </c>
      <c r="K180" s="82">
        <f t="shared" si="279"/>
        <v>0.58125000000000004</v>
      </c>
      <c r="L180" s="82">
        <v>9.3000000000000007</v>
      </c>
      <c r="M180" s="82">
        <f t="shared" si="1"/>
        <v>0.26365035000000003</v>
      </c>
      <c r="N180" s="93">
        <v>0</v>
      </c>
      <c r="O180" s="93">
        <v>0</v>
      </c>
      <c r="P180" s="95">
        <f t="shared" si="2"/>
        <v>13</v>
      </c>
      <c r="Q180" s="96">
        <f>P180*C$3</f>
        <v>16250</v>
      </c>
      <c r="R180" s="96">
        <v>0</v>
      </c>
      <c r="S180" s="97">
        <f t="shared" si="24"/>
        <v>16300</v>
      </c>
      <c r="T180" s="97">
        <f>ROUNDUP(HLOOKUP(ROUNDUP(K180,0),'배송비 조회'!A$10:U$22,7,0)*C$3,-2)</f>
        <v>9000</v>
      </c>
      <c r="U180" s="97">
        <v>0</v>
      </c>
      <c r="V180" s="97">
        <f t="shared" ref="V180:V182" si="283">ROUND(IF(R180&gt;0,0,(S180+T180)*0.6),-2)</f>
        <v>15200</v>
      </c>
      <c r="W180" s="97">
        <f t="shared" si="264"/>
        <v>12700</v>
      </c>
      <c r="X180" s="98">
        <f t="shared" si="173"/>
        <v>40500</v>
      </c>
      <c r="Y180" s="98">
        <f t="shared" si="27"/>
        <v>38000</v>
      </c>
      <c r="Z180" s="121">
        <v>0</v>
      </c>
      <c r="AA180" s="121">
        <f t="shared" si="6"/>
        <v>1539</v>
      </c>
      <c r="AB180" s="121">
        <f t="shared" si="7"/>
        <v>810</v>
      </c>
      <c r="AC180" s="99">
        <f t="shared" si="8"/>
        <v>3800</v>
      </c>
      <c r="AD180" s="121">
        <f t="shared" si="9"/>
        <v>38151</v>
      </c>
      <c r="AE180" s="99">
        <f t="shared" si="10"/>
        <v>34200</v>
      </c>
      <c r="AF180" s="121">
        <f t="shared" si="11"/>
        <v>381.51</v>
      </c>
      <c r="AG180" s="100">
        <f t="shared" si="28"/>
        <v>12519.490000000002</v>
      </c>
      <c r="AH180" s="101">
        <f t="shared" si="29"/>
        <v>8568.4900000000016</v>
      </c>
      <c r="AI180" s="102">
        <f t="shared" ref="AI180:AJ180" si="284">AG180/X180</f>
        <v>0.30912320987654324</v>
      </c>
      <c r="AJ180" s="102">
        <f t="shared" si="284"/>
        <v>0.22548657894736845</v>
      </c>
      <c r="AK180" s="103"/>
      <c r="AL180" s="104"/>
      <c r="AM180" s="17"/>
      <c r="AN180" s="17"/>
      <c r="AO180" s="17"/>
      <c r="AP180" s="17"/>
      <c r="AQ180" s="17"/>
      <c r="AR180" s="17"/>
      <c r="AS180" s="17"/>
      <c r="AT180" s="17"/>
      <c r="AU180" s="17"/>
      <c r="AV180" s="17"/>
      <c r="AW180" s="296">
        <v>4629769298</v>
      </c>
    </row>
    <row r="181" spans="1:49" ht="13.2">
      <c r="A181" s="302"/>
      <c r="B181" s="266"/>
      <c r="C181" s="302"/>
      <c r="D181" s="117"/>
      <c r="E181" s="302"/>
      <c r="F181" s="123" t="s">
        <v>55</v>
      </c>
      <c r="G181" s="124" t="str">
        <f t="shared" si="282"/>
        <v>A</v>
      </c>
      <c r="H181" s="125"/>
      <c r="I181" s="125"/>
      <c r="J181" s="125">
        <v>13</v>
      </c>
      <c r="K181" s="82">
        <f t="shared" si="279"/>
        <v>0.58125000000000004</v>
      </c>
      <c r="L181" s="82">
        <v>9.3000000000000007</v>
      </c>
      <c r="M181" s="82">
        <f t="shared" si="1"/>
        <v>0.26365035000000003</v>
      </c>
      <c r="N181" s="93">
        <v>0</v>
      </c>
      <c r="O181" s="93">
        <v>0</v>
      </c>
      <c r="P181" s="95">
        <f t="shared" si="2"/>
        <v>13</v>
      </c>
      <c r="Q181" s="96">
        <f>P181*C$3</f>
        <v>16250</v>
      </c>
      <c r="R181" s="96">
        <v>0</v>
      </c>
      <c r="S181" s="97">
        <f t="shared" si="24"/>
        <v>16300</v>
      </c>
      <c r="T181" s="97">
        <f>ROUNDUP(HLOOKUP(ROUNDUP(K181,0),'배송비 조회'!A$10:U$22,7,0)*C$3,-2)</f>
        <v>9000</v>
      </c>
      <c r="U181" s="97">
        <v>0</v>
      </c>
      <c r="V181" s="97">
        <f t="shared" si="283"/>
        <v>15200</v>
      </c>
      <c r="W181" s="97">
        <f t="shared" si="264"/>
        <v>12700</v>
      </c>
      <c r="X181" s="98">
        <f t="shared" si="173"/>
        <v>40500</v>
      </c>
      <c r="Y181" s="98">
        <f t="shared" si="27"/>
        <v>38000</v>
      </c>
      <c r="Z181" s="121">
        <v>0</v>
      </c>
      <c r="AA181" s="121">
        <f t="shared" si="6"/>
        <v>1539</v>
      </c>
      <c r="AB181" s="121">
        <f t="shared" si="7"/>
        <v>810</v>
      </c>
      <c r="AC181" s="99">
        <f t="shared" si="8"/>
        <v>3800</v>
      </c>
      <c r="AD181" s="121">
        <f t="shared" si="9"/>
        <v>38151</v>
      </c>
      <c r="AE181" s="99">
        <f t="shared" si="10"/>
        <v>34200</v>
      </c>
      <c r="AF181" s="121">
        <f t="shared" si="11"/>
        <v>381.51</v>
      </c>
      <c r="AG181" s="100">
        <f t="shared" si="28"/>
        <v>12519.490000000002</v>
      </c>
      <c r="AH181" s="101">
        <f t="shared" si="29"/>
        <v>8568.4900000000016</v>
      </c>
      <c r="AI181" s="102">
        <f t="shared" ref="AI181:AJ181" si="285">AG181/X181</f>
        <v>0.30912320987654324</v>
      </c>
      <c r="AJ181" s="102">
        <f t="shared" si="285"/>
        <v>0.22548657894736845</v>
      </c>
      <c r="AK181" s="103"/>
      <c r="AL181" s="104"/>
      <c r="AM181" s="17"/>
      <c r="AN181" s="17"/>
      <c r="AO181" s="17"/>
      <c r="AP181" s="17"/>
      <c r="AQ181" s="17"/>
      <c r="AR181" s="17"/>
      <c r="AS181" s="17"/>
      <c r="AT181" s="17"/>
      <c r="AU181" s="17"/>
      <c r="AV181" s="17"/>
      <c r="AW181" s="297"/>
    </row>
    <row r="182" spans="1:49" ht="13.2">
      <c r="A182" s="302"/>
      <c r="B182" s="266"/>
      <c r="C182" s="302"/>
      <c r="D182" s="117"/>
      <c r="E182" s="302"/>
      <c r="F182" s="123" t="s">
        <v>184</v>
      </c>
      <c r="G182" s="124" t="str">
        <f>HYPERLINK("https://www.amazon.com/ProCase-Protective-Surface-Microsoft-Compatible/dp/B07K984JSY/ref=sr_1_12?keywords=surface%2Bgo%2Bcase&amp;qid=1565415024&amp;s=gateway&amp;sr=8-12&amp;th=1","A")</f>
        <v>A</v>
      </c>
      <c r="H182" s="125"/>
      <c r="I182" s="125"/>
      <c r="J182" s="125">
        <v>14</v>
      </c>
      <c r="K182" s="82">
        <f t="shared" si="279"/>
        <v>0.58125000000000004</v>
      </c>
      <c r="L182" s="82">
        <v>9.3000000000000007</v>
      </c>
      <c r="M182" s="82">
        <f t="shared" si="1"/>
        <v>0.26365035000000003</v>
      </c>
      <c r="N182" s="93">
        <v>0</v>
      </c>
      <c r="O182" s="93">
        <v>0</v>
      </c>
      <c r="P182" s="95">
        <f t="shared" si="2"/>
        <v>14</v>
      </c>
      <c r="Q182" s="96">
        <f>P182*C$3</f>
        <v>17500</v>
      </c>
      <c r="R182" s="96">
        <v>0</v>
      </c>
      <c r="S182" s="97">
        <f t="shared" si="24"/>
        <v>17500</v>
      </c>
      <c r="T182" s="97">
        <f>ROUNDUP(HLOOKUP(ROUNDUP(K182,0),'배송비 조회'!A$10:U$22,7,0)*C$3,-2)</f>
        <v>9000</v>
      </c>
      <c r="U182" s="97">
        <v>0</v>
      </c>
      <c r="V182" s="97">
        <f t="shared" si="283"/>
        <v>15900</v>
      </c>
      <c r="W182" s="97">
        <f t="shared" si="264"/>
        <v>13300</v>
      </c>
      <c r="X182" s="98">
        <f t="shared" si="173"/>
        <v>42400</v>
      </c>
      <c r="Y182" s="98">
        <f t="shared" si="27"/>
        <v>39800</v>
      </c>
      <c r="Z182" s="121">
        <v>0</v>
      </c>
      <c r="AA182" s="121">
        <f t="shared" si="6"/>
        <v>1611.2</v>
      </c>
      <c r="AB182" s="121">
        <f t="shared" si="7"/>
        <v>848</v>
      </c>
      <c r="AC182" s="99">
        <f t="shared" si="8"/>
        <v>3980</v>
      </c>
      <c r="AD182" s="121">
        <f t="shared" si="9"/>
        <v>39940.800000000003</v>
      </c>
      <c r="AE182" s="99">
        <f t="shared" si="10"/>
        <v>35820</v>
      </c>
      <c r="AF182" s="121">
        <f t="shared" si="11"/>
        <v>399.40800000000002</v>
      </c>
      <c r="AG182" s="100">
        <f t="shared" si="28"/>
        <v>13041.392000000003</v>
      </c>
      <c r="AH182" s="101">
        <f t="shared" si="29"/>
        <v>8920.5920000000006</v>
      </c>
      <c r="AI182" s="102">
        <f t="shared" ref="AI182:AJ182" si="286">AG182/X182</f>
        <v>0.30758000000000008</v>
      </c>
      <c r="AJ182" s="102">
        <f t="shared" si="286"/>
        <v>0.22413547738693468</v>
      </c>
      <c r="AK182" s="103"/>
      <c r="AL182" s="104"/>
      <c r="AM182" s="17"/>
      <c r="AN182" s="17"/>
      <c r="AO182" s="17"/>
      <c r="AP182" s="17"/>
      <c r="AQ182" s="17"/>
      <c r="AR182" s="17"/>
      <c r="AS182" s="17"/>
      <c r="AT182" s="17"/>
      <c r="AU182" s="17"/>
      <c r="AV182" s="17"/>
      <c r="AW182" s="297"/>
    </row>
    <row r="183" spans="1:49" ht="13.2">
      <c r="A183" s="303">
        <f>HYPERLINK("https://smartstore.naver.com/brickstore2019/products/4630096836",AW:AW)</f>
        <v>4630096836</v>
      </c>
      <c r="B183" s="266"/>
      <c r="C183" s="304" t="s">
        <v>594</v>
      </c>
      <c r="D183" s="117"/>
      <c r="E183" s="327" t="s">
        <v>595</v>
      </c>
      <c r="F183" s="123" t="s">
        <v>596</v>
      </c>
      <c r="G183" s="124" t="str">
        <f>HYPERLINK("https://www.amazon.com/dp/B0767KSNX4/ref=twister_B07JM31HJH?_encoding=UTF8&amp;psc=1","A")</f>
        <v>A</v>
      </c>
      <c r="H183" s="125"/>
      <c r="I183" s="125"/>
      <c r="J183" s="125">
        <v>27</v>
      </c>
      <c r="K183" s="170">
        <v>2</v>
      </c>
      <c r="L183" s="82">
        <v>15.8</v>
      </c>
      <c r="M183" s="82">
        <f t="shared" si="1"/>
        <v>0.90718399999999999</v>
      </c>
      <c r="N183" s="93">
        <v>0</v>
      </c>
      <c r="O183" s="93">
        <v>0</v>
      </c>
      <c r="P183" s="95">
        <f t="shared" si="2"/>
        <v>27</v>
      </c>
      <c r="Q183" s="96">
        <f>P183*C3</f>
        <v>33750</v>
      </c>
      <c r="R183" s="96">
        <v>0</v>
      </c>
      <c r="S183" s="97">
        <f t="shared" si="24"/>
        <v>33800</v>
      </c>
      <c r="T183" s="97">
        <f>ROUNDUP(HLOOKUP(ROUNDUP(K183,0),'배송비 조회'!A$10:U$22,7,0)*C$3,-2)</f>
        <v>11200</v>
      </c>
      <c r="U183" s="97">
        <v>0</v>
      </c>
      <c r="V183" s="97">
        <f t="shared" ref="V183:V192" si="287">ROUND(IF(R183&gt;0,0,(S183+T183)*0.3),-2)</f>
        <v>13500</v>
      </c>
      <c r="W183" s="97">
        <f t="shared" si="264"/>
        <v>22500</v>
      </c>
      <c r="X183" s="98">
        <f t="shared" si="173"/>
        <v>58500</v>
      </c>
      <c r="Y183" s="98">
        <f t="shared" si="27"/>
        <v>67500</v>
      </c>
      <c r="Z183" s="121">
        <v>0</v>
      </c>
      <c r="AA183" s="121">
        <f t="shared" si="6"/>
        <v>2223</v>
      </c>
      <c r="AB183" s="121">
        <f t="shared" si="7"/>
        <v>1170</v>
      </c>
      <c r="AC183" s="99">
        <f t="shared" si="8"/>
        <v>6750</v>
      </c>
      <c r="AD183" s="121">
        <f t="shared" si="9"/>
        <v>55107</v>
      </c>
      <c r="AE183" s="99">
        <f t="shared" si="10"/>
        <v>60750</v>
      </c>
      <c r="AF183" s="121">
        <f t="shared" si="11"/>
        <v>551.07000000000005</v>
      </c>
      <c r="AG183" s="100">
        <f t="shared" si="28"/>
        <v>9605.93</v>
      </c>
      <c r="AH183" s="101">
        <f t="shared" si="29"/>
        <v>15248.93</v>
      </c>
      <c r="AI183" s="102">
        <f t="shared" ref="AI183:AJ183" si="288">AG183/X183</f>
        <v>0.16420393162393163</v>
      </c>
      <c r="AJ183" s="102">
        <f t="shared" si="288"/>
        <v>0.22591007407407407</v>
      </c>
      <c r="AK183" s="103"/>
      <c r="AL183" s="104"/>
      <c r="AM183" s="17"/>
      <c r="AN183" s="17"/>
      <c r="AO183" s="17"/>
      <c r="AP183" s="17"/>
      <c r="AQ183" s="17"/>
      <c r="AR183" s="17"/>
      <c r="AS183" s="17"/>
      <c r="AT183" s="17"/>
      <c r="AU183" s="17"/>
      <c r="AV183" s="17"/>
      <c r="AW183" s="296">
        <v>4630096836</v>
      </c>
    </row>
    <row r="184" spans="1:49" ht="13.2">
      <c r="A184" s="302"/>
      <c r="B184" s="266"/>
      <c r="C184" s="302"/>
      <c r="D184" s="117"/>
      <c r="E184" s="302"/>
      <c r="F184" s="123" t="s">
        <v>597</v>
      </c>
      <c r="G184" s="124" t="str">
        <f>HYPERLINK("https://www.amazon.com/dp/B076ZXYC5V/ref=twister_B07JM31HJH?_encoding=UTF8&amp;th=1","A")</f>
        <v>A</v>
      </c>
      <c r="H184" s="125"/>
      <c r="I184" s="125"/>
      <c r="J184" s="125">
        <v>27</v>
      </c>
      <c r="K184" s="170">
        <v>2</v>
      </c>
      <c r="L184" s="82">
        <v>15.8</v>
      </c>
      <c r="M184" s="82">
        <f t="shared" si="1"/>
        <v>0.90718399999999999</v>
      </c>
      <c r="N184" s="93">
        <v>0</v>
      </c>
      <c r="O184" s="93">
        <v>0</v>
      </c>
      <c r="P184" s="95">
        <f t="shared" si="2"/>
        <v>27</v>
      </c>
      <c r="Q184" s="96">
        <f>P184*C3</f>
        <v>33750</v>
      </c>
      <c r="R184" s="96">
        <v>0</v>
      </c>
      <c r="S184" s="97">
        <f t="shared" si="24"/>
        <v>33800</v>
      </c>
      <c r="T184" s="97">
        <f>ROUNDUP(HLOOKUP(ROUNDUP(K184,0),'배송비 조회'!A$10:U$22,7,0)*C$3,-2)</f>
        <v>11200</v>
      </c>
      <c r="U184" s="97">
        <v>0</v>
      </c>
      <c r="V184" s="97">
        <f t="shared" si="287"/>
        <v>13500</v>
      </c>
      <c r="W184" s="97">
        <f t="shared" si="264"/>
        <v>22500</v>
      </c>
      <c r="X184" s="98">
        <f t="shared" si="173"/>
        <v>58500</v>
      </c>
      <c r="Y184" s="98">
        <f t="shared" si="27"/>
        <v>67500</v>
      </c>
      <c r="Z184" s="121">
        <v>0</v>
      </c>
      <c r="AA184" s="121">
        <f t="shared" si="6"/>
        <v>2223</v>
      </c>
      <c r="AB184" s="121">
        <f t="shared" si="7"/>
        <v>1170</v>
      </c>
      <c r="AC184" s="99">
        <f t="shared" si="8"/>
        <v>6750</v>
      </c>
      <c r="AD184" s="121">
        <f t="shared" si="9"/>
        <v>55107</v>
      </c>
      <c r="AE184" s="99">
        <f t="shared" si="10"/>
        <v>60750</v>
      </c>
      <c r="AF184" s="121">
        <f t="shared" si="11"/>
        <v>551.07000000000005</v>
      </c>
      <c r="AG184" s="100">
        <f t="shared" si="28"/>
        <v>9605.93</v>
      </c>
      <c r="AH184" s="101">
        <f t="shared" si="29"/>
        <v>15248.93</v>
      </c>
      <c r="AI184" s="102">
        <f t="shared" ref="AI184:AJ184" si="289">AG184/X184</f>
        <v>0.16420393162393163</v>
      </c>
      <c r="AJ184" s="102">
        <f t="shared" si="289"/>
        <v>0.22591007407407407</v>
      </c>
      <c r="AK184" s="103"/>
      <c r="AL184" s="104"/>
      <c r="AM184" s="17"/>
      <c r="AN184" s="17"/>
      <c r="AO184" s="17"/>
      <c r="AP184" s="17"/>
      <c r="AQ184" s="17"/>
      <c r="AR184" s="17"/>
      <c r="AS184" s="17"/>
      <c r="AT184" s="17"/>
      <c r="AU184" s="17"/>
      <c r="AV184" s="17"/>
      <c r="AW184" s="297"/>
    </row>
    <row r="185" spans="1:49" ht="13.2">
      <c r="A185" s="302"/>
      <c r="B185" s="266"/>
      <c r="C185" s="302"/>
      <c r="D185" s="117"/>
      <c r="E185" s="302"/>
      <c r="F185" s="123" t="s">
        <v>598</v>
      </c>
      <c r="G185" s="124" t="str">
        <f t="shared" ref="G185:G186" si="290">HYPERLINK("https://www.amazon.com/CamelBak-Chute-Vacuum-Insulated-White/dp/B076ZX74V5?th=1","A")</f>
        <v>A</v>
      </c>
      <c r="H185" s="125"/>
      <c r="I185" s="125"/>
      <c r="J185" s="125">
        <v>27</v>
      </c>
      <c r="K185" s="170">
        <v>2</v>
      </c>
      <c r="L185" s="82">
        <v>15.8</v>
      </c>
      <c r="M185" s="82">
        <f t="shared" si="1"/>
        <v>0.90718399999999999</v>
      </c>
      <c r="N185" s="93">
        <v>0</v>
      </c>
      <c r="O185" s="93">
        <v>0</v>
      </c>
      <c r="P185" s="95">
        <f t="shared" si="2"/>
        <v>27</v>
      </c>
      <c r="Q185" s="96">
        <f>P185*C$3</f>
        <v>33750</v>
      </c>
      <c r="R185" s="96">
        <v>0</v>
      </c>
      <c r="S185" s="97">
        <f t="shared" si="24"/>
        <v>33800</v>
      </c>
      <c r="T185" s="97">
        <f>ROUNDUP(HLOOKUP(ROUNDUP(K185,0),'배송비 조회'!A$10:U$22,7,0)*C$3,-2)</f>
        <v>11200</v>
      </c>
      <c r="U185" s="97">
        <v>0</v>
      </c>
      <c r="V185" s="97">
        <f t="shared" si="287"/>
        <v>13500</v>
      </c>
      <c r="W185" s="97">
        <f t="shared" si="264"/>
        <v>22500</v>
      </c>
      <c r="X185" s="98">
        <f t="shared" si="173"/>
        <v>58500</v>
      </c>
      <c r="Y185" s="98">
        <f t="shared" si="27"/>
        <v>67500</v>
      </c>
      <c r="Z185" s="121">
        <v>0</v>
      </c>
      <c r="AA185" s="121">
        <f t="shared" si="6"/>
        <v>2223</v>
      </c>
      <c r="AB185" s="121">
        <f t="shared" si="7"/>
        <v>1170</v>
      </c>
      <c r="AC185" s="99">
        <f t="shared" si="8"/>
        <v>6750</v>
      </c>
      <c r="AD185" s="121">
        <f t="shared" si="9"/>
        <v>55107</v>
      </c>
      <c r="AE185" s="99">
        <f t="shared" si="10"/>
        <v>60750</v>
      </c>
      <c r="AF185" s="121">
        <f t="shared" si="11"/>
        <v>551.07000000000005</v>
      </c>
      <c r="AG185" s="100">
        <f t="shared" si="28"/>
        <v>9605.93</v>
      </c>
      <c r="AH185" s="101">
        <f t="shared" si="29"/>
        <v>15248.93</v>
      </c>
      <c r="AI185" s="102">
        <f t="shared" ref="AI185:AJ185" si="291">AG185/X185</f>
        <v>0.16420393162393163</v>
      </c>
      <c r="AJ185" s="102">
        <f t="shared" si="291"/>
        <v>0.22591007407407407</v>
      </c>
      <c r="AK185" s="103"/>
      <c r="AL185" s="104"/>
      <c r="AM185" s="17"/>
      <c r="AN185" s="17"/>
      <c r="AO185" s="17"/>
      <c r="AP185" s="17"/>
      <c r="AQ185" s="17"/>
      <c r="AR185" s="17"/>
      <c r="AS185" s="17"/>
      <c r="AT185" s="17"/>
      <c r="AU185" s="17"/>
      <c r="AV185" s="17"/>
      <c r="AW185" s="297"/>
    </row>
    <row r="186" spans="1:49" ht="13.2">
      <c r="A186" s="302"/>
      <c r="B186" s="266"/>
      <c r="C186" s="302"/>
      <c r="D186" s="117"/>
      <c r="E186" s="302"/>
      <c r="F186" s="123" t="s">
        <v>599</v>
      </c>
      <c r="G186" s="124" t="str">
        <f t="shared" si="290"/>
        <v>A</v>
      </c>
      <c r="H186" s="125"/>
      <c r="I186" s="125"/>
      <c r="J186" s="125">
        <v>27</v>
      </c>
      <c r="K186" s="170">
        <v>2</v>
      </c>
      <c r="L186" s="82">
        <v>15.8</v>
      </c>
      <c r="M186" s="82">
        <f t="shared" si="1"/>
        <v>0.90718399999999999</v>
      </c>
      <c r="N186" s="93">
        <v>0</v>
      </c>
      <c r="O186" s="93">
        <v>0</v>
      </c>
      <c r="P186" s="95">
        <f t="shared" si="2"/>
        <v>27</v>
      </c>
      <c r="Q186" s="96">
        <f>P186*C$3</f>
        <v>33750</v>
      </c>
      <c r="R186" s="96">
        <v>0</v>
      </c>
      <c r="S186" s="97">
        <f t="shared" si="24"/>
        <v>33800</v>
      </c>
      <c r="T186" s="97">
        <f>ROUNDUP(HLOOKUP(ROUNDUP(K186,0),'배송비 조회'!A$10:U$22,7,0)*C$3,-2)</f>
        <v>11200</v>
      </c>
      <c r="U186" s="97">
        <v>0</v>
      </c>
      <c r="V186" s="97">
        <f t="shared" si="287"/>
        <v>13500</v>
      </c>
      <c r="W186" s="97">
        <f t="shared" si="264"/>
        <v>22500</v>
      </c>
      <c r="X186" s="98">
        <f t="shared" si="173"/>
        <v>58500</v>
      </c>
      <c r="Y186" s="98">
        <f t="shared" si="27"/>
        <v>67500</v>
      </c>
      <c r="Z186" s="121">
        <v>0</v>
      </c>
      <c r="AA186" s="121">
        <f t="shared" si="6"/>
        <v>2223</v>
      </c>
      <c r="AB186" s="121">
        <f t="shared" si="7"/>
        <v>1170</v>
      </c>
      <c r="AC186" s="99">
        <f t="shared" si="8"/>
        <v>6750</v>
      </c>
      <c r="AD186" s="121">
        <f t="shared" si="9"/>
        <v>55107</v>
      </c>
      <c r="AE186" s="99">
        <f t="shared" si="10"/>
        <v>60750</v>
      </c>
      <c r="AF186" s="121">
        <f t="shared" si="11"/>
        <v>551.07000000000005</v>
      </c>
      <c r="AG186" s="100">
        <f t="shared" si="28"/>
        <v>9605.93</v>
      </c>
      <c r="AH186" s="101">
        <f t="shared" si="29"/>
        <v>15248.93</v>
      </c>
      <c r="AI186" s="102">
        <f t="shared" ref="AI186:AJ186" si="292">AG186/X186</f>
        <v>0.16420393162393163</v>
      </c>
      <c r="AJ186" s="102">
        <f t="shared" si="292"/>
        <v>0.22591007407407407</v>
      </c>
      <c r="AK186" s="103"/>
      <c r="AL186" s="104"/>
      <c r="AM186" s="17"/>
      <c r="AN186" s="17"/>
      <c r="AO186" s="17"/>
      <c r="AP186" s="17"/>
      <c r="AQ186" s="17"/>
      <c r="AR186" s="17"/>
      <c r="AS186" s="17"/>
      <c r="AT186" s="17"/>
      <c r="AU186" s="17"/>
      <c r="AV186" s="17"/>
      <c r="AW186" s="297"/>
    </row>
    <row r="187" spans="1:49" ht="13.2">
      <c r="A187" s="302"/>
      <c r="B187" s="266"/>
      <c r="C187" s="302"/>
      <c r="D187" s="117"/>
      <c r="E187" s="302"/>
      <c r="F187" s="123" t="s">
        <v>236</v>
      </c>
      <c r="G187" s="124" t="str">
        <f>HYPERLINK("https://www.amazon.com/CamelBak-Chute-Vacuum-Insulated-White/dp/B076ZZDPGM?th=1","A")</f>
        <v>A</v>
      </c>
      <c r="H187" s="125"/>
      <c r="I187" s="125"/>
      <c r="J187" s="125">
        <v>27</v>
      </c>
      <c r="K187" s="170">
        <v>2</v>
      </c>
      <c r="L187" s="82">
        <v>15.8</v>
      </c>
      <c r="M187" s="82">
        <f t="shared" si="1"/>
        <v>0.90718399999999999</v>
      </c>
      <c r="N187" s="93">
        <v>0</v>
      </c>
      <c r="O187" s="93">
        <v>0</v>
      </c>
      <c r="P187" s="95">
        <f t="shared" si="2"/>
        <v>27</v>
      </c>
      <c r="Q187" s="96">
        <f>P187*C3</f>
        <v>33750</v>
      </c>
      <c r="R187" s="96">
        <v>0</v>
      </c>
      <c r="S187" s="97">
        <f t="shared" si="24"/>
        <v>33800</v>
      </c>
      <c r="T187" s="97">
        <f>ROUNDUP(HLOOKUP(ROUNDUP(K187,0),'배송비 조회'!A$10:U$22,7,0)*C$3,-2)</f>
        <v>11200</v>
      </c>
      <c r="U187" s="97">
        <v>0</v>
      </c>
      <c r="V187" s="97">
        <f t="shared" si="287"/>
        <v>13500</v>
      </c>
      <c r="W187" s="97">
        <f t="shared" si="264"/>
        <v>22500</v>
      </c>
      <c r="X187" s="98">
        <f t="shared" si="173"/>
        <v>58500</v>
      </c>
      <c r="Y187" s="98">
        <f t="shared" si="27"/>
        <v>67500</v>
      </c>
      <c r="Z187" s="121">
        <v>0</v>
      </c>
      <c r="AA187" s="121">
        <f t="shared" si="6"/>
        <v>2223</v>
      </c>
      <c r="AB187" s="121">
        <f t="shared" si="7"/>
        <v>1170</v>
      </c>
      <c r="AC187" s="99">
        <f t="shared" si="8"/>
        <v>6750</v>
      </c>
      <c r="AD187" s="121">
        <f t="shared" si="9"/>
        <v>55107</v>
      </c>
      <c r="AE187" s="99">
        <f t="shared" si="10"/>
        <v>60750</v>
      </c>
      <c r="AF187" s="121">
        <f t="shared" si="11"/>
        <v>551.07000000000005</v>
      </c>
      <c r="AG187" s="100">
        <f t="shared" si="28"/>
        <v>9605.93</v>
      </c>
      <c r="AH187" s="101">
        <f t="shared" si="29"/>
        <v>15248.93</v>
      </c>
      <c r="AI187" s="102">
        <f t="shared" ref="AI187:AJ187" si="293">AG187/X187</f>
        <v>0.16420393162393163</v>
      </c>
      <c r="AJ187" s="102">
        <f t="shared" si="293"/>
        <v>0.22591007407407407</v>
      </c>
      <c r="AK187" s="103"/>
      <c r="AL187" s="104"/>
      <c r="AM187" s="17"/>
      <c r="AN187" s="17"/>
      <c r="AO187" s="17"/>
      <c r="AP187" s="17"/>
      <c r="AQ187" s="17"/>
      <c r="AR187" s="17"/>
      <c r="AS187" s="17"/>
      <c r="AT187" s="17"/>
      <c r="AU187" s="17"/>
      <c r="AV187" s="17"/>
      <c r="AW187" s="297"/>
    </row>
    <row r="188" spans="1:49" ht="13.2">
      <c r="A188" s="302"/>
      <c r="B188" s="266"/>
      <c r="C188" s="302"/>
      <c r="D188" s="117"/>
      <c r="E188" s="302"/>
      <c r="F188" s="123" t="s">
        <v>600</v>
      </c>
      <c r="G188" s="124" t="str">
        <f>HYPERLINK("https://www.amazon.com/CamelBak-Chute-Vacuum-Insulated-White/dp/B0767KGR5K?th=1","A")</f>
        <v>A</v>
      </c>
      <c r="H188" s="125"/>
      <c r="I188" s="125"/>
      <c r="J188" s="125">
        <v>27</v>
      </c>
      <c r="K188" s="170">
        <v>2</v>
      </c>
      <c r="L188" s="82">
        <v>15.8</v>
      </c>
      <c r="M188" s="82">
        <f t="shared" si="1"/>
        <v>0.90718399999999999</v>
      </c>
      <c r="N188" s="93">
        <v>0</v>
      </c>
      <c r="O188" s="93">
        <v>0</v>
      </c>
      <c r="P188" s="95">
        <f t="shared" si="2"/>
        <v>27</v>
      </c>
      <c r="Q188" s="96">
        <f>P188*C3</f>
        <v>33750</v>
      </c>
      <c r="R188" s="96">
        <v>0</v>
      </c>
      <c r="S188" s="97">
        <f t="shared" si="24"/>
        <v>33800</v>
      </c>
      <c r="T188" s="97">
        <f>ROUNDUP(HLOOKUP(ROUNDUP(K188,0),'배송비 조회'!A$10:U$22,7,0)*C$3,-2)</f>
        <v>11200</v>
      </c>
      <c r="U188" s="97">
        <v>0</v>
      </c>
      <c r="V188" s="97">
        <f t="shared" si="287"/>
        <v>13500</v>
      </c>
      <c r="W188" s="97">
        <f t="shared" si="264"/>
        <v>22500</v>
      </c>
      <c r="X188" s="98">
        <f t="shared" si="173"/>
        <v>58500</v>
      </c>
      <c r="Y188" s="98">
        <f t="shared" si="27"/>
        <v>67500</v>
      </c>
      <c r="Z188" s="121">
        <v>0</v>
      </c>
      <c r="AA188" s="121">
        <f t="shared" si="6"/>
        <v>2223</v>
      </c>
      <c r="AB188" s="121">
        <f t="shared" si="7"/>
        <v>1170</v>
      </c>
      <c r="AC188" s="99">
        <f t="shared" si="8"/>
        <v>6750</v>
      </c>
      <c r="AD188" s="121">
        <f t="shared" si="9"/>
        <v>55107</v>
      </c>
      <c r="AE188" s="99">
        <f t="shared" si="10"/>
        <v>60750</v>
      </c>
      <c r="AF188" s="121">
        <f t="shared" si="11"/>
        <v>551.07000000000005</v>
      </c>
      <c r="AG188" s="100">
        <f t="shared" si="28"/>
        <v>9605.93</v>
      </c>
      <c r="AH188" s="101">
        <f t="shared" si="29"/>
        <v>15248.93</v>
      </c>
      <c r="AI188" s="102">
        <f t="shared" ref="AI188:AJ188" si="294">AG188/X188</f>
        <v>0.16420393162393163</v>
      </c>
      <c r="AJ188" s="102">
        <f t="shared" si="294"/>
        <v>0.22591007407407407</v>
      </c>
      <c r="AK188" s="103"/>
      <c r="AL188" s="104"/>
      <c r="AM188" s="17"/>
      <c r="AN188" s="17"/>
      <c r="AO188" s="17"/>
      <c r="AP188" s="17"/>
      <c r="AQ188" s="17"/>
      <c r="AR188" s="17"/>
      <c r="AS188" s="17"/>
      <c r="AT188" s="17"/>
      <c r="AU188" s="17"/>
      <c r="AV188" s="17"/>
      <c r="AW188" s="297"/>
    </row>
    <row r="189" spans="1:49" ht="13.2">
      <c r="A189" s="302"/>
      <c r="B189" s="266"/>
      <c r="C189" s="302"/>
      <c r="D189" s="117"/>
      <c r="E189" s="302"/>
      <c r="F189" s="123" t="s">
        <v>417</v>
      </c>
      <c r="G189" s="124" t="str">
        <f>HYPERLINK("https://www.amazon.com/CamelBak-Chute-Vacuum-Insulated-White/dp/B076ZXB5SM?th=1","A")</f>
        <v>A</v>
      </c>
      <c r="H189" s="125"/>
      <c r="I189" s="125"/>
      <c r="J189" s="125">
        <v>27</v>
      </c>
      <c r="K189" s="170">
        <v>2</v>
      </c>
      <c r="L189" s="82">
        <v>15.8</v>
      </c>
      <c r="M189" s="82">
        <f t="shared" si="1"/>
        <v>0.90718399999999999</v>
      </c>
      <c r="N189" s="93">
        <v>0</v>
      </c>
      <c r="O189" s="93">
        <v>0</v>
      </c>
      <c r="P189" s="95">
        <f t="shared" si="2"/>
        <v>27</v>
      </c>
      <c r="Q189" s="96">
        <f>P189*C3</f>
        <v>33750</v>
      </c>
      <c r="R189" s="96">
        <v>0</v>
      </c>
      <c r="S189" s="97">
        <f t="shared" si="24"/>
        <v>33800</v>
      </c>
      <c r="T189" s="97">
        <f>ROUNDUP(HLOOKUP(ROUNDUP(K189,0),'배송비 조회'!A$10:U$22,7,0)*C$3,-2)</f>
        <v>11200</v>
      </c>
      <c r="U189" s="97">
        <v>0</v>
      </c>
      <c r="V189" s="97">
        <f t="shared" si="287"/>
        <v>13500</v>
      </c>
      <c r="W189" s="97">
        <f t="shared" si="264"/>
        <v>22500</v>
      </c>
      <c r="X189" s="98">
        <f t="shared" si="173"/>
        <v>58500</v>
      </c>
      <c r="Y189" s="98">
        <f t="shared" si="27"/>
        <v>67500</v>
      </c>
      <c r="Z189" s="121">
        <v>0</v>
      </c>
      <c r="AA189" s="121">
        <f t="shared" si="6"/>
        <v>2223</v>
      </c>
      <c r="AB189" s="121">
        <f t="shared" si="7"/>
        <v>1170</v>
      </c>
      <c r="AC189" s="99">
        <f t="shared" si="8"/>
        <v>6750</v>
      </c>
      <c r="AD189" s="121">
        <f t="shared" si="9"/>
        <v>55107</v>
      </c>
      <c r="AE189" s="99">
        <f t="shared" si="10"/>
        <v>60750</v>
      </c>
      <c r="AF189" s="121">
        <f t="shared" si="11"/>
        <v>551.07000000000005</v>
      </c>
      <c r="AG189" s="100">
        <f t="shared" si="28"/>
        <v>9605.93</v>
      </c>
      <c r="AH189" s="101">
        <f t="shared" si="29"/>
        <v>15248.93</v>
      </c>
      <c r="AI189" s="102">
        <f t="shared" ref="AI189:AJ189" si="295">AG189/X189</f>
        <v>0.16420393162393163</v>
      </c>
      <c r="AJ189" s="102">
        <f t="shared" si="295"/>
        <v>0.22591007407407407</v>
      </c>
      <c r="AK189" s="103"/>
      <c r="AL189" s="104"/>
      <c r="AM189" s="17"/>
      <c r="AN189" s="17"/>
      <c r="AO189" s="17"/>
      <c r="AP189" s="17"/>
      <c r="AQ189" s="17"/>
      <c r="AR189" s="17"/>
      <c r="AS189" s="17"/>
      <c r="AT189" s="17"/>
      <c r="AU189" s="17"/>
      <c r="AV189" s="17"/>
      <c r="AW189" s="297"/>
    </row>
    <row r="190" spans="1:49" ht="13.2">
      <c r="A190" s="302"/>
      <c r="B190" s="266"/>
      <c r="C190" s="302"/>
      <c r="D190" s="117"/>
      <c r="E190" s="302"/>
      <c r="F190" s="123" t="s">
        <v>98</v>
      </c>
      <c r="G190" s="124" t="str">
        <f>HYPERLINK("https://www.amazon.com/CamelBak-Chute-Vacuum-Insulated-White/dp/B076ZWTHXF?th=1","A")</f>
        <v>A</v>
      </c>
      <c r="H190" s="125"/>
      <c r="I190" s="125"/>
      <c r="J190" s="125">
        <v>27</v>
      </c>
      <c r="K190" s="170">
        <v>2</v>
      </c>
      <c r="L190" s="82">
        <v>15.8</v>
      </c>
      <c r="M190" s="82">
        <f t="shared" si="1"/>
        <v>0.90718399999999999</v>
      </c>
      <c r="N190" s="93">
        <v>0</v>
      </c>
      <c r="O190" s="93">
        <v>0</v>
      </c>
      <c r="P190" s="95">
        <f t="shared" si="2"/>
        <v>27</v>
      </c>
      <c r="Q190" s="96">
        <f>P190*C3</f>
        <v>33750</v>
      </c>
      <c r="R190" s="96">
        <v>0</v>
      </c>
      <c r="S190" s="97">
        <f t="shared" si="24"/>
        <v>33800</v>
      </c>
      <c r="T190" s="97">
        <f>ROUNDUP(HLOOKUP(ROUNDUP(K190,0),'배송비 조회'!A$10:U$22,7,0)*C$3,-2)</f>
        <v>11200</v>
      </c>
      <c r="U190" s="97">
        <v>0</v>
      </c>
      <c r="V190" s="97">
        <f t="shared" si="287"/>
        <v>13500</v>
      </c>
      <c r="W190" s="97">
        <f t="shared" si="264"/>
        <v>22500</v>
      </c>
      <c r="X190" s="98">
        <f t="shared" si="173"/>
        <v>58500</v>
      </c>
      <c r="Y190" s="98">
        <f t="shared" si="27"/>
        <v>67500</v>
      </c>
      <c r="Z190" s="121">
        <v>0</v>
      </c>
      <c r="AA190" s="121">
        <f t="shared" si="6"/>
        <v>2223</v>
      </c>
      <c r="AB190" s="121">
        <f t="shared" si="7"/>
        <v>1170</v>
      </c>
      <c r="AC190" s="99">
        <f t="shared" si="8"/>
        <v>6750</v>
      </c>
      <c r="AD190" s="121">
        <f t="shared" si="9"/>
        <v>55107</v>
      </c>
      <c r="AE190" s="99">
        <f t="shared" si="10"/>
        <v>60750</v>
      </c>
      <c r="AF190" s="121">
        <f t="shared" si="11"/>
        <v>551.07000000000005</v>
      </c>
      <c r="AG190" s="100">
        <f t="shared" si="28"/>
        <v>9605.93</v>
      </c>
      <c r="AH190" s="101">
        <f t="shared" si="29"/>
        <v>15248.93</v>
      </c>
      <c r="AI190" s="102">
        <f t="shared" ref="AI190:AJ190" si="296">AG190/X190</f>
        <v>0.16420393162393163</v>
      </c>
      <c r="AJ190" s="102">
        <f t="shared" si="296"/>
        <v>0.22591007407407407</v>
      </c>
      <c r="AK190" s="103"/>
      <c r="AL190" s="104"/>
      <c r="AM190" s="17"/>
      <c r="AN190" s="17"/>
      <c r="AO190" s="17"/>
      <c r="AP190" s="17"/>
      <c r="AQ190" s="17"/>
      <c r="AR190" s="17"/>
      <c r="AS190" s="17"/>
      <c r="AT190" s="17"/>
      <c r="AU190" s="17"/>
      <c r="AV190" s="17"/>
      <c r="AW190" s="297"/>
    </row>
    <row r="191" spans="1:49" ht="13.2">
      <c r="A191" s="302"/>
      <c r="B191" s="266"/>
      <c r="C191" s="302"/>
      <c r="D191" s="117"/>
      <c r="E191" s="302"/>
      <c r="F191" s="123" t="s">
        <v>601</v>
      </c>
      <c r="G191" s="124" t="str">
        <f>HYPERLINK("https://www.amazon.com/CamelBak-Chute-Vacuum-Insulated-White/dp/B0793M6X7T?th=1","A")</f>
        <v>A</v>
      </c>
      <c r="H191" s="125"/>
      <c r="I191" s="125"/>
      <c r="J191" s="125">
        <v>40</v>
      </c>
      <c r="K191" s="170">
        <v>2</v>
      </c>
      <c r="L191" s="82">
        <v>15.8</v>
      </c>
      <c r="M191" s="82">
        <f t="shared" si="1"/>
        <v>0.90718399999999999</v>
      </c>
      <c r="N191" s="93">
        <v>0</v>
      </c>
      <c r="O191" s="93">
        <v>0</v>
      </c>
      <c r="P191" s="95">
        <f t="shared" si="2"/>
        <v>40</v>
      </c>
      <c r="Q191" s="96">
        <f>P191*C3</f>
        <v>50000</v>
      </c>
      <c r="R191" s="96">
        <v>0</v>
      </c>
      <c r="S191" s="97">
        <f t="shared" si="24"/>
        <v>50000</v>
      </c>
      <c r="T191" s="97">
        <f>ROUNDUP(HLOOKUP(ROUNDUP(K191,0),'배송비 조회'!A$10:U$22,7,0)*C$3,-2)</f>
        <v>11200</v>
      </c>
      <c r="U191" s="97">
        <v>0</v>
      </c>
      <c r="V191" s="97">
        <f t="shared" si="287"/>
        <v>18400</v>
      </c>
      <c r="W191" s="97">
        <f t="shared" si="264"/>
        <v>30600</v>
      </c>
      <c r="X191" s="98">
        <f t="shared" si="173"/>
        <v>79600</v>
      </c>
      <c r="Y191" s="98">
        <f t="shared" si="27"/>
        <v>91800</v>
      </c>
      <c r="Z191" s="121">
        <v>0</v>
      </c>
      <c r="AA191" s="121">
        <f t="shared" si="6"/>
        <v>3024.7999999999997</v>
      </c>
      <c r="AB191" s="121">
        <f t="shared" si="7"/>
        <v>1592</v>
      </c>
      <c r="AC191" s="99">
        <f t="shared" si="8"/>
        <v>9180</v>
      </c>
      <c r="AD191" s="121">
        <f t="shared" si="9"/>
        <v>74983.199999999997</v>
      </c>
      <c r="AE191" s="99">
        <f t="shared" si="10"/>
        <v>82620</v>
      </c>
      <c r="AF191" s="121">
        <f t="shared" si="11"/>
        <v>749.83199999999999</v>
      </c>
      <c r="AG191" s="100">
        <f t="shared" si="28"/>
        <v>13033.367999999999</v>
      </c>
      <c r="AH191" s="101">
        <f t="shared" si="29"/>
        <v>20670.168000000001</v>
      </c>
      <c r="AI191" s="102">
        <f t="shared" ref="AI191:AJ191" si="297">AG191/X191</f>
        <v>0.16373577889447236</v>
      </c>
      <c r="AJ191" s="102">
        <f t="shared" si="297"/>
        <v>0.22516522875816994</v>
      </c>
      <c r="AK191" s="103"/>
      <c r="AL191" s="104"/>
      <c r="AM191" s="17"/>
      <c r="AN191" s="17"/>
      <c r="AO191" s="17"/>
      <c r="AP191" s="17"/>
      <c r="AQ191" s="17"/>
      <c r="AR191" s="17"/>
      <c r="AS191" s="17"/>
      <c r="AT191" s="17"/>
      <c r="AU191" s="17"/>
      <c r="AV191" s="17"/>
      <c r="AW191" s="297"/>
    </row>
    <row r="192" spans="1:49" ht="13.2">
      <c r="A192" s="302"/>
      <c r="B192" s="266"/>
      <c r="C192" s="302"/>
      <c r="D192" s="117"/>
      <c r="E192" s="302"/>
      <c r="F192" s="123" t="s">
        <v>602</v>
      </c>
      <c r="G192" s="124" t="str">
        <f>HYPERLINK("https://www.amazon.com/CamelBak-Chute-Vacuum-Insulated-White/dp/B076ZWTHXF?th=1","A")</f>
        <v>A</v>
      </c>
      <c r="H192" s="125"/>
      <c r="I192" s="125"/>
      <c r="J192" s="125">
        <v>40</v>
      </c>
      <c r="K192" s="170">
        <v>2</v>
      </c>
      <c r="L192" s="82">
        <v>15.8</v>
      </c>
      <c r="M192" s="82">
        <f t="shared" si="1"/>
        <v>0.90718399999999999</v>
      </c>
      <c r="N192" s="93">
        <v>0</v>
      </c>
      <c r="O192" s="93">
        <v>0</v>
      </c>
      <c r="P192" s="95">
        <f t="shared" si="2"/>
        <v>40</v>
      </c>
      <c r="Q192" s="96">
        <f>P192*C3</f>
        <v>50000</v>
      </c>
      <c r="R192" s="96">
        <v>0</v>
      </c>
      <c r="S192" s="97">
        <f t="shared" si="24"/>
        <v>50000</v>
      </c>
      <c r="T192" s="97">
        <f>ROUNDUP(HLOOKUP(ROUNDUP(K192,0),'배송비 조회'!A$10:U$22,7,0)*C$3,-2)</f>
        <v>11200</v>
      </c>
      <c r="U192" s="97">
        <v>0</v>
      </c>
      <c r="V192" s="97">
        <f t="shared" si="287"/>
        <v>18400</v>
      </c>
      <c r="W192" s="97">
        <f t="shared" si="264"/>
        <v>30600</v>
      </c>
      <c r="X192" s="98">
        <f t="shared" si="173"/>
        <v>79600</v>
      </c>
      <c r="Y192" s="98">
        <f t="shared" si="27"/>
        <v>91800</v>
      </c>
      <c r="Z192" s="121">
        <v>0</v>
      </c>
      <c r="AA192" s="121">
        <f t="shared" si="6"/>
        <v>3024.7999999999997</v>
      </c>
      <c r="AB192" s="121">
        <f t="shared" si="7"/>
        <v>1592</v>
      </c>
      <c r="AC192" s="99">
        <f t="shared" si="8"/>
        <v>9180</v>
      </c>
      <c r="AD192" s="121">
        <f t="shared" si="9"/>
        <v>74983.199999999997</v>
      </c>
      <c r="AE192" s="99">
        <f t="shared" si="10"/>
        <v>82620</v>
      </c>
      <c r="AF192" s="121">
        <f t="shared" si="11"/>
        <v>749.83199999999999</v>
      </c>
      <c r="AG192" s="100">
        <f t="shared" si="28"/>
        <v>13033.367999999999</v>
      </c>
      <c r="AH192" s="101">
        <f t="shared" si="29"/>
        <v>20670.168000000001</v>
      </c>
      <c r="AI192" s="102">
        <f t="shared" ref="AI192:AJ192" si="298">AG192/X192</f>
        <v>0.16373577889447236</v>
      </c>
      <c r="AJ192" s="102">
        <f t="shared" si="298"/>
        <v>0.22516522875816994</v>
      </c>
      <c r="AK192" s="103"/>
      <c r="AL192" s="104"/>
      <c r="AM192" s="17"/>
      <c r="AN192" s="17"/>
      <c r="AO192" s="17"/>
      <c r="AP192" s="17"/>
      <c r="AQ192" s="17"/>
      <c r="AR192" s="17"/>
      <c r="AS192" s="17"/>
      <c r="AT192" s="17"/>
      <c r="AU192" s="17"/>
      <c r="AV192" s="17"/>
      <c r="AW192" s="297"/>
    </row>
    <row r="193" spans="1:49" ht="13.2">
      <c r="A193" s="303">
        <f>HYPERLINK("https://smartstore.naver.com/brickstore2019/products/4630084431",AW:AW)</f>
        <v>4630084431</v>
      </c>
      <c r="B193" s="266"/>
      <c r="C193" s="304" t="s">
        <v>603</v>
      </c>
      <c r="D193" s="117"/>
      <c r="E193" s="304" t="s">
        <v>604</v>
      </c>
      <c r="F193" s="171" t="s">
        <v>605</v>
      </c>
      <c r="G193" s="124" t="str">
        <f>HYPERLINK("https://www.amazon.com/dp/B07NBS1C5J/ref=emc_b_5_i","A")</f>
        <v>A</v>
      </c>
      <c r="H193" s="125"/>
      <c r="I193" s="125"/>
      <c r="J193" s="172">
        <v>12</v>
      </c>
      <c r="K193" s="170">
        <v>2</v>
      </c>
      <c r="L193" s="82">
        <v>8</v>
      </c>
      <c r="M193" s="82">
        <f t="shared" si="1"/>
        <v>0.90718399999999999</v>
      </c>
      <c r="N193" s="94">
        <v>0</v>
      </c>
      <c r="O193" s="94">
        <v>0</v>
      </c>
      <c r="P193" s="95">
        <f t="shared" si="2"/>
        <v>12</v>
      </c>
      <c r="Q193" s="96">
        <f>P193*C3</f>
        <v>15000</v>
      </c>
      <c r="R193" s="96">
        <v>0</v>
      </c>
      <c r="S193" s="97">
        <f t="shared" si="24"/>
        <v>15000</v>
      </c>
      <c r="T193" s="97">
        <f>ROUNDUP(HLOOKUP(ROUNDUP(K193,0),'배송비 조회'!A$10:U$22,7,0)*C$3,-2)</f>
        <v>11200</v>
      </c>
      <c r="U193" s="97">
        <v>0</v>
      </c>
      <c r="V193" s="97">
        <f t="shared" ref="V193:V195" si="299">ROUND(IF(R193&gt;0,0,(S193+T193)*0.5),-2)</f>
        <v>13100</v>
      </c>
      <c r="W193" s="97">
        <f t="shared" si="264"/>
        <v>13100</v>
      </c>
      <c r="X193" s="98">
        <f t="shared" si="173"/>
        <v>39300</v>
      </c>
      <c r="Y193" s="98">
        <f t="shared" si="27"/>
        <v>39300</v>
      </c>
      <c r="Z193" s="121">
        <v>0</v>
      </c>
      <c r="AA193" s="121">
        <f t="shared" si="6"/>
        <v>1493.3999999999999</v>
      </c>
      <c r="AB193" s="121">
        <f t="shared" si="7"/>
        <v>786</v>
      </c>
      <c r="AC193" s="99">
        <f t="shared" si="8"/>
        <v>3930</v>
      </c>
      <c r="AD193" s="121">
        <f t="shared" si="9"/>
        <v>37020.6</v>
      </c>
      <c r="AE193" s="99">
        <f t="shared" si="10"/>
        <v>35370</v>
      </c>
      <c r="AF193" s="121">
        <f t="shared" si="11"/>
        <v>370.20600000000002</v>
      </c>
      <c r="AG193" s="100">
        <f t="shared" si="28"/>
        <v>10450.394</v>
      </c>
      <c r="AH193" s="101">
        <f t="shared" si="29"/>
        <v>8799.7940000000017</v>
      </c>
      <c r="AI193" s="102">
        <f t="shared" ref="AI193:AJ193" si="300">AG193/X193</f>
        <v>0.26591333333333333</v>
      </c>
      <c r="AJ193" s="102">
        <f t="shared" si="300"/>
        <v>0.22391333333333338</v>
      </c>
      <c r="AK193" s="103"/>
      <c r="AL193" s="104"/>
      <c r="AM193" s="17"/>
      <c r="AN193" s="17"/>
      <c r="AO193" s="17"/>
      <c r="AP193" s="17"/>
      <c r="AQ193" s="17"/>
      <c r="AR193" s="17"/>
      <c r="AS193" s="17"/>
      <c r="AT193" s="17"/>
      <c r="AU193" s="17"/>
      <c r="AV193" s="17"/>
      <c r="AW193" s="296">
        <v>4630084431</v>
      </c>
    </row>
    <row r="194" spans="1:49" ht="13.2">
      <c r="A194" s="302"/>
      <c r="B194" s="266"/>
      <c r="C194" s="302"/>
      <c r="D194" s="117"/>
      <c r="E194" s="302"/>
      <c r="F194" s="168" t="s">
        <v>606</v>
      </c>
      <c r="G194" s="124" t="str">
        <f>HYPERLINK("https://www.amazon.com/dp/B07HGSDBMD/ref=emc_b_5_i?th=1","A")</f>
        <v>A</v>
      </c>
      <c r="H194" s="125"/>
      <c r="I194" s="125"/>
      <c r="J194" s="173">
        <v>16</v>
      </c>
      <c r="K194" s="170">
        <v>2</v>
      </c>
      <c r="L194" s="82">
        <v>8</v>
      </c>
      <c r="M194" s="82">
        <f t="shared" si="1"/>
        <v>0.90718399999999999</v>
      </c>
      <c r="N194" s="93">
        <v>0</v>
      </c>
      <c r="O194" s="93">
        <v>0</v>
      </c>
      <c r="P194" s="95">
        <f t="shared" si="2"/>
        <v>16</v>
      </c>
      <c r="Q194" s="96">
        <f>P194*C3</f>
        <v>20000</v>
      </c>
      <c r="R194" s="96">
        <v>0</v>
      </c>
      <c r="S194" s="97">
        <f t="shared" si="24"/>
        <v>20000</v>
      </c>
      <c r="T194" s="97">
        <f>ROUNDUP(HLOOKUP(ROUNDUP(K194,0),'배송비 조회'!A$10:U$22,7,0)*C$3,-2)</f>
        <v>11200</v>
      </c>
      <c r="U194" s="97">
        <v>0</v>
      </c>
      <c r="V194" s="97">
        <f t="shared" si="299"/>
        <v>15600</v>
      </c>
      <c r="W194" s="97">
        <f t="shared" si="264"/>
        <v>15600</v>
      </c>
      <c r="X194" s="98">
        <f t="shared" si="173"/>
        <v>46800</v>
      </c>
      <c r="Y194" s="98">
        <f t="shared" si="27"/>
        <v>46800</v>
      </c>
      <c r="Z194" s="121">
        <v>0</v>
      </c>
      <c r="AA194" s="121">
        <f t="shared" si="6"/>
        <v>1778.3999999999999</v>
      </c>
      <c r="AB194" s="121">
        <f t="shared" si="7"/>
        <v>936</v>
      </c>
      <c r="AC194" s="99">
        <f t="shared" si="8"/>
        <v>4680</v>
      </c>
      <c r="AD194" s="121">
        <f t="shared" si="9"/>
        <v>44085.599999999999</v>
      </c>
      <c r="AE194" s="99">
        <f t="shared" si="10"/>
        <v>42120</v>
      </c>
      <c r="AF194" s="121">
        <f t="shared" si="11"/>
        <v>440.85599999999999</v>
      </c>
      <c r="AG194" s="100">
        <f t="shared" si="28"/>
        <v>12444.743999999999</v>
      </c>
      <c r="AH194" s="101">
        <f t="shared" si="29"/>
        <v>10479.144</v>
      </c>
      <c r="AI194" s="102">
        <f t="shared" ref="AI194:AJ194" si="301">AG194/X194</f>
        <v>0.26591333333333333</v>
      </c>
      <c r="AJ194" s="102">
        <f t="shared" si="301"/>
        <v>0.22391333333333333</v>
      </c>
      <c r="AK194" s="103"/>
      <c r="AL194" s="104"/>
      <c r="AM194" s="17"/>
      <c r="AN194" s="17"/>
      <c r="AO194" s="17"/>
      <c r="AP194" s="17"/>
      <c r="AQ194" s="17"/>
      <c r="AR194" s="17"/>
      <c r="AS194" s="17"/>
      <c r="AT194" s="17"/>
      <c r="AU194" s="17"/>
      <c r="AV194" s="17"/>
      <c r="AW194" s="297"/>
    </row>
    <row r="195" spans="1:49" ht="13.2">
      <c r="A195" s="302"/>
      <c r="B195" s="266"/>
      <c r="C195" s="302"/>
      <c r="D195" s="117"/>
      <c r="E195" s="302"/>
      <c r="F195" s="168" t="s">
        <v>607</v>
      </c>
      <c r="G195" s="124" t="str">
        <f>HYPERLINK("https://www.amazon.com/dp/B07HGQDWV1/ref=emc_b_5_i?th=1","A")</f>
        <v>A</v>
      </c>
      <c r="H195" s="125"/>
      <c r="I195" s="125"/>
      <c r="J195" s="125">
        <v>14</v>
      </c>
      <c r="K195" s="170">
        <v>2</v>
      </c>
      <c r="L195" s="82">
        <v>8</v>
      </c>
      <c r="M195" s="82">
        <f t="shared" si="1"/>
        <v>0.90718399999999999</v>
      </c>
      <c r="N195" s="93">
        <v>0</v>
      </c>
      <c r="O195" s="93">
        <v>0</v>
      </c>
      <c r="P195" s="95">
        <f t="shared" si="2"/>
        <v>14</v>
      </c>
      <c r="Q195" s="96">
        <f>P195*C3</f>
        <v>17500</v>
      </c>
      <c r="R195" s="96">
        <v>0</v>
      </c>
      <c r="S195" s="97">
        <f t="shared" si="24"/>
        <v>17500</v>
      </c>
      <c r="T195" s="97">
        <f>ROUNDUP(HLOOKUP(ROUNDUP(K195,0),'배송비 조회'!A$10:U$22,7,0)*C$3,-2)</f>
        <v>11200</v>
      </c>
      <c r="U195" s="97">
        <v>0</v>
      </c>
      <c r="V195" s="97">
        <f t="shared" si="299"/>
        <v>14400</v>
      </c>
      <c r="W195" s="97">
        <f t="shared" si="264"/>
        <v>14400</v>
      </c>
      <c r="X195" s="98">
        <f t="shared" si="173"/>
        <v>43100</v>
      </c>
      <c r="Y195" s="98">
        <f t="shared" si="27"/>
        <v>43100</v>
      </c>
      <c r="Z195" s="121">
        <v>0</v>
      </c>
      <c r="AA195" s="121">
        <f t="shared" si="6"/>
        <v>1637.8</v>
      </c>
      <c r="AB195" s="121">
        <f t="shared" si="7"/>
        <v>862</v>
      </c>
      <c r="AC195" s="99">
        <f t="shared" si="8"/>
        <v>4310</v>
      </c>
      <c r="AD195" s="121">
        <f t="shared" si="9"/>
        <v>40600.199999999997</v>
      </c>
      <c r="AE195" s="99">
        <f t="shared" si="10"/>
        <v>38790</v>
      </c>
      <c r="AF195" s="121">
        <f t="shared" si="11"/>
        <v>406.00199999999995</v>
      </c>
      <c r="AG195" s="100">
        <f t="shared" si="28"/>
        <v>11494.197999999997</v>
      </c>
      <c r="AH195" s="101">
        <f t="shared" si="29"/>
        <v>9683.9979999999996</v>
      </c>
      <c r="AI195" s="102">
        <f t="shared" ref="AI195:AJ195" si="302">AG195/X195</f>
        <v>0.26668672853828301</v>
      </c>
      <c r="AJ195" s="102">
        <f t="shared" si="302"/>
        <v>0.22468672853828306</v>
      </c>
      <c r="AK195" s="103"/>
      <c r="AL195" s="104"/>
      <c r="AM195" s="17"/>
      <c r="AN195" s="17"/>
      <c r="AO195" s="17"/>
      <c r="AP195" s="17"/>
      <c r="AQ195" s="17"/>
      <c r="AR195" s="17"/>
      <c r="AS195" s="17"/>
      <c r="AT195" s="17"/>
      <c r="AU195" s="17"/>
      <c r="AV195" s="17"/>
      <c r="AW195" s="297"/>
    </row>
    <row r="196" spans="1:49" ht="13.2">
      <c r="A196" s="119">
        <f>HYPERLINK("https://smartstore.naver.com/brickstore2019/products/4630050577",AW:AW)</f>
        <v>4630050577</v>
      </c>
      <c r="B196" s="266"/>
      <c r="C196" s="117" t="s">
        <v>608</v>
      </c>
      <c r="D196" s="117"/>
      <c r="E196" s="117" t="s">
        <v>609</v>
      </c>
      <c r="F196" s="168"/>
      <c r="G196" s="124" t="str">
        <f>HYPERLINK("https://www.amazon.com/Rocketek-Aluminum-3-Port-Adapter-Reader/dp/B07KFWDKSR/ref=sr_1_7?crid=PU8M9FV6BOLI&amp;keywords=imac%2Baccessories&amp;qid=1565442693&amp;s=gateway&amp;sprefix=imac%2Bac%2Caps%2C370&amp;sr=8-7&amp;th=1","A")</f>
        <v>A</v>
      </c>
      <c r="H196" s="125"/>
      <c r="I196" s="125"/>
      <c r="J196" s="125">
        <v>29</v>
      </c>
      <c r="K196" s="82">
        <f t="shared" ref="K196:K214" si="303">IF(L196&gt;0,L196*0.0625,)</f>
        <v>0.1</v>
      </c>
      <c r="L196" s="82">
        <v>1.6</v>
      </c>
      <c r="M196" s="82">
        <f t="shared" si="1"/>
        <v>4.5359200000000002E-2</v>
      </c>
      <c r="N196" s="93">
        <v>0</v>
      </c>
      <c r="O196" s="93">
        <v>0</v>
      </c>
      <c r="P196" s="95">
        <f t="shared" si="2"/>
        <v>29</v>
      </c>
      <c r="Q196" s="96">
        <f>P196*C3</f>
        <v>36250</v>
      </c>
      <c r="R196" s="96">
        <v>0</v>
      </c>
      <c r="S196" s="97">
        <f t="shared" si="24"/>
        <v>36300</v>
      </c>
      <c r="T196" s="97">
        <f>ROUNDUP(HLOOKUP(ROUNDUP(K196,0),'배송비 조회'!A$10:U$22,7,0)*C$3,-2)</f>
        <v>9000</v>
      </c>
      <c r="U196" s="97">
        <v>0</v>
      </c>
      <c r="V196" s="97">
        <f>ROUND(IF(R196&gt;0,0,(S196+T196)*0.4),-2)</f>
        <v>18100</v>
      </c>
      <c r="W196" s="97">
        <f t="shared" si="264"/>
        <v>22700</v>
      </c>
      <c r="X196" s="98">
        <f t="shared" si="173"/>
        <v>63400</v>
      </c>
      <c r="Y196" s="98">
        <f t="shared" si="27"/>
        <v>68000</v>
      </c>
      <c r="Z196" s="121">
        <v>0</v>
      </c>
      <c r="AA196" s="121">
        <f t="shared" si="6"/>
        <v>2409.1999999999998</v>
      </c>
      <c r="AB196" s="121">
        <f t="shared" si="7"/>
        <v>1268</v>
      </c>
      <c r="AC196" s="99">
        <f t="shared" si="8"/>
        <v>6800</v>
      </c>
      <c r="AD196" s="121">
        <f t="shared" si="9"/>
        <v>59722.8</v>
      </c>
      <c r="AE196" s="99">
        <f t="shared" si="10"/>
        <v>61200</v>
      </c>
      <c r="AF196" s="121">
        <f t="shared" si="11"/>
        <v>597.22800000000007</v>
      </c>
      <c r="AG196" s="100">
        <f t="shared" si="28"/>
        <v>13875.572000000004</v>
      </c>
      <c r="AH196" s="101">
        <f t="shared" si="29"/>
        <v>15352.772000000001</v>
      </c>
      <c r="AI196" s="102">
        <f t="shared" ref="AI196:AJ196" si="304">AG196/X196</f>
        <v>0.21885760252365938</v>
      </c>
      <c r="AJ196" s="102">
        <f t="shared" si="304"/>
        <v>0.22577605882352941</v>
      </c>
      <c r="AK196" s="103"/>
      <c r="AL196" s="104"/>
      <c r="AM196" s="17"/>
      <c r="AN196" s="17"/>
      <c r="AO196" s="17"/>
      <c r="AP196" s="17"/>
      <c r="AQ196" s="17"/>
      <c r="AR196" s="17"/>
      <c r="AS196" s="17"/>
      <c r="AT196" s="17"/>
      <c r="AU196" s="17"/>
      <c r="AV196" s="17"/>
      <c r="AW196" s="22">
        <v>4630050577</v>
      </c>
    </row>
    <row r="197" spans="1:49" ht="13.2">
      <c r="A197" s="303">
        <f>HYPERLINK("https://smartstore.naver.com/brickstore2019/products/4630063847",AW:AW)</f>
        <v>4630063847</v>
      </c>
      <c r="B197" s="266"/>
      <c r="C197" s="304" t="s">
        <v>610</v>
      </c>
      <c r="D197" s="117"/>
      <c r="E197" s="304" t="s">
        <v>611</v>
      </c>
      <c r="F197" s="168" t="s">
        <v>135</v>
      </c>
      <c r="G197" s="124" t="str">
        <f>HYPERLINK("https://www.amazon.com/dp/B078859974/ref=twister_B07886N5CC?_encoding=UTF8&amp;psc=1","A")</f>
        <v>A</v>
      </c>
      <c r="H197" s="125"/>
      <c r="I197" s="125"/>
      <c r="J197" s="125">
        <v>37.49</v>
      </c>
      <c r="K197" s="82">
        <f t="shared" si="303"/>
        <v>0.22</v>
      </c>
      <c r="L197" s="82">
        <v>3.52</v>
      </c>
      <c r="M197" s="82">
        <f t="shared" si="1"/>
        <v>9.9790240000000002E-2</v>
      </c>
      <c r="N197" s="93">
        <v>0</v>
      </c>
      <c r="O197" s="93">
        <v>0</v>
      </c>
      <c r="P197" s="95">
        <f t="shared" si="2"/>
        <v>37.49</v>
      </c>
      <c r="Q197" s="96">
        <f>P197*C3</f>
        <v>46862.5</v>
      </c>
      <c r="R197" s="96">
        <v>0</v>
      </c>
      <c r="S197" s="97">
        <f t="shared" si="24"/>
        <v>46900</v>
      </c>
      <c r="T197" s="97">
        <f>ROUNDUP(HLOOKUP(ROUNDUP(K197,0),'배송비 조회'!A$10:U$22,7,0)*C$3,-2)</f>
        <v>9000</v>
      </c>
      <c r="U197" s="97">
        <v>0</v>
      </c>
      <c r="V197" s="97">
        <f t="shared" ref="V197:V198" si="305">ROUND(IF(R197&gt;0,0,(S197+T197)*0.3),-2)</f>
        <v>16800</v>
      </c>
      <c r="W197" s="97">
        <f t="shared" si="264"/>
        <v>28000</v>
      </c>
      <c r="X197" s="98">
        <f t="shared" si="173"/>
        <v>72700</v>
      </c>
      <c r="Y197" s="98">
        <f t="shared" si="27"/>
        <v>83900</v>
      </c>
      <c r="Z197" s="121">
        <v>0</v>
      </c>
      <c r="AA197" s="121">
        <f t="shared" si="6"/>
        <v>2762.6</v>
      </c>
      <c r="AB197" s="121">
        <f t="shared" si="7"/>
        <v>1454</v>
      </c>
      <c r="AC197" s="99">
        <f t="shared" si="8"/>
        <v>8390</v>
      </c>
      <c r="AD197" s="121">
        <f t="shared" si="9"/>
        <v>68483.399999999994</v>
      </c>
      <c r="AE197" s="99">
        <f t="shared" si="10"/>
        <v>75510</v>
      </c>
      <c r="AF197" s="121">
        <f t="shared" si="11"/>
        <v>684.83399999999995</v>
      </c>
      <c r="AG197" s="100">
        <f t="shared" si="28"/>
        <v>11936.065999999995</v>
      </c>
      <c r="AH197" s="101">
        <f t="shared" si="29"/>
        <v>18962.666000000001</v>
      </c>
      <c r="AI197" s="102">
        <f t="shared" ref="AI197:AJ197" si="306">AG197/X197</f>
        <v>0.1641824759284731</v>
      </c>
      <c r="AJ197" s="102">
        <f t="shared" si="306"/>
        <v>0.22601508939213349</v>
      </c>
      <c r="AK197" s="103"/>
      <c r="AL197" s="104"/>
      <c r="AM197" s="17"/>
      <c r="AN197" s="17"/>
      <c r="AO197" s="17"/>
      <c r="AP197" s="17"/>
      <c r="AQ197" s="17"/>
      <c r="AR197" s="17"/>
      <c r="AS197" s="17"/>
      <c r="AT197" s="17"/>
      <c r="AU197" s="17"/>
      <c r="AV197" s="17"/>
      <c r="AW197" s="296">
        <v>4630063847</v>
      </c>
    </row>
    <row r="198" spans="1:49" ht="13.2">
      <c r="A198" s="302"/>
      <c r="B198" s="266"/>
      <c r="C198" s="302"/>
      <c r="D198" s="117"/>
      <c r="E198" s="302"/>
      <c r="F198" s="168" t="s">
        <v>612</v>
      </c>
      <c r="G198" s="124" t="str">
        <f>HYPERLINK("https://www.amazon.com/Satechi-Aluminum-Type-C-Clamp-Reader/dp/B078853NCS/ref=sr_1_3?crid=PU8M9FV6BOLI&amp;keywords=imac%2Baccessories&amp;qid=1565442693&amp;s=gateway&amp;sprefix=imac%2Bac%2Caps%2C370&amp;sr=8-3&amp;th=1","A")</f>
        <v>A</v>
      </c>
      <c r="H198" s="125"/>
      <c r="I198" s="125"/>
      <c r="J198" s="125">
        <v>37.49</v>
      </c>
      <c r="K198" s="82">
        <f t="shared" si="303"/>
        <v>0.22</v>
      </c>
      <c r="L198" s="82">
        <v>3.52</v>
      </c>
      <c r="M198" s="82">
        <f t="shared" si="1"/>
        <v>9.9790240000000002E-2</v>
      </c>
      <c r="N198" s="93">
        <v>0</v>
      </c>
      <c r="O198" s="93">
        <v>0</v>
      </c>
      <c r="P198" s="95">
        <f t="shared" si="2"/>
        <v>37.49</v>
      </c>
      <c r="Q198" s="96">
        <f>P198*C$3</f>
        <v>46862.5</v>
      </c>
      <c r="R198" s="96">
        <v>0</v>
      </c>
      <c r="S198" s="97">
        <f t="shared" si="24"/>
        <v>46900</v>
      </c>
      <c r="T198" s="97">
        <f>ROUNDUP(HLOOKUP(ROUNDUP(K198,0),'배송비 조회'!A$10:U$22,7,0)*C$3,-2)</f>
        <v>9000</v>
      </c>
      <c r="U198" s="97">
        <v>0</v>
      </c>
      <c r="V198" s="97">
        <f t="shared" si="305"/>
        <v>16800</v>
      </c>
      <c r="W198" s="97">
        <f t="shared" si="264"/>
        <v>28000</v>
      </c>
      <c r="X198" s="98">
        <f t="shared" si="173"/>
        <v>72700</v>
      </c>
      <c r="Y198" s="98">
        <f t="shared" si="27"/>
        <v>83900</v>
      </c>
      <c r="Z198" s="121">
        <v>0</v>
      </c>
      <c r="AA198" s="121">
        <f t="shared" si="6"/>
        <v>2762.6</v>
      </c>
      <c r="AB198" s="121">
        <f t="shared" si="7"/>
        <v>1454</v>
      </c>
      <c r="AC198" s="99">
        <f t="shared" si="8"/>
        <v>8390</v>
      </c>
      <c r="AD198" s="121">
        <f t="shared" si="9"/>
        <v>68483.399999999994</v>
      </c>
      <c r="AE198" s="99">
        <f t="shared" si="10"/>
        <v>75510</v>
      </c>
      <c r="AF198" s="121">
        <f t="shared" si="11"/>
        <v>684.83399999999995</v>
      </c>
      <c r="AG198" s="100">
        <f t="shared" si="28"/>
        <v>11936.065999999995</v>
      </c>
      <c r="AH198" s="101">
        <f t="shared" si="29"/>
        <v>18962.666000000001</v>
      </c>
      <c r="AI198" s="102">
        <f t="shared" ref="AI198:AJ198" si="307">AG198/X198</f>
        <v>0.1641824759284731</v>
      </c>
      <c r="AJ198" s="102">
        <f t="shared" si="307"/>
        <v>0.22601508939213349</v>
      </c>
      <c r="AK198" s="103"/>
      <c r="AL198" s="104"/>
      <c r="AM198" s="17"/>
      <c r="AN198" s="17"/>
      <c r="AO198" s="17"/>
      <c r="AP198" s="17"/>
      <c r="AQ198" s="17"/>
      <c r="AR198" s="17"/>
      <c r="AS198" s="17"/>
      <c r="AT198" s="17"/>
      <c r="AU198" s="17"/>
      <c r="AV198" s="17"/>
      <c r="AW198" s="297"/>
    </row>
    <row r="199" spans="1:49" ht="13.2">
      <c r="A199" s="105">
        <f>HYPERLINK("https://smartstore.naver.com/brickstore2019/products/4630067993",AW:AW)</f>
        <v>4630067993</v>
      </c>
      <c r="B199" s="263"/>
      <c r="C199" s="107" t="s">
        <v>613</v>
      </c>
      <c r="D199" s="107"/>
      <c r="E199" s="107" t="s">
        <v>614</v>
      </c>
      <c r="F199" s="174"/>
      <c r="G199" s="259" t="s">
        <v>1293</v>
      </c>
      <c r="J199" s="125">
        <v>8</v>
      </c>
      <c r="K199" s="82">
        <f t="shared" si="303"/>
        <v>0.75</v>
      </c>
      <c r="L199" s="82">
        <v>12</v>
      </c>
      <c r="M199" s="82">
        <f t="shared" si="1"/>
        <v>0.340194</v>
      </c>
      <c r="N199" s="93">
        <v>0</v>
      </c>
      <c r="O199" s="93">
        <v>0</v>
      </c>
      <c r="P199" s="95">
        <f t="shared" si="2"/>
        <v>8</v>
      </c>
      <c r="Q199" s="96">
        <f>P199*C3</f>
        <v>10000</v>
      </c>
      <c r="R199" s="96">
        <v>0</v>
      </c>
      <c r="S199" s="97">
        <f t="shared" si="24"/>
        <v>10000</v>
      </c>
      <c r="T199" s="97">
        <f>ROUNDUP(HLOOKUP(ROUNDUP(K199,0),'배송비 조회'!A$10:U$22,7,0)*C$3,-2)</f>
        <v>9000</v>
      </c>
      <c r="U199" s="97">
        <v>0</v>
      </c>
      <c r="V199" s="97">
        <f>ROUND(IF(R199&gt;0,0,(S199+T199)*0.6),-2)</f>
        <v>11400</v>
      </c>
      <c r="W199" s="97">
        <f t="shared" si="264"/>
        <v>9500</v>
      </c>
      <c r="X199" s="98">
        <f t="shared" si="173"/>
        <v>30400</v>
      </c>
      <c r="Y199" s="98">
        <f t="shared" si="27"/>
        <v>28500</v>
      </c>
      <c r="Z199" s="121">
        <v>0</v>
      </c>
      <c r="AA199" s="121">
        <f t="shared" si="6"/>
        <v>1155.2</v>
      </c>
      <c r="AB199" s="121">
        <f t="shared" si="7"/>
        <v>608</v>
      </c>
      <c r="AC199" s="99">
        <f t="shared" si="8"/>
        <v>2850</v>
      </c>
      <c r="AD199" s="121">
        <f t="shared" si="9"/>
        <v>28636.799999999999</v>
      </c>
      <c r="AE199" s="99">
        <f t="shared" si="10"/>
        <v>25650</v>
      </c>
      <c r="AF199" s="121">
        <f t="shared" si="11"/>
        <v>286.36799999999999</v>
      </c>
      <c r="AG199" s="100">
        <f t="shared" si="28"/>
        <v>9350.4320000000007</v>
      </c>
      <c r="AH199" s="101">
        <f t="shared" si="29"/>
        <v>6363.6319999999996</v>
      </c>
      <c r="AI199" s="102">
        <f t="shared" ref="AI199:AJ199" si="308">AG199/X199</f>
        <v>0.30758000000000002</v>
      </c>
      <c r="AJ199" s="102">
        <f t="shared" si="308"/>
        <v>0.22328533333333331</v>
      </c>
      <c r="AK199" s="103"/>
      <c r="AL199" s="104"/>
      <c r="AM199" s="17"/>
      <c r="AN199" s="17"/>
      <c r="AO199" s="17"/>
      <c r="AP199" s="17"/>
      <c r="AQ199" s="17"/>
      <c r="AR199" s="17"/>
      <c r="AS199" s="17"/>
      <c r="AT199" s="17"/>
      <c r="AU199" s="17"/>
      <c r="AV199" s="17"/>
      <c r="AW199" s="22">
        <v>4630067993</v>
      </c>
    </row>
    <row r="200" spans="1:49" ht="13.2">
      <c r="A200" s="328">
        <f>HYPERLINK("https://smartstore.naver.com/brickstore2019/products/4630096142",AW:AW)</f>
        <v>4630096142</v>
      </c>
      <c r="B200" s="265"/>
      <c r="C200" s="330" t="s">
        <v>615</v>
      </c>
      <c r="D200" s="116"/>
      <c r="E200" s="327" t="s">
        <v>616</v>
      </c>
      <c r="F200" s="175" t="s">
        <v>599</v>
      </c>
      <c r="G200" s="124" t="str">
        <f>HYPERLINK("https://www.amazon.com/dp/B07HGSZWSG/ref=emc_b_5_i?th=1","A")</f>
        <v>A</v>
      </c>
      <c r="H200" s="125"/>
      <c r="I200" s="125"/>
      <c r="J200" s="125">
        <v>27</v>
      </c>
      <c r="K200" s="82">
        <f t="shared" si="303"/>
        <v>0.76249999999999996</v>
      </c>
      <c r="L200" s="82">
        <v>12.2</v>
      </c>
      <c r="M200" s="82">
        <f t="shared" si="1"/>
        <v>0.3458639</v>
      </c>
      <c r="N200" s="93">
        <v>0</v>
      </c>
      <c r="O200" s="93">
        <v>0</v>
      </c>
      <c r="P200" s="95">
        <f t="shared" si="2"/>
        <v>27</v>
      </c>
      <c r="Q200" s="96">
        <f>P200*C3</f>
        <v>33750</v>
      </c>
      <c r="R200" s="96">
        <v>0</v>
      </c>
      <c r="S200" s="97">
        <f t="shared" si="24"/>
        <v>33800</v>
      </c>
      <c r="T200" s="97">
        <f>ROUNDUP(HLOOKUP(ROUNDUP(K200,0),'배송비 조회'!A$10:U$22,7,0)*C$3,-2)</f>
        <v>9000</v>
      </c>
      <c r="U200" s="97">
        <v>0</v>
      </c>
      <c r="V200" s="97">
        <f t="shared" ref="V200:V204" si="309">ROUND(IF(R200&gt;0,0,(S200+T200)*0.4),-2)</f>
        <v>17100</v>
      </c>
      <c r="W200" s="97">
        <f t="shared" si="264"/>
        <v>21400</v>
      </c>
      <c r="X200" s="98">
        <f t="shared" si="173"/>
        <v>59900</v>
      </c>
      <c r="Y200" s="98">
        <f t="shared" si="27"/>
        <v>64200</v>
      </c>
      <c r="Z200" s="121">
        <v>0</v>
      </c>
      <c r="AA200" s="121">
        <f t="shared" si="6"/>
        <v>2276.1999999999998</v>
      </c>
      <c r="AB200" s="121">
        <f t="shared" si="7"/>
        <v>1198</v>
      </c>
      <c r="AC200" s="99">
        <f t="shared" si="8"/>
        <v>6420</v>
      </c>
      <c r="AD200" s="121">
        <f t="shared" si="9"/>
        <v>56425.8</v>
      </c>
      <c r="AE200" s="99">
        <f t="shared" si="10"/>
        <v>57780</v>
      </c>
      <c r="AF200" s="121">
        <f t="shared" si="11"/>
        <v>564.25800000000004</v>
      </c>
      <c r="AG200" s="100">
        <f t="shared" si="28"/>
        <v>13111.542000000001</v>
      </c>
      <c r="AH200" s="101">
        <f t="shared" si="29"/>
        <v>14465.741999999998</v>
      </c>
      <c r="AI200" s="102">
        <f t="shared" ref="AI200:AJ200" si="310">AG200/X200</f>
        <v>0.21889051752921537</v>
      </c>
      <c r="AJ200" s="102">
        <f t="shared" si="310"/>
        <v>0.22532308411214952</v>
      </c>
      <c r="AK200" s="103"/>
      <c r="AL200" s="104"/>
      <c r="AM200" s="17"/>
      <c r="AN200" s="17"/>
      <c r="AO200" s="17"/>
      <c r="AP200" s="17"/>
      <c r="AQ200" s="17"/>
      <c r="AR200" s="17"/>
      <c r="AS200" s="17"/>
      <c r="AT200" s="17"/>
      <c r="AU200" s="17"/>
      <c r="AV200" s="17"/>
      <c r="AW200" s="299">
        <v>4630096142</v>
      </c>
    </row>
    <row r="201" spans="1:49" ht="13.2">
      <c r="A201" s="302"/>
      <c r="B201" s="265"/>
      <c r="C201" s="302"/>
      <c r="D201" s="116"/>
      <c r="E201" s="302"/>
      <c r="F201" s="175" t="s">
        <v>593</v>
      </c>
      <c r="G201" s="124" t="str">
        <f>HYPERLINK("https://www.amazon.com/dp/B07HGQDWVF/ref=twister_B07ND6DXM3?_encoding=UTF8&amp;psc=1","A")</f>
        <v>A</v>
      </c>
      <c r="H201" s="125"/>
      <c r="I201" s="125"/>
      <c r="J201" s="125">
        <v>27</v>
      </c>
      <c r="K201" s="82">
        <f t="shared" si="303"/>
        <v>0.76249999999999996</v>
      </c>
      <c r="L201" s="82">
        <v>12.2</v>
      </c>
      <c r="M201" s="82">
        <f t="shared" si="1"/>
        <v>0.3458639</v>
      </c>
      <c r="N201" s="93">
        <v>0</v>
      </c>
      <c r="O201" s="93">
        <v>0</v>
      </c>
      <c r="P201" s="95">
        <f t="shared" si="2"/>
        <v>27</v>
      </c>
      <c r="Q201" s="96">
        <f>P201*C3</f>
        <v>33750</v>
      </c>
      <c r="R201" s="96">
        <v>0</v>
      </c>
      <c r="S201" s="97">
        <f t="shared" si="24"/>
        <v>33800</v>
      </c>
      <c r="T201" s="97">
        <f>ROUNDUP(HLOOKUP(ROUNDUP(K201,0),'배송비 조회'!A$10:U$22,7,0)*C$3,-2)</f>
        <v>9000</v>
      </c>
      <c r="U201" s="97">
        <v>0</v>
      </c>
      <c r="V201" s="97">
        <f t="shared" si="309"/>
        <v>17100</v>
      </c>
      <c r="W201" s="97">
        <f t="shared" si="264"/>
        <v>21400</v>
      </c>
      <c r="X201" s="98">
        <f t="shared" si="173"/>
        <v>59900</v>
      </c>
      <c r="Y201" s="98">
        <f t="shared" si="27"/>
        <v>64200</v>
      </c>
      <c r="Z201" s="121">
        <v>0</v>
      </c>
      <c r="AA201" s="121">
        <f t="shared" si="6"/>
        <v>2276.1999999999998</v>
      </c>
      <c r="AB201" s="121">
        <f t="shared" si="7"/>
        <v>1198</v>
      </c>
      <c r="AC201" s="99">
        <f t="shared" si="8"/>
        <v>6420</v>
      </c>
      <c r="AD201" s="121">
        <f t="shared" si="9"/>
        <v>56425.8</v>
      </c>
      <c r="AE201" s="99">
        <f t="shared" si="10"/>
        <v>57780</v>
      </c>
      <c r="AF201" s="121">
        <f t="shared" si="11"/>
        <v>564.25800000000004</v>
      </c>
      <c r="AG201" s="100">
        <f t="shared" si="28"/>
        <v>13111.542000000001</v>
      </c>
      <c r="AH201" s="101">
        <f t="shared" si="29"/>
        <v>14465.741999999998</v>
      </c>
      <c r="AI201" s="102">
        <f t="shared" ref="AI201:AJ201" si="311">AG201/X201</f>
        <v>0.21889051752921537</v>
      </c>
      <c r="AJ201" s="102">
        <f t="shared" si="311"/>
        <v>0.22532308411214952</v>
      </c>
      <c r="AK201" s="103"/>
      <c r="AL201" s="104"/>
      <c r="AM201" s="17"/>
      <c r="AN201" s="17"/>
      <c r="AO201" s="17"/>
      <c r="AP201" s="17"/>
      <c r="AQ201" s="17"/>
      <c r="AR201" s="17"/>
      <c r="AS201" s="17"/>
      <c r="AT201" s="17"/>
      <c r="AU201" s="17"/>
      <c r="AV201" s="17"/>
      <c r="AW201" s="297"/>
    </row>
    <row r="202" spans="1:49" ht="13.2">
      <c r="A202" s="302"/>
      <c r="B202" s="265"/>
      <c r="C202" s="302"/>
      <c r="D202" s="116"/>
      <c r="E202" s="302"/>
      <c r="F202" s="175" t="s">
        <v>98</v>
      </c>
      <c r="G202" s="124" t="str">
        <f>HYPERLINK("https://www.amazon.com/dp/B07HGR3S57/ref=twister_B07ND6DXM3?_encoding=UTF8&amp;psc=1","A")</f>
        <v>A</v>
      </c>
      <c r="H202" s="125"/>
      <c r="I202" s="125"/>
      <c r="J202" s="125">
        <v>27</v>
      </c>
      <c r="K202" s="82">
        <f t="shared" si="303"/>
        <v>0.76249999999999996</v>
      </c>
      <c r="L202" s="82">
        <v>12.2</v>
      </c>
      <c r="M202" s="82">
        <f t="shared" si="1"/>
        <v>0.3458639</v>
      </c>
      <c r="N202" s="93">
        <v>0</v>
      </c>
      <c r="O202" s="93">
        <v>0</v>
      </c>
      <c r="P202" s="95">
        <f t="shared" si="2"/>
        <v>27</v>
      </c>
      <c r="Q202" s="96">
        <f>P202*C3</f>
        <v>33750</v>
      </c>
      <c r="R202" s="96">
        <v>0</v>
      </c>
      <c r="S202" s="97">
        <f t="shared" si="24"/>
        <v>33800</v>
      </c>
      <c r="T202" s="97">
        <f>ROUNDUP(HLOOKUP(ROUNDUP(K202,0),'배송비 조회'!A$10:U$22,7,0)*C$3,-2)</f>
        <v>9000</v>
      </c>
      <c r="U202" s="97">
        <v>0</v>
      </c>
      <c r="V202" s="97">
        <f t="shared" si="309"/>
        <v>17100</v>
      </c>
      <c r="W202" s="97">
        <f t="shared" si="264"/>
        <v>21400</v>
      </c>
      <c r="X202" s="98">
        <f t="shared" si="173"/>
        <v>59900</v>
      </c>
      <c r="Y202" s="98">
        <f t="shared" si="27"/>
        <v>64200</v>
      </c>
      <c r="Z202" s="121">
        <v>0</v>
      </c>
      <c r="AA202" s="121">
        <f t="shared" si="6"/>
        <v>2276.1999999999998</v>
      </c>
      <c r="AB202" s="121">
        <f t="shared" si="7"/>
        <v>1198</v>
      </c>
      <c r="AC202" s="99">
        <f t="shared" si="8"/>
        <v>6420</v>
      </c>
      <c r="AD202" s="121">
        <f t="shared" si="9"/>
        <v>56425.8</v>
      </c>
      <c r="AE202" s="99">
        <f t="shared" si="10"/>
        <v>57780</v>
      </c>
      <c r="AF202" s="121">
        <f t="shared" si="11"/>
        <v>564.25800000000004</v>
      </c>
      <c r="AG202" s="100">
        <f t="shared" si="28"/>
        <v>13111.542000000001</v>
      </c>
      <c r="AH202" s="101">
        <f t="shared" si="29"/>
        <v>14465.741999999998</v>
      </c>
      <c r="AI202" s="102">
        <f t="shared" ref="AI202:AJ202" si="312">AG202/X202</f>
        <v>0.21889051752921537</v>
      </c>
      <c r="AJ202" s="102">
        <f t="shared" si="312"/>
        <v>0.22532308411214952</v>
      </c>
      <c r="AK202" s="103"/>
      <c r="AL202" s="104"/>
      <c r="AM202" s="17"/>
      <c r="AN202" s="17"/>
      <c r="AO202" s="17"/>
      <c r="AP202" s="17"/>
      <c r="AQ202" s="17"/>
      <c r="AR202" s="17"/>
      <c r="AS202" s="17"/>
      <c r="AT202" s="17"/>
      <c r="AU202" s="17"/>
      <c r="AV202" s="17"/>
      <c r="AW202" s="297"/>
    </row>
    <row r="203" spans="1:49" ht="13.2">
      <c r="A203" s="302"/>
      <c r="B203" s="265"/>
      <c r="C203" s="302"/>
      <c r="D203" s="116"/>
      <c r="E203" s="302"/>
      <c r="F203" s="123" t="s">
        <v>118</v>
      </c>
      <c r="G203" s="124" t="str">
        <f>HYPERLINK("https://www.amazon.com/dp/B07HGR8L83/ref=twister_B07ND6DXM3?_encoding=UTF8&amp;th=1","A")</f>
        <v>A</v>
      </c>
      <c r="H203" s="125"/>
      <c r="I203" s="125"/>
      <c r="J203" s="125">
        <v>27</v>
      </c>
      <c r="K203" s="82">
        <f t="shared" si="303"/>
        <v>0.76249999999999996</v>
      </c>
      <c r="L203" s="82">
        <v>12.2</v>
      </c>
      <c r="M203" s="82">
        <f t="shared" si="1"/>
        <v>0.3458639</v>
      </c>
      <c r="N203" s="93">
        <v>0</v>
      </c>
      <c r="O203" s="93">
        <v>0</v>
      </c>
      <c r="P203" s="95">
        <f t="shared" si="2"/>
        <v>27</v>
      </c>
      <c r="Q203" s="96">
        <f>P203*C3</f>
        <v>33750</v>
      </c>
      <c r="R203" s="96">
        <v>0</v>
      </c>
      <c r="S203" s="97">
        <f t="shared" si="24"/>
        <v>33800</v>
      </c>
      <c r="T203" s="97">
        <f>ROUNDUP(HLOOKUP(ROUNDUP(K203,0),'배송비 조회'!A$10:U$22,7,0)*C$3,-2)</f>
        <v>9000</v>
      </c>
      <c r="U203" s="97">
        <v>0</v>
      </c>
      <c r="V203" s="97">
        <f t="shared" si="309"/>
        <v>17100</v>
      </c>
      <c r="W203" s="97">
        <f t="shared" si="264"/>
        <v>21400</v>
      </c>
      <c r="X203" s="98">
        <f t="shared" si="173"/>
        <v>59900</v>
      </c>
      <c r="Y203" s="98">
        <f t="shared" si="27"/>
        <v>64200</v>
      </c>
      <c r="Z203" s="121">
        <v>0</v>
      </c>
      <c r="AA203" s="121">
        <f t="shared" si="6"/>
        <v>2276.1999999999998</v>
      </c>
      <c r="AB203" s="121">
        <f t="shared" si="7"/>
        <v>1198</v>
      </c>
      <c r="AC203" s="99">
        <f t="shared" si="8"/>
        <v>6420</v>
      </c>
      <c r="AD203" s="121">
        <f t="shared" si="9"/>
        <v>56425.8</v>
      </c>
      <c r="AE203" s="99">
        <f t="shared" si="10"/>
        <v>57780</v>
      </c>
      <c r="AF203" s="121">
        <f t="shared" si="11"/>
        <v>564.25800000000004</v>
      </c>
      <c r="AG203" s="100">
        <f t="shared" si="28"/>
        <v>13111.542000000001</v>
      </c>
      <c r="AH203" s="101">
        <f t="shared" si="29"/>
        <v>14465.741999999998</v>
      </c>
      <c r="AI203" s="102">
        <f t="shared" ref="AI203:AJ203" si="313">AG203/X203</f>
        <v>0.21889051752921537</v>
      </c>
      <c r="AJ203" s="102">
        <f t="shared" si="313"/>
        <v>0.22532308411214952</v>
      </c>
      <c r="AK203" s="103"/>
      <c r="AL203" s="104"/>
      <c r="AM203" s="17"/>
      <c r="AN203" s="17"/>
      <c r="AO203" s="17"/>
      <c r="AP203" s="17"/>
      <c r="AQ203" s="17"/>
      <c r="AR203" s="17"/>
      <c r="AS203" s="17"/>
      <c r="AT203" s="17"/>
      <c r="AU203" s="17"/>
      <c r="AV203" s="17"/>
      <c r="AW203" s="297"/>
    </row>
    <row r="204" spans="1:49" ht="13.2">
      <c r="A204" s="303">
        <f>HYPERLINK("https://smartstore.naver.com/brickstore2019/products/4630812281",AW:AW)</f>
        <v>4630812281</v>
      </c>
      <c r="B204" s="266"/>
      <c r="C204" s="304" t="s">
        <v>617</v>
      </c>
      <c r="D204" s="117"/>
      <c r="E204" s="304" t="s">
        <v>618</v>
      </c>
      <c r="F204" s="91" t="s">
        <v>619</v>
      </c>
      <c r="G204" s="92" t="str">
        <f>HYPERLINK("https://www.amazon.com/Coleman-Sundome-6-Person-Dome-Tent/dp/B019N9W93O/ref=sr_1_5?keywords=Coleman+Sundome+4-Person+Tent&amp;qid=1567609482&amp;s=sporting-goods&amp;sr=1-5","A")</f>
        <v>A</v>
      </c>
      <c r="H204" s="93"/>
      <c r="I204" s="93"/>
      <c r="J204" s="93">
        <v>64</v>
      </c>
      <c r="K204" s="94">
        <f t="shared" si="303"/>
        <v>0.65625</v>
      </c>
      <c r="L204" s="94">
        <v>10.5</v>
      </c>
      <c r="M204" s="94">
        <f t="shared" si="1"/>
        <v>0.29766975000000001</v>
      </c>
      <c r="N204" s="93">
        <v>0</v>
      </c>
      <c r="O204" s="93">
        <v>0</v>
      </c>
      <c r="P204" s="95">
        <f t="shared" si="2"/>
        <v>64</v>
      </c>
      <c r="Q204" s="96">
        <f>P204*C3</f>
        <v>80000</v>
      </c>
      <c r="R204" s="96">
        <v>0</v>
      </c>
      <c r="S204" s="97">
        <f t="shared" si="24"/>
        <v>80000</v>
      </c>
      <c r="T204" s="97">
        <f>ROUNDUP(HLOOKUP(ROUNDUP(K204,0),'배송비 조회'!A$10:U$22,7,0)*C$3,-2)</f>
        <v>9000</v>
      </c>
      <c r="U204" s="97">
        <v>0</v>
      </c>
      <c r="V204" s="97">
        <f t="shared" si="309"/>
        <v>35600</v>
      </c>
      <c r="W204" s="97">
        <f t="shared" si="264"/>
        <v>44500</v>
      </c>
      <c r="X204" s="98">
        <f t="shared" si="173"/>
        <v>124600</v>
      </c>
      <c r="Y204" s="98">
        <f t="shared" si="27"/>
        <v>133500</v>
      </c>
      <c r="Z204" s="121">
        <v>0</v>
      </c>
      <c r="AA204" s="121">
        <f t="shared" si="6"/>
        <v>4734.8</v>
      </c>
      <c r="AB204" s="121">
        <f t="shared" si="7"/>
        <v>2492</v>
      </c>
      <c r="AC204" s="99">
        <f t="shared" si="8"/>
        <v>13350</v>
      </c>
      <c r="AD204" s="121">
        <f t="shared" si="9"/>
        <v>117373.2</v>
      </c>
      <c r="AE204" s="99">
        <f t="shared" si="10"/>
        <v>120150</v>
      </c>
      <c r="AF204" s="121">
        <f t="shared" si="11"/>
        <v>1173.732</v>
      </c>
      <c r="AG204" s="100">
        <f t="shared" si="28"/>
        <v>27199.467999999993</v>
      </c>
      <c r="AH204" s="101">
        <f t="shared" si="29"/>
        <v>29976.267999999996</v>
      </c>
      <c r="AI204" s="102">
        <f t="shared" ref="AI204:AJ204" si="314">AG204/X204</f>
        <v>0.21829428571428566</v>
      </c>
      <c r="AJ204" s="102">
        <f t="shared" si="314"/>
        <v>0.22454133333333332</v>
      </c>
      <c r="AK204" s="103">
        <f>X204-X205</f>
        <v>17000</v>
      </c>
      <c r="AL204" s="104"/>
      <c r="AM204" s="17"/>
      <c r="AN204" s="17"/>
      <c r="AO204" s="17"/>
      <c r="AP204" s="17"/>
      <c r="AQ204" s="17"/>
      <c r="AR204" s="17"/>
      <c r="AS204" s="17"/>
      <c r="AT204" s="17"/>
      <c r="AU204" s="17"/>
      <c r="AV204" s="17"/>
      <c r="AW204" s="296">
        <v>4630812281</v>
      </c>
    </row>
    <row r="205" spans="1:49" ht="13.2">
      <c r="A205" s="302"/>
      <c r="B205" s="266"/>
      <c r="C205" s="302"/>
      <c r="D205" s="117"/>
      <c r="E205" s="302"/>
      <c r="F205" s="123" t="s">
        <v>53</v>
      </c>
      <c r="G205" s="124" t="str">
        <f>HYPERLINK("https://www.amazon.com/Coleman-4-Person-Camping-Sundome-Setup/dp/B004J2GUOU?ref_=s9_acss_bw_cg_ORHarOut_1b1_w&amp;th=1&amp;psc=1","A")</f>
        <v>A</v>
      </c>
      <c r="H205" s="125"/>
      <c r="I205" s="125"/>
      <c r="J205" s="172">
        <v>59</v>
      </c>
      <c r="K205" s="82">
        <f t="shared" si="303"/>
        <v>0.65625</v>
      </c>
      <c r="L205" s="82">
        <v>10.5</v>
      </c>
      <c r="M205" s="82">
        <f t="shared" si="1"/>
        <v>0.29766975000000001</v>
      </c>
      <c r="N205" s="93">
        <v>0</v>
      </c>
      <c r="O205" s="93">
        <v>0</v>
      </c>
      <c r="P205" s="95">
        <f t="shared" si="2"/>
        <v>59</v>
      </c>
      <c r="Q205" s="96">
        <f>P205*C3</f>
        <v>73750</v>
      </c>
      <c r="R205" s="96">
        <v>0</v>
      </c>
      <c r="S205" s="97">
        <f t="shared" si="24"/>
        <v>73800</v>
      </c>
      <c r="T205" s="97">
        <f>ROUNDUP(HLOOKUP(ROUNDUP(K205,0),'배송비 조회'!A$10:U$22,7,0)*C$3,-2)</f>
        <v>9000</v>
      </c>
      <c r="U205" s="97">
        <v>0</v>
      </c>
      <c r="V205" s="97">
        <f>ROUND(IF(R205&gt;0,0,(S205+T205)*0.3),-2)</f>
        <v>24800</v>
      </c>
      <c r="W205" s="97">
        <f t="shared" si="264"/>
        <v>41400</v>
      </c>
      <c r="X205" s="98">
        <f t="shared" si="173"/>
        <v>107600</v>
      </c>
      <c r="Y205" s="98">
        <f t="shared" si="27"/>
        <v>124200</v>
      </c>
      <c r="Z205" s="121">
        <v>0</v>
      </c>
      <c r="AA205" s="121">
        <f t="shared" si="6"/>
        <v>4088.7999999999997</v>
      </c>
      <c r="AB205" s="121">
        <f t="shared" si="7"/>
        <v>2152</v>
      </c>
      <c r="AC205" s="99">
        <f t="shared" si="8"/>
        <v>12420</v>
      </c>
      <c r="AD205" s="121">
        <f t="shared" si="9"/>
        <v>101359.2</v>
      </c>
      <c r="AE205" s="99">
        <f t="shared" si="10"/>
        <v>111780</v>
      </c>
      <c r="AF205" s="121">
        <f t="shared" si="11"/>
        <v>1013.592</v>
      </c>
      <c r="AG205" s="100">
        <f t="shared" si="28"/>
        <v>17595.607999999997</v>
      </c>
      <c r="AH205" s="101">
        <f t="shared" si="29"/>
        <v>28016.408000000003</v>
      </c>
      <c r="AI205" s="102">
        <f t="shared" ref="AI205:AJ205" si="315">AG205/X205</f>
        <v>0.16352795539033455</v>
      </c>
      <c r="AJ205" s="102">
        <f t="shared" si="315"/>
        <v>0.22557494363929148</v>
      </c>
      <c r="AK205" s="103">
        <f>X204-X205</f>
        <v>17000</v>
      </c>
      <c r="AL205" s="104"/>
      <c r="AM205" s="17"/>
      <c r="AN205" s="17"/>
      <c r="AO205" s="17"/>
      <c r="AP205" s="17"/>
      <c r="AQ205" s="17"/>
      <c r="AR205" s="17"/>
      <c r="AS205" s="17"/>
      <c r="AT205" s="17"/>
      <c r="AU205" s="17"/>
      <c r="AV205" s="17"/>
      <c r="AW205" s="297"/>
    </row>
    <row r="206" spans="1:49" ht="13.2">
      <c r="A206" s="119">
        <f>HYPERLINK("https://smartstore.naver.com/brickstore2019/products/4632369847",AW:AW)</f>
        <v>4632369847</v>
      </c>
      <c r="B206" s="266"/>
      <c r="C206" s="117" t="s">
        <v>620</v>
      </c>
      <c r="D206" s="117"/>
      <c r="E206" s="117" t="s">
        <v>621</v>
      </c>
      <c r="F206" s="168"/>
      <c r="G206" s="124" t="str">
        <f>HYPERLINK("https://www.amazon.com/Audirex-Laptop-Tablet-Sleeve-Handbag/dp/B074DMYX81/ref=sr_1_73?crid=AJ0640OO374T&amp;keywords=surface%2Bpro%2B6&amp;qid=1565445563&amp;refinements=p_72%3A1248879011&amp;rnid=1248877011&amp;s=pc&amp;sprefix=surface%2Caps%2C378&amp;sr=1-73&amp;th=1","A")</f>
        <v>A</v>
      </c>
      <c r="H206" s="125"/>
      <c r="I206" s="125"/>
      <c r="J206" s="125">
        <v>18</v>
      </c>
      <c r="K206" s="82">
        <f t="shared" si="303"/>
        <v>0.6</v>
      </c>
      <c r="L206" s="82">
        <v>9.6</v>
      </c>
      <c r="M206" s="82">
        <f t="shared" si="1"/>
        <v>0.27215519999999999</v>
      </c>
      <c r="N206" s="93">
        <v>0</v>
      </c>
      <c r="O206" s="93">
        <v>0</v>
      </c>
      <c r="P206" s="95">
        <f t="shared" si="2"/>
        <v>18</v>
      </c>
      <c r="Q206" s="96">
        <f>P206*C3</f>
        <v>22500</v>
      </c>
      <c r="R206" s="96">
        <v>0</v>
      </c>
      <c r="S206" s="97">
        <f t="shared" si="24"/>
        <v>22500</v>
      </c>
      <c r="T206" s="97">
        <f>ROUNDUP(HLOOKUP(ROUNDUP(K206,0),'배송비 조회'!A$10:U$22,7,0)*C$3,-2)</f>
        <v>9000</v>
      </c>
      <c r="U206" s="97">
        <v>0</v>
      </c>
      <c r="V206" s="97">
        <f t="shared" ref="V206:V208" si="316">ROUND(IF(R206&gt;0,0,(S206+T206)*0.5),-2)</f>
        <v>15800</v>
      </c>
      <c r="W206" s="97">
        <f t="shared" si="264"/>
        <v>15800</v>
      </c>
      <c r="X206" s="98">
        <f t="shared" si="173"/>
        <v>47300</v>
      </c>
      <c r="Y206" s="98">
        <f t="shared" si="27"/>
        <v>47300</v>
      </c>
      <c r="Z206" s="121">
        <v>0</v>
      </c>
      <c r="AA206" s="121">
        <f t="shared" si="6"/>
        <v>1797.3999999999999</v>
      </c>
      <c r="AB206" s="121">
        <f t="shared" si="7"/>
        <v>946</v>
      </c>
      <c r="AC206" s="99">
        <f t="shared" si="8"/>
        <v>4730</v>
      </c>
      <c r="AD206" s="121">
        <f t="shared" si="9"/>
        <v>44556.6</v>
      </c>
      <c r="AE206" s="99">
        <f t="shared" si="10"/>
        <v>42570</v>
      </c>
      <c r="AF206" s="121">
        <f t="shared" si="11"/>
        <v>445.56599999999997</v>
      </c>
      <c r="AG206" s="100">
        <f t="shared" si="28"/>
        <v>12611.034</v>
      </c>
      <c r="AH206" s="101">
        <f t="shared" si="29"/>
        <v>10624.434000000001</v>
      </c>
      <c r="AI206" s="102">
        <f t="shared" ref="AI206:AJ206" si="317">AG206/X206</f>
        <v>0.2666180549682875</v>
      </c>
      <c r="AJ206" s="102">
        <f t="shared" si="317"/>
        <v>0.22461805496828754</v>
      </c>
      <c r="AK206" s="103"/>
      <c r="AL206" s="104"/>
      <c r="AM206" s="17"/>
      <c r="AN206" s="17"/>
      <c r="AO206" s="17"/>
      <c r="AP206" s="17"/>
      <c r="AQ206" s="17"/>
      <c r="AR206" s="17"/>
      <c r="AS206" s="17"/>
      <c r="AT206" s="17"/>
      <c r="AU206" s="17"/>
      <c r="AV206" s="17"/>
      <c r="AW206" s="22">
        <v>4632369847</v>
      </c>
    </row>
    <row r="207" spans="1:49" ht="13.2">
      <c r="A207" s="303">
        <f>HYPERLINK("https://smartstore.naver.com/brickstore2019/products/4632386352",AW:AW)</f>
        <v>4632386352</v>
      </c>
      <c r="B207" s="305"/>
      <c r="C207" s="304" t="s">
        <v>622</v>
      </c>
      <c r="D207" s="304"/>
      <c r="E207" s="304" t="s">
        <v>623</v>
      </c>
      <c r="F207" s="168" t="s">
        <v>624</v>
      </c>
      <c r="G207" s="218" t="s">
        <v>1293</v>
      </c>
      <c r="J207" s="125">
        <v>19</v>
      </c>
      <c r="K207" s="82">
        <f t="shared" si="303"/>
        <v>0.56874999999999998</v>
      </c>
      <c r="L207" s="82">
        <v>9.1</v>
      </c>
      <c r="M207" s="82">
        <f t="shared" si="1"/>
        <v>0.25798044999999997</v>
      </c>
      <c r="N207" s="93">
        <v>0</v>
      </c>
      <c r="O207" s="93">
        <v>0</v>
      </c>
      <c r="P207" s="95">
        <f t="shared" si="2"/>
        <v>19</v>
      </c>
      <c r="Q207" s="96">
        <f>P207*C3</f>
        <v>23750</v>
      </c>
      <c r="R207" s="96">
        <v>0</v>
      </c>
      <c r="S207" s="97">
        <f t="shared" si="24"/>
        <v>23800</v>
      </c>
      <c r="T207" s="97">
        <f>ROUNDUP(HLOOKUP(ROUNDUP(K207,0),'배송비 조회'!A$10:U$22,7,0)*C$3,-2)</f>
        <v>9000</v>
      </c>
      <c r="U207" s="97">
        <v>0</v>
      </c>
      <c r="V207" s="97">
        <f t="shared" si="316"/>
        <v>16400</v>
      </c>
      <c r="W207" s="97">
        <f t="shared" si="264"/>
        <v>16400</v>
      </c>
      <c r="X207" s="98">
        <f t="shared" si="173"/>
        <v>49200</v>
      </c>
      <c r="Y207" s="98">
        <f t="shared" si="27"/>
        <v>49200</v>
      </c>
      <c r="Z207" s="121">
        <v>0</v>
      </c>
      <c r="AA207" s="121">
        <f t="shared" si="6"/>
        <v>1869.6</v>
      </c>
      <c r="AB207" s="121">
        <f t="shared" si="7"/>
        <v>984</v>
      </c>
      <c r="AC207" s="99">
        <f t="shared" si="8"/>
        <v>4920</v>
      </c>
      <c r="AD207" s="121">
        <f t="shared" si="9"/>
        <v>46346.400000000001</v>
      </c>
      <c r="AE207" s="99">
        <f t="shared" si="10"/>
        <v>44280</v>
      </c>
      <c r="AF207" s="121">
        <f t="shared" si="11"/>
        <v>463.464</v>
      </c>
      <c r="AG207" s="100">
        <f t="shared" si="28"/>
        <v>13132.936000000002</v>
      </c>
      <c r="AH207" s="101">
        <f t="shared" si="29"/>
        <v>11066.536</v>
      </c>
      <c r="AI207" s="102">
        <f t="shared" ref="AI207:AJ207" si="318">AG207/X207</f>
        <v>0.26692959349593498</v>
      </c>
      <c r="AJ207" s="102">
        <f t="shared" si="318"/>
        <v>0.22492959349593497</v>
      </c>
      <c r="AK207" s="103"/>
      <c r="AL207" s="104"/>
      <c r="AM207" s="17"/>
      <c r="AN207" s="17"/>
      <c r="AO207" s="17"/>
      <c r="AP207" s="17"/>
      <c r="AQ207" s="17"/>
      <c r="AR207" s="17"/>
      <c r="AS207" s="17"/>
      <c r="AT207" s="17"/>
      <c r="AU207" s="17"/>
      <c r="AV207" s="17"/>
      <c r="AW207" s="22">
        <v>4632386352</v>
      </c>
    </row>
    <row r="208" spans="1:49" ht="13.2">
      <c r="A208" s="302"/>
      <c r="B208" s="306"/>
      <c r="C208" s="302"/>
      <c r="D208" s="302"/>
      <c r="E208" s="302"/>
      <c r="F208" s="168" t="s">
        <v>625</v>
      </c>
      <c r="G208" s="125" t="s">
        <v>145</v>
      </c>
      <c r="H208" s="125"/>
      <c r="I208" s="125"/>
      <c r="J208" s="125">
        <v>19</v>
      </c>
      <c r="K208" s="82">
        <f t="shared" si="303"/>
        <v>0.56874999999999998</v>
      </c>
      <c r="L208" s="82">
        <v>9.1</v>
      </c>
      <c r="M208" s="82">
        <f t="shared" si="1"/>
        <v>0.25798044999999997</v>
      </c>
      <c r="N208" s="93">
        <v>0</v>
      </c>
      <c r="O208" s="93">
        <v>0</v>
      </c>
      <c r="P208" s="95">
        <f t="shared" si="2"/>
        <v>19</v>
      </c>
      <c r="Q208" s="96">
        <f>P208*C3</f>
        <v>23750</v>
      </c>
      <c r="R208" s="96">
        <v>0</v>
      </c>
      <c r="S208" s="97">
        <f t="shared" si="24"/>
        <v>23800</v>
      </c>
      <c r="T208" s="97">
        <f>ROUNDUP(HLOOKUP(ROUNDUP(K208,0),'배송비 조회'!A$10:U$22,7,0)*C$3,-2)</f>
        <v>9000</v>
      </c>
      <c r="U208" s="97">
        <v>0</v>
      </c>
      <c r="V208" s="97">
        <f t="shared" si="316"/>
        <v>16400</v>
      </c>
      <c r="W208" s="97">
        <f t="shared" si="264"/>
        <v>16400</v>
      </c>
      <c r="X208" s="98">
        <f t="shared" si="173"/>
        <v>49200</v>
      </c>
      <c r="Y208" s="98">
        <f t="shared" si="27"/>
        <v>49200</v>
      </c>
      <c r="Z208" s="121">
        <v>0</v>
      </c>
      <c r="AA208" s="121">
        <f t="shared" si="6"/>
        <v>1869.6</v>
      </c>
      <c r="AB208" s="121">
        <f t="shared" si="7"/>
        <v>984</v>
      </c>
      <c r="AC208" s="99">
        <f t="shared" si="8"/>
        <v>4920</v>
      </c>
      <c r="AD208" s="121">
        <f t="shared" si="9"/>
        <v>46346.400000000001</v>
      </c>
      <c r="AE208" s="99">
        <f t="shared" si="10"/>
        <v>44280</v>
      </c>
      <c r="AF208" s="121">
        <f t="shared" si="11"/>
        <v>463.464</v>
      </c>
      <c r="AG208" s="100">
        <f t="shared" si="28"/>
        <v>13132.936000000002</v>
      </c>
      <c r="AH208" s="101">
        <f t="shared" si="29"/>
        <v>11066.536</v>
      </c>
      <c r="AI208" s="102">
        <f t="shared" ref="AI208:AJ208" si="319">AG208/X208</f>
        <v>0.26692959349593498</v>
      </c>
      <c r="AJ208" s="102">
        <f t="shared" si="319"/>
        <v>0.22492959349593497</v>
      </c>
      <c r="AK208" s="103"/>
      <c r="AL208" s="104"/>
      <c r="AM208" s="17"/>
      <c r="AN208" s="17"/>
      <c r="AO208" s="17"/>
      <c r="AP208" s="17"/>
      <c r="AQ208" s="17"/>
      <c r="AR208" s="17"/>
      <c r="AS208" s="17"/>
      <c r="AT208" s="17"/>
      <c r="AU208" s="17"/>
      <c r="AV208" s="17"/>
      <c r="AW208" s="22"/>
    </row>
    <row r="209" spans="1:49" ht="13.2">
      <c r="A209" s="119">
        <f>HYPERLINK("https://smartstore.naver.com/brickstore2019/products/4632402769",AW:AW)</f>
        <v>4632402769</v>
      </c>
      <c r="B209" s="266"/>
      <c r="C209" s="117" t="s">
        <v>626</v>
      </c>
      <c r="D209" s="117"/>
      <c r="E209" s="126" t="s">
        <v>627</v>
      </c>
      <c r="F209" s="168"/>
      <c r="G209" s="124" t="str">
        <f>HYPERLINK("https://www.amazon.com/Steklo-MacBook-Pro-Stand-Adjustable/dp/B00VIZ60QY/ref=sr_1_9?keywords=macbook+case+stand&amp;qid=1565616355&amp;s=gateway&amp;sr=8-9","A")</f>
        <v>A</v>
      </c>
      <c r="H209" s="125"/>
      <c r="I209" s="125"/>
      <c r="J209" s="125">
        <v>25</v>
      </c>
      <c r="K209" s="82">
        <f t="shared" si="303"/>
        <v>0.45</v>
      </c>
      <c r="L209" s="82">
        <v>7.2</v>
      </c>
      <c r="M209" s="82">
        <f t="shared" si="1"/>
        <v>0.2041164</v>
      </c>
      <c r="N209" s="93">
        <v>0</v>
      </c>
      <c r="O209" s="93">
        <v>0</v>
      </c>
      <c r="P209" s="95">
        <f t="shared" si="2"/>
        <v>25</v>
      </c>
      <c r="Q209" s="96">
        <f>P209*C3</f>
        <v>31250</v>
      </c>
      <c r="R209" s="96">
        <v>0</v>
      </c>
      <c r="S209" s="97">
        <f t="shared" si="24"/>
        <v>31300</v>
      </c>
      <c r="T209" s="97">
        <f>ROUNDUP(HLOOKUP(ROUNDUP(K209,0),'배송비 조회'!A$10:U$22,7,0)*C$3,-2)</f>
        <v>9000</v>
      </c>
      <c r="U209" s="97">
        <v>0</v>
      </c>
      <c r="V209" s="97">
        <f>ROUND(IF(R209&gt;0,0,(S209+T209)*0.4),-2)</f>
        <v>16100</v>
      </c>
      <c r="W209" s="97">
        <f t="shared" si="264"/>
        <v>20200</v>
      </c>
      <c r="X209" s="98">
        <f t="shared" si="173"/>
        <v>56400</v>
      </c>
      <c r="Y209" s="98">
        <f t="shared" si="27"/>
        <v>60500</v>
      </c>
      <c r="Z209" s="121">
        <v>0</v>
      </c>
      <c r="AA209" s="121">
        <f t="shared" si="6"/>
        <v>2143.1999999999998</v>
      </c>
      <c r="AB209" s="121">
        <f t="shared" si="7"/>
        <v>1128</v>
      </c>
      <c r="AC209" s="99">
        <f t="shared" si="8"/>
        <v>6050</v>
      </c>
      <c r="AD209" s="121">
        <f t="shared" si="9"/>
        <v>53128.800000000003</v>
      </c>
      <c r="AE209" s="99">
        <f t="shared" si="10"/>
        <v>54450</v>
      </c>
      <c r="AF209" s="121">
        <f t="shared" si="11"/>
        <v>531.28800000000001</v>
      </c>
      <c r="AG209" s="100">
        <f t="shared" si="28"/>
        <v>12347.512000000002</v>
      </c>
      <c r="AH209" s="101">
        <f t="shared" si="29"/>
        <v>13668.712</v>
      </c>
      <c r="AI209" s="102">
        <f t="shared" ref="AI209:AJ209" si="320">AG209/X209</f>
        <v>0.21892751773049648</v>
      </c>
      <c r="AJ209" s="102">
        <f t="shared" si="320"/>
        <v>0.22592912396694215</v>
      </c>
      <c r="AK209" s="103"/>
      <c r="AL209" s="104"/>
      <c r="AM209" s="17"/>
      <c r="AN209" s="17"/>
      <c r="AO209" s="17"/>
      <c r="AP209" s="17"/>
      <c r="AQ209" s="17"/>
      <c r="AR209" s="17"/>
      <c r="AS209" s="17"/>
      <c r="AT209" s="17"/>
      <c r="AU209" s="17"/>
      <c r="AV209" s="17"/>
      <c r="AW209" s="22">
        <v>4632402769</v>
      </c>
    </row>
    <row r="210" spans="1:49" ht="13.2">
      <c r="A210" s="119">
        <f>HYPERLINK("https://smartstore.naver.com/brickstore2019/products/4635240441",AW:AW)</f>
        <v>4635240441</v>
      </c>
      <c r="B210" s="266"/>
      <c r="C210" s="117" t="s">
        <v>628</v>
      </c>
      <c r="D210" s="117"/>
      <c r="E210" s="126" t="s">
        <v>629</v>
      </c>
      <c r="F210" s="168"/>
      <c r="G210" s="218" t="s">
        <v>1293</v>
      </c>
      <c r="J210" s="125">
        <v>45</v>
      </c>
      <c r="K210" s="82">
        <f t="shared" si="303"/>
        <v>0.66249999999999998</v>
      </c>
      <c r="L210" s="82">
        <v>10.6</v>
      </c>
      <c r="M210" s="82">
        <f t="shared" si="1"/>
        <v>0.30050470000000001</v>
      </c>
      <c r="N210" s="93">
        <v>0</v>
      </c>
      <c r="O210" s="93">
        <v>0</v>
      </c>
      <c r="P210" s="95">
        <f t="shared" si="2"/>
        <v>45</v>
      </c>
      <c r="Q210" s="96">
        <f>P210*C3</f>
        <v>56250</v>
      </c>
      <c r="R210" s="96">
        <v>0</v>
      </c>
      <c r="S210" s="97">
        <f t="shared" si="24"/>
        <v>56300</v>
      </c>
      <c r="T210" s="97">
        <f>ROUNDUP(HLOOKUP(ROUNDUP(K210,0),'배송비 조회'!A$10:U$22,7,0)*C$3,-2)</f>
        <v>9000</v>
      </c>
      <c r="U210" s="97">
        <v>0</v>
      </c>
      <c r="V210" s="97">
        <f t="shared" ref="V210:V214" si="321">ROUND(IF(R210&gt;0,0,(S210+T210)*0.3),-2)</f>
        <v>19600</v>
      </c>
      <c r="W210" s="97">
        <f t="shared" si="264"/>
        <v>32700</v>
      </c>
      <c r="X210" s="98">
        <f t="shared" si="173"/>
        <v>84900</v>
      </c>
      <c r="Y210" s="98">
        <f t="shared" si="27"/>
        <v>98000</v>
      </c>
      <c r="Z210" s="121">
        <v>0</v>
      </c>
      <c r="AA210" s="121">
        <f t="shared" si="6"/>
        <v>3226.2</v>
      </c>
      <c r="AB210" s="121">
        <f t="shared" si="7"/>
        <v>1698</v>
      </c>
      <c r="AC210" s="99">
        <f t="shared" si="8"/>
        <v>9800</v>
      </c>
      <c r="AD210" s="121">
        <f t="shared" si="9"/>
        <v>79975.8</v>
      </c>
      <c r="AE210" s="99">
        <f t="shared" si="10"/>
        <v>88200</v>
      </c>
      <c r="AF210" s="121">
        <f t="shared" si="11"/>
        <v>799.75800000000004</v>
      </c>
      <c r="AG210" s="100">
        <f t="shared" si="28"/>
        <v>13926.042000000001</v>
      </c>
      <c r="AH210" s="101">
        <f t="shared" si="29"/>
        <v>22150.241999999998</v>
      </c>
      <c r="AI210" s="102">
        <f t="shared" ref="AI210:AJ210" si="322">AG210/X210</f>
        <v>0.16402876325088342</v>
      </c>
      <c r="AJ210" s="102">
        <f t="shared" si="322"/>
        <v>0.22602287755102038</v>
      </c>
      <c r="AK210" s="103"/>
      <c r="AL210" s="104"/>
      <c r="AM210" s="17"/>
      <c r="AN210" s="17"/>
      <c r="AO210" s="17"/>
      <c r="AP210" s="17"/>
      <c r="AQ210" s="17"/>
      <c r="AR210" s="17"/>
      <c r="AS210" s="17"/>
      <c r="AT210" s="17"/>
      <c r="AU210" s="17"/>
      <c r="AV210" s="17"/>
      <c r="AW210" s="22">
        <v>4635240441</v>
      </c>
    </row>
    <row r="211" spans="1:49" ht="13.2">
      <c r="A211" s="301">
        <f>HYPERLINK("https://smartstore.naver.com/brickstore2019/products/4635261825",AW:AW)</f>
        <v>4635261825</v>
      </c>
      <c r="B211" s="264"/>
      <c r="C211" s="307" t="s">
        <v>630</v>
      </c>
      <c r="D211" s="114"/>
      <c r="E211" s="304" t="s">
        <v>631</v>
      </c>
      <c r="F211" s="123" t="s">
        <v>55</v>
      </c>
      <c r="G211" s="218" t="s">
        <v>1293</v>
      </c>
      <c r="J211" s="125">
        <v>32</v>
      </c>
      <c r="K211" s="82">
        <f t="shared" si="303"/>
        <v>0.6</v>
      </c>
      <c r="L211" s="82">
        <v>9.6</v>
      </c>
      <c r="M211" s="82">
        <f t="shared" si="1"/>
        <v>0.27215519999999999</v>
      </c>
      <c r="N211" s="93">
        <v>0</v>
      </c>
      <c r="O211" s="93">
        <v>0</v>
      </c>
      <c r="P211" s="95">
        <f t="shared" si="2"/>
        <v>32</v>
      </c>
      <c r="Q211" s="96">
        <f>P211*C3</f>
        <v>40000</v>
      </c>
      <c r="R211" s="96">
        <v>0</v>
      </c>
      <c r="S211" s="97">
        <f t="shared" si="24"/>
        <v>40000</v>
      </c>
      <c r="T211" s="97">
        <f>ROUNDUP(HLOOKUP(ROUNDUP(K211,0),'배송비 조회'!A$10:U$22,7,0)*C$3,-2)</f>
        <v>9000</v>
      </c>
      <c r="U211" s="97">
        <v>0</v>
      </c>
      <c r="V211" s="97">
        <f t="shared" si="321"/>
        <v>14700</v>
      </c>
      <c r="W211" s="97">
        <f t="shared" si="264"/>
        <v>24500</v>
      </c>
      <c r="X211" s="98">
        <f t="shared" si="173"/>
        <v>63700</v>
      </c>
      <c r="Y211" s="98">
        <f t="shared" si="27"/>
        <v>73500</v>
      </c>
      <c r="Z211" s="121">
        <v>0</v>
      </c>
      <c r="AA211" s="121">
        <f t="shared" si="6"/>
        <v>2420.6</v>
      </c>
      <c r="AB211" s="121">
        <f t="shared" si="7"/>
        <v>1274</v>
      </c>
      <c r="AC211" s="99">
        <f t="shared" si="8"/>
        <v>7350</v>
      </c>
      <c r="AD211" s="121">
        <f t="shared" si="9"/>
        <v>60005.4</v>
      </c>
      <c r="AE211" s="99">
        <f t="shared" si="10"/>
        <v>66150</v>
      </c>
      <c r="AF211" s="121">
        <f t="shared" si="11"/>
        <v>600.05399999999997</v>
      </c>
      <c r="AG211" s="100">
        <f t="shared" si="28"/>
        <v>10405.346000000001</v>
      </c>
      <c r="AH211" s="101">
        <f t="shared" si="29"/>
        <v>16549.946</v>
      </c>
      <c r="AI211" s="102">
        <f t="shared" ref="AI211:AJ211" si="323">AG211/X211</f>
        <v>0.1633492307692308</v>
      </c>
      <c r="AJ211" s="102">
        <f t="shared" si="323"/>
        <v>0.22516933333333333</v>
      </c>
      <c r="AK211" s="103"/>
      <c r="AL211" s="104"/>
      <c r="AM211" s="17"/>
      <c r="AN211" s="17"/>
      <c r="AO211" s="17"/>
      <c r="AP211" s="17"/>
      <c r="AQ211" s="17"/>
      <c r="AR211" s="17"/>
      <c r="AS211" s="17"/>
      <c r="AT211" s="17"/>
      <c r="AU211" s="17"/>
      <c r="AV211" s="17"/>
      <c r="AW211" s="300">
        <v>4635261825</v>
      </c>
    </row>
    <row r="212" spans="1:49" ht="16.5" customHeight="1">
      <c r="A212" s="302"/>
      <c r="B212" s="264"/>
      <c r="C212" s="302"/>
      <c r="D212" s="114"/>
      <c r="E212" s="302"/>
      <c r="F212" s="123" t="s">
        <v>554</v>
      </c>
      <c r="G212" s="218" t="s">
        <v>1293</v>
      </c>
      <c r="J212" s="125">
        <v>35</v>
      </c>
      <c r="K212" s="82">
        <f t="shared" si="303"/>
        <v>0.6</v>
      </c>
      <c r="L212" s="82">
        <v>9.6</v>
      </c>
      <c r="M212" s="82">
        <f t="shared" si="1"/>
        <v>0.27215519999999999</v>
      </c>
      <c r="N212" s="93">
        <v>0</v>
      </c>
      <c r="O212" s="93">
        <v>0</v>
      </c>
      <c r="P212" s="95">
        <f t="shared" si="2"/>
        <v>35</v>
      </c>
      <c r="Q212" s="96">
        <f>P212*C3</f>
        <v>43750</v>
      </c>
      <c r="R212" s="96">
        <v>0</v>
      </c>
      <c r="S212" s="97">
        <f t="shared" si="24"/>
        <v>43800</v>
      </c>
      <c r="T212" s="97">
        <f>ROUNDUP(HLOOKUP(ROUNDUP(K212,0),'배송비 조회'!A$10:U$22,7,0)*C$3,-2)</f>
        <v>9000</v>
      </c>
      <c r="U212" s="97">
        <v>0</v>
      </c>
      <c r="V212" s="97">
        <f t="shared" si="321"/>
        <v>15800</v>
      </c>
      <c r="W212" s="97">
        <f t="shared" si="264"/>
        <v>26400</v>
      </c>
      <c r="X212" s="98">
        <f t="shared" si="173"/>
        <v>68600</v>
      </c>
      <c r="Y212" s="98">
        <f t="shared" si="27"/>
        <v>79200</v>
      </c>
      <c r="Z212" s="121">
        <v>0</v>
      </c>
      <c r="AA212" s="121">
        <f t="shared" si="6"/>
        <v>2606.7999999999997</v>
      </c>
      <c r="AB212" s="121">
        <f t="shared" si="7"/>
        <v>1372</v>
      </c>
      <c r="AC212" s="99">
        <f t="shared" si="8"/>
        <v>7920</v>
      </c>
      <c r="AD212" s="121">
        <f t="shared" si="9"/>
        <v>64621.2</v>
      </c>
      <c r="AE212" s="99">
        <f t="shared" si="10"/>
        <v>71280</v>
      </c>
      <c r="AF212" s="121">
        <f t="shared" si="11"/>
        <v>646.21199999999999</v>
      </c>
      <c r="AG212" s="100">
        <f t="shared" si="28"/>
        <v>11224.987999999998</v>
      </c>
      <c r="AH212" s="101">
        <f t="shared" si="29"/>
        <v>17883.788</v>
      </c>
      <c r="AI212" s="102">
        <f t="shared" ref="AI212:AJ212" si="324">AG212/X212</f>
        <v>0.16362956268221571</v>
      </c>
      <c r="AJ212" s="102">
        <f t="shared" si="324"/>
        <v>0.22580540404040406</v>
      </c>
      <c r="AK212" s="103"/>
      <c r="AL212" s="104"/>
      <c r="AM212" s="17"/>
      <c r="AN212" s="17"/>
      <c r="AO212" s="17"/>
      <c r="AP212" s="17"/>
      <c r="AQ212" s="17"/>
      <c r="AR212" s="17"/>
      <c r="AS212" s="17"/>
      <c r="AT212" s="17"/>
      <c r="AU212" s="17"/>
      <c r="AV212" s="17"/>
      <c r="AW212" s="297"/>
    </row>
    <row r="213" spans="1:49" ht="13.2">
      <c r="A213" s="302"/>
      <c r="B213" s="264"/>
      <c r="C213" s="302"/>
      <c r="D213" s="114"/>
      <c r="E213" s="302"/>
      <c r="F213" s="123" t="s">
        <v>555</v>
      </c>
      <c r="G213" s="218" t="s">
        <v>1293</v>
      </c>
      <c r="J213" s="125">
        <v>35</v>
      </c>
      <c r="K213" s="82">
        <f t="shared" si="303"/>
        <v>0.6</v>
      </c>
      <c r="L213" s="82">
        <v>9.6</v>
      </c>
      <c r="M213" s="82">
        <f t="shared" si="1"/>
        <v>0.27215519999999999</v>
      </c>
      <c r="N213" s="93">
        <v>0</v>
      </c>
      <c r="O213" s="93">
        <v>0</v>
      </c>
      <c r="P213" s="95">
        <f t="shared" si="2"/>
        <v>35</v>
      </c>
      <c r="Q213" s="96">
        <f>P213*C3</f>
        <v>43750</v>
      </c>
      <c r="R213" s="96">
        <v>0</v>
      </c>
      <c r="S213" s="97">
        <f t="shared" si="24"/>
        <v>43800</v>
      </c>
      <c r="T213" s="97">
        <f>ROUNDUP(HLOOKUP(ROUNDUP(K213,0),'배송비 조회'!A$10:U$22,7,0)*C$3,-2)</f>
        <v>9000</v>
      </c>
      <c r="U213" s="97">
        <v>0</v>
      </c>
      <c r="V213" s="97">
        <f t="shared" si="321"/>
        <v>15800</v>
      </c>
      <c r="W213" s="97">
        <f t="shared" si="264"/>
        <v>26400</v>
      </c>
      <c r="X213" s="98">
        <f t="shared" si="173"/>
        <v>68600</v>
      </c>
      <c r="Y213" s="98">
        <f t="shared" si="27"/>
        <v>79200</v>
      </c>
      <c r="Z213" s="121">
        <v>0</v>
      </c>
      <c r="AA213" s="121">
        <f t="shared" si="6"/>
        <v>2606.7999999999997</v>
      </c>
      <c r="AB213" s="121">
        <f t="shared" si="7"/>
        <v>1372</v>
      </c>
      <c r="AC213" s="99">
        <f t="shared" si="8"/>
        <v>7920</v>
      </c>
      <c r="AD213" s="121">
        <f t="shared" si="9"/>
        <v>64621.2</v>
      </c>
      <c r="AE213" s="99">
        <f t="shared" si="10"/>
        <v>71280</v>
      </c>
      <c r="AF213" s="121">
        <f t="shared" si="11"/>
        <v>646.21199999999999</v>
      </c>
      <c r="AG213" s="100">
        <f t="shared" si="28"/>
        <v>11224.987999999998</v>
      </c>
      <c r="AH213" s="101">
        <f t="shared" si="29"/>
        <v>17883.788</v>
      </c>
      <c r="AI213" s="102">
        <f t="shared" ref="AI213:AJ213" si="325">AG213/X213</f>
        <v>0.16362956268221571</v>
      </c>
      <c r="AJ213" s="102">
        <f t="shared" si="325"/>
        <v>0.22580540404040406</v>
      </c>
      <c r="AK213" s="103"/>
      <c r="AL213" s="104"/>
      <c r="AM213" s="17"/>
      <c r="AN213" s="17"/>
      <c r="AO213" s="17"/>
      <c r="AP213" s="17"/>
      <c r="AQ213" s="17"/>
      <c r="AR213" s="17"/>
      <c r="AS213" s="17"/>
      <c r="AT213" s="17"/>
      <c r="AU213" s="17"/>
      <c r="AV213" s="17"/>
      <c r="AW213" s="297"/>
    </row>
    <row r="214" spans="1:49" ht="13.2">
      <c r="A214" s="302"/>
      <c r="B214" s="264"/>
      <c r="C214" s="302"/>
      <c r="D214" s="114"/>
      <c r="E214" s="302"/>
      <c r="F214" s="123" t="s">
        <v>632</v>
      </c>
      <c r="G214" s="218" t="s">
        <v>1293</v>
      </c>
      <c r="J214" s="125">
        <v>35</v>
      </c>
      <c r="K214" s="82">
        <f t="shared" si="303"/>
        <v>0.6</v>
      </c>
      <c r="L214" s="82">
        <v>9.6</v>
      </c>
      <c r="M214" s="82">
        <f t="shared" si="1"/>
        <v>0.27215519999999999</v>
      </c>
      <c r="N214" s="93">
        <v>0</v>
      </c>
      <c r="O214" s="93">
        <v>0</v>
      </c>
      <c r="P214" s="95">
        <f t="shared" si="2"/>
        <v>35</v>
      </c>
      <c r="Q214" s="96">
        <f>P214*C3</f>
        <v>43750</v>
      </c>
      <c r="R214" s="96">
        <v>0</v>
      </c>
      <c r="S214" s="97">
        <f t="shared" si="24"/>
        <v>43800</v>
      </c>
      <c r="T214" s="97">
        <f>ROUNDUP(HLOOKUP(ROUNDUP(K214,0),'배송비 조회'!A$10:U$22,7,0)*C$3,-2)</f>
        <v>9000</v>
      </c>
      <c r="U214" s="97">
        <v>0</v>
      </c>
      <c r="V214" s="97">
        <f t="shared" si="321"/>
        <v>15800</v>
      </c>
      <c r="W214" s="97">
        <f t="shared" si="264"/>
        <v>26400</v>
      </c>
      <c r="X214" s="98">
        <f t="shared" si="173"/>
        <v>68600</v>
      </c>
      <c r="Y214" s="98">
        <f t="shared" si="27"/>
        <v>79200</v>
      </c>
      <c r="Z214" s="121">
        <v>0</v>
      </c>
      <c r="AA214" s="121">
        <f t="shared" si="6"/>
        <v>2606.7999999999997</v>
      </c>
      <c r="AB214" s="121">
        <f t="shared" si="7"/>
        <v>1372</v>
      </c>
      <c r="AC214" s="99">
        <f t="shared" si="8"/>
        <v>7920</v>
      </c>
      <c r="AD214" s="121">
        <f t="shared" si="9"/>
        <v>64621.2</v>
      </c>
      <c r="AE214" s="99">
        <f t="shared" si="10"/>
        <v>71280</v>
      </c>
      <c r="AF214" s="121">
        <f t="shared" si="11"/>
        <v>646.21199999999999</v>
      </c>
      <c r="AG214" s="100">
        <f t="shared" si="28"/>
        <v>11224.987999999998</v>
      </c>
      <c r="AH214" s="101">
        <f t="shared" si="29"/>
        <v>17883.788</v>
      </c>
      <c r="AI214" s="102">
        <f t="shared" ref="AI214:AJ214" si="326">AG214/X214</f>
        <v>0.16362956268221571</v>
      </c>
      <c r="AJ214" s="102">
        <f t="shared" si="326"/>
        <v>0.22580540404040406</v>
      </c>
      <c r="AK214" s="103"/>
      <c r="AL214" s="104"/>
      <c r="AM214" s="17"/>
      <c r="AN214" s="17"/>
      <c r="AO214" s="17"/>
      <c r="AP214" s="17"/>
      <c r="AQ214" s="17"/>
      <c r="AR214" s="17"/>
      <c r="AS214" s="17"/>
      <c r="AT214" s="17"/>
      <c r="AU214" s="17"/>
      <c r="AV214" s="17"/>
      <c r="AW214" s="297"/>
    </row>
    <row r="215" spans="1:49" ht="13.2">
      <c r="A215" s="303">
        <f>HYPERLINK("https://smartstore.naver.com/brickstore2019/products/4635377458",AW:AW)</f>
        <v>4635377458</v>
      </c>
      <c r="B215" s="266"/>
      <c r="C215" s="304" t="s">
        <v>633</v>
      </c>
      <c r="D215" s="117"/>
      <c r="E215" s="304" t="s">
        <v>634</v>
      </c>
      <c r="F215" s="123" t="s">
        <v>55</v>
      </c>
      <c r="G215" s="218" t="s">
        <v>1293</v>
      </c>
      <c r="J215" s="125">
        <v>30</v>
      </c>
      <c r="K215" s="82">
        <v>3</v>
      </c>
      <c r="L215" s="82">
        <f t="shared" ref="L215:L218" si="327">IF(K215&gt;0,K215*16,)</f>
        <v>48</v>
      </c>
      <c r="M215" s="82">
        <f t="shared" si="1"/>
        <v>1.360776</v>
      </c>
      <c r="N215" s="93">
        <v>0</v>
      </c>
      <c r="O215" s="93">
        <v>0</v>
      </c>
      <c r="P215" s="95">
        <f t="shared" si="2"/>
        <v>30</v>
      </c>
      <c r="Q215" s="96">
        <f>P215*C3</f>
        <v>37500</v>
      </c>
      <c r="R215" s="96">
        <v>0</v>
      </c>
      <c r="S215" s="97">
        <f t="shared" si="24"/>
        <v>37500</v>
      </c>
      <c r="T215" s="97">
        <f>ROUNDUP(HLOOKUP(ROUNDUP(K215,0),'배송비 조회'!A$10:U$22,7,0)*C$3,-2)</f>
        <v>13400</v>
      </c>
      <c r="U215" s="97">
        <v>0</v>
      </c>
      <c r="V215" s="97">
        <f t="shared" ref="V215:V216" si="328">ROUND(IF(R215&gt;0,0,(S215+T215)*0.4),-2)</f>
        <v>20400</v>
      </c>
      <c r="W215" s="97">
        <f t="shared" si="264"/>
        <v>25500</v>
      </c>
      <c r="X215" s="98">
        <f t="shared" si="173"/>
        <v>71300</v>
      </c>
      <c r="Y215" s="98">
        <f t="shared" si="27"/>
        <v>76400</v>
      </c>
      <c r="Z215" s="121"/>
      <c r="AA215" s="121">
        <f t="shared" si="6"/>
        <v>2709.4</v>
      </c>
      <c r="AB215" s="121">
        <f t="shared" si="7"/>
        <v>1426</v>
      </c>
      <c r="AC215" s="99">
        <f t="shared" si="8"/>
        <v>7640</v>
      </c>
      <c r="AD215" s="121">
        <f t="shared" si="9"/>
        <v>67164.600000000006</v>
      </c>
      <c r="AE215" s="99">
        <f t="shared" si="10"/>
        <v>68760</v>
      </c>
      <c r="AF215" s="121">
        <f t="shared" si="11"/>
        <v>671.64600000000007</v>
      </c>
      <c r="AG215" s="100">
        <f t="shared" si="28"/>
        <v>15592.954000000005</v>
      </c>
      <c r="AH215" s="101">
        <f t="shared" si="29"/>
        <v>17188.353999999999</v>
      </c>
      <c r="AI215" s="102">
        <f t="shared" ref="AI215:AJ215" si="329">AG215/X215</f>
        <v>0.21869500701262279</v>
      </c>
      <c r="AJ215" s="102">
        <f t="shared" si="329"/>
        <v>0.22497845549738218</v>
      </c>
      <c r="AK215" s="103"/>
      <c r="AL215" s="104"/>
      <c r="AM215" s="17"/>
      <c r="AN215" s="17"/>
      <c r="AO215" s="17"/>
      <c r="AP215" s="17"/>
      <c r="AQ215" s="17"/>
      <c r="AR215" s="17"/>
      <c r="AS215" s="17"/>
      <c r="AT215" s="17"/>
      <c r="AU215" s="17"/>
      <c r="AV215" s="17"/>
      <c r="AW215" s="296">
        <v>4635377458</v>
      </c>
    </row>
    <row r="216" spans="1:49" ht="13.2">
      <c r="A216" s="302"/>
      <c r="B216" s="266"/>
      <c r="C216" s="302"/>
      <c r="D216" s="117"/>
      <c r="E216" s="302"/>
      <c r="F216" s="123" t="s">
        <v>58</v>
      </c>
      <c r="G216" s="218" t="s">
        <v>1293</v>
      </c>
      <c r="J216" s="125">
        <v>30</v>
      </c>
      <c r="K216" s="82">
        <v>3</v>
      </c>
      <c r="L216" s="82">
        <f t="shared" si="327"/>
        <v>48</v>
      </c>
      <c r="M216" s="82">
        <f t="shared" si="1"/>
        <v>1.360776</v>
      </c>
      <c r="N216" s="93">
        <v>0</v>
      </c>
      <c r="O216" s="93">
        <v>0</v>
      </c>
      <c r="P216" s="95">
        <f t="shared" si="2"/>
        <v>30</v>
      </c>
      <c r="Q216" s="96">
        <f>P216*C3</f>
        <v>37500</v>
      </c>
      <c r="R216" s="96">
        <v>0</v>
      </c>
      <c r="S216" s="97">
        <f t="shared" si="24"/>
        <v>37500</v>
      </c>
      <c r="T216" s="97">
        <f>ROUNDUP(HLOOKUP(ROUNDUP(K216,0),'배송비 조회'!A$10:U$22,7,0)*C$3,-2)</f>
        <v>13400</v>
      </c>
      <c r="U216" s="97">
        <v>0</v>
      </c>
      <c r="V216" s="97">
        <f t="shared" si="328"/>
        <v>20400</v>
      </c>
      <c r="W216" s="97">
        <f t="shared" si="264"/>
        <v>25500</v>
      </c>
      <c r="X216" s="98">
        <f t="shared" si="173"/>
        <v>71300</v>
      </c>
      <c r="Y216" s="98">
        <f t="shared" si="27"/>
        <v>76400</v>
      </c>
      <c r="Z216" s="121">
        <v>0</v>
      </c>
      <c r="AA216" s="121">
        <f t="shared" si="6"/>
        <v>2709.4</v>
      </c>
      <c r="AB216" s="121">
        <f t="shared" si="7"/>
        <v>1426</v>
      </c>
      <c r="AC216" s="99">
        <f t="shared" si="8"/>
        <v>7640</v>
      </c>
      <c r="AD216" s="121">
        <f t="shared" si="9"/>
        <v>67164.600000000006</v>
      </c>
      <c r="AE216" s="99">
        <f t="shared" si="10"/>
        <v>68760</v>
      </c>
      <c r="AF216" s="121">
        <f t="shared" si="11"/>
        <v>671.64600000000007</v>
      </c>
      <c r="AG216" s="100">
        <f t="shared" si="28"/>
        <v>15592.954000000005</v>
      </c>
      <c r="AH216" s="101">
        <f t="shared" si="29"/>
        <v>17188.353999999999</v>
      </c>
      <c r="AI216" s="102">
        <f t="shared" ref="AI216:AJ216" si="330">AG216/X216</f>
        <v>0.21869500701262279</v>
      </c>
      <c r="AJ216" s="102">
        <f t="shared" si="330"/>
        <v>0.22497845549738218</v>
      </c>
      <c r="AK216" s="103"/>
      <c r="AL216" s="104"/>
      <c r="AM216" s="17"/>
      <c r="AN216" s="17"/>
      <c r="AO216" s="17"/>
      <c r="AP216" s="17"/>
      <c r="AQ216" s="17"/>
      <c r="AR216" s="17"/>
      <c r="AS216" s="17"/>
      <c r="AT216" s="17"/>
      <c r="AU216" s="17"/>
      <c r="AV216" s="17"/>
      <c r="AW216" s="297"/>
    </row>
    <row r="217" spans="1:49" ht="16.5" customHeight="1">
      <c r="A217" s="303">
        <f>HYPERLINK("https://smartstore.naver.com/brickstore2019/products/4636265042",AW:AW)</f>
        <v>4636265042</v>
      </c>
      <c r="B217" s="266"/>
      <c r="C217" s="304" t="s">
        <v>635</v>
      </c>
      <c r="D217" s="117"/>
      <c r="E217" s="327" t="s">
        <v>636</v>
      </c>
      <c r="F217" s="168" t="s">
        <v>55</v>
      </c>
      <c r="G217" s="124" t="str">
        <f>HYPERLINK("https://www.amazon.com/Leather-Function-GOLP-Compatible-MacBook/dp/B07SLPM57M/ref=sr_1_8?keywords=Laptop%2BSleeve%2Bwith%2BStand&amp;qid=1565841065&amp;s=electronics&amp;sr=1-8&amp;th=1","A")</f>
        <v>A</v>
      </c>
      <c r="H217" s="125"/>
      <c r="I217" s="125"/>
      <c r="J217" s="125">
        <v>17</v>
      </c>
      <c r="K217" s="82">
        <v>1.05</v>
      </c>
      <c r="L217" s="82">
        <f t="shared" si="327"/>
        <v>16.8</v>
      </c>
      <c r="M217" s="82">
        <f t="shared" si="1"/>
        <v>0.47627160000000002</v>
      </c>
      <c r="N217" s="93">
        <v>0</v>
      </c>
      <c r="O217" s="93">
        <v>0</v>
      </c>
      <c r="P217" s="95">
        <f t="shared" si="2"/>
        <v>17</v>
      </c>
      <c r="Q217" s="96">
        <f>P217*C3</f>
        <v>21250</v>
      </c>
      <c r="R217" s="96">
        <v>0</v>
      </c>
      <c r="S217" s="97">
        <f t="shared" si="24"/>
        <v>21300</v>
      </c>
      <c r="T217" s="97">
        <f>ROUNDUP(HLOOKUP(ROUNDUP(K217,0),'배송비 조회'!A$10:U$22,7,0)*C$3,-2)</f>
        <v>11200</v>
      </c>
      <c r="U217" s="97">
        <v>0</v>
      </c>
      <c r="V217" s="97">
        <f t="shared" ref="V217:V218" si="331">ROUND(IF(R217&gt;0,0,(S217+T217)*0.5),-2)</f>
        <v>16300</v>
      </c>
      <c r="W217" s="97">
        <f t="shared" si="264"/>
        <v>16300</v>
      </c>
      <c r="X217" s="98">
        <f t="shared" si="173"/>
        <v>48800</v>
      </c>
      <c r="Y217" s="98">
        <f t="shared" si="27"/>
        <v>48800</v>
      </c>
      <c r="Z217" s="121">
        <v>0</v>
      </c>
      <c r="AA217" s="121">
        <f t="shared" si="6"/>
        <v>1854.3999999999999</v>
      </c>
      <c r="AB217" s="121">
        <f t="shared" si="7"/>
        <v>976</v>
      </c>
      <c r="AC217" s="99">
        <f t="shared" si="8"/>
        <v>4880</v>
      </c>
      <c r="AD217" s="121">
        <f t="shared" si="9"/>
        <v>45969.599999999999</v>
      </c>
      <c r="AE217" s="99">
        <f t="shared" si="10"/>
        <v>43920</v>
      </c>
      <c r="AF217" s="121">
        <f t="shared" si="11"/>
        <v>459.69599999999997</v>
      </c>
      <c r="AG217" s="100">
        <f t="shared" si="28"/>
        <v>13059.903999999999</v>
      </c>
      <c r="AH217" s="101">
        <f t="shared" si="29"/>
        <v>11010.304</v>
      </c>
      <c r="AI217" s="102">
        <f t="shared" ref="AI217:AJ217" si="332">AG217/X217</f>
        <v>0.26762098360655734</v>
      </c>
      <c r="AJ217" s="102">
        <f t="shared" si="332"/>
        <v>0.22562098360655738</v>
      </c>
      <c r="AK217" s="103"/>
      <c r="AL217" s="104"/>
      <c r="AM217" s="17"/>
      <c r="AN217" s="17"/>
      <c r="AO217" s="17"/>
      <c r="AP217" s="17"/>
      <c r="AQ217" s="17"/>
      <c r="AR217" s="17"/>
      <c r="AS217" s="17"/>
      <c r="AT217" s="17"/>
      <c r="AU217" s="17"/>
      <c r="AV217" s="17"/>
      <c r="AW217" s="296">
        <v>4636265042</v>
      </c>
    </row>
    <row r="218" spans="1:49" ht="13.2">
      <c r="A218" s="302"/>
      <c r="B218" s="266"/>
      <c r="C218" s="302"/>
      <c r="D218" s="117"/>
      <c r="E218" s="302"/>
      <c r="F218" s="123" t="s">
        <v>637</v>
      </c>
      <c r="G218" s="124" t="str">
        <f>HYPERLINK("https://www.amazon.com/Leather-Function-GOLP-Compatible-MacBook/dp/B07SMQ3MQ8/ref=sr_1_8?keywords=Laptop%2BSleeve%2Bwith%2BStand&amp;qid=1565841065&amp;s=electronics&amp;sr=1-8&amp;th=1","A")</f>
        <v>A</v>
      </c>
      <c r="H218" s="125"/>
      <c r="I218" s="125"/>
      <c r="J218" s="125">
        <v>17</v>
      </c>
      <c r="K218" s="82">
        <v>1.05</v>
      </c>
      <c r="L218" s="82">
        <f t="shared" si="327"/>
        <v>16.8</v>
      </c>
      <c r="M218" s="82">
        <f t="shared" si="1"/>
        <v>0.47627160000000002</v>
      </c>
      <c r="N218" s="93">
        <v>0</v>
      </c>
      <c r="O218" s="93">
        <v>0</v>
      </c>
      <c r="P218" s="95">
        <f t="shared" si="2"/>
        <v>17</v>
      </c>
      <c r="Q218" s="96">
        <f>P218*C3</f>
        <v>21250</v>
      </c>
      <c r="R218" s="96">
        <v>0</v>
      </c>
      <c r="S218" s="97">
        <f t="shared" si="24"/>
        <v>21300</v>
      </c>
      <c r="T218" s="97">
        <f>ROUNDUP(HLOOKUP(ROUNDUP(K218,0),'배송비 조회'!A$10:U$22,7,0)*C$3,-2)</f>
        <v>11200</v>
      </c>
      <c r="U218" s="97">
        <v>0</v>
      </c>
      <c r="V218" s="97">
        <f t="shared" si="331"/>
        <v>16300</v>
      </c>
      <c r="W218" s="97">
        <f t="shared" si="264"/>
        <v>16300</v>
      </c>
      <c r="X218" s="98">
        <f t="shared" si="173"/>
        <v>48800</v>
      </c>
      <c r="Y218" s="98">
        <f t="shared" si="27"/>
        <v>48800</v>
      </c>
      <c r="Z218" s="121">
        <v>0</v>
      </c>
      <c r="AA218" s="121">
        <f t="shared" si="6"/>
        <v>1854.3999999999999</v>
      </c>
      <c r="AB218" s="121">
        <f t="shared" si="7"/>
        <v>976</v>
      </c>
      <c r="AC218" s="99">
        <f t="shared" si="8"/>
        <v>4880</v>
      </c>
      <c r="AD218" s="121">
        <f t="shared" si="9"/>
        <v>45969.599999999999</v>
      </c>
      <c r="AE218" s="99">
        <f t="shared" si="10"/>
        <v>43920</v>
      </c>
      <c r="AF218" s="121">
        <f t="shared" si="11"/>
        <v>459.69599999999997</v>
      </c>
      <c r="AG218" s="100">
        <f t="shared" si="28"/>
        <v>13059.903999999999</v>
      </c>
      <c r="AH218" s="101">
        <f t="shared" si="29"/>
        <v>11010.304</v>
      </c>
      <c r="AI218" s="102">
        <f t="shared" ref="AI218:AJ218" si="333">AG218/X218</f>
        <v>0.26762098360655734</v>
      </c>
      <c r="AJ218" s="102">
        <f t="shared" si="333"/>
        <v>0.22562098360655738</v>
      </c>
      <c r="AK218" s="103"/>
      <c r="AL218" s="104"/>
      <c r="AM218" s="17"/>
      <c r="AN218" s="17"/>
      <c r="AO218" s="17"/>
      <c r="AP218" s="17"/>
      <c r="AQ218" s="17"/>
      <c r="AR218" s="17"/>
      <c r="AS218" s="17"/>
      <c r="AT218" s="17"/>
      <c r="AU218" s="17"/>
      <c r="AV218" s="17"/>
      <c r="AW218" s="297"/>
    </row>
    <row r="219" spans="1:49" ht="13.2">
      <c r="A219" s="303">
        <f>HYPERLINK("https://smartstore.naver.com/brickstore2019/products/4636286849",AW:AW)</f>
        <v>4636286849</v>
      </c>
      <c r="B219" s="266"/>
      <c r="C219" s="304" t="s">
        <v>638</v>
      </c>
      <c r="D219" s="117"/>
      <c r="E219" s="327" t="s">
        <v>639</v>
      </c>
      <c r="F219" s="168" t="s">
        <v>640</v>
      </c>
      <c r="G219" s="124" t="str">
        <f>HYPERLINK("https://www.amazon.com/Time-Timer-Charcoal-Operation-Management/dp/B07BR4CHPG?ref_=w_bl_hsx_s_ki_web_2602342011&amp;th=1","A")</f>
        <v>A</v>
      </c>
      <c r="H219" s="125"/>
      <c r="I219" s="125"/>
      <c r="J219" s="125">
        <v>36.49</v>
      </c>
      <c r="K219" s="82">
        <f t="shared" ref="K219:K220" si="334">IF(L219&gt;0,L219*0.0625,)</f>
        <v>0.95</v>
      </c>
      <c r="L219" s="82">
        <v>15.2</v>
      </c>
      <c r="M219" s="82">
        <f t="shared" si="1"/>
        <v>0.43091239999999997</v>
      </c>
      <c r="N219" s="93">
        <v>0</v>
      </c>
      <c r="O219" s="93">
        <v>0</v>
      </c>
      <c r="P219" s="95">
        <f t="shared" si="2"/>
        <v>36.49</v>
      </c>
      <c r="Q219" s="96">
        <f>P219*C3</f>
        <v>45612.5</v>
      </c>
      <c r="R219" s="96">
        <v>0</v>
      </c>
      <c r="S219" s="97">
        <f t="shared" si="24"/>
        <v>45600</v>
      </c>
      <c r="T219" s="97">
        <f>ROUNDUP(HLOOKUP(ROUNDUP(K219,0),'배송비 조회'!A$10:U$22,7,0)*C$3,-2)</f>
        <v>9000</v>
      </c>
      <c r="U219" s="97">
        <v>0</v>
      </c>
      <c r="V219" s="97">
        <f>ROUND(IF(R219&gt;0,0,(S219+T219)*0.3),-2)</f>
        <v>16400</v>
      </c>
      <c r="W219" s="97">
        <f t="shared" si="264"/>
        <v>27300</v>
      </c>
      <c r="X219" s="98">
        <f t="shared" si="173"/>
        <v>71000</v>
      </c>
      <c r="Y219" s="98">
        <f t="shared" si="27"/>
        <v>81900</v>
      </c>
      <c r="Z219" s="121">
        <v>0</v>
      </c>
      <c r="AA219" s="121">
        <f t="shared" si="6"/>
        <v>2698</v>
      </c>
      <c r="AB219" s="121">
        <f t="shared" si="7"/>
        <v>1420</v>
      </c>
      <c r="AC219" s="99">
        <f t="shared" si="8"/>
        <v>8190</v>
      </c>
      <c r="AD219" s="121">
        <f t="shared" si="9"/>
        <v>66882</v>
      </c>
      <c r="AE219" s="99">
        <f t="shared" si="10"/>
        <v>73710</v>
      </c>
      <c r="AF219" s="121">
        <f t="shared" si="11"/>
        <v>668.82</v>
      </c>
      <c r="AG219" s="100">
        <f t="shared" si="28"/>
        <v>11600.68</v>
      </c>
      <c r="AH219" s="101">
        <f t="shared" si="29"/>
        <v>18428.68</v>
      </c>
      <c r="AI219" s="102">
        <f t="shared" ref="AI219:AJ219" si="335">AG219/X219</f>
        <v>0.1633898591549296</v>
      </c>
      <c r="AJ219" s="102">
        <f t="shared" si="335"/>
        <v>0.22501440781440782</v>
      </c>
      <c r="AK219" s="103"/>
      <c r="AL219" s="104"/>
      <c r="AM219" s="17"/>
      <c r="AN219" s="17"/>
      <c r="AO219" s="17"/>
      <c r="AP219" s="17"/>
      <c r="AQ219" s="17"/>
      <c r="AR219" s="17"/>
      <c r="AS219" s="17"/>
      <c r="AT219" s="17"/>
      <c r="AU219" s="17"/>
      <c r="AV219" s="17"/>
      <c r="AW219" s="296">
        <v>4636286849</v>
      </c>
    </row>
    <row r="220" spans="1:49" ht="13.2">
      <c r="A220" s="302"/>
      <c r="B220" s="266"/>
      <c r="C220" s="302"/>
      <c r="D220" s="117"/>
      <c r="E220" s="302"/>
      <c r="F220" s="168" t="s">
        <v>641</v>
      </c>
      <c r="G220" s="124" t="str">
        <f>HYPERLINK("https://www.amazon.com/Time-Timer-Charcoal-Operation-Management/dp/B071HHWZKF?ref_=w_bl_hsx_s_ki_web_2602342011&amp;th=1","A")</f>
        <v>A</v>
      </c>
      <c r="H220" s="125"/>
      <c r="I220" s="125"/>
      <c r="J220" s="125">
        <v>31</v>
      </c>
      <c r="K220" s="82">
        <f t="shared" si="334"/>
        <v>0.9</v>
      </c>
      <c r="L220" s="82">
        <v>14.4</v>
      </c>
      <c r="M220" s="82">
        <f t="shared" si="1"/>
        <v>0.40823280000000001</v>
      </c>
      <c r="N220" s="93">
        <v>0</v>
      </c>
      <c r="O220" s="93">
        <v>0</v>
      </c>
      <c r="P220" s="95">
        <f t="shared" si="2"/>
        <v>31</v>
      </c>
      <c r="Q220" s="96">
        <f>P220*C3</f>
        <v>38750</v>
      </c>
      <c r="R220" s="96">
        <v>0</v>
      </c>
      <c r="S220" s="97">
        <f t="shared" si="24"/>
        <v>38800</v>
      </c>
      <c r="T220" s="97">
        <f>ROUNDUP(HLOOKUP(ROUNDUP(K220,0),'배송비 조회'!A$10:U$22,7,0)*C$3,-2)</f>
        <v>9000</v>
      </c>
      <c r="U220" s="97">
        <v>0</v>
      </c>
      <c r="V220" s="97">
        <f t="shared" ref="V220:V224" si="336">ROUND(IF(R220&gt;0,0,(S220+T220)*0.4),-2)</f>
        <v>19100</v>
      </c>
      <c r="W220" s="97">
        <f t="shared" si="264"/>
        <v>23900</v>
      </c>
      <c r="X220" s="98">
        <f t="shared" si="173"/>
        <v>66900</v>
      </c>
      <c r="Y220" s="98">
        <f t="shared" si="27"/>
        <v>71700</v>
      </c>
      <c r="Z220" s="121">
        <v>0</v>
      </c>
      <c r="AA220" s="121">
        <f t="shared" si="6"/>
        <v>2542.1999999999998</v>
      </c>
      <c r="AB220" s="121">
        <f t="shared" si="7"/>
        <v>1338</v>
      </c>
      <c r="AC220" s="99">
        <f t="shared" si="8"/>
        <v>7170</v>
      </c>
      <c r="AD220" s="121">
        <f t="shared" si="9"/>
        <v>63019.8</v>
      </c>
      <c r="AE220" s="99">
        <f t="shared" si="10"/>
        <v>64530</v>
      </c>
      <c r="AF220" s="121">
        <f t="shared" si="11"/>
        <v>630.19800000000009</v>
      </c>
      <c r="AG220" s="100">
        <f t="shared" si="28"/>
        <v>14639.602000000003</v>
      </c>
      <c r="AH220" s="101">
        <f t="shared" si="29"/>
        <v>16149.802</v>
      </c>
      <c r="AI220" s="102">
        <f t="shared" ref="AI220:AJ220" si="337">AG220/X220</f>
        <v>0.21882813153961139</v>
      </c>
      <c r="AJ220" s="102">
        <f t="shared" si="337"/>
        <v>0.22524131101813111</v>
      </c>
      <c r="AK220" s="103"/>
      <c r="AL220" s="104"/>
      <c r="AM220" s="17"/>
      <c r="AN220" s="17"/>
      <c r="AO220" s="17"/>
      <c r="AP220" s="17"/>
      <c r="AQ220" s="17"/>
      <c r="AR220" s="17"/>
      <c r="AS220" s="17"/>
      <c r="AT220" s="17"/>
      <c r="AU220" s="17"/>
      <c r="AV220" s="17"/>
      <c r="AW220" s="297"/>
    </row>
    <row r="221" spans="1:49" ht="13.2">
      <c r="A221" s="302"/>
      <c r="B221" s="266"/>
      <c r="C221" s="302"/>
      <c r="D221" s="117"/>
      <c r="E221" s="302"/>
      <c r="F221" s="168" t="s">
        <v>642</v>
      </c>
      <c r="G221" s="124" t="str">
        <f>HYPERLINK("https://www.amazon.com/Time-Timer-Charcoal-Operation-Management/dp/B06XKC3KPD?ref_=w_bl_hsx_s_ki_web_2602342011&amp;th=1","A")</f>
        <v>A</v>
      </c>
      <c r="H221" s="125"/>
      <c r="I221" s="125"/>
      <c r="J221" s="125">
        <v>29</v>
      </c>
      <c r="K221" s="82">
        <v>1</v>
      </c>
      <c r="L221" s="82">
        <f>IF(K221&gt;0,K221*16,)</f>
        <v>16</v>
      </c>
      <c r="M221" s="82">
        <f t="shared" si="1"/>
        <v>0.453592</v>
      </c>
      <c r="N221" s="93">
        <v>0</v>
      </c>
      <c r="O221" s="93">
        <v>0</v>
      </c>
      <c r="P221" s="95">
        <f t="shared" si="2"/>
        <v>29</v>
      </c>
      <c r="Q221" s="96">
        <f>P221*C3</f>
        <v>36250</v>
      </c>
      <c r="R221" s="96">
        <v>0</v>
      </c>
      <c r="S221" s="97">
        <f t="shared" si="24"/>
        <v>36300</v>
      </c>
      <c r="T221" s="97">
        <f>ROUNDUP(HLOOKUP(ROUNDUP(K221,0),'배송비 조회'!A$10:U$22,7,0)*C$3,-2)</f>
        <v>9000</v>
      </c>
      <c r="U221" s="97">
        <v>0</v>
      </c>
      <c r="V221" s="97">
        <f t="shared" si="336"/>
        <v>18100</v>
      </c>
      <c r="W221" s="97">
        <f t="shared" si="264"/>
        <v>22700</v>
      </c>
      <c r="X221" s="98">
        <f t="shared" si="173"/>
        <v>63400</v>
      </c>
      <c r="Y221" s="98">
        <f t="shared" si="27"/>
        <v>68000</v>
      </c>
      <c r="Z221" s="121">
        <v>0</v>
      </c>
      <c r="AA221" s="121">
        <f t="shared" si="6"/>
        <v>2409.1999999999998</v>
      </c>
      <c r="AB221" s="121">
        <f t="shared" si="7"/>
        <v>1268</v>
      </c>
      <c r="AC221" s="99">
        <f t="shared" si="8"/>
        <v>6800</v>
      </c>
      <c r="AD221" s="121">
        <f t="shared" si="9"/>
        <v>59722.8</v>
      </c>
      <c r="AE221" s="99">
        <f t="shared" si="10"/>
        <v>61200</v>
      </c>
      <c r="AF221" s="121">
        <f t="shared" si="11"/>
        <v>597.22800000000007</v>
      </c>
      <c r="AG221" s="100">
        <f t="shared" si="28"/>
        <v>13875.572000000004</v>
      </c>
      <c r="AH221" s="101">
        <f t="shared" si="29"/>
        <v>15352.772000000001</v>
      </c>
      <c r="AI221" s="102">
        <f t="shared" ref="AI221:AJ221" si="338">AG221/X221</f>
        <v>0.21885760252365938</v>
      </c>
      <c r="AJ221" s="102">
        <f t="shared" si="338"/>
        <v>0.22577605882352941</v>
      </c>
      <c r="AK221" s="103"/>
      <c r="AL221" s="104"/>
      <c r="AM221" s="17"/>
      <c r="AN221" s="17"/>
      <c r="AO221" s="17"/>
      <c r="AP221" s="17"/>
      <c r="AQ221" s="17"/>
      <c r="AR221" s="17"/>
      <c r="AS221" s="17"/>
      <c r="AT221" s="17"/>
      <c r="AU221" s="17"/>
      <c r="AV221" s="17"/>
      <c r="AW221" s="297"/>
    </row>
    <row r="222" spans="1:49" ht="13.2">
      <c r="A222" s="302"/>
      <c r="B222" s="266"/>
      <c r="C222" s="302"/>
      <c r="D222" s="117"/>
      <c r="E222" s="302"/>
      <c r="F222" s="168" t="s">
        <v>643</v>
      </c>
      <c r="G222" s="124" t="str">
        <f>HYPERLINK("https://www.amazon.com/Time-Timer-Charcoal-Operation-Management/dp/B0711F3L28?ref_=w_bl_hsx_s_ki_web_2602342011&amp;th=1","A")</f>
        <v>A</v>
      </c>
      <c r="H222" s="125"/>
      <c r="I222" s="125"/>
      <c r="J222" s="125">
        <v>29</v>
      </c>
      <c r="K222" s="82">
        <f t="shared" ref="K222:K223" si="339">IF(L222&gt;0,L222*0.0625,)</f>
        <v>0.85</v>
      </c>
      <c r="L222" s="82">
        <v>13.6</v>
      </c>
      <c r="M222" s="82">
        <f t="shared" si="1"/>
        <v>0.38555319999999998</v>
      </c>
      <c r="N222" s="93">
        <v>0</v>
      </c>
      <c r="O222" s="93">
        <v>0</v>
      </c>
      <c r="P222" s="95">
        <f t="shared" si="2"/>
        <v>29</v>
      </c>
      <c r="Q222" s="96">
        <f>P222*C3</f>
        <v>36250</v>
      </c>
      <c r="R222" s="96">
        <v>0</v>
      </c>
      <c r="S222" s="97">
        <f t="shared" si="24"/>
        <v>36300</v>
      </c>
      <c r="T222" s="97">
        <f>ROUNDUP(HLOOKUP(ROUNDUP(K222,0),'배송비 조회'!A$10:U$22,7,0)*C$3,-2)</f>
        <v>9000</v>
      </c>
      <c r="U222" s="97">
        <v>0</v>
      </c>
      <c r="V222" s="97">
        <f t="shared" si="336"/>
        <v>18100</v>
      </c>
      <c r="W222" s="97">
        <f t="shared" si="264"/>
        <v>22700</v>
      </c>
      <c r="X222" s="98">
        <f t="shared" si="173"/>
        <v>63400</v>
      </c>
      <c r="Y222" s="98">
        <f t="shared" si="27"/>
        <v>68000</v>
      </c>
      <c r="Z222" s="121">
        <v>0</v>
      </c>
      <c r="AA222" s="121">
        <f t="shared" si="6"/>
        <v>2409.1999999999998</v>
      </c>
      <c r="AB222" s="121">
        <f t="shared" si="7"/>
        <v>1268</v>
      </c>
      <c r="AC222" s="99">
        <f t="shared" si="8"/>
        <v>6800</v>
      </c>
      <c r="AD222" s="121">
        <f t="shared" si="9"/>
        <v>59722.8</v>
      </c>
      <c r="AE222" s="99">
        <f t="shared" si="10"/>
        <v>61200</v>
      </c>
      <c r="AF222" s="121">
        <f t="shared" si="11"/>
        <v>597.22800000000007</v>
      </c>
      <c r="AG222" s="100">
        <f t="shared" si="28"/>
        <v>13875.572000000004</v>
      </c>
      <c r="AH222" s="101">
        <f t="shared" si="29"/>
        <v>15352.772000000001</v>
      </c>
      <c r="AI222" s="102">
        <f t="shared" ref="AI222:AJ222" si="340">AG222/X222</f>
        <v>0.21885760252365938</v>
      </c>
      <c r="AJ222" s="102">
        <f t="shared" si="340"/>
        <v>0.22577605882352941</v>
      </c>
      <c r="AK222" s="103"/>
      <c r="AL222" s="104"/>
      <c r="AM222" s="17"/>
      <c r="AN222" s="17"/>
      <c r="AO222" s="17"/>
      <c r="AP222" s="17"/>
      <c r="AQ222" s="17"/>
      <c r="AR222" s="17"/>
      <c r="AS222" s="17"/>
      <c r="AT222" s="17"/>
      <c r="AU222" s="17"/>
      <c r="AV222" s="17"/>
      <c r="AW222" s="297"/>
    </row>
    <row r="223" spans="1:49" ht="13.2">
      <c r="A223" s="302"/>
      <c r="B223" s="266"/>
      <c r="C223" s="302"/>
      <c r="D223" s="117"/>
      <c r="E223" s="302"/>
      <c r="F223" s="168" t="s">
        <v>644</v>
      </c>
      <c r="G223" s="124" t="str">
        <f>HYPERLINK("https://www.amazon.com/Time-Timer-Charcoal-Operation-Management/dp/B06XKZTCS2?ref_=w_bl_hsx_s_ki_web_2602342011&amp;th=1","A")</f>
        <v>A</v>
      </c>
      <c r="H223" s="125"/>
      <c r="I223" s="125"/>
      <c r="J223" s="125">
        <v>29</v>
      </c>
      <c r="K223" s="82">
        <f t="shared" si="339"/>
        <v>0.9</v>
      </c>
      <c r="L223" s="82">
        <v>14.4</v>
      </c>
      <c r="M223" s="82">
        <f t="shared" si="1"/>
        <v>0.40823280000000001</v>
      </c>
      <c r="N223" s="93">
        <v>0</v>
      </c>
      <c r="O223" s="93">
        <v>0</v>
      </c>
      <c r="P223" s="95">
        <f t="shared" si="2"/>
        <v>29</v>
      </c>
      <c r="Q223" s="96">
        <f>P223*C3</f>
        <v>36250</v>
      </c>
      <c r="R223" s="96">
        <v>0</v>
      </c>
      <c r="S223" s="97">
        <f t="shared" si="24"/>
        <v>36300</v>
      </c>
      <c r="T223" s="97">
        <f>ROUNDUP(HLOOKUP(ROUNDUP(K223,0),'배송비 조회'!A$10:U$22,7,0)*C$3,-2)</f>
        <v>9000</v>
      </c>
      <c r="U223" s="97">
        <v>0</v>
      </c>
      <c r="V223" s="97">
        <f t="shared" si="336"/>
        <v>18100</v>
      </c>
      <c r="W223" s="97">
        <f t="shared" si="264"/>
        <v>22700</v>
      </c>
      <c r="X223" s="98">
        <f t="shared" si="173"/>
        <v>63400</v>
      </c>
      <c r="Y223" s="98">
        <f t="shared" si="27"/>
        <v>68000</v>
      </c>
      <c r="Z223" s="121">
        <v>0</v>
      </c>
      <c r="AA223" s="121">
        <f t="shared" si="6"/>
        <v>2409.1999999999998</v>
      </c>
      <c r="AB223" s="121">
        <f t="shared" si="7"/>
        <v>1268</v>
      </c>
      <c r="AC223" s="99">
        <f t="shared" si="8"/>
        <v>6800</v>
      </c>
      <c r="AD223" s="121">
        <f t="shared" si="9"/>
        <v>59722.8</v>
      </c>
      <c r="AE223" s="99">
        <f t="shared" si="10"/>
        <v>61200</v>
      </c>
      <c r="AF223" s="121">
        <f t="shared" si="11"/>
        <v>597.22800000000007</v>
      </c>
      <c r="AG223" s="100">
        <f t="shared" si="28"/>
        <v>13875.572000000004</v>
      </c>
      <c r="AH223" s="101">
        <f t="shared" si="29"/>
        <v>15352.772000000001</v>
      </c>
      <c r="AI223" s="102">
        <f t="shared" ref="AI223:AJ223" si="341">AG223/X223</f>
        <v>0.21885760252365938</v>
      </c>
      <c r="AJ223" s="102">
        <f t="shared" si="341"/>
        <v>0.22577605882352941</v>
      </c>
      <c r="AK223" s="103"/>
      <c r="AL223" s="104"/>
      <c r="AM223" s="17"/>
      <c r="AN223" s="17"/>
      <c r="AO223" s="17"/>
      <c r="AP223" s="17"/>
      <c r="AQ223" s="17"/>
      <c r="AR223" s="17"/>
      <c r="AS223" s="17"/>
      <c r="AT223" s="17"/>
      <c r="AU223" s="17"/>
      <c r="AV223" s="17"/>
      <c r="AW223" s="297"/>
    </row>
    <row r="224" spans="1:49" ht="13.2">
      <c r="A224" s="176">
        <f>HYPERLINK("https://smartstore.naver.com/brickstore2019/products/4638692728",AW:AW)</f>
        <v>4638692728</v>
      </c>
      <c r="B224" s="273"/>
      <c r="C224" s="177" t="s">
        <v>645</v>
      </c>
      <c r="D224" s="177"/>
      <c r="E224" s="177" t="s">
        <v>646</v>
      </c>
      <c r="F224" s="178"/>
      <c r="G224" s="179" t="str">
        <f>HYPERLINK("https://www.amazon.com/Citizen-Eco-Drive-Promaster-Diver-BJ8050-08E/dp/B000EQU15O/ref=sr_1_1?keywords=BJ8050&amp;qid=1566021012&amp;s=gateway&amp;sr=8-1","A")</f>
        <v>A</v>
      </c>
      <c r="H224" s="180"/>
      <c r="I224" s="180"/>
      <c r="J224" s="180">
        <v>239.99</v>
      </c>
      <c r="K224" s="181">
        <v>1.3</v>
      </c>
      <c r="L224" s="181">
        <f>IF(K224&gt;0,K224*16,)</f>
        <v>20.8</v>
      </c>
      <c r="M224" s="181">
        <f t="shared" si="1"/>
        <v>0.58966960000000002</v>
      </c>
      <c r="N224" s="93">
        <v>0</v>
      </c>
      <c r="O224" s="93">
        <v>0</v>
      </c>
      <c r="P224" s="95">
        <f t="shared" si="2"/>
        <v>239.99</v>
      </c>
      <c r="Q224" s="96">
        <f>P224*C3</f>
        <v>299987.5</v>
      </c>
      <c r="R224" s="96">
        <f>ROUND(Q224*0.3,-2)</f>
        <v>90000</v>
      </c>
      <c r="S224" s="97">
        <f t="shared" si="24"/>
        <v>390000</v>
      </c>
      <c r="T224" s="97">
        <f>ROUNDUP(HLOOKUP(ROUNDUP(K224,0),'배송비 조회'!A$10:U$22,7,0)*C$3,-2)</f>
        <v>11200</v>
      </c>
      <c r="U224" s="97"/>
      <c r="V224" s="97">
        <f t="shared" si="336"/>
        <v>0</v>
      </c>
      <c r="W224" s="97">
        <f t="shared" si="264"/>
        <v>0</v>
      </c>
      <c r="X224" s="98">
        <f>SUM(S224:T224)</f>
        <v>401200</v>
      </c>
      <c r="Y224" s="98">
        <f t="shared" si="27"/>
        <v>401200</v>
      </c>
      <c r="Z224" s="182"/>
      <c r="AA224" s="182">
        <f t="shared" si="6"/>
        <v>15245.6</v>
      </c>
      <c r="AB224" s="182">
        <f t="shared" si="7"/>
        <v>8024</v>
      </c>
      <c r="AC224" s="99">
        <f t="shared" si="8"/>
        <v>40120</v>
      </c>
      <c r="AD224" s="182">
        <f t="shared" si="9"/>
        <v>377930.4</v>
      </c>
      <c r="AE224" s="99">
        <f t="shared" si="10"/>
        <v>361080</v>
      </c>
      <c r="AF224" s="182">
        <f t="shared" si="11"/>
        <v>3779.3040000000001</v>
      </c>
      <c r="AG224" s="100">
        <f t="shared" si="28"/>
        <v>62963.59600000002</v>
      </c>
      <c r="AH224" s="101">
        <f t="shared" si="29"/>
        <v>46113.195999999996</v>
      </c>
      <c r="AI224" s="102">
        <f t="shared" ref="AI224:AJ224" si="342">AG224/X224</f>
        <v>0.1569381754735793</v>
      </c>
      <c r="AJ224" s="102">
        <f t="shared" si="342"/>
        <v>0.11493817547357925</v>
      </c>
      <c r="AK224" s="103"/>
      <c r="AL224" s="104"/>
      <c r="AM224" s="17"/>
      <c r="AN224" s="17"/>
      <c r="AO224" s="17"/>
      <c r="AP224" s="17"/>
      <c r="AQ224" s="17"/>
      <c r="AR224" s="17"/>
      <c r="AS224" s="17"/>
      <c r="AT224" s="17"/>
      <c r="AU224" s="17"/>
      <c r="AV224" s="17"/>
      <c r="AW224" s="39">
        <v>4638692728</v>
      </c>
    </row>
    <row r="225" spans="1:49" ht="13.2">
      <c r="A225" s="119">
        <f>HYPERLINK("https://smartstore.naver.com/brickstore2019/products/4638701054",AW:AW)</f>
        <v>4638701054</v>
      </c>
      <c r="B225" s="266"/>
      <c r="C225" s="117" t="s">
        <v>647</v>
      </c>
      <c r="D225" s="117"/>
      <c r="E225" s="117" t="s">
        <v>648</v>
      </c>
      <c r="F225" s="168"/>
      <c r="G225" s="124" t="str">
        <f>HYPERLINK("https://www.amazon.com/Citizen-Eco-Drive-Stainless-Steel-BM7251-53L/dp/B00PXVTU5C/ref=sr_1_1?keywords=BM7251-53L&amp;qid=1566020304&amp;s=gateway&amp;sr=8-1","A")</f>
        <v>A</v>
      </c>
      <c r="H225" s="125"/>
      <c r="I225" s="125"/>
      <c r="J225" s="125">
        <v>150</v>
      </c>
      <c r="K225" s="82">
        <f t="shared" ref="K225:K236" si="343">IF(L225&gt;0,L225*0.0625,)</f>
        <v>0.75</v>
      </c>
      <c r="L225" s="82">
        <v>12</v>
      </c>
      <c r="M225" s="82">
        <f t="shared" si="1"/>
        <v>0.340194</v>
      </c>
      <c r="N225" s="93">
        <v>0</v>
      </c>
      <c r="O225" s="93">
        <v>0</v>
      </c>
      <c r="P225" s="95">
        <f t="shared" si="2"/>
        <v>150</v>
      </c>
      <c r="Q225" s="96">
        <f>P225*C3</f>
        <v>187500</v>
      </c>
      <c r="R225" s="96">
        <v>0</v>
      </c>
      <c r="S225" s="97">
        <f t="shared" si="24"/>
        <v>187500</v>
      </c>
      <c r="T225" s="97">
        <f>ROUNDUP(HLOOKUP(ROUNDUP(K225,0),'배송비 조회'!A$10:U$22,7,0)*C$3,-2)</f>
        <v>9000</v>
      </c>
      <c r="U225" s="97">
        <v>0</v>
      </c>
      <c r="V225" s="97">
        <f t="shared" ref="V225:V233" si="344">ROUND(IF(R225&gt;0,0,(S225+T225)*0.3),-2)</f>
        <v>59000</v>
      </c>
      <c r="W225" s="97">
        <f t="shared" si="264"/>
        <v>98300</v>
      </c>
      <c r="X225" s="98">
        <f t="shared" ref="X225:X332" si="345">IF(R225&gt;0,SUM(S225:T225),SUM(S225:V225))</f>
        <v>255500</v>
      </c>
      <c r="Y225" s="98">
        <f t="shared" si="27"/>
        <v>294800</v>
      </c>
      <c r="Z225" s="121">
        <v>0</v>
      </c>
      <c r="AA225" s="121">
        <f t="shared" si="6"/>
        <v>9709</v>
      </c>
      <c r="AB225" s="121">
        <f t="shared" si="7"/>
        <v>5110</v>
      </c>
      <c r="AC225" s="99">
        <f t="shared" si="8"/>
        <v>29480</v>
      </c>
      <c r="AD225" s="121">
        <f t="shared" si="9"/>
        <v>240681</v>
      </c>
      <c r="AE225" s="99">
        <f t="shared" si="10"/>
        <v>265320</v>
      </c>
      <c r="AF225" s="121">
        <f t="shared" si="11"/>
        <v>2406.81</v>
      </c>
      <c r="AG225" s="100">
        <f t="shared" si="28"/>
        <v>41774.19</v>
      </c>
      <c r="AH225" s="101">
        <f t="shared" si="29"/>
        <v>66413.19</v>
      </c>
      <c r="AI225" s="102">
        <f t="shared" ref="AI225:AJ225" si="346">AG225/X225</f>
        <v>0.16349976516634052</v>
      </c>
      <c r="AJ225" s="102">
        <f t="shared" si="346"/>
        <v>0.22528219131614655</v>
      </c>
      <c r="AK225" s="103"/>
      <c r="AL225" s="104"/>
      <c r="AM225" s="17"/>
      <c r="AN225" s="17"/>
      <c r="AO225" s="17"/>
      <c r="AP225" s="17"/>
      <c r="AQ225" s="17"/>
      <c r="AR225" s="17"/>
      <c r="AS225" s="17"/>
      <c r="AT225" s="17"/>
      <c r="AU225" s="17"/>
      <c r="AV225" s="17"/>
      <c r="AW225" s="22">
        <v>4638701054</v>
      </c>
    </row>
    <row r="226" spans="1:49" ht="13.2">
      <c r="A226" s="119">
        <f>HYPERLINK("https://smartstore.naver.com/brickstore2019/products/4638729681",AW:AW)</f>
        <v>4638729681</v>
      </c>
      <c r="B226" s="266"/>
      <c r="C226" s="117" t="s">
        <v>649</v>
      </c>
      <c r="D226" s="117"/>
      <c r="E226" s="117" t="s">
        <v>650</v>
      </c>
      <c r="F226" s="168"/>
      <c r="G226" s="124" t="str">
        <f>HYPERLINK("https://www.amazon.com/Timex-Analog-Stainless-Multifunction-Bracelet/dp/B07PTDM6QN","A")</f>
        <v>A</v>
      </c>
      <c r="H226" s="125"/>
      <c r="I226" s="125"/>
      <c r="J226" s="125">
        <v>74</v>
      </c>
      <c r="K226" s="82">
        <f t="shared" si="343"/>
        <v>0.6</v>
      </c>
      <c r="L226" s="82">
        <v>9.6</v>
      </c>
      <c r="M226" s="82">
        <f t="shared" si="1"/>
        <v>0.27215519999999999</v>
      </c>
      <c r="N226" s="93">
        <v>0</v>
      </c>
      <c r="O226" s="93">
        <v>0</v>
      </c>
      <c r="P226" s="95">
        <f t="shared" si="2"/>
        <v>74</v>
      </c>
      <c r="Q226" s="96">
        <f>P226*C3</f>
        <v>92500</v>
      </c>
      <c r="R226" s="96">
        <v>0</v>
      </c>
      <c r="S226" s="97">
        <f t="shared" si="24"/>
        <v>92500</v>
      </c>
      <c r="T226" s="97">
        <f>ROUNDUP(HLOOKUP(ROUNDUP(K226,0),'배송비 조회'!A$10:U$22,7,0)*C$3,-2)</f>
        <v>9000</v>
      </c>
      <c r="U226" s="97">
        <v>0</v>
      </c>
      <c r="V226" s="97">
        <f t="shared" si="344"/>
        <v>30500</v>
      </c>
      <c r="W226" s="97">
        <f t="shared" si="264"/>
        <v>50800</v>
      </c>
      <c r="X226" s="98">
        <f t="shared" si="345"/>
        <v>132000</v>
      </c>
      <c r="Y226" s="98">
        <f t="shared" si="27"/>
        <v>152300</v>
      </c>
      <c r="Z226" s="121">
        <v>0</v>
      </c>
      <c r="AA226" s="121">
        <f t="shared" si="6"/>
        <v>5016</v>
      </c>
      <c r="AB226" s="121">
        <f t="shared" si="7"/>
        <v>2640</v>
      </c>
      <c r="AC226" s="99">
        <f t="shared" si="8"/>
        <v>15230</v>
      </c>
      <c r="AD226" s="121">
        <f t="shared" si="9"/>
        <v>124344</v>
      </c>
      <c r="AE226" s="99">
        <f t="shared" si="10"/>
        <v>137070</v>
      </c>
      <c r="AF226" s="121">
        <f t="shared" si="11"/>
        <v>1243.44</v>
      </c>
      <c r="AG226" s="100">
        <f t="shared" si="28"/>
        <v>21600.560000000001</v>
      </c>
      <c r="AH226" s="101">
        <f t="shared" si="29"/>
        <v>34326.559999999998</v>
      </c>
      <c r="AI226" s="102">
        <f t="shared" ref="AI226:AJ226" si="347">AG226/X226</f>
        <v>0.16364060606060607</v>
      </c>
      <c r="AJ226" s="102">
        <f t="shared" si="347"/>
        <v>0.22538778726198291</v>
      </c>
      <c r="AK226" s="103"/>
      <c r="AL226" s="104"/>
      <c r="AM226" s="17"/>
      <c r="AN226" s="17"/>
      <c r="AO226" s="17"/>
      <c r="AP226" s="17"/>
      <c r="AQ226" s="17"/>
      <c r="AR226" s="17"/>
      <c r="AS226" s="17"/>
      <c r="AT226" s="17"/>
      <c r="AU226" s="17"/>
      <c r="AV226" s="17"/>
      <c r="AW226" s="22">
        <v>4638729681</v>
      </c>
    </row>
    <row r="227" spans="1:49" ht="13.2">
      <c r="A227" s="119">
        <f>HYPERLINK("https://smartstore.naver.com/brickstore2019/products/4638746089",AW:AW)</f>
        <v>4638746089</v>
      </c>
      <c r="B227" s="266"/>
      <c r="C227" s="117" t="s">
        <v>651</v>
      </c>
      <c r="D227" s="117"/>
      <c r="E227" s="117" t="s">
        <v>652</v>
      </c>
      <c r="F227" s="168"/>
      <c r="G227" s="124" t="str">
        <f>HYPERLINK("https://www.amazon.com/Citizen-Eco-Drive-Quartz-Stainless-Casual/dp/B01KVVW5DM/ref=sr_1_1?keywords=AW7030-06E&amp;qid=1566030311&amp;s=gateway&amp;sr=8-1","A")</f>
        <v>A</v>
      </c>
      <c r="H227" s="125"/>
      <c r="I227" s="125"/>
      <c r="J227" s="169">
        <v>124</v>
      </c>
      <c r="K227" s="82">
        <f t="shared" si="343"/>
        <v>0.65</v>
      </c>
      <c r="L227" s="82">
        <v>10.4</v>
      </c>
      <c r="M227" s="82">
        <f t="shared" si="1"/>
        <v>0.29483480000000001</v>
      </c>
      <c r="N227" s="93">
        <v>0</v>
      </c>
      <c r="O227" s="93">
        <v>0</v>
      </c>
      <c r="P227" s="95">
        <f t="shared" si="2"/>
        <v>124</v>
      </c>
      <c r="Q227" s="96">
        <f>P227*C3</f>
        <v>155000</v>
      </c>
      <c r="R227" s="96">
        <v>0</v>
      </c>
      <c r="S227" s="97">
        <f t="shared" si="24"/>
        <v>155000</v>
      </c>
      <c r="T227" s="97">
        <f>ROUNDUP(HLOOKUP(ROUNDUP(K227,0),'배송비 조회'!A$10:U$22,7,0)*C$3,-2)</f>
        <v>9000</v>
      </c>
      <c r="U227" s="97">
        <v>0</v>
      </c>
      <c r="V227" s="97">
        <f t="shared" si="344"/>
        <v>49200</v>
      </c>
      <c r="W227" s="97">
        <f t="shared" si="264"/>
        <v>82000</v>
      </c>
      <c r="X227" s="98">
        <f t="shared" si="345"/>
        <v>213200</v>
      </c>
      <c r="Y227" s="98">
        <f t="shared" si="27"/>
        <v>246000</v>
      </c>
      <c r="Z227" s="121">
        <v>0</v>
      </c>
      <c r="AA227" s="121">
        <f t="shared" si="6"/>
        <v>8101.5999999999995</v>
      </c>
      <c r="AB227" s="121">
        <f t="shared" si="7"/>
        <v>4264</v>
      </c>
      <c r="AC227" s="99">
        <f t="shared" si="8"/>
        <v>24600</v>
      </c>
      <c r="AD227" s="121">
        <f t="shared" si="9"/>
        <v>200834.4</v>
      </c>
      <c r="AE227" s="99">
        <f t="shared" si="10"/>
        <v>221400</v>
      </c>
      <c r="AF227" s="121">
        <f t="shared" si="11"/>
        <v>2008.3440000000001</v>
      </c>
      <c r="AG227" s="100">
        <f t="shared" si="28"/>
        <v>34826.055999999997</v>
      </c>
      <c r="AH227" s="101">
        <f t="shared" si="29"/>
        <v>55391.656000000003</v>
      </c>
      <c r="AI227" s="102">
        <f t="shared" ref="AI227:AJ227" si="348">AG227/X227</f>
        <v>0.16334923076923075</v>
      </c>
      <c r="AJ227" s="102">
        <f t="shared" si="348"/>
        <v>0.22516933333333333</v>
      </c>
      <c r="AK227" s="103"/>
      <c r="AL227" s="104"/>
      <c r="AM227" s="17"/>
      <c r="AN227" s="17"/>
      <c r="AO227" s="17"/>
      <c r="AP227" s="17"/>
      <c r="AQ227" s="17"/>
      <c r="AR227" s="17"/>
      <c r="AS227" s="17"/>
      <c r="AT227" s="17"/>
      <c r="AU227" s="17"/>
      <c r="AV227" s="17"/>
      <c r="AW227" s="22">
        <v>4638746089</v>
      </c>
    </row>
    <row r="228" spans="1:49" ht="13.2">
      <c r="A228" s="119">
        <f>HYPERLINK("https://smartstore.naver.com/brickstore2019/products/4638774128",AW:AW)</f>
        <v>4638774128</v>
      </c>
      <c r="B228" s="266"/>
      <c r="C228" s="117" t="s">
        <v>653</v>
      </c>
      <c r="D228" s="117"/>
      <c r="E228" s="117" t="s">
        <v>654</v>
      </c>
      <c r="F228" s="168"/>
      <c r="G228" s="124" t="str">
        <f>HYPERLINK("https://www.amazon.com/Invicta-8932OB-Analog-Quartz-Silver/dp/B014MN9RCM/ref=sr_1_1?keywords=8932OB&amp;qid=1566032349&amp;s=gateway&amp;sr=8-1","A")</f>
        <v>A</v>
      </c>
      <c r="H228" s="125"/>
      <c r="I228" s="125"/>
      <c r="J228" s="93">
        <v>51.64</v>
      </c>
      <c r="K228" s="82">
        <f t="shared" si="343"/>
        <v>0.75</v>
      </c>
      <c r="L228" s="82">
        <v>12</v>
      </c>
      <c r="M228" s="82">
        <f t="shared" si="1"/>
        <v>0.340194</v>
      </c>
      <c r="N228" s="93">
        <v>0</v>
      </c>
      <c r="O228" s="93">
        <v>0</v>
      </c>
      <c r="P228" s="95">
        <f t="shared" si="2"/>
        <v>51.64</v>
      </c>
      <c r="Q228" s="96">
        <f>P228*C3</f>
        <v>64550</v>
      </c>
      <c r="R228" s="96">
        <v>0</v>
      </c>
      <c r="S228" s="97">
        <f t="shared" si="24"/>
        <v>64600</v>
      </c>
      <c r="T228" s="97">
        <f>ROUNDUP(HLOOKUP(ROUNDUP(K228,0),'배송비 조회'!A$10:U$22,7,0)*C$3,-2)</f>
        <v>9000</v>
      </c>
      <c r="U228" s="97">
        <v>0</v>
      </c>
      <c r="V228" s="97">
        <f t="shared" si="344"/>
        <v>22100</v>
      </c>
      <c r="W228" s="97">
        <f t="shared" si="264"/>
        <v>36800</v>
      </c>
      <c r="X228" s="98">
        <f t="shared" si="345"/>
        <v>95700</v>
      </c>
      <c r="Y228" s="98">
        <f t="shared" si="27"/>
        <v>110400</v>
      </c>
      <c r="Z228" s="121">
        <v>0</v>
      </c>
      <c r="AA228" s="121">
        <f t="shared" si="6"/>
        <v>3636.6</v>
      </c>
      <c r="AB228" s="121">
        <f t="shared" si="7"/>
        <v>1914</v>
      </c>
      <c r="AC228" s="99">
        <f t="shared" si="8"/>
        <v>11040</v>
      </c>
      <c r="AD228" s="121">
        <f t="shared" si="9"/>
        <v>90149.4</v>
      </c>
      <c r="AE228" s="99">
        <f t="shared" si="10"/>
        <v>99360</v>
      </c>
      <c r="AF228" s="121">
        <f t="shared" si="11"/>
        <v>901.49399999999991</v>
      </c>
      <c r="AG228" s="100">
        <f t="shared" si="28"/>
        <v>15697.905999999995</v>
      </c>
      <c r="AH228" s="101">
        <f t="shared" si="29"/>
        <v>24908.506000000001</v>
      </c>
      <c r="AI228" s="102">
        <f t="shared" ref="AI228:AJ228" si="349">AG228/X228</f>
        <v>0.16403245559038657</v>
      </c>
      <c r="AJ228" s="102">
        <f t="shared" si="349"/>
        <v>0.22562052536231886</v>
      </c>
      <c r="AK228" s="103"/>
      <c r="AL228" s="104"/>
      <c r="AM228" s="17"/>
      <c r="AN228" s="17"/>
      <c r="AO228" s="17"/>
      <c r="AP228" s="17"/>
      <c r="AQ228" s="17"/>
      <c r="AR228" s="17"/>
      <c r="AS228" s="17"/>
      <c r="AT228" s="17"/>
      <c r="AU228" s="17"/>
      <c r="AV228" s="17"/>
      <c r="AW228" s="22">
        <v>4638774128</v>
      </c>
    </row>
    <row r="229" spans="1:49" ht="13.2">
      <c r="A229" s="303">
        <f>HYPERLINK("https://smartstore.naver.com/brickstore2019/products/4641037723",AW:AW)</f>
        <v>4641037723</v>
      </c>
      <c r="B229" s="266"/>
      <c r="C229" s="304" t="s">
        <v>655</v>
      </c>
      <c r="D229" s="117"/>
      <c r="E229" s="304" t="s">
        <v>656</v>
      </c>
      <c r="F229" s="168" t="s">
        <v>657</v>
      </c>
      <c r="G229" s="124" t="str">
        <f>HYPERLINK("https://www.amazon.com/Fossil-Quartz-Stainless-Leather-Chronograph/dp/B01KNMEVDG/ref=sr_1_1?keywords=fossile+FS5237&amp;qid=1566049056&amp;s=gateway&amp;sr=8-1","A")</f>
        <v>A</v>
      </c>
      <c r="H229" s="125"/>
      <c r="I229" s="125"/>
      <c r="J229" s="93">
        <v>88</v>
      </c>
      <c r="K229" s="82">
        <f t="shared" si="343"/>
        <v>0.51249999999999996</v>
      </c>
      <c r="L229" s="82">
        <v>8.1999999999999993</v>
      </c>
      <c r="M229" s="82">
        <f t="shared" si="1"/>
        <v>0.23246589999999998</v>
      </c>
      <c r="N229" s="93">
        <v>0</v>
      </c>
      <c r="O229" s="93">
        <v>0</v>
      </c>
      <c r="P229" s="95">
        <f t="shared" si="2"/>
        <v>88</v>
      </c>
      <c r="Q229" s="96">
        <f>P229*C3</f>
        <v>110000</v>
      </c>
      <c r="R229" s="96">
        <v>0</v>
      </c>
      <c r="S229" s="97">
        <f t="shared" si="24"/>
        <v>110000</v>
      </c>
      <c r="T229" s="97">
        <f>ROUNDUP(HLOOKUP(ROUNDUP(K229,0),'배송비 조회'!A$10:U$22,7,0)*C$3,-2)</f>
        <v>9000</v>
      </c>
      <c r="U229" s="97">
        <v>0</v>
      </c>
      <c r="V229" s="97">
        <f t="shared" si="344"/>
        <v>35700</v>
      </c>
      <c r="W229" s="97">
        <f t="shared" si="264"/>
        <v>59500</v>
      </c>
      <c r="X229" s="98">
        <f t="shared" si="345"/>
        <v>154700</v>
      </c>
      <c r="Y229" s="98">
        <f t="shared" si="27"/>
        <v>178500</v>
      </c>
      <c r="Z229" s="121">
        <v>0</v>
      </c>
      <c r="AA229" s="121">
        <f t="shared" si="6"/>
        <v>5878.5999999999995</v>
      </c>
      <c r="AB229" s="121">
        <f t="shared" si="7"/>
        <v>3094</v>
      </c>
      <c r="AC229" s="99">
        <f t="shared" si="8"/>
        <v>17850</v>
      </c>
      <c r="AD229" s="121">
        <f t="shared" si="9"/>
        <v>145727.4</v>
      </c>
      <c r="AE229" s="99">
        <f t="shared" si="10"/>
        <v>160650</v>
      </c>
      <c r="AF229" s="121">
        <f t="shared" si="11"/>
        <v>1457.2739999999999</v>
      </c>
      <c r="AG229" s="100">
        <f t="shared" si="28"/>
        <v>25270.125999999997</v>
      </c>
      <c r="AH229" s="101">
        <f t="shared" si="29"/>
        <v>40192.726000000002</v>
      </c>
      <c r="AI229" s="102">
        <f t="shared" ref="AI229:AJ229" si="350">AG229/X229</f>
        <v>0.16334923076923075</v>
      </c>
      <c r="AJ229" s="102">
        <f t="shared" si="350"/>
        <v>0.22516933333333336</v>
      </c>
      <c r="AK229" s="103">
        <f>X229-X230</f>
        <v>6500</v>
      </c>
      <c r="AL229" s="104"/>
      <c r="AM229" s="17"/>
      <c r="AN229" s="17"/>
      <c r="AO229" s="17"/>
      <c r="AP229" s="17"/>
      <c r="AQ229" s="17"/>
      <c r="AR229" s="17"/>
      <c r="AS229" s="17"/>
      <c r="AT229" s="17"/>
      <c r="AU229" s="17"/>
      <c r="AV229" s="17"/>
      <c r="AW229" s="296">
        <v>4641037723</v>
      </c>
    </row>
    <row r="230" spans="1:49" ht="13.2">
      <c r="A230" s="302"/>
      <c r="B230" s="266"/>
      <c r="C230" s="302"/>
      <c r="D230" s="117"/>
      <c r="E230" s="302"/>
      <c r="F230" s="168" t="s">
        <v>658</v>
      </c>
      <c r="G230" s="124" t="str">
        <f>HYPERLINK("https://www.amazon.com/dp/B01MFDH145/ref=twister_B07QFJVZBL?_encoding=UTF8&amp;psc=1","A")</f>
        <v>A</v>
      </c>
      <c r="H230" s="125"/>
      <c r="I230" s="125"/>
      <c r="J230" s="93">
        <v>84</v>
      </c>
      <c r="K230" s="82">
        <f t="shared" si="343"/>
        <v>0.4</v>
      </c>
      <c r="L230" s="82">
        <v>6.4</v>
      </c>
      <c r="M230" s="82">
        <f t="shared" si="1"/>
        <v>0.18143680000000001</v>
      </c>
      <c r="N230" s="93">
        <v>0</v>
      </c>
      <c r="O230" s="93">
        <v>0</v>
      </c>
      <c r="P230" s="95">
        <f t="shared" si="2"/>
        <v>84</v>
      </c>
      <c r="Q230" s="96">
        <f>P230*C3</f>
        <v>105000</v>
      </c>
      <c r="R230" s="96">
        <v>0</v>
      </c>
      <c r="S230" s="97">
        <f t="shared" si="24"/>
        <v>105000</v>
      </c>
      <c r="T230" s="97">
        <f>ROUNDUP(HLOOKUP(ROUNDUP(K230,0),'배송비 조회'!A$10:U$22,7,0)*C$3,-2)</f>
        <v>9000</v>
      </c>
      <c r="U230" s="97">
        <v>0</v>
      </c>
      <c r="V230" s="97">
        <f t="shared" si="344"/>
        <v>34200</v>
      </c>
      <c r="W230" s="97">
        <f t="shared" si="264"/>
        <v>57000</v>
      </c>
      <c r="X230" s="98">
        <f t="shared" si="345"/>
        <v>148200</v>
      </c>
      <c r="Y230" s="98">
        <f t="shared" si="27"/>
        <v>171000</v>
      </c>
      <c r="Z230" s="121">
        <v>0</v>
      </c>
      <c r="AA230" s="121">
        <f t="shared" si="6"/>
        <v>5631.5999999999995</v>
      </c>
      <c r="AB230" s="121">
        <f t="shared" si="7"/>
        <v>2964</v>
      </c>
      <c r="AC230" s="99">
        <f t="shared" si="8"/>
        <v>17100</v>
      </c>
      <c r="AD230" s="121">
        <f t="shared" si="9"/>
        <v>139604.4</v>
      </c>
      <c r="AE230" s="99">
        <f t="shared" si="10"/>
        <v>153900</v>
      </c>
      <c r="AF230" s="121">
        <f t="shared" si="11"/>
        <v>1396.0439999999999</v>
      </c>
      <c r="AG230" s="100">
        <f t="shared" si="28"/>
        <v>24208.355999999992</v>
      </c>
      <c r="AH230" s="101">
        <f t="shared" si="29"/>
        <v>38503.955999999998</v>
      </c>
      <c r="AI230" s="102">
        <f t="shared" ref="AI230:AJ230" si="351">AG230/X230</f>
        <v>0.16334923076923072</v>
      </c>
      <c r="AJ230" s="102">
        <f t="shared" si="351"/>
        <v>0.22516933333333333</v>
      </c>
      <c r="AK230" s="103"/>
      <c r="AL230" s="104"/>
      <c r="AM230" s="17"/>
      <c r="AN230" s="17"/>
      <c r="AO230" s="17"/>
      <c r="AP230" s="17"/>
      <c r="AQ230" s="17"/>
      <c r="AR230" s="17"/>
      <c r="AS230" s="17"/>
      <c r="AT230" s="17"/>
      <c r="AU230" s="17"/>
      <c r="AV230" s="17"/>
      <c r="AW230" s="297"/>
    </row>
    <row r="231" spans="1:49" ht="13.2">
      <c r="A231" s="119">
        <f>HYPERLINK("https://smartstore.naver.com/brickstore2019/products/4641048178",AW:AW)</f>
        <v>4641048178</v>
      </c>
      <c r="B231" s="266"/>
      <c r="C231" s="117" t="s">
        <v>659</v>
      </c>
      <c r="D231" s="117"/>
      <c r="E231" s="117" t="s">
        <v>660</v>
      </c>
      <c r="F231" s="168"/>
      <c r="G231" s="124" t="str">
        <f>HYPERLINK("https://www.amazon.com/Fossil-Womens-Tailor-Quartz-Stainless/dp/B00M7NEPDG/ref=sr_1_1?keywords=Fossil+ES3713&amp;qid=1566050224&amp;s=gateway&amp;sr=8-1","A")</f>
        <v>A</v>
      </c>
      <c r="H231" s="125"/>
      <c r="I231" s="125"/>
      <c r="J231" s="93">
        <v>120</v>
      </c>
      <c r="K231" s="82">
        <f t="shared" si="343"/>
        <v>0.41875000000000001</v>
      </c>
      <c r="L231" s="82">
        <v>6.7</v>
      </c>
      <c r="M231" s="82">
        <f t="shared" si="1"/>
        <v>0.18994164999999999</v>
      </c>
      <c r="N231" s="93">
        <v>0</v>
      </c>
      <c r="O231" s="93">
        <v>0</v>
      </c>
      <c r="P231" s="95">
        <f t="shared" si="2"/>
        <v>120</v>
      </c>
      <c r="Q231" s="96">
        <f>P231*C3</f>
        <v>150000</v>
      </c>
      <c r="R231" s="96">
        <v>0</v>
      </c>
      <c r="S231" s="97">
        <f t="shared" si="24"/>
        <v>150000</v>
      </c>
      <c r="T231" s="97">
        <f>ROUNDUP(HLOOKUP(ROUNDUP(K231,0),'배송비 조회'!A$10:U$22,7,0)*C$3,-2)</f>
        <v>9000</v>
      </c>
      <c r="U231" s="97">
        <v>0</v>
      </c>
      <c r="V231" s="97">
        <f t="shared" si="344"/>
        <v>47700</v>
      </c>
      <c r="W231" s="97">
        <f t="shared" si="264"/>
        <v>79500</v>
      </c>
      <c r="X231" s="98">
        <f t="shared" si="345"/>
        <v>206700</v>
      </c>
      <c r="Y231" s="98">
        <f t="shared" si="27"/>
        <v>238500</v>
      </c>
      <c r="Z231" s="121">
        <v>0</v>
      </c>
      <c r="AA231" s="121">
        <f t="shared" si="6"/>
        <v>7854.5999999999995</v>
      </c>
      <c r="AB231" s="121">
        <f t="shared" si="7"/>
        <v>4134</v>
      </c>
      <c r="AC231" s="99">
        <f t="shared" si="8"/>
        <v>23850</v>
      </c>
      <c r="AD231" s="121">
        <f t="shared" si="9"/>
        <v>194711.4</v>
      </c>
      <c r="AE231" s="99">
        <f t="shared" si="10"/>
        <v>214650</v>
      </c>
      <c r="AF231" s="121">
        <f t="shared" si="11"/>
        <v>1947.114</v>
      </c>
      <c r="AG231" s="100">
        <f t="shared" si="28"/>
        <v>33764.285999999993</v>
      </c>
      <c r="AH231" s="101">
        <f t="shared" si="29"/>
        <v>53702.885999999999</v>
      </c>
      <c r="AI231" s="102">
        <f t="shared" ref="AI231:AJ231" si="352">AG231/X231</f>
        <v>0.16334923076923075</v>
      </c>
      <c r="AJ231" s="102">
        <f t="shared" si="352"/>
        <v>0.22516933333333333</v>
      </c>
      <c r="AK231" s="103"/>
      <c r="AL231" s="104"/>
      <c r="AM231" s="17"/>
      <c r="AN231" s="17"/>
      <c r="AO231" s="17"/>
      <c r="AP231" s="17"/>
      <c r="AQ231" s="17"/>
      <c r="AR231" s="17"/>
      <c r="AS231" s="17"/>
      <c r="AT231" s="17"/>
      <c r="AU231" s="17"/>
      <c r="AV231" s="17"/>
      <c r="AW231" s="22">
        <v>4641048178</v>
      </c>
    </row>
    <row r="232" spans="1:49" ht="13.2">
      <c r="A232" s="303">
        <f>HYPERLINK("https://smartstore.naver.com/brickstore2019/products/4641068084",AW:AW)</f>
        <v>4641068084</v>
      </c>
      <c r="B232" s="266"/>
      <c r="C232" s="304" t="s">
        <v>661</v>
      </c>
      <c r="D232" s="117"/>
      <c r="E232" s="117" t="s">
        <v>662</v>
      </c>
      <c r="F232" s="168" t="s">
        <v>663</v>
      </c>
      <c r="G232" s="124" t="str">
        <f>HYPERLINK("https://www.amazon.com/Daniel-Wellington-Classic-Stainless-Japanese/dp/B07SVQ4H7D/ref=sr_1_30?crid=3G8B687TIQ3QJ&amp;keywords=watch&amp;qid=1566226365&amp;refinements=p_72%3A2661618011&amp;rnid=2661617011&amp;s=gateway&amp;sprefix=watch%2Caps%2C580&amp;sr=8-30","A")</f>
        <v>A</v>
      </c>
      <c r="H232" s="125"/>
      <c r="I232" s="125"/>
      <c r="J232" s="125">
        <v>160</v>
      </c>
      <c r="K232" s="82">
        <f t="shared" si="343"/>
        <v>0.5</v>
      </c>
      <c r="L232" s="82">
        <v>8</v>
      </c>
      <c r="M232" s="82">
        <f t="shared" si="1"/>
        <v>0.226796</v>
      </c>
      <c r="N232" s="93">
        <v>0</v>
      </c>
      <c r="O232" s="93">
        <v>0</v>
      </c>
      <c r="P232" s="95">
        <f t="shared" si="2"/>
        <v>160</v>
      </c>
      <c r="Q232" s="96">
        <f>P232*C3</f>
        <v>200000</v>
      </c>
      <c r="R232" s="96">
        <v>0</v>
      </c>
      <c r="S232" s="97">
        <f t="shared" si="24"/>
        <v>200000</v>
      </c>
      <c r="T232" s="97">
        <f>ROUNDUP(HLOOKUP(ROUNDUP(K232,0),'배송비 조회'!A$10:U$22,7,0)*C$3,-2)</f>
        <v>9000</v>
      </c>
      <c r="U232" s="97">
        <v>0</v>
      </c>
      <c r="V232" s="97">
        <f t="shared" si="344"/>
        <v>62700</v>
      </c>
      <c r="W232" s="97">
        <f t="shared" si="264"/>
        <v>104500</v>
      </c>
      <c r="X232" s="98">
        <f t="shared" si="345"/>
        <v>271700</v>
      </c>
      <c r="Y232" s="98">
        <f t="shared" si="27"/>
        <v>313500</v>
      </c>
      <c r="Z232" s="121">
        <v>0</v>
      </c>
      <c r="AA232" s="121">
        <f t="shared" si="6"/>
        <v>10324.6</v>
      </c>
      <c r="AB232" s="121">
        <f t="shared" si="7"/>
        <v>5434</v>
      </c>
      <c r="AC232" s="99">
        <f t="shared" si="8"/>
        <v>31350</v>
      </c>
      <c r="AD232" s="121">
        <f t="shared" si="9"/>
        <v>255941.4</v>
      </c>
      <c r="AE232" s="99">
        <f t="shared" si="10"/>
        <v>282150</v>
      </c>
      <c r="AF232" s="121">
        <f t="shared" si="11"/>
        <v>2559.4140000000002</v>
      </c>
      <c r="AG232" s="100">
        <f t="shared" si="28"/>
        <v>44381.985999999997</v>
      </c>
      <c r="AH232" s="101">
        <f t="shared" si="29"/>
        <v>70590.585999999996</v>
      </c>
      <c r="AI232" s="102">
        <f t="shared" ref="AI232:AJ232" si="353">AG232/X232</f>
        <v>0.16334923076923075</v>
      </c>
      <c r="AJ232" s="102">
        <f t="shared" si="353"/>
        <v>0.22516933333333333</v>
      </c>
      <c r="AK232" s="103"/>
      <c r="AL232" s="104"/>
      <c r="AM232" s="17"/>
      <c r="AN232" s="17"/>
      <c r="AO232" s="17"/>
      <c r="AP232" s="17"/>
      <c r="AQ232" s="17"/>
      <c r="AR232" s="17"/>
      <c r="AS232" s="17"/>
      <c r="AT232" s="17"/>
      <c r="AU232" s="17"/>
      <c r="AV232" s="17"/>
      <c r="AW232" s="296">
        <v>4641068084</v>
      </c>
    </row>
    <row r="233" spans="1:49" ht="13.2">
      <c r="A233" s="302"/>
      <c r="B233" s="266"/>
      <c r="C233" s="302"/>
      <c r="D233" s="117"/>
      <c r="E233" s="117"/>
      <c r="F233" s="168" t="s">
        <v>664</v>
      </c>
      <c r="G233" s="124" t="str">
        <f>HYPERLINK("https://www.amazon.com/Daniel-Wellington-Classic-Stainless-Japanese/dp/B07SRKJR6X/ref=sr_1_30?crid=3G8B687TIQ3QJ&amp;keywords=watch&amp;qid=1566226365&amp;refinements=p_72%3A2661618011&amp;rnid=2661617011&amp;s=gateway&amp;sprefix=watch%2Caps%2C580&amp;sr=8-30&amp;th=1","A")</f>
        <v>A</v>
      </c>
      <c r="H233" s="125"/>
      <c r="I233" s="125"/>
      <c r="J233" s="125">
        <v>180</v>
      </c>
      <c r="K233" s="82">
        <f t="shared" si="343"/>
        <v>0.5</v>
      </c>
      <c r="L233" s="82">
        <v>8</v>
      </c>
      <c r="M233" s="82">
        <f t="shared" si="1"/>
        <v>0.226796</v>
      </c>
      <c r="N233" s="93">
        <v>0</v>
      </c>
      <c r="O233" s="93">
        <v>0</v>
      </c>
      <c r="P233" s="95">
        <f t="shared" si="2"/>
        <v>180</v>
      </c>
      <c r="Q233" s="96">
        <f>P233*C3</f>
        <v>225000</v>
      </c>
      <c r="R233" s="96">
        <v>0</v>
      </c>
      <c r="S233" s="97">
        <f t="shared" si="24"/>
        <v>225000</v>
      </c>
      <c r="T233" s="97">
        <f>ROUNDUP(HLOOKUP(ROUNDUP(K233,0),'배송비 조회'!A$10:U$22,7,0)*C$3,-2)</f>
        <v>9000</v>
      </c>
      <c r="U233" s="97">
        <v>0</v>
      </c>
      <c r="V233" s="97">
        <f t="shared" si="344"/>
        <v>70200</v>
      </c>
      <c r="W233" s="97">
        <f t="shared" si="264"/>
        <v>117000</v>
      </c>
      <c r="X233" s="98">
        <f t="shared" si="345"/>
        <v>304200</v>
      </c>
      <c r="Y233" s="98">
        <f t="shared" si="27"/>
        <v>351000</v>
      </c>
      <c r="Z233" s="121">
        <v>0</v>
      </c>
      <c r="AA233" s="121">
        <f t="shared" si="6"/>
        <v>11559.6</v>
      </c>
      <c r="AB233" s="121">
        <f t="shared" si="7"/>
        <v>6084</v>
      </c>
      <c r="AC233" s="99">
        <f t="shared" si="8"/>
        <v>35100</v>
      </c>
      <c r="AD233" s="121">
        <f t="shared" si="9"/>
        <v>286556.40000000002</v>
      </c>
      <c r="AE233" s="99">
        <f t="shared" si="10"/>
        <v>315900</v>
      </c>
      <c r="AF233" s="121">
        <f t="shared" si="11"/>
        <v>2865.5640000000003</v>
      </c>
      <c r="AG233" s="100">
        <f t="shared" si="28"/>
        <v>49690.836000000025</v>
      </c>
      <c r="AH233" s="101">
        <f t="shared" si="29"/>
        <v>79034.436000000002</v>
      </c>
      <c r="AI233" s="102">
        <f t="shared" ref="AI233:AJ233" si="354">AG233/X233</f>
        <v>0.16334923076923086</v>
      </c>
      <c r="AJ233" s="102">
        <f t="shared" si="354"/>
        <v>0.22516933333333333</v>
      </c>
      <c r="AK233" s="103"/>
      <c r="AL233" s="104"/>
      <c r="AM233" s="17"/>
      <c r="AN233" s="17"/>
      <c r="AO233" s="17"/>
      <c r="AP233" s="17"/>
      <c r="AQ233" s="17"/>
      <c r="AR233" s="17"/>
      <c r="AS233" s="17"/>
      <c r="AT233" s="17"/>
      <c r="AU233" s="17"/>
      <c r="AV233" s="17"/>
      <c r="AW233" s="297"/>
    </row>
    <row r="234" spans="1:49" ht="13.2">
      <c r="A234" s="303">
        <f>HYPERLINK("https://smartstore.naver.com/brickstore2019/products/4642524912",AW:AW)</f>
        <v>4642524912</v>
      </c>
      <c r="B234" s="266"/>
      <c r="C234" s="304" t="s">
        <v>665</v>
      </c>
      <c r="D234" s="117"/>
      <c r="E234" s="304" t="s">
        <v>666</v>
      </c>
      <c r="F234" s="168" t="s">
        <v>242</v>
      </c>
      <c r="G234" s="124" t="str">
        <f>HYPERLINK("https://www.amazon.com/Compatible-Lightweight-Protective-Accessories-Tablet%EF%BC%88Black%EF%BC%89/dp/B07GPFHWXD/ref=sr_1_40?crid=5JX2IAGBIL21&amp;keywords=surface%2Bgo%2Baccessories&amp;qid=1566308363&amp;s=gateway&amp;sprefix=surface%2Bgo%2Ba%2Caps%2C365&amp;sr=8-40&amp;th=1","A")</f>
        <v>A</v>
      </c>
      <c r="H234" s="125"/>
      <c r="I234" s="125"/>
      <c r="J234" s="125">
        <v>8</v>
      </c>
      <c r="K234" s="82">
        <f t="shared" si="343"/>
        <v>0.5</v>
      </c>
      <c r="L234" s="82">
        <v>8</v>
      </c>
      <c r="M234" s="82">
        <f t="shared" si="1"/>
        <v>0.226796</v>
      </c>
      <c r="N234" s="93">
        <v>0</v>
      </c>
      <c r="O234" s="93">
        <v>0</v>
      </c>
      <c r="P234" s="95">
        <f t="shared" si="2"/>
        <v>8</v>
      </c>
      <c r="Q234" s="96">
        <f>P234*C3</f>
        <v>10000</v>
      </c>
      <c r="R234" s="96">
        <v>0</v>
      </c>
      <c r="S234" s="97">
        <f t="shared" si="24"/>
        <v>10000</v>
      </c>
      <c r="T234" s="97">
        <f>ROUNDUP(HLOOKUP(ROUNDUP(K234,0),'배송비 조회'!A$10:U$22,7,0)*C$3,-2)</f>
        <v>9000</v>
      </c>
      <c r="U234" s="97">
        <v>0</v>
      </c>
      <c r="V234" s="97">
        <f t="shared" ref="V234:V235" si="355">ROUND(IF(R234&gt;0,0,(S234+T234)*0.7),-2)</f>
        <v>13300</v>
      </c>
      <c r="W234" s="97">
        <f t="shared" si="264"/>
        <v>9500</v>
      </c>
      <c r="X234" s="98">
        <f t="shared" si="345"/>
        <v>32300</v>
      </c>
      <c r="Y234" s="98">
        <f t="shared" si="27"/>
        <v>28500</v>
      </c>
      <c r="Z234" s="121">
        <v>0</v>
      </c>
      <c r="AA234" s="121">
        <f t="shared" si="6"/>
        <v>1227.3999999999999</v>
      </c>
      <c r="AB234" s="121">
        <f t="shared" si="7"/>
        <v>646</v>
      </c>
      <c r="AC234" s="99">
        <f t="shared" si="8"/>
        <v>2850</v>
      </c>
      <c r="AD234" s="121">
        <f t="shared" si="9"/>
        <v>30426.6</v>
      </c>
      <c r="AE234" s="99">
        <f t="shared" si="10"/>
        <v>25650</v>
      </c>
      <c r="AF234" s="121">
        <f t="shared" si="11"/>
        <v>304.26600000000002</v>
      </c>
      <c r="AG234" s="100">
        <f t="shared" si="28"/>
        <v>11122.333999999999</v>
      </c>
      <c r="AH234" s="101">
        <f t="shared" si="29"/>
        <v>6345.7340000000004</v>
      </c>
      <c r="AI234" s="102">
        <f t="shared" ref="AI234:AJ234" si="356">AG234/X234</f>
        <v>0.34434470588235289</v>
      </c>
      <c r="AJ234" s="102">
        <f t="shared" si="356"/>
        <v>0.22265733333333335</v>
      </c>
      <c r="AK234" s="103"/>
      <c r="AL234" s="104"/>
      <c r="AM234" s="17"/>
      <c r="AN234" s="17"/>
      <c r="AO234" s="17"/>
      <c r="AP234" s="17"/>
      <c r="AQ234" s="17"/>
      <c r="AR234" s="17"/>
      <c r="AS234" s="17"/>
      <c r="AT234" s="17"/>
      <c r="AU234" s="17"/>
      <c r="AV234" s="17"/>
      <c r="AW234" s="296">
        <v>4642524912</v>
      </c>
    </row>
    <row r="235" spans="1:49" ht="13.2">
      <c r="A235" s="302"/>
      <c r="B235" s="266"/>
      <c r="C235" s="302"/>
      <c r="D235" s="117"/>
      <c r="E235" s="302"/>
      <c r="F235" s="123" t="s">
        <v>579</v>
      </c>
      <c r="G235" s="124" t="str">
        <f>HYPERLINK("https://www.amazon.com/Compatible-Lightweight-Protective-Accessories-Tablet%EF%BC%88Black%EF%BC%89/dp/B07GPK8S3D/ref=sr_1_40?crid=5JX2IAGBIL21&amp;keywords=surface%2Bgo%2Baccessories&amp;qid=1566308363&amp;s=gateway&amp;sprefix=surface%2Bgo%2Ba%2Caps%2C365&amp;sr=8-40&amp;th=1","A")</f>
        <v>A</v>
      </c>
      <c r="H235" s="125"/>
      <c r="I235" s="125"/>
      <c r="J235" s="93">
        <v>8</v>
      </c>
      <c r="K235" s="82">
        <f t="shared" si="343"/>
        <v>0.5</v>
      </c>
      <c r="L235" s="82">
        <v>8</v>
      </c>
      <c r="M235" s="82">
        <f t="shared" si="1"/>
        <v>0.226796</v>
      </c>
      <c r="N235" s="93">
        <v>0</v>
      </c>
      <c r="O235" s="93">
        <v>0</v>
      </c>
      <c r="P235" s="95">
        <f t="shared" si="2"/>
        <v>8</v>
      </c>
      <c r="Q235" s="96">
        <f>P235*C3</f>
        <v>10000</v>
      </c>
      <c r="R235" s="96">
        <v>0</v>
      </c>
      <c r="S235" s="97">
        <f t="shared" si="24"/>
        <v>10000</v>
      </c>
      <c r="T235" s="97">
        <f>ROUNDUP(HLOOKUP(ROUNDUP(K235,0),'배송비 조회'!A$10:U$22,7,0)*C$3,-2)</f>
        <v>9000</v>
      </c>
      <c r="U235" s="97">
        <v>0</v>
      </c>
      <c r="V235" s="97">
        <f t="shared" si="355"/>
        <v>13300</v>
      </c>
      <c r="W235" s="97">
        <f t="shared" si="264"/>
        <v>9500</v>
      </c>
      <c r="X235" s="98">
        <f t="shared" si="345"/>
        <v>32300</v>
      </c>
      <c r="Y235" s="98">
        <f t="shared" si="27"/>
        <v>28500</v>
      </c>
      <c r="Z235" s="121">
        <v>0</v>
      </c>
      <c r="AA235" s="121">
        <f t="shared" si="6"/>
        <v>1227.3999999999999</v>
      </c>
      <c r="AB235" s="121">
        <f t="shared" si="7"/>
        <v>646</v>
      </c>
      <c r="AC235" s="99">
        <f t="shared" si="8"/>
        <v>2850</v>
      </c>
      <c r="AD235" s="121">
        <f t="shared" si="9"/>
        <v>30426.6</v>
      </c>
      <c r="AE235" s="99">
        <f t="shared" si="10"/>
        <v>25650</v>
      </c>
      <c r="AF235" s="121">
        <f t="shared" si="11"/>
        <v>304.26600000000002</v>
      </c>
      <c r="AG235" s="100">
        <f t="shared" si="28"/>
        <v>11122.333999999999</v>
      </c>
      <c r="AH235" s="101">
        <f t="shared" si="29"/>
        <v>6345.7340000000004</v>
      </c>
      <c r="AI235" s="102">
        <f t="shared" ref="AI235:AJ235" si="357">AG235/X235</f>
        <v>0.34434470588235289</v>
      </c>
      <c r="AJ235" s="102">
        <f t="shared" si="357"/>
        <v>0.22265733333333335</v>
      </c>
      <c r="AK235" s="103"/>
      <c r="AL235" s="104"/>
      <c r="AM235" s="17"/>
      <c r="AN235" s="17"/>
      <c r="AO235" s="17"/>
      <c r="AP235" s="17"/>
      <c r="AQ235" s="17"/>
      <c r="AR235" s="17"/>
      <c r="AS235" s="17"/>
      <c r="AT235" s="17"/>
      <c r="AU235" s="17"/>
      <c r="AV235" s="17"/>
      <c r="AW235" s="297"/>
    </row>
    <row r="236" spans="1:49" ht="13.2">
      <c r="A236" s="119">
        <f>HYPERLINK("https://smartstore.naver.com/brickstore2019/products/4642645429",AW:AW)</f>
        <v>4642645429</v>
      </c>
      <c r="B236" s="266"/>
      <c r="C236" s="117" t="s">
        <v>667</v>
      </c>
      <c r="D236" s="117"/>
      <c r="E236" s="117" t="s">
        <v>668</v>
      </c>
      <c r="F236" s="168"/>
      <c r="G236" s="124" t="str">
        <f>HYPERLINK("https://www.amazon.com/USA-Gear-Surface-Sleeve-Carrying/dp/B07GK17CQG/ref=sr_1_41?crid=5JX2IAGBIL21&amp;keywords=surface+go+accessories&amp;qid=1566308363&amp;s=gateway&amp;sprefix=surface+go+a%2Caps%2C365&amp;sr=8-41#customerReviews","A")</f>
        <v>A</v>
      </c>
      <c r="H236" s="125"/>
      <c r="I236" s="125"/>
      <c r="J236" s="125">
        <v>6</v>
      </c>
      <c r="K236" s="82">
        <f t="shared" si="343"/>
        <v>0.3125</v>
      </c>
      <c r="L236" s="82">
        <v>5</v>
      </c>
      <c r="M236" s="82">
        <f t="shared" si="1"/>
        <v>0.1417475</v>
      </c>
      <c r="N236" s="93">
        <v>0</v>
      </c>
      <c r="O236" s="93">
        <v>0</v>
      </c>
      <c r="P236" s="95">
        <f t="shared" si="2"/>
        <v>6</v>
      </c>
      <c r="Q236" s="96">
        <f>P236*C3</f>
        <v>7500</v>
      </c>
      <c r="R236" s="96">
        <v>0</v>
      </c>
      <c r="S236" s="97">
        <f t="shared" si="24"/>
        <v>7500</v>
      </c>
      <c r="T236" s="97">
        <f>ROUNDUP(HLOOKUP(ROUNDUP(K236,0),'배송비 조회'!A$10:U$22,7,0)*C$3,-2)</f>
        <v>9000</v>
      </c>
      <c r="U236" s="97">
        <v>0</v>
      </c>
      <c r="V236" s="97">
        <f>ROUND(IF(R236&gt;0,0,(S236+T236)*0.8),-2)</f>
        <v>13200</v>
      </c>
      <c r="W236" s="97">
        <f t="shared" si="264"/>
        <v>8300</v>
      </c>
      <c r="X236" s="98">
        <f t="shared" si="345"/>
        <v>29700</v>
      </c>
      <c r="Y236" s="98">
        <f t="shared" si="27"/>
        <v>24800</v>
      </c>
      <c r="Z236" s="121">
        <v>0</v>
      </c>
      <c r="AA236" s="121">
        <f t="shared" si="6"/>
        <v>1128.5999999999999</v>
      </c>
      <c r="AB236" s="121">
        <f t="shared" si="7"/>
        <v>594</v>
      </c>
      <c r="AC236" s="99">
        <f t="shared" si="8"/>
        <v>2480</v>
      </c>
      <c r="AD236" s="121">
        <f t="shared" si="9"/>
        <v>27977.4</v>
      </c>
      <c r="AE236" s="99">
        <f t="shared" si="10"/>
        <v>22320</v>
      </c>
      <c r="AF236" s="121">
        <f t="shared" si="11"/>
        <v>279.774</v>
      </c>
      <c r="AG236" s="100">
        <f t="shared" si="28"/>
        <v>11197.626</v>
      </c>
      <c r="AH236" s="101">
        <f t="shared" si="29"/>
        <v>5540.2260000000006</v>
      </c>
      <c r="AI236" s="102">
        <f t="shared" ref="AI236:AJ236" si="358">AG236/X236</f>
        <v>0.37702444444444444</v>
      </c>
      <c r="AJ236" s="102">
        <f t="shared" si="358"/>
        <v>0.22339620967741938</v>
      </c>
      <c r="AK236" s="103"/>
      <c r="AL236" s="104"/>
      <c r="AM236" s="17"/>
      <c r="AN236" s="17"/>
      <c r="AO236" s="17"/>
      <c r="AP236" s="17"/>
      <c r="AQ236" s="17"/>
      <c r="AR236" s="17"/>
      <c r="AS236" s="17"/>
      <c r="AT236" s="17"/>
      <c r="AU236" s="17"/>
      <c r="AV236" s="17"/>
      <c r="AW236" s="22">
        <v>4642645429</v>
      </c>
    </row>
    <row r="237" spans="1:49" ht="13.2">
      <c r="A237" s="119">
        <f>HYPERLINK("https://smartstore.naver.com/brickstore2019/products/4644443410",AW:AW)</f>
        <v>4644443410</v>
      </c>
      <c r="B237" s="266"/>
      <c r="C237" s="117" t="s">
        <v>669</v>
      </c>
      <c r="D237" s="117"/>
      <c r="E237" s="117" t="s">
        <v>670</v>
      </c>
      <c r="F237" s="123" t="s">
        <v>55</v>
      </c>
      <c r="G237" s="124" t="str">
        <f>HYPERLINK("https://www.amazon.com/Samsonite-Novex-Perfect-Laptop-Backpack/dp/B00TSTISUI/ref=sr_1_7?keywords=samsonite+77696+1050+Durchl+auml+ufer+Rucksack&amp;qid=1566362159&amp;s=gateway&amp;sr=8-7","A")</f>
        <v>A</v>
      </c>
      <c r="H237" s="125"/>
      <c r="I237" s="125"/>
      <c r="J237" s="125">
        <v>70</v>
      </c>
      <c r="K237" s="82">
        <v>3.95</v>
      </c>
      <c r="L237" s="82">
        <f>IF(K237&gt;0,K237*16,)</f>
        <v>63.2</v>
      </c>
      <c r="M237" s="82">
        <f t="shared" si="1"/>
        <v>1.7916884</v>
      </c>
      <c r="N237" s="93">
        <v>0</v>
      </c>
      <c r="O237" s="93">
        <v>0</v>
      </c>
      <c r="P237" s="95">
        <f t="shared" si="2"/>
        <v>70</v>
      </c>
      <c r="Q237" s="96">
        <f>P237*C3</f>
        <v>87500</v>
      </c>
      <c r="R237" s="96">
        <v>0</v>
      </c>
      <c r="S237" s="97">
        <f t="shared" si="24"/>
        <v>87500</v>
      </c>
      <c r="T237" s="97">
        <f>ROUNDUP(HLOOKUP(ROUNDUP(K237,0),'배송비 조회'!A$10:U$22,7,0)*C$3,-2)</f>
        <v>15600</v>
      </c>
      <c r="U237" s="97">
        <v>0</v>
      </c>
      <c r="V237" s="97">
        <f t="shared" ref="V237:V240" si="359">ROUND(IF(R237&gt;0,0,(S237+T237)*0.3),-2)</f>
        <v>30900</v>
      </c>
      <c r="W237" s="97">
        <f t="shared" si="264"/>
        <v>51600</v>
      </c>
      <c r="X237" s="98">
        <f t="shared" si="345"/>
        <v>134000</v>
      </c>
      <c r="Y237" s="98">
        <f t="shared" si="27"/>
        <v>154700</v>
      </c>
      <c r="Z237" s="121">
        <v>0</v>
      </c>
      <c r="AA237" s="121">
        <f t="shared" si="6"/>
        <v>5092</v>
      </c>
      <c r="AB237" s="121">
        <f t="shared" si="7"/>
        <v>2680</v>
      </c>
      <c r="AC237" s="99">
        <f t="shared" si="8"/>
        <v>15470</v>
      </c>
      <c r="AD237" s="121">
        <f t="shared" si="9"/>
        <v>126228</v>
      </c>
      <c r="AE237" s="99">
        <f t="shared" si="10"/>
        <v>139230</v>
      </c>
      <c r="AF237" s="121">
        <f t="shared" si="11"/>
        <v>1262.28</v>
      </c>
      <c r="AG237" s="100">
        <f t="shared" si="28"/>
        <v>21865.72</v>
      </c>
      <c r="AH237" s="101">
        <f t="shared" si="29"/>
        <v>34867.72</v>
      </c>
      <c r="AI237" s="102">
        <f t="shared" ref="AI237:AJ237" si="360">AG237/X237</f>
        <v>0.16317701492537315</v>
      </c>
      <c r="AJ237" s="102">
        <f t="shared" si="360"/>
        <v>0.22538926955397545</v>
      </c>
      <c r="AK237" s="103"/>
      <c r="AL237" s="104"/>
      <c r="AM237" s="17"/>
      <c r="AN237" s="17"/>
      <c r="AO237" s="17"/>
      <c r="AP237" s="17"/>
      <c r="AQ237" s="17"/>
      <c r="AR237" s="17"/>
      <c r="AS237" s="17"/>
      <c r="AT237" s="17"/>
      <c r="AU237" s="17"/>
      <c r="AV237" s="17"/>
      <c r="AW237" s="22">
        <v>4644443410</v>
      </c>
    </row>
    <row r="238" spans="1:49" ht="13.2">
      <c r="A238" s="119">
        <f>HYPERLINK("https://smartstore.naver.com/brickstore2019/products/4644469486",AW:AW)</f>
        <v>4644469486</v>
      </c>
      <c r="B238" s="266"/>
      <c r="C238" s="117" t="s">
        <v>671</v>
      </c>
      <c r="D238" s="117"/>
      <c r="E238" s="117" t="s">
        <v>672</v>
      </c>
      <c r="F238" s="123" t="s">
        <v>55</v>
      </c>
      <c r="G238" s="124" t="str">
        <f>HYPERLINK("https://www.amazon.com/Samsonite-Foldaway-Duffle-Extra-Duffel/dp/B07DBGLPZ7/ref=sr_1_7?keywords=samsonite+duffle&amp;qid=1566395696&amp;s=gateway&amp;sr=8-7","A")</f>
        <v>A</v>
      </c>
      <c r="H238" s="125"/>
      <c r="I238" s="125"/>
      <c r="J238" s="125">
        <v>35</v>
      </c>
      <c r="K238" s="82">
        <v>2</v>
      </c>
      <c r="L238" s="82">
        <v>14.4</v>
      </c>
      <c r="M238" s="82">
        <f t="shared" si="1"/>
        <v>0.90718399999999999</v>
      </c>
      <c r="N238" s="93">
        <v>0</v>
      </c>
      <c r="O238" s="93">
        <v>0</v>
      </c>
      <c r="P238" s="95">
        <f t="shared" si="2"/>
        <v>35</v>
      </c>
      <c r="Q238" s="96">
        <f>P238*C$3</f>
        <v>43750</v>
      </c>
      <c r="R238" s="96">
        <v>0</v>
      </c>
      <c r="S238" s="97">
        <f t="shared" si="24"/>
        <v>43800</v>
      </c>
      <c r="T238" s="97">
        <f>ROUNDUP(HLOOKUP(ROUNDUP(K238,0),'배송비 조회'!A$10:U$22,7,0)*C$3,-2)</f>
        <v>11200</v>
      </c>
      <c r="U238" s="97">
        <v>0</v>
      </c>
      <c r="V238" s="97">
        <f t="shared" si="359"/>
        <v>16500</v>
      </c>
      <c r="W238" s="97">
        <f t="shared" si="264"/>
        <v>27500</v>
      </c>
      <c r="X238" s="98">
        <f t="shared" si="345"/>
        <v>71500</v>
      </c>
      <c r="Y238" s="98">
        <f t="shared" si="27"/>
        <v>82500</v>
      </c>
      <c r="Z238" s="121">
        <v>0</v>
      </c>
      <c r="AA238" s="121">
        <f t="shared" si="6"/>
        <v>2717</v>
      </c>
      <c r="AB238" s="121">
        <f t="shared" si="7"/>
        <v>1430</v>
      </c>
      <c r="AC238" s="99">
        <f t="shared" si="8"/>
        <v>8250</v>
      </c>
      <c r="AD238" s="121">
        <f t="shared" si="9"/>
        <v>67353</v>
      </c>
      <c r="AE238" s="99">
        <f t="shared" si="10"/>
        <v>74250</v>
      </c>
      <c r="AF238" s="121">
        <f t="shared" si="11"/>
        <v>673.53</v>
      </c>
      <c r="AG238" s="100">
        <f t="shared" si="28"/>
        <v>11729.470000000001</v>
      </c>
      <c r="AH238" s="101">
        <f t="shared" si="29"/>
        <v>18626.47</v>
      </c>
      <c r="AI238" s="102">
        <f t="shared" ref="AI238:AJ238" si="361">AG238/X238</f>
        <v>0.16404853146853149</v>
      </c>
      <c r="AJ238" s="102">
        <f t="shared" si="361"/>
        <v>0.22577539393939394</v>
      </c>
      <c r="AK238" s="103"/>
      <c r="AL238" s="104"/>
      <c r="AM238" s="17"/>
      <c r="AN238" s="17"/>
      <c r="AO238" s="17"/>
      <c r="AP238" s="17"/>
      <c r="AQ238" s="17"/>
      <c r="AR238" s="17"/>
      <c r="AS238" s="17"/>
      <c r="AT238" s="17"/>
      <c r="AU238" s="17"/>
      <c r="AV238" s="17"/>
      <c r="AW238" s="22">
        <v>4644469486</v>
      </c>
    </row>
    <row r="239" spans="1:49" ht="13.2">
      <c r="A239" s="303">
        <f>HYPERLINK("https://smartstore.naver.com/brickstore2019/products/4644470643",AW:AW)</f>
        <v>4644470643</v>
      </c>
      <c r="B239" s="266"/>
      <c r="C239" s="304" t="s">
        <v>673</v>
      </c>
      <c r="D239" s="117"/>
      <c r="E239" s="304" t="s">
        <v>674</v>
      </c>
      <c r="F239" s="123" t="s">
        <v>55</v>
      </c>
      <c r="G239" s="124" t="str">
        <f>HYPERLINK("https://www.amazon.com/Business-Backpack-Backpacks-Environmentally-Waterproof/dp/B07V2L3SVG/ref=sr_1_1?keywords=tigernu%2Bbackpack&amp;qid=1566398113&amp;refinements=p_89%3ATIGERNU&amp;rnid=2528832011&amp;s=gateway&amp;sr=8-1&amp;th=1","A")</f>
        <v>A</v>
      </c>
      <c r="H239" s="125"/>
      <c r="I239" s="125"/>
      <c r="J239" s="125">
        <v>30</v>
      </c>
      <c r="K239" s="82">
        <v>2.46</v>
      </c>
      <c r="L239" s="82">
        <f t="shared" ref="L239:L240" si="362">IF(K239&gt;0,K239*16,)</f>
        <v>39.36</v>
      </c>
      <c r="M239" s="82">
        <f t="shared" si="1"/>
        <v>1.1158363199999999</v>
      </c>
      <c r="N239" s="93">
        <v>0</v>
      </c>
      <c r="O239" s="93">
        <v>0</v>
      </c>
      <c r="P239" s="95">
        <f t="shared" si="2"/>
        <v>30</v>
      </c>
      <c r="Q239" s="96">
        <f>P239*C3</f>
        <v>37500</v>
      </c>
      <c r="R239" s="96">
        <v>0</v>
      </c>
      <c r="S239" s="97">
        <f t="shared" si="24"/>
        <v>37500</v>
      </c>
      <c r="T239" s="97">
        <f>ROUNDUP(HLOOKUP(ROUNDUP(K239,0),'배송비 조회'!A$10:U$22,7,0)*C$3,-2)</f>
        <v>13400</v>
      </c>
      <c r="U239" s="97">
        <v>0</v>
      </c>
      <c r="V239" s="97">
        <f t="shared" si="359"/>
        <v>15300</v>
      </c>
      <c r="W239" s="97">
        <f t="shared" si="264"/>
        <v>25500</v>
      </c>
      <c r="X239" s="98">
        <f t="shared" si="345"/>
        <v>66200</v>
      </c>
      <c r="Y239" s="98">
        <f t="shared" si="27"/>
        <v>76400</v>
      </c>
      <c r="Z239" s="121">
        <v>0</v>
      </c>
      <c r="AA239" s="121">
        <f t="shared" si="6"/>
        <v>2515.6</v>
      </c>
      <c r="AB239" s="121">
        <f t="shared" si="7"/>
        <v>1324</v>
      </c>
      <c r="AC239" s="99">
        <f t="shared" si="8"/>
        <v>7640</v>
      </c>
      <c r="AD239" s="121">
        <f t="shared" si="9"/>
        <v>62360.4</v>
      </c>
      <c r="AE239" s="99">
        <f t="shared" si="10"/>
        <v>68760</v>
      </c>
      <c r="AF239" s="121">
        <f t="shared" si="11"/>
        <v>623.60400000000004</v>
      </c>
      <c r="AG239" s="100">
        <f t="shared" si="28"/>
        <v>10836.796000000002</v>
      </c>
      <c r="AH239" s="101">
        <f t="shared" si="29"/>
        <v>17236.396000000001</v>
      </c>
      <c r="AI239" s="102">
        <f t="shared" ref="AI239:AJ239" si="363">AG239/X239</f>
        <v>0.16369782477341394</v>
      </c>
      <c r="AJ239" s="102">
        <f t="shared" si="363"/>
        <v>0.22560727748691101</v>
      </c>
      <c r="AK239" s="103"/>
      <c r="AL239" s="104"/>
      <c r="AM239" s="17"/>
      <c r="AN239" s="17"/>
      <c r="AO239" s="17"/>
      <c r="AP239" s="17"/>
      <c r="AQ239" s="17"/>
      <c r="AR239" s="17"/>
      <c r="AS239" s="17"/>
      <c r="AT239" s="17"/>
      <c r="AU239" s="17"/>
      <c r="AV239" s="17"/>
      <c r="AW239" s="296">
        <v>4644470643</v>
      </c>
    </row>
    <row r="240" spans="1:49" ht="13.2">
      <c r="A240" s="302"/>
      <c r="B240" s="266"/>
      <c r="C240" s="302"/>
      <c r="D240" s="117"/>
      <c r="E240" s="302"/>
      <c r="F240" s="123" t="s">
        <v>675</v>
      </c>
      <c r="G240" s="124" t="str">
        <f>HYPERLINK("https://www.amazon.com/Business-Backpack-Backpacks-Environmentally-Waterproof/dp/B07V3Q1NYL/ref=sr_1_1?keywords=tigernu%2Bbackpack&amp;qid=1566398113&amp;refinements=p_89%3ATIGERNU&amp;rnid=2528832011&amp;s=gateway&amp;sr=8-1&amp;th=1","A")</f>
        <v>A</v>
      </c>
      <c r="H240" s="125"/>
      <c r="I240" s="125"/>
      <c r="J240" s="125">
        <v>30</v>
      </c>
      <c r="K240" s="82">
        <v>2.46</v>
      </c>
      <c r="L240" s="82">
        <f t="shared" si="362"/>
        <v>39.36</v>
      </c>
      <c r="M240" s="82">
        <f t="shared" si="1"/>
        <v>1.1158363199999999</v>
      </c>
      <c r="N240" s="93">
        <v>0</v>
      </c>
      <c r="O240" s="93">
        <v>0</v>
      </c>
      <c r="P240" s="95">
        <f t="shared" si="2"/>
        <v>30</v>
      </c>
      <c r="Q240" s="96">
        <f>P240*C$3</f>
        <v>37500</v>
      </c>
      <c r="R240" s="96">
        <v>0</v>
      </c>
      <c r="S240" s="97">
        <f t="shared" si="24"/>
        <v>37500</v>
      </c>
      <c r="T240" s="97">
        <f>ROUNDUP(HLOOKUP(ROUNDUP(K240,0),'배송비 조회'!A$10:U$22,7,0)*C$3,-2)</f>
        <v>13400</v>
      </c>
      <c r="U240" s="97">
        <v>0</v>
      </c>
      <c r="V240" s="97">
        <f t="shared" si="359"/>
        <v>15300</v>
      </c>
      <c r="W240" s="97">
        <f t="shared" si="264"/>
        <v>25500</v>
      </c>
      <c r="X240" s="98">
        <f t="shared" si="345"/>
        <v>66200</v>
      </c>
      <c r="Y240" s="98">
        <f t="shared" si="27"/>
        <v>76400</v>
      </c>
      <c r="Z240" s="121">
        <v>0</v>
      </c>
      <c r="AA240" s="121">
        <f t="shared" si="6"/>
        <v>2515.6</v>
      </c>
      <c r="AB240" s="121">
        <f t="shared" si="7"/>
        <v>1324</v>
      </c>
      <c r="AC240" s="99">
        <f t="shared" si="8"/>
        <v>7640</v>
      </c>
      <c r="AD240" s="121">
        <f t="shared" si="9"/>
        <v>62360.4</v>
      </c>
      <c r="AE240" s="99">
        <f t="shared" si="10"/>
        <v>68760</v>
      </c>
      <c r="AF240" s="121">
        <f t="shared" si="11"/>
        <v>623.60400000000004</v>
      </c>
      <c r="AG240" s="100">
        <f t="shared" si="28"/>
        <v>10836.796000000002</v>
      </c>
      <c r="AH240" s="101">
        <f t="shared" si="29"/>
        <v>17236.396000000001</v>
      </c>
      <c r="AI240" s="102">
        <f t="shared" ref="AI240:AJ240" si="364">AG240/X240</f>
        <v>0.16369782477341394</v>
      </c>
      <c r="AJ240" s="102">
        <f t="shared" si="364"/>
        <v>0.22560727748691101</v>
      </c>
      <c r="AK240" s="103"/>
      <c r="AL240" s="104"/>
      <c r="AM240" s="17"/>
      <c r="AN240" s="17"/>
      <c r="AO240" s="17"/>
      <c r="AP240" s="17"/>
      <c r="AQ240" s="17"/>
      <c r="AR240" s="17"/>
      <c r="AS240" s="17"/>
      <c r="AT240" s="17"/>
      <c r="AU240" s="17"/>
      <c r="AV240" s="17"/>
      <c r="AW240" s="297"/>
    </row>
    <row r="241" spans="1:49" ht="13.2">
      <c r="A241" s="303">
        <f>HYPERLINK("https://smartstore.naver.com/brickstore2019/products/4645616862",AW:AW)</f>
        <v>4645616862</v>
      </c>
      <c r="B241" s="266"/>
      <c r="C241" s="304" t="s">
        <v>676</v>
      </c>
      <c r="D241" s="117"/>
      <c r="E241" s="304" t="s">
        <v>677</v>
      </c>
      <c r="F241" s="175" t="s">
        <v>678</v>
      </c>
      <c r="G241" s="218" t="s">
        <v>1293</v>
      </c>
      <c r="H241" s="110" t="s">
        <v>60</v>
      </c>
      <c r="I241" s="110"/>
      <c r="J241" s="125">
        <v>26.29</v>
      </c>
      <c r="K241" s="82">
        <f t="shared" ref="K241:K253" si="365">IF(L241&gt;0,L241*0.0625,)</f>
        <v>0.33750000000000002</v>
      </c>
      <c r="L241" s="82">
        <v>5.4</v>
      </c>
      <c r="M241" s="82">
        <f t="shared" si="1"/>
        <v>0.15308730000000001</v>
      </c>
      <c r="N241" s="93">
        <v>0</v>
      </c>
      <c r="O241" s="93">
        <v>0</v>
      </c>
      <c r="P241" s="95">
        <f t="shared" si="2"/>
        <v>26.29</v>
      </c>
      <c r="Q241" s="96">
        <f>P241*C$3</f>
        <v>32862.5</v>
      </c>
      <c r="R241" s="96">
        <v>0</v>
      </c>
      <c r="S241" s="97">
        <f t="shared" si="24"/>
        <v>32900</v>
      </c>
      <c r="T241" s="97">
        <f>ROUNDUP(HLOOKUP(ROUNDUP(K241,0),'배송비 조회'!A$10:U$22,7,0)*C$3,-2)</f>
        <v>9000</v>
      </c>
      <c r="U241" s="97">
        <v>0</v>
      </c>
      <c r="V241" s="97">
        <f t="shared" ref="V241:V246" si="366">ROUND(IF(R241&gt;0,0,(S241+T241)*0.4),-2)</f>
        <v>16800</v>
      </c>
      <c r="W241" s="97">
        <f t="shared" si="264"/>
        <v>21000</v>
      </c>
      <c r="X241" s="98">
        <f t="shared" si="345"/>
        <v>58700</v>
      </c>
      <c r="Y241" s="98">
        <f t="shared" si="27"/>
        <v>62900</v>
      </c>
      <c r="Z241" s="121">
        <v>0</v>
      </c>
      <c r="AA241" s="121">
        <f t="shared" si="6"/>
        <v>2230.6</v>
      </c>
      <c r="AB241" s="121">
        <f t="shared" si="7"/>
        <v>1174</v>
      </c>
      <c r="AC241" s="99">
        <f t="shared" si="8"/>
        <v>6290</v>
      </c>
      <c r="AD241" s="121">
        <f t="shared" si="9"/>
        <v>55295.4</v>
      </c>
      <c r="AE241" s="99">
        <f t="shared" si="10"/>
        <v>56610</v>
      </c>
      <c r="AF241" s="121">
        <f t="shared" si="11"/>
        <v>552.95400000000006</v>
      </c>
      <c r="AG241" s="100">
        <f t="shared" si="28"/>
        <v>12879.946</v>
      </c>
      <c r="AH241" s="101">
        <f t="shared" si="29"/>
        <v>14194.545999999998</v>
      </c>
      <c r="AI241" s="102">
        <f t="shared" ref="AI241:AJ241" si="367">AG241/X241</f>
        <v>0.21941986371379898</v>
      </c>
      <c r="AJ241" s="102">
        <f t="shared" si="367"/>
        <v>0.22566845786963433</v>
      </c>
      <c r="AK241" s="103"/>
      <c r="AL241" s="104"/>
      <c r="AM241" s="17"/>
      <c r="AN241" s="17"/>
      <c r="AO241" s="17"/>
      <c r="AP241" s="17"/>
      <c r="AQ241" s="17"/>
      <c r="AR241" s="17"/>
      <c r="AS241" s="17"/>
      <c r="AT241" s="17"/>
      <c r="AU241" s="17"/>
      <c r="AV241" s="17"/>
      <c r="AW241" s="296">
        <v>4645616862</v>
      </c>
    </row>
    <row r="242" spans="1:49" ht="13.2">
      <c r="A242" s="302"/>
      <c r="B242" s="266"/>
      <c r="C242" s="302"/>
      <c r="D242" s="117"/>
      <c r="E242" s="302"/>
      <c r="F242" s="123" t="s">
        <v>679</v>
      </c>
      <c r="G242" s="218" t="s">
        <v>1293</v>
      </c>
      <c r="H242" s="125"/>
      <c r="I242" s="125"/>
      <c r="J242" s="93">
        <v>47</v>
      </c>
      <c r="K242" s="82">
        <f t="shared" si="365"/>
        <v>0.33750000000000002</v>
      </c>
      <c r="L242" s="82">
        <v>5.4</v>
      </c>
      <c r="M242" s="82">
        <f t="shared" si="1"/>
        <v>0.15308730000000001</v>
      </c>
      <c r="N242" s="93">
        <v>0</v>
      </c>
      <c r="O242" s="93">
        <v>0</v>
      </c>
      <c r="P242" s="95">
        <f t="shared" si="2"/>
        <v>47</v>
      </c>
      <c r="Q242" s="96">
        <f>P242*C$3</f>
        <v>58750</v>
      </c>
      <c r="R242" s="96">
        <v>0</v>
      </c>
      <c r="S242" s="97">
        <f t="shared" si="24"/>
        <v>58800</v>
      </c>
      <c r="T242" s="97">
        <f>ROUNDUP(HLOOKUP(ROUNDUP(K242,0),'배송비 조회'!A$10:U$22,7,0)*C$3,-2)</f>
        <v>9000</v>
      </c>
      <c r="U242" s="97">
        <v>0</v>
      </c>
      <c r="V242" s="97">
        <f t="shared" si="366"/>
        <v>27100</v>
      </c>
      <c r="W242" s="97">
        <f t="shared" si="264"/>
        <v>33900</v>
      </c>
      <c r="X242" s="98">
        <f t="shared" si="345"/>
        <v>94900</v>
      </c>
      <c r="Y242" s="98">
        <f t="shared" si="27"/>
        <v>101700</v>
      </c>
      <c r="Z242" s="121">
        <v>0</v>
      </c>
      <c r="AA242" s="121">
        <f t="shared" si="6"/>
        <v>3606.2</v>
      </c>
      <c r="AB242" s="121">
        <f t="shared" si="7"/>
        <v>1898</v>
      </c>
      <c r="AC242" s="99">
        <f t="shared" si="8"/>
        <v>10170</v>
      </c>
      <c r="AD242" s="121">
        <f t="shared" si="9"/>
        <v>89395.8</v>
      </c>
      <c r="AE242" s="99">
        <f t="shared" si="10"/>
        <v>91530</v>
      </c>
      <c r="AF242" s="121">
        <f t="shared" si="11"/>
        <v>893.95800000000008</v>
      </c>
      <c r="AG242" s="100">
        <f t="shared" si="28"/>
        <v>20751.842000000004</v>
      </c>
      <c r="AH242" s="101">
        <f t="shared" si="29"/>
        <v>22886.042000000001</v>
      </c>
      <c r="AI242" s="102">
        <f t="shared" ref="AI242:AJ242" si="368">AG242/X242</f>
        <v>0.21867062170706011</v>
      </c>
      <c r="AJ242" s="102">
        <f t="shared" si="368"/>
        <v>0.22503482792527041</v>
      </c>
      <c r="AK242" s="103"/>
      <c r="AL242" s="104"/>
      <c r="AM242" s="17"/>
      <c r="AN242" s="17"/>
      <c r="AO242" s="17"/>
      <c r="AP242" s="17"/>
      <c r="AQ242" s="17"/>
      <c r="AR242" s="17"/>
      <c r="AS242" s="17"/>
      <c r="AT242" s="17"/>
      <c r="AU242" s="17"/>
      <c r="AV242" s="17"/>
      <c r="AW242" s="297"/>
    </row>
    <row r="243" spans="1:49" ht="13.2">
      <c r="A243" s="302"/>
      <c r="B243" s="266"/>
      <c r="C243" s="302"/>
      <c r="D243" s="117"/>
      <c r="E243" s="302"/>
      <c r="F243" s="123" t="s">
        <v>680</v>
      </c>
      <c r="G243" s="218" t="s">
        <v>1293</v>
      </c>
      <c r="H243" s="93"/>
      <c r="I243" s="93"/>
      <c r="J243" s="93">
        <v>47</v>
      </c>
      <c r="K243" s="82">
        <f t="shared" si="365"/>
        <v>0.33750000000000002</v>
      </c>
      <c r="L243" s="82">
        <v>5.4</v>
      </c>
      <c r="M243" s="82">
        <f t="shared" si="1"/>
        <v>0.15308730000000001</v>
      </c>
      <c r="N243" s="93">
        <v>0</v>
      </c>
      <c r="O243" s="94">
        <v>0</v>
      </c>
      <c r="P243" s="95">
        <f t="shared" si="2"/>
        <v>47</v>
      </c>
      <c r="Q243" s="96">
        <f>P243*C$3</f>
        <v>58750</v>
      </c>
      <c r="R243" s="96">
        <v>0</v>
      </c>
      <c r="S243" s="97">
        <f t="shared" si="24"/>
        <v>58800</v>
      </c>
      <c r="T243" s="97">
        <f>ROUNDUP(HLOOKUP(ROUNDUP(K243,0),'배송비 조회'!A$10:U$22,7,0)*C$3,-2)</f>
        <v>9000</v>
      </c>
      <c r="U243" s="97">
        <v>0</v>
      </c>
      <c r="V243" s="97">
        <f t="shared" si="366"/>
        <v>27100</v>
      </c>
      <c r="W243" s="97">
        <f t="shared" si="264"/>
        <v>33900</v>
      </c>
      <c r="X243" s="98">
        <f t="shared" si="345"/>
        <v>94900</v>
      </c>
      <c r="Y243" s="98">
        <f t="shared" si="27"/>
        <v>101700</v>
      </c>
      <c r="Z243" s="121">
        <v>0</v>
      </c>
      <c r="AA243" s="121">
        <f t="shared" si="6"/>
        <v>3606.2</v>
      </c>
      <c r="AB243" s="121">
        <f t="shared" si="7"/>
        <v>1898</v>
      </c>
      <c r="AC243" s="99">
        <f t="shared" si="8"/>
        <v>10170</v>
      </c>
      <c r="AD243" s="121">
        <f t="shared" si="9"/>
        <v>89395.8</v>
      </c>
      <c r="AE243" s="99">
        <f t="shared" si="10"/>
        <v>91530</v>
      </c>
      <c r="AF243" s="121">
        <f t="shared" si="11"/>
        <v>893.95800000000008</v>
      </c>
      <c r="AG243" s="100">
        <f t="shared" si="28"/>
        <v>20751.842000000004</v>
      </c>
      <c r="AH243" s="101">
        <f t="shared" si="29"/>
        <v>22886.042000000001</v>
      </c>
      <c r="AI243" s="102">
        <f t="shared" ref="AI243:AJ243" si="369">AG243/X243</f>
        <v>0.21867062170706011</v>
      </c>
      <c r="AJ243" s="102">
        <f t="shared" si="369"/>
        <v>0.22503482792527041</v>
      </c>
      <c r="AK243" s="103"/>
      <c r="AL243" s="104"/>
      <c r="AM243" s="17"/>
      <c r="AN243" s="17"/>
      <c r="AO243" s="17"/>
      <c r="AP243" s="17"/>
      <c r="AQ243" s="17"/>
      <c r="AR243" s="17"/>
      <c r="AS243" s="17"/>
      <c r="AT243" s="17"/>
      <c r="AU243" s="17"/>
      <c r="AV243" s="17"/>
      <c r="AW243" s="297"/>
    </row>
    <row r="244" spans="1:49" ht="13.2">
      <c r="A244" s="302"/>
      <c r="B244" s="266"/>
      <c r="C244" s="302"/>
      <c r="D244" s="117"/>
      <c r="E244" s="302"/>
      <c r="F244" s="123" t="s">
        <v>681</v>
      </c>
      <c r="G244" s="218" t="s">
        <v>1293</v>
      </c>
      <c r="H244" s="110" t="s">
        <v>60</v>
      </c>
      <c r="I244" s="110"/>
      <c r="J244" s="93">
        <v>34</v>
      </c>
      <c r="K244" s="82">
        <f t="shared" si="365"/>
        <v>0.33750000000000002</v>
      </c>
      <c r="L244" s="82">
        <v>5.4</v>
      </c>
      <c r="M244" s="82">
        <f t="shared" si="1"/>
        <v>0.15308730000000001</v>
      </c>
      <c r="N244" s="93">
        <v>0</v>
      </c>
      <c r="O244" s="93">
        <v>0</v>
      </c>
      <c r="P244" s="95">
        <f t="shared" si="2"/>
        <v>34</v>
      </c>
      <c r="Q244" s="96">
        <f>P244*C$3</f>
        <v>42500</v>
      </c>
      <c r="R244" s="96">
        <v>0</v>
      </c>
      <c r="S244" s="97">
        <f t="shared" si="24"/>
        <v>42500</v>
      </c>
      <c r="T244" s="97">
        <f>ROUNDUP(HLOOKUP(ROUNDUP(K244,0),'배송비 조회'!A$10:U$22,7,0)*C$3,-2)</f>
        <v>9000</v>
      </c>
      <c r="U244" s="97">
        <v>0</v>
      </c>
      <c r="V244" s="97">
        <f t="shared" si="366"/>
        <v>20600</v>
      </c>
      <c r="W244" s="97">
        <f t="shared" si="264"/>
        <v>25800</v>
      </c>
      <c r="X244" s="98">
        <f t="shared" si="345"/>
        <v>72100</v>
      </c>
      <c r="Y244" s="98">
        <f t="shared" si="27"/>
        <v>77300</v>
      </c>
      <c r="Z244" s="121">
        <v>0</v>
      </c>
      <c r="AA244" s="121">
        <f t="shared" si="6"/>
        <v>2739.7999999999997</v>
      </c>
      <c r="AB244" s="121">
        <f t="shared" si="7"/>
        <v>1442</v>
      </c>
      <c r="AC244" s="99">
        <f t="shared" si="8"/>
        <v>7730</v>
      </c>
      <c r="AD244" s="121">
        <f t="shared" si="9"/>
        <v>67918.2</v>
      </c>
      <c r="AE244" s="99">
        <f t="shared" si="10"/>
        <v>69570</v>
      </c>
      <c r="AF244" s="121">
        <f t="shared" si="11"/>
        <v>679.18200000000002</v>
      </c>
      <c r="AG244" s="100">
        <f t="shared" si="28"/>
        <v>15739.017999999996</v>
      </c>
      <c r="AH244" s="101">
        <f t="shared" si="29"/>
        <v>17390.817999999999</v>
      </c>
      <c r="AI244" s="102">
        <f t="shared" ref="AI244:AJ244" si="370">AG244/X244</f>
        <v>0.21829428571428566</v>
      </c>
      <c r="AJ244" s="102">
        <f t="shared" si="370"/>
        <v>0.22497824062095731</v>
      </c>
      <c r="AK244" s="103">
        <f>X244-X243</f>
        <v>-22800</v>
      </c>
      <c r="AL244" s="104"/>
      <c r="AM244" s="17"/>
      <c r="AN244" s="17"/>
      <c r="AO244" s="17"/>
      <c r="AP244" s="17"/>
      <c r="AQ244" s="17"/>
      <c r="AR244" s="17"/>
      <c r="AS244" s="17"/>
      <c r="AT244" s="17"/>
      <c r="AU244" s="17"/>
      <c r="AV244" s="17"/>
      <c r="AW244" s="297"/>
    </row>
    <row r="245" spans="1:49" ht="13.2">
      <c r="A245" s="119">
        <f>HYPERLINK("https://smartstore.naver.com/brickstore2019/products/4646964199",AW:AW)</f>
        <v>4646964199</v>
      </c>
      <c r="B245" s="266"/>
      <c r="C245" s="117" t="s">
        <v>682</v>
      </c>
      <c r="D245" s="117"/>
      <c r="E245" s="117" t="s">
        <v>683</v>
      </c>
      <c r="F245" s="168"/>
      <c r="G245" s="218" t="s">
        <v>1293</v>
      </c>
      <c r="H245" s="125"/>
      <c r="I245" s="125"/>
      <c r="J245" s="125">
        <v>22</v>
      </c>
      <c r="K245" s="82">
        <f t="shared" si="365"/>
        <v>0.6</v>
      </c>
      <c r="L245" s="82">
        <v>9.6</v>
      </c>
      <c r="M245" s="82">
        <f t="shared" si="1"/>
        <v>0.27215519999999999</v>
      </c>
      <c r="N245" s="93">
        <v>0</v>
      </c>
      <c r="O245" s="93">
        <v>0</v>
      </c>
      <c r="P245" s="95">
        <f t="shared" si="2"/>
        <v>22</v>
      </c>
      <c r="Q245" s="96">
        <f>P245*C3</f>
        <v>27500</v>
      </c>
      <c r="R245" s="96">
        <v>0</v>
      </c>
      <c r="S245" s="97">
        <f t="shared" si="24"/>
        <v>27500</v>
      </c>
      <c r="T245" s="97">
        <f>ROUNDUP(HLOOKUP(ROUNDUP(K245,0),'배송비 조회'!A$10:U$22,7,0)*C$3,-2)</f>
        <v>9000</v>
      </c>
      <c r="U245" s="97">
        <v>0</v>
      </c>
      <c r="V245" s="97">
        <f t="shared" si="366"/>
        <v>14600</v>
      </c>
      <c r="W245" s="97">
        <f t="shared" si="264"/>
        <v>18300</v>
      </c>
      <c r="X245" s="98">
        <f t="shared" si="345"/>
        <v>51100</v>
      </c>
      <c r="Y245" s="98">
        <f t="shared" si="27"/>
        <v>54800</v>
      </c>
      <c r="Z245" s="121">
        <v>0</v>
      </c>
      <c r="AA245" s="121">
        <f t="shared" si="6"/>
        <v>1941.8</v>
      </c>
      <c r="AB245" s="121">
        <f t="shared" si="7"/>
        <v>1022</v>
      </c>
      <c r="AC245" s="99">
        <f t="shared" si="8"/>
        <v>5480</v>
      </c>
      <c r="AD245" s="121">
        <f t="shared" si="9"/>
        <v>48136.2</v>
      </c>
      <c r="AE245" s="99">
        <f t="shared" si="10"/>
        <v>49320</v>
      </c>
      <c r="AF245" s="121">
        <f t="shared" si="11"/>
        <v>481.36199999999997</v>
      </c>
      <c r="AG245" s="100">
        <f t="shared" si="28"/>
        <v>11154.837999999996</v>
      </c>
      <c r="AH245" s="101">
        <f t="shared" si="29"/>
        <v>12338.637999999999</v>
      </c>
      <c r="AI245" s="102">
        <f t="shared" ref="AI245:AJ245" si="371">AG245/X245</f>
        <v>0.21829428571428564</v>
      </c>
      <c r="AJ245" s="102">
        <f t="shared" si="371"/>
        <v>0.22515762773722625</v>
      </c>
      <c r="AK245" s="103"/>
      <c r="AL245" s="104"/>
      <c r="AM245" s="17"/>
      <c r="AN245" s="17"/>
      <c r="AO245" s="17"/>
      <c r="AP245" s="17"/>
      <c r="AQ245" s="17"/>
      <c r="AR245" s="17"/>
      <c r="AS245" s="17"/>
      <c r="AT245" s="17"/>
      <c r="AU245" s="17"/>
      <c r="AV245" s="17"/>
      <c r="AW245" s="22">
        <v>4646964199</v>
      </c>
    </row>
    <row r="246" spans="1:49" ht="13.2">
      <c r="A246" s="119">
        <f>HYPERLINK("https://smartstore.naver.com/brickstore2019/products/4646975669",AW:AW)</f>
        <v>4646975669</v>
      </c>
      <c r="B246" s="266"/>
      <c r="C246" s="117" t="s">
        <v>684</v>
      </c>
      <c r="D246" s="117"/>
      <c r="E246" s="117" t="s">
        <v>685</v>
      </c>
      <c r="F246" s="168"/>
      <c r="G246" s="218" t="s">
        <v>1293</v>
      </c>
      <c r="H246" s="125"/>
      <c r="I246" s="125"/>
      <c r="J246" s="93">
        <v>32</v>
      </c>
      <c r="K246" s="82">
        <f t="shared" si="365"/>
        <v>0.05</v>
      </c>
      <c r="L246" s="82">
        <v>0.8</v>
      </c>
      <c r="M246" s="82">
        <f t="shared" si="1"/>
        <v>2.2679600000000001E-2</v>
      </c>
      <c r="N246" s="93">
        <v>0</v>
      </c>
      <c r="O246" s="93">
        <v>0</v>
      </c>
      <c r="P246" s="95">
        <f t="shared" si="2"/>
        <v>32</v>
      </c>
      <c r="Q246" s="96">
        <f>P246*C3</f>
        <v>40000</v>
      </c>
      <c r="R246" s="96">
        <v>0</v>
      </c>
      <c r="S246" s="97">
        <f t="shared" si="24"/>
        <v>40000</v>
      </c>
      <c r="T246" s="97">
        <f>ROUNDUP(HLOOKUP(ROUNDUP(K246,0),'배송비 조회'!A$10:U$22,7,0)*C$3,-2)</f>
        <v>9000</v>
      </c>
      <c r="U246" s="97">
        <v>0</v>
      </c>
      <c r="V246" s="97">
        <f t="shared" si="366"/>
        <v>19600</v>
      </c>
      <c r="W246" s="97">
        <f t="shared" si="264"/>
        <v>24500</v>
      </c>
      <c r="X246" s="98">
        <f t="shared" si="345"/>
        <v>68600</v>
      </c>
      <c r="Y246" s="98">
        <f t="shared" si="27"/>
        <v>73500</v>
      </c>
      <c r="Z246" s="121">
        <v>0</v>
      </c>
      <c r="AA246" s="121">
        <f t="shared" si="6"/>
        <v>2606.7999999999997</v>
      </c>
      <c r="AB246" s="121">
        <f t="shared" si="7"/>
        <v>1372</v>
      </c>
      <c r="AC246" s="99">
        <f t="shared" si="8"/>
        <v>7350</v>
      </c>
      <c r="AD246" s="121">
        <f t="shared" si="9"/>
        <v>64621.2</v>
      </c>
      <c r="AE246" s="99">
        <f t="shared" si="10"/>
        <v>66150</v>
      </c>
      <c r="AF246" s="121">
        <f t="shared" si="11"/>
        <v>646.21199999999999</v>
      </c>
      <c r="AG246" s="100">
        <f t="shared" si="28"/>
        <v>14974.987999999998</v>
      </c>
      <c r="AH246" s="101">
        <f t="shared" si="29"/>
        <v>16503.788</v>
      </c>
      <c r="AI246" s="102">
        <f t="shared" ref="AI246:AJ246" si="372">AG246/X246</f>
        <v>0.21829428571428569</v>
      </c>
      <c r="AJ246" s="102">
        <f t="shared" si="372"/>
        <v>0.22454133333333334</v>
      </c>
      <c r="AK246" s="103"/>
      <c r="AL246" s="104"/>
      <c r="AM246" s="17"/>
      <c r="AN246" s="17"/>
      <c r="AO246" s="17"/>
      <c r="AP246" s="17"/>
      <c r="AQ246" s="17"/>
      <c r="AR246" s="17"/>
      <c r="AS246" s="17"/>
      <c r="AT246" s="17"/>
      <c r="AU246" s="17"/>
      <c r="AV246" s="17"/>
      <c r="AW246" s="22">
        <v>4646975669</v>
      </c>
    </row>
    <row r="247" spans="1:49" ht="13.2">
      <c r="A247" s="119">
        <f>HYPERLINK("https://smartstore.naver.com/brickstore2019/products/4646988101",AW:AW)</f>
        <v>4646988101</v>
      </c>
      <c r="B247" s="266"/>
      <c r="C247" s="117" t="s">
        <v>686</v>
      </c>
      <c r="D247" s="117"/>
      <c r="E247" s="117" t="s">
        <v>687</v>
      </c>
      <c r="F247" s="168"/>
      <c r="G247" s="124" t="str">
        <f>HYPERLINK("https://www.amazon.com/Organizer-ProCase-Shockproof-Accessory-Microsoft/dp/B07F3NFF1J/ref=sr_1_42?crid=5JX2IAGBIL21&amp;keywords=surface+go+accessories&amp;qid=1566308363&amp;s=gateway&amp;sprefix=surface+go+a%2Caps%2C365&amp;sr=8-42","A")</f>
        <v>A</v>
      </c>
      <c r="H247" s="125"/>
      <c r="I247" s="125"/>
      <c r="J247" s="125">
        <v>10</v>
      </c>
      <c r="K247" s="82">
        <f t="shared" si="365"/>
        <v>0.2</v>
      </c>
      <c r="L247" s="82">
        <v>3.2</v>
      </c>
      <c r="M247" s="82">
        <f t="shared" si="1"/>
        <v>9.0718400000000005E-2</v>
      </c>
      <c r="N247" s="93">
        <v>0</v>
      </c>
      <c r="O247" s="93">
        <v>0</v>
      </c>
      <c r="P247" s="95">
        <f t="shared" si="2"/>
        <v>10</v>
      </c>
      <c r="Q247" s="96">
        <f>P247*C3</f>
        <v>12500</v>
      </c>
      <c r="R247" s="96">
        <v>0</v>
      </c>
      <c r="S247" s="97">
        <f t="shared" si="24"/>
        <v>12500</v>
      </c>
      <c r="T247" s="97">
        <f>ROUNDUP(HLOOKUP(ROUNDUP(K247,0),'배송비 조회'!A$10:U$22,7,0)*C$3,-2)</f>
        <v>9000</v>
      </c>
      <c r="U247" s="97">
        <v>0</v>
      </c>
      <c r="V247" s="97">
        <f>ROUND(IF(R247&gt;0,0,(S247+T247)*0.7),-2)</f>
        <v>15100</v>
      </c>
      <c r="W247" s="97">
        <f t="shared" si="264"/>
        <v>10800</v>
      </c>
      <c r="X247" s="98">
        <f t="shared" si="345"/>
        <v>36600</v>
      </c>
      <c r="Y247" s="98">
        <f t="shared" si="27"/>
        <v>32300</v>
      </c>
      <c r="Z247" s="121">
        <v>0</v>
      </c>
      <c r="AA247" s="121">
        <f t="shared" si="6"/>
        <v>1390.8</v>
      </c>
      <c r="AB247" s="121">
        <f t="shared" si="7"/>
        <v>732</v>
      </c>
      <c r="AC247" s="99">
        <f t="shared" si="8"/>
        <v>3230</v>
      </c>
      <c r="AD247" s="121">
        <f t="shared" si="9"/>
        <v>34477.199999999997</v>
      </c>
      <c r="AE247" s="99">
        <f t="shared" si="10"/>
        <v>29070</v>
      </c>
      <c r="AF247" s="121">
        <f t="shared" si="11"/>
        <v>344.77199999999999</v>
      </c>
      <c r="AG247" s="100">
        <f t="shared" si="28"/>
        <v>12632.427999999996</v>
      </c>
      <c r="AH247" s="101">
        <f t="shared" si="29"/>
        <v>7225.2279999999992</v>
      </c>
      <c r="AI247" s="102">
        <f t="shared" ref="AI247:AJ247" si="373">AG247/X247</f>
        <v>0.34514830601092888</v>
      </c>
      <c r="AJ247" s="102">
        <f t="shared" si="373"/>
        <v>0.22369126934984518</v>
      </c>
      <c r="AK247" s="103"/>
      <c r="AL247" s="104"/>
      <c r="AM247" s="17"/>
      <c r="AN247" s="17"/>
      <c r="AO247" s="17"/>
      <c r="AP247" s="17"/>
      <c r="AQ247" s="17"/>
      <c r="AR247" s="17"/>
      <c r="AS247" s="17"/>
      <c r="AT247" s="17"/>
      <c r="AU247" s="17"/>
      <c r="AV247" s="17"/>
      <c r="AW247" s="22">
        <v>4646988101</v>
      </c>
    </row>
    <row r="248" spans="1:49" ht="13.2">
      <c r="A248" s="303">
        <f>HYPERLINK("https://smartstore.naver.com/brickstore2019/products/4647785168",AW:AW)</f>
        <v>4647785168</v>
      </c>
      <c r="B248" s="266"/>
      <c r="C248" s="304" t="s">
        <v>688</v>
      </c>
      <c r="D248" s="117"/>
      <c r="E248" s="304" t="s">
        <v>689</v>
      </c>
      <c r="F248" s="168" t="s">
        <v>612</v>
      </c>
      <c r="G248" s="124" t="str">
        <f>HYPERLINK("https://www.amazon.com/dp/B07NYB3HMC/ref=twister_B07P1CFF4S?_encoding=UTF8&amp;psc=1","A")</f>
        <v>A</v>
      </c>
      <c r="H248" s="125"/>
      <c r="I248" s="125"/>
      <c r="J248" s="125">
        <v>30</v>
      </c>
      <c r="K248" s="82">
        <f t="shared" si="365"/>
        <v>0.38750000000000001</v>
      </c>
      <c r="L248" s="82">
        <v>6.2</v>
      </c>
      <c r="M248" s="82">
        <f t="shared" si="1"/>
        <v>0.1757669</v>
      </c>
      <c r="N248" s="93">
        <v>0</v>
      </c>
      <c r="O248" s="93">
        <v>0</v>
      </c>
      <c r="P248" s="95">
        <f t="shared" si="2"/>
        <v>30</v>
      </c>
      <c r="Q248" s="96">
        <f>P248*C3</f>
        <v>37500</v>
      </c>
      <c r="R248" s="96">
        <v>0</v>
      </c>
      <c r="S248" s="97">
        <f t="shared" si="24"/>
        <v>37500</v>
      </c>
      <c r="T248" s="97">
        <f>ROUNDUP(HLOOKUP(ROUNDUP(K248,0),'배송비 조회'!A$10:U$22,7,0)*C$3,-2)</f>
        <v>9000</v>
      </c>
      <c r="U248" s="97">
        <v>0</v>
      </c>
      <c r="V248" s="97">
        <f t="shared" ref="V248:V251" si="374">ROUND(IF(R248&gt;0,0,(S248+T248)*0.4),-2)</f>
        <v>18600</v>
      </c>
      <c r="W248" s="97">
        <f t="shared" si="264"/>
        <v>23300</v>
      </c>
      <c r="X248" s="98">
        <f t="shared" si="345"/>
        <v>65100</v>
      </c>
      <c r="Y248" s="98">
        <f t="shared" si="27"/>
        <v>69800</v>
      </c>
      <c r="Z248" s="121">
        <v>0</v>
      </c>
      <c r="AA248" s="121">
        <f t="shared" si="6"/>
        <v>2473.7999999999997</v>
      </c>
      <c r="AB248" s="121">
        <f t="shared" si="7"/>
        <v>1302</v>
      </c>
      <c r="AC248" s="99">
        <f t="shared" si="8"/>
        <v>6980</v>
      </c>
      <c r="AD248" s="121">
        <f t="shared" si="9"/>
        <v>61324.2</v>
      </c>
      <c r="AE248" s="99">
        <f t="shared" si="10"/>
        <v>62820</v>
      </c>
      <c r="AF248" s="121">
        <f t="shared" si="11"/>
        <v>613.24199999999996</v>
      </c>
      <c r="AG248" s="100">
        <f t="shared" si="28"/>
        <v>14210.957999999999</v>
      </c>
      <c r="AH248" s="101">
        <f t="shared" si="29"/>
        <v>15706.758000000002</v>
      </c>
      <c r="AI248" s="102">
        <f t="shared" ref="AI248:AJ248" si="375">AG248/X248</f>
        <v>0.21829428571428569</v>
      </c>
      <c r="AJ248" s="102">
        <f t="shared" si="375"/>
        <v>0.22502518624641837</v>
      </c>
      <c r="AK248" s="103">
        <f>X248-X249</f>
        <v>0</v>
      </c>
      <c r="AL248" s="104"/>
      <c r="AM248" s="17"/>
      <c r="AN248" s="17"/>
      <c r="AO248" s="17"/>
      <c r="AP248" s="17"/>
      <c r="AQ248" s="17"/>
      <c r="AR248" s="17"/>
      <c r="AS248" s="17"/>
      <c r="AT248" s="17"/>
      <c r="AU248" s="17"/>
      <c r="AV248" s="17"/>
      <c r="AW248" s="296">
        <v>4647785168</v>
      </c>
    </row>
    <row r="249" spans="1:49" ht="13.2">
      <c r="A249" s="302"/>
      <c r="B249" s="266"/>
      <c r="C249" s="302"/>
      <c r="D249" s="117"/>
      <c r="E249" s="302"/>
      <c r="F249" s="123" t="s">
        <v>135</v>
      </c>
      <c r="G249" s="124" t="str">
        <f>HYPERLINK("https://www.amazon.com/dp/B07NZ79XBY/ref=twister_B07P1CFF4S?_encoding=UTF8&amp;psc=1","A")</f>
        <v>A</v>
      </c>
      <c r="H249" s="125"/>
      <c r="I249" s="125"/>
      <c r="J249" s="125">
        <v>30</v>
      </c>
      <c r="K249" s="82">
        <f t="shared" si="365"/>
        <v>0.38750000000000001</v>
      </c>
      <c r="L249" s="82">
        <v>6.2</v>
      </c>
      <c r="M249" s="82">
        <f t="shared" si="1"/>
        <v>0.1757669</v>
      </c>
      <c r="N249" s="93">
        <v>0</v>
      </c>
      <c r="O249" s="93">
        <v>0</v>
      </c>
      <c r="P249" s="95">
        <f t="shared" si="2"/>
        <v>30</v>
      </c>
      <c r="Q249" s="96">
        <f>P249*C3</f>
        <v>37500</v>
      </c>
      <c r="R249" s="96">
        <v>0</v>
      </c>
      <c r="S249" s="97">
        <f t="shared" si="24"/>
        <v>37500</v>
      </c>
      <c r="T249" s="97">
        <f>ROUNDUP(HLOOKUP(ROUNDUP(K249,0),'배송비 조회'!A$10:U$22,7,0)*C$3,-2)</f>
        <v>9000</v>
      </c>
      <c r="U249" s="97">
        <v>0</v>
      </c>
      <c r="V249" s="97">
        <f t="shared" si="374"/>
        <v>18600</v>
      </c>
      <c r="W249" s="97">
        <f t="shared" si="264"/>
        <v>23300</v>
      </c>
      <c r="X249" s="98">
        <f t="shared" si="345"/>
        <v>65100</v>
      </c>
      <c r="Y249" s="98">
        <f t="shared" si="27"/>
        <v>69800</v>
      </c>
      <c r="Z249" s="121">
        <v>0</v>
      </c>
      <c r="AA249" s="121">
        <f t="shared" si="6"/>
        <v>2473.7999999999997</v>
      </c>
      <c r="AB249" s="121">
        <f t="shared" si="7"/>
        <v>1302</v>
      </c>
      <c r="AC249" s="99">
        <f t="shared" si="8"/>
        <v>6980</v>
      </c>
      <c r="AD249" s="121">
        <f t="shared" si="9"/>
        <v>61324.2</v>
      </c>
      <c r="AE249" s="99">
        <f t="shared" si="10"/>
        <v>62820</v>
      </c>
      <c r="AF249" s="121">
        <f t="shared" si="11"/>
        <v>613.24199999999996</v>
      </c>
      <c r="AG249" s="100">
        <f t="shared" si="28"/>
        <v>14210.957999999999</v>
      </c>
      <c r="AH249" s="101">
        <f t="shared" si="29"/>
        <v>15706.758000000002</v>
      </c>
      <c r="AI249" s="102">
        <f t="shared" ref="AI249:AJ249" si="376">AG249/X249</f>
        <v>0.21829428571428569</v>
      </c>
      <c r="AJ249" s="102">
        <f t="shared" si="376"/>
        <v>0.22502518624641837</v>
      </c>
      <c r="AK249" s="103"/>
      <c r="AL249" s="104"/>
      <c r="AM249" s="17"/>
      <c r="AN249" s="17"/>
      <c r="AO249" s="17"/>
      <c r="AP249" s="17"/>
      <c r="AQ249" s="17"/>
      <c r="AR249" s="17"/>
      <c r="AS249" s="17"/>
      <c r="AT249" s="17"/>
      <c r="AU249" s="17"/>
      <c r="AV249" s="17"/>
      <c r="AW249" s="297"/>
    </row>
    <row r="250" spans="1:49" ht="13.2">
      <c r="A250" s="302"/>
      <c r="B250" s="266"/>
      <c r="C250" s="302"/>
      <c r="D250" s="117"/>
      <c r="E250" s="302"/>
      <c r="F250" s="123" t="s">
        <v>690</v>
      </c>
      <c r="G250" s="124" t="str">
        <f>HYPERLINK("https://www.amazon.com/dp/B07NZ6XQGQ/ref=twister_B07P1CFF4S?_encoding=UTF8&amp;th=1","A")</f>
        <v>A</v>
      </c>
      <c r="H250" s="125"/>
      <c r="I250" s="125"/>
      <c r="J250" s="125">
        <v>30</v>
      </c>
      <c r="K250" s="82">
        <f t="shared" si="365"/>
        <v>0.38750000000000001</v>
      </c>
      <c r="L250" s="82">
        <v>6.2</v>
      </c>
      <c r="M250" s="82">
        <f t="shared" si="1"/>
        <v>0.1757669</v>
      </c>
      <c r="N250" s="93">
        <v>0</v>
      </c>
      <c r="O250" s="93">
        <v>0</v>
      </c>
      <c r="P250" s="95">
        <f t="shared" si="2"/>
        <v>30</v>
      </c>
      <c r="Q250" s="96">
        <f>P250*C3</f>
        <v>37500</v>
      </c>
      <c r="R250" s="96">
        <v>0</v>
      </c>
      <c r="S250" s="97">
        <f t="shared" si="24"/>
        <v>37500</v>
      </c>
      <c r="T250" s="97">
        <f>ROUNDUP(HLOOKUP(ROUNDUP(K250,0),'배송비 조회'!A$10:U$22,7,0)*C$3,-2)</f>
        <v>9000</v>
      </c>
      <c r="U250" s="97">
        <v>0</v>
      </c>
      <c r="V250" s="97">
        <f t="shared" si="374"/>
        <v>18600</v>
      </c>
      <c r="W250" s="97">
        <f t="shared" si="264"/>
        <v>23300</v>
      </c>
      <c r="X250" s="98">
        <f t="shared" si="345"/>
        <v>65100</v>
      </c>
      <c r="Y250" s="98">
        <f t="shared" si="27"/>
        <v>69800</v>
      </c>
      <c r="Z250" s="121">
        <v>0</v>
      </c>
      <c r="AA250" s="121">
        <f t="shared" si="6"/>
        <v>2473.7999999999997</v>
      </c>
      <c r="AB250" s="121">
        <f t="shared" si="7"/>
        <v>1302</v>
      </c>
      <c r="AC250" s="99">
        <f t="shared" si="8"/>
        <v>6980</v>
      </c>
      <c r="AD250" s="121">
        <f t="shared" si="9"/>
        <v>61324.2</v>
      </c>
      <c r="AE250" s="99">
        <f t="shared" si="10"/>
        <v>62820</v>
      </c>
      <c r="AF250" s="121">
        <f t="shared" si="11"/>
        <v>613.24199999999996</v>
      </c>
      <c r="AG250" s="100">
        <f t="shared" si="28"/>
        <v>14210.957999999999</v>
      </c>
      <c r="AH250" s="101">
        <f t="shared" si="29"/>
        <v>15706.758000000002</v>
      </c>
      <c r="AI250" s="102">
        <f t="shared" ref="AI250:AJ250" si="377">AG250/X250</f>
        <v>0.21829428571428569</v>
      </c>
      <c r="AJ250" s="102">
        <f t="shared" si="377"/>
        <v>0.22502518624641837</v>
      </c>
      <c r="AK250" s="103"/>
      <c r="AL250" s="104"/>
      <c r="AM250" s="17"/>
      <c r="AN250" s="17"/>
      <c r="AO250" s="17"/>
      <c r="AP250" s="17"/>
      <c r="AQ250" s="17"/>
      <c r="AR250" s="17"/>
      <c r="AS250" s="17"/>
      <c r="AT250" s="17"/>
      <c r="AU250" s="17"/>
      <c r="AV250" s="17"/>
      <c r="AW250" s="297"/>
    </row>
    <row r="251" spans="1:49" ht="13.2">
      <c r="A251" s="302"/>
      <c r="B251" s="266"/>
      <c r="C251" s="302"/>
      <c r="D251" s="117"/>
      <c r="E251" s="302"/>
      <c r="F251" s="123" t="s">
        <v>691</v>
      </c>
      <c r="G251" s="124" t="str">
        <f>HYPERLINK("https://www.amazon.com/dp/B07P1C6QNF/ref=twister_B07P1CFF4S?_encoding=UTF8&amp;th=1","A")</f>
        <v>A</v>
      </c>
      <c r="H251" s="125"/>
      <c r="I251" s="125"/>
      <c r="J251" s="125">
        <v>30</v>
      </c>
      <c r="K251" s="82">
        <f t="shared" si="365"/>
        <v>0.38750000000000001</v>
      </c>
      <c r="L251" s="82">
        <v>6.2</v>
      </c>
      <c r="M251" s="82">
        <f t="shared" si="1"/>
        <v>0.1757669</v>
      </c>
      <c r="N251" s="93">
        <v>0</v>
      </c>
      <c r="O251" s="93">
        <v>0</v>
      </c>
      <c r="P251" s="95">
        <f t="shared" si="2"/>
        <v>30</v>
      </c>
      <c r="Q251" s="96">
        <f>P251*C3</f>
        <v>37500</v>
      </c>
      <c r="R251" s="96">
        <v>0</v>
      </c>
      <c r="S251" s="97">
        <f t="shared" si="24"/>
        <v>37500</v>
      </c>
      <c r="T251" s="97">
        <f>ROUNDUP(HLOOKUP(ROUNDUP(K251,0),'배송비 조회'!A$10:U$22,7,0)*C$3,-2)</f>
        <v>9000</v>
      </c>
      <c r="U251" s="97">
        <v>0</v>
      </c>
      <c r="V251" s="97">
        <f t="shared" si="374"/>
        <v>18600</v>
      </c>
      <c r="W251" s="97">
        <f t="shared" si="264"/>
        <v>23300</v>
      </c>
      <c r="X251" s="98">
        <f t="shared" si="345"/>
        <v>65100</v>
      </c>
      <c r="Y251" s="98">
        <f t="shared" si="27"/>
        <v>69800</v>
      </c>
      <c r="Z251" s="121">
        <v>0</v>
      </c>
      <c r="AA251" s="121">
        <f t="shared" si="6"/>
        <v>2473.7999999999997</v>
      </c>
      <c r="AB251" s="121">
        <f t="shared" si="7"/>
        <v>1302</v>
      </c>
      <c r="AC251" s="99">
        <f t="shared" si="8"/>
        <v>6980</v>
      </c>
      <c r="AD251" s="121">
        <f t="shared" si="9"/>
        <v>61324.2</v>
      </c>
      <c r="AE251" s="99">
        <f t="shared" si="10"/>
        <v>62820</v>
      </c>
      <c r="AF251" s="121">
        <f t="shared" si="11"/>
        <v>613.24199999999996</v>
      </c>
      <c r="AG251" s="100">
        <f t="shared" si="28"/>
        <v>14210.957999999999</v>
      </c>
      <c r="AH251" s="101">
        <f t="shared" si="29"/>
        <v>15706.758000000002</v>
      </c>
      <c r="AI251" s="102">
        <f t="shared" ref="AI251:AJ251" si="378">AG251/X251</f>
        <v>0.21829428571428569</v>
      </c>
      <c r="AJ251" s="102">
        <f t="shared" si="378"/>
        <v>0.22502518624641837</v>
      </c>
      <c r="AK251" s="103"/>
      <c r="AL251" s="104"/>
      <c r="AM251" s="17"/>
      <c r="AN251" s="17"/>
      <c r="AO251" s="17"/>
      <c r="AP251" s="17"/>
      <c r="AQ251" s="17"/>
      <c r="AR251" s="17"/>
      <c r="AS251" s="17"/>
      <c r="AT251" s="17"/>
      <c r="AU251" s="17"/>
      <c r="AV251" s="17"/>
      <c r="AW251" s="297"/>
    </row>
    <row r="252" spans="1:49" ht="13.2">
      <c r="A252" s="303">
        <f>HYPERLINK("https://smartstore.naver.com/brickstore2019/products/4648581145",AW:AW)</f>
        <v>4648581145</v>
      </c>
      <c r="B252" s="266"/>
      <c r="C252" s="304" t="s">
        <v>692</v>
      </c>
      <c r="D252" s="117"/>
      <c r="E252" s="304" t="s">
        <v>693</v>
      </c>
      <c r="F252" s="123" t="s">
        <v>98</v>
      </c>
      <c r="G252" s="124" t="str">
        <f>HYPERLINK("https://www.amazon.com/Nokia-Steel-Hybrid-Smartwatch-Resistant/dp/B0711LKZKX?ref_=bl_dp_s_web_2603806011&amp;th=1","A")</f>
        <v>A</v>
      </c>
      <c r="H252" s="125"/>
      <c r="I252" s="125"/>
      <c r="J252" s="125">
        <v>180</v>
      </c>
      <c r="K252" s="82">
        <f t="shared" si="365"/>
        <v>0.51249999999999996</v>
      </c>
      <c r="L252" s="82">
        <v>8.1999999999999993</v>
      </c>
      <c r="M252" s="82">
        <f t="shared" si="1"/>
        <v>0.23246589999999998</v>
      </c>
      <c r="N252" s="93">
        <v>0</v>
      </c>
      <c r="O252" s="93">
        <v>0</v>
      </c>
      <c r="P252" s="95">
        <f t="shared" si="2"/>
        <v>180</v>
      </c>
      <c r="Q252" s="96">
        <f>P252*C$3</f>
        <v>225000</v>
      </c>
      <c r="R252" s="96">
        <v>0</v>
      </c>
      <c r="S252" s="97">
        <f t="shared" si="24"/>
        <v>225000</v>
      </c>
      <c r="T252" s="97">
        <f>ROUNDUP(HLOOKUP(ROUNDUP(K252,0),'배송비 조회'!A$10:U$22,7,0)*C$3,-2)</f>
        <v>9000</v>
      </c>
      <c r="U252" s="97">
        <v>0</v>
      </c>
      <c r="V252" s="97">
        <f t="shared" ref="V252:V262" si="379">ROUND(IF(R252&gt;0,0,(S252+T252)*0.3),-2)</f>
        <v>70200</v>
      </c>
      <c r="W252" s="97">
        <f t="shared" si="264"/>
        <v>117000</v>
      </c>
      <c r="X252" s="98">
        <f t="shared" si="345"/>
        <v>304200</v>
      </c>
      <c r="Y252" s="98">
        <f t="shared" si="27"/>
        <v>351000</v>
      </c>
      <c r="Z252" s="121">
        <v>0</v>
      </c>
      <c r="AA252" s="121">
        <f t="shared" si="6"/>
        <v>11559.6</v>
      </c>
      <c r="AB252" s="121">
        <f t="shared" si="7"/>
        <v>6084</v>
      </c>
      <c r="AC252" s="99">
        <f t="shared" si="8"/>
        <v>35100</v>
      </c>
      <c r="AD252" s="121">
        <f t="shared" si="9"/>
        <v>286556.40000000002</v>
      </c>
      <c r="AE252" s="99">
        <f t="shared" si="10"/>
        <v>315900</v>
      </c>
      <c r="AF252" s="121">
        <f t="shared" si="11"/>
        <v>2865.5640000000003</v>
      </c>
      <c r="AG252" s="100">
        <f t="shared" si="28"/>
        <v>49690.836000000025</v>
      </c>
      <c r="AH252" s="101">
        <f t="shared" si="29"/>
        <v>79034.436000000002</v>
      </c>
      <c r="AI252" s="102">
        <f t="shared" ref="AI252:AJ252" si="380">AG252/X252</f>
        <v>0.16334923076923086</v>
      </c>
      <c r="AJ252" s="102">
        <f t="shared" si="380"/>
        <v>0.22516933333333333</v>
      </c>
      <c r="AK252" s="103"/>
      <c r="AL252" s="104"/>
      <c r="AM252" s="17"/>
      <c r="AN252" s="17"/>
      <c r="AO252" s="17"/>
      <c r="AP252" s="17"/>
      <c r="AQ252" s="17"/>
      <c r="AR252" s="17"/>
      <c r="AS252" s="17"/>
      <c r="AT252" s="17"/>
      <c r="AU252" s="17"/>
      <c r="AV252" s="17"/>
      <c r="AW252" s="296">
        <v>4648581145</v>
      </c>
    </row>
    <row r="253" spans="1:49" ht="13.2">
      <c r="A253" s="302"/>
      <c r="B253" s="266"/>
      <c r="C253" s="302"/>
      <c r="D253" s="117"/>
      <c r="E253" s="302"/>
      <c r="F253" s="168" t="s">
        <v>55</v>
      </c>
      <c r="G253" s="183" t="str">
        <f>HYPERLINK("https://www.amazon.com/Nokia-Steel-Hybrid-Smartwatch-Resistant/dp/B071NVR2QQ?ref_=bl_dp_s_web_2603806011&amp;th=1","A")</f>
        <v>A</v>
      </c>
      <c r="H253" s="125"/>
      <c r="I253" s="125"/>
      <c r="J253" s="125">
        <v>180</v>
      </c>
      <c r="K253" s="82">
        <f t="shared" si="365"/>
        <v>0.51249999999999996</v>
      </c>
      <c r="L253" s="82">
        <v>8.1999999999999993</v>
      </c>
      <c r="M253" s="82">
        <f t="shared" si="1"/>
        <v>0.23246589999999998</v>
      </c>
      <c r="N253" s="93">
        <v>0</v>
      </c>
      <c r="O253" s="93">
        <v>0</v>
      </c>
      <c r="P253" s="95">
        <f t="shared" si="2"/>
        <v>180</v>
      </c>
      <c r="Q253" s="96">
        <f>P253*C$3</f>
        <v>225000</v>
      </c>
      <c r="R253" s="96">
        <v>0</v>
      </c>
      <c r="S253" s="97">
        <f t="shared" si="24"/>
        <v>225000</v>
      </c>
      <c r="T253" s="97">
        <f>ROUNDUP(HLOOKUP(ROUNDUP(K253,0),'배송비 조회'!A$10:U$22,7,0)*C$3,-2)</f>
        <v>9000</v>
      </c>
      <c r="U253" s="97">
        <v>0</v>
      </c>
      <c r="V253" s="97">
        <f t="shared" si="379"/>
        <v>70200</v>
      </c>
      <c r="W253" s="97">
        <f t="shared" si="264"/>
        <v>117000</v>
      </c>
      <c r="X253" s="98">
        <f t="shared" si="345"/>
        <v>304200</v>
      </c>
      <c r="Y253" s="98">
        <f t="shared" si="27"/>
        <v>351000</v>
      </c>
      <c r="Z253" s="121">
        <v>0</v>
      </c>
      <c r="AA253" s="121">
        <f t="shared" si="6"/>
        <v>11559.6</v>
      </c>
      <c r="AB253" s="121">
        <f t="shared" si="7"/>
        <v>6084</v>
      </c>
      <c r="AC253" s="99">
        <f t="shared" si="8"/>
        <v>35100</v>
      </c>
      <c r="AD253" s="121">
        <f t="shared" si="9"/>
        <v>286556.40000000002</v>
      </c>
      <c r="AE253" s="99">
        <f t="shared" si="10"/>
        <v>315900</v>
      </c>
      <c r="AF253" s="121">
        <f t="shared" si="11"/>
        <v>2865.5640000000003</v>
      </c>
      <c r="AG253" s="100">
        <f t="shared" si="28"/>
        <v>49690.836000000025</v>
      </c>
      <c r="AH253" s="101">
        <f t="shared" si="29"/>
        <v>79034.436000000002</v>
      </c>
      <c r="AI253" s="102">
        <f t="shared" ref="AI253:AJ253" si="381">AG253/X253</f>
        <v>0.16334923076923086</v>
      </c>
      <c r="AJ253" s="102">
        <f t="shared" si="381"/>
        <v>0.22516933333333333</v>
      </c>
      <c r="AK253" s="103"/>
      <c r="AL253" s="104"/>
      <c r="AM253" s="17"/>
      <c r="AN253" s="17"/>
      <c r="AO253" s="17"/>
      <c r="AP253" s="17"/>
      <c r="AQ253" s="17"/>
      <c r="AR253" s="17"/>
      <c r="AS253" s="17"/>
      <c r="AT253" s="17"/>
      <c r="AU253" s="17"/>
      <c r="AV253" s="17"/>
      <c r="AW253" s="297"/>
    </row>
    <row r="254" spans="1:49" ht="13.2">
      <c r="A254" s="303">
        <f>HYPERLINK("https://smartstore.naver.com/brickstore2019/products/4648417729",AW:AW)</f>
        <v>4648417729</v>
      </c>
      <c r="B254" s="266"/>
      <c r="C254" s="304" t="s">
        <v>694</v>
      </c>
      <c r="D254" s="117"/>
      <c r="E254" s="304" t="s">
        <v>695</v>
      </c>
      <c r="F254" s="168" t="s">
        <v>637</v>
      </c>
      <c r="G254" s="124" t="str">
        <f>HYPERLINK("https://www.amazon.com/dp/B07RCD3P8M/ref=twister_B07R6YHM9M?_encoding=UTF8&amp;psc=1","A")</f>
        <v>A</v>
      </c>
      <c r="H254" s="125"/>
      <c r="I254" s="125"/>
      <c r="J254" s="125">
        <v>30</v>
      </c>
      <c r="K254" s="82">
        <v>1.7</v>
      </c>
      <c r="L254" s="82">
        <v>3.2</v>
      </c>
      <c r="M254" s="82">
        <f t="shared" si="1"/>
        <v>0.77110639999999997</v>
      </c>
      <c r="N254" s="93">
        <v>0</v>
      </c>
      <c r="O254" s="93">
        <v>0</v>
      </c>
      <c r="P254" s="95">
        <f t="shared" si="2"/>
        <v>30</v>
      </c>
      <c r="Q254" s="96">
        <f>P254*C3</f>
        <v>37500</v>
      </c>
      <c r="R254" s="96">
        <v>0</v>
      </c>
      <c r="S254" s="97">
        <f t="shared" si="24"/>
        <v>37500</v>
      </c>
      <c r="T254" s="97">
        <f>ROUNDUP(HLOOKUP(ROUNDUP(K254,0),'배송비 조회'!A$10:U$22,7,0)*C$3,-2)</f>
        <v>11200</v>
      </c>
      <c r="U254" s="97">
        <v>0</v>
      </c>
      <c r="V254" s="97">
        <f t="shared" si="379"/>
        <v>14600</v>
      </c>
      <c r="W254" s="97">
        <f t="shared" si="264"/>
        <v>24400</v>
      </c>
      <c r="X254" s="98">
        <f t="shared" si="345"/>
        <v>63300</v>
      </c>
      <c r="Y254" s="98">
        <f t="shared" si="27"/>
        <v>73100</v>
      </c>
      <c r="Z254" s="121">
        <v>0</v>
      </c>
      <c r="AA254" s="121">
        <f t="shared" si="6"/>
        <v>2405.4</v>
      </c>
      <c r="AB254" s="121">
        <f t="shared" si="7"/>
        <v>1266</v>
      </c>
      <c r="AC254" s="99">
        <f t="shared" si="8"/>
        <v>7310</v>
      </c>
      <c r="AD254" s="121">
        <f t="shared" si="9"/>
        <v>59628.6</v>
      </c>
      <c r="AE254" s="99">
        <f t="shared" si="10"/>
        <v>65790</v>
      </c>
      <c r="AF254" s="121">
        <f t="shared" si="11"/>
        <v>596.28599999999994</v>
      </c>
      <c r="AG254" s="100">
        <f t="shared" si="28"/>
        <v>10332.313999999998</v>
      </c>
      <c r="AH254" s="101">
        <f t="shared" si="29"/>
        <v>16493.714</v>
      </c>
      <c r="AI254" s="102">
        <f t="shared" ref="AI254:AJ254" si="382">AG254/X254</f>
        <v>0.16322770932069508</v>
      </c>
      <c r="AJ254" s="102">
        <f t="shared" si="382"/>
        <v>0.2256322024623803</v>
      </c>
      <c r="AK254" s="103"/>
      <c r="AL254" s="104"/>
      <c r="AM254" s="17"/>
      <c r="AN254" s="17"/>
      <c r="AO254" s="17"/>
      <c r="AP254" s="17"/>
      <c r="AQ254" s="17"/>
      <c r="AR254" s="17"/>
      <c r="AS254" s="17"/>
      <c r="AT254" s="17"/>
      <c r="AU254" s="17"/>
      <c r="AV254" s="17"/>
      <c r="AW254" s="296">
        <v>4648417729</v>
      </c>
    </row>
    <row r="255" spans="1:49" ht="13.2">
      <c r="A255" s="302"/>
      <c r="B255" s="266"/>
      <c r="C255" s="302"/>
      <c r="D255" s="117"/>
      <c r="E255" s="302"/>
      <c r="F255" s="123" t="s">
        <v>58</v>
      </c>
      <c r="G255" s="124" t="str">
        <f>HYPERLINK("https://www.amazon.com/dp/B07RCBZGV4/ref=twister_B07R6YHM9M?_encoding=UTF8&amp;th=1","A")</f>
        <v>A</v>
      </c>
      <c r="H255" s="125"/>
      <c r="I255" s="125"/>
      <c r="J255" s="125">
        <v>30</v>
      </c>
      <c r="K255" s="82">
        <v>1.7</v>
      </c>
      <c r="L255" s="82">
        <v>3.2</v>
      </c>
      <c r="M255" s="82">
        <f t="shared" si="1"/>
        <v>0.77110639999999997</v>
      </c>
      <c r="N255" s="93">
        <v>0</v>
      </c>
      <c r="O255" s="93">
        <v>0</v>
      </c>
      <c r="P255" s="95">
        <f t="shared" si="2"/>
        <v>30</v>
      </c>
      <c r="Q255" s="96">
        <f>P255*C3</f>
        <v>37500</v>
      </c>
      <c r="R255" s="96">
        <v>0</v>
      </c>
      <c r="S255" s="97">
        <f t="shared" si="24"/>
        <v>37500</v>
      </c>
      <c r="T255" s="97">
        <f>ROUNDUP(HLOOKUP(ROUNDUP(K255,0),'배송비 조회'!A$10:U$22,7,0)*C$3,-2)</f>
        <v>11200</v>
      </c>
      <c r="U255" s="97">
        <v>0</v>
      </c>
      <c r="V255" s="97">
        <f t="shared" si="379"/>
        <v>14600</v>
      </c>
      <c r="W255" s="97">
        <f t="shared" si="264"/>
        <v>24400</v>
      </c>
      <c r="X255" s="98">
        <f t="shared" si="345"/>
        <v>63300</v>
      </c>
      <c r="Y255" s="98">
        <f t="shared" si="27"/>
        <v>73100</v>
      </c>
      <c r="Z255" s="121">
        <v>0</v>
      </c>
      <c r="AA255" s="121">
        <f t="shared" si="6"/>
        <v>2405.4</v>
      </c>
      <c r="AB255" s="121">
        <f t="shared" si="7"/>
        <v>1266</v>
      </c>
      <c r="AC255" s="99">
        <f t="shared" si="8"/>
        <v>7310</v>
      </c>
      <c r="AD255" s="121">
        <f t="shared" si="9"/>
        <v>59628.6</v>
      </c>
      <c r="AE255" s="99">
        <f t="shared" si="10"/>
        <v>65790</v>
      </c>
      <c r="AF255" s="121">
        <f t="shared" si="11"/>
        <v>596.28599999999994</v>
      </c>
      <c r="AG255" s="100">
        <f t="shared" si="28"/>
        <v>10332.313999999998</v>
      </c>
      <c r="AH255" s="101">
        <f t="shared" si="29"/>
        <v>16493.714</v>
      </c>
      <c r="AI255" s="102">
        <f t="shared" ref="AI255:AJ255" si="383">AG255/X255</f>
        <v>0.16322770932069508</v>
      </c>
      <c r="AJ255" s="102">
        <f t="shared" si="383"/>
        <v>0.2256322024623803</v>
      </c>
      <c r="AK255" s="103"/>
      <c r="AL255" s="104"/>
      <c r="AM255" s="17"/>
      <c r="AN255" s="17"/>
      <c r="AO255" s="17"/>
      <c r="AP255" s="17"/>
      <c r="AQ255" s="17"/>
      <c r="AR255" s="17"/>
      <c r="AS255" s="17"/>
      <c r="AT255" s="17"/>
      <c r="AU255" s="17"/>
      <c r="AV255" s="17"/>
      <c r="AW255" s="297"/>
    </row>
    <row r="256" spans="1:49" ht="13.2">
      <c r="A256" s="302"/>
      <c r="B256" s="266"/>
      <c r="C256" s="302"/>
      <c r="D256" s="117"/>
      <c r="E256" s="302"/>
      <c r="F256" s="123" t="s">
        <v>55</v>
      </c>
      <c r="G256" s="124" t="str">
        <f>HYPERLINK("https://www.amazon.com/Satechi-Eco-Leather-Deskmate-12-2-Protector/dp/B07R967BLQ?th=1","A")</f>
        <v>A</v>
      </c>
      <c r="H256" s="110" t="s">
        <v>60</v>
      </c>
      <c r="I256" s="110"/>
      <c r="J256" s="125">
        <v>35</v>
      </c>
      <c r="K256" s="82">
        <v>1.7</v>
      </c>
      <c r="L256" s="82">
        <v>3.2</v>
      </c>
      <c r="M256" s="82">
        <f t="shared" si="1"/>
        <v>0.77110639999999997</v>
      </c>
      <c r="N256" s="93">
        <v>0</v>
      </c>
      <c r="O256" s="93">
        <v>0</v>
      </c>
      <c r="P256" s="95">
        <f t="shared" si="2"/>
        <v>35</v>
      </c>
      <c r="Q256" s="96">
        <f>P256*C3</f>
        <v>43750</v>
      </c>
      <c r="R256" s="96">
        <v>0</v>
      </c>
      <c r="S256" s="97">
        <f t="shared" si="24"/>
        <v>43800</v>
      </c>
      <c r="T256" s="97">
        <f>ROUNDUP(HLOOKUP(ROUNDUP(K256,0),'배송비 조회'!A$10:U$22,7,0)*C$3,-2)</f>
        <v>11200</v>
      </c>
      <c r="U256" s="97">
        <v>0</v>
      </c>
      <c r="V256" s="97">
        <f t="shared" si="379"/>
        <v>16500</v>
      </c>
      <c r="W256" s="97">
        <f t="shared" si="264"/>
        <v>27500</v>
      </c>
      <c r="X256" s="98">
        <f t="shared" si="345"/>
        <v>71500</v>
      </c>
      <c r="Y256" s="98">
        <f t="shared" si="27"/>
        <v>82500</v>
      </c>
      <c r="Z256" s="121">
        <v>0</v>
      </c>
      <c r="AA256" s="121">
        <f t="shared" si="6"/>
        <v>2717</v>
      </c>
      <c r="AB256" s="121">
        <f t="shared" si="7"/>
        <v>1430</v>
      </c>
      <c r="AC256" s="99">
        <f t="shared" si="8"/>
        <v>8250</v>
      </c>
      <c r="AD256" s="121">
        <f t="shared" si="9"/>
        <v>67353</v>
      </c>
      <c r="AE256" s="99">
        <f t="shared" si="10"/>
        <v>74250</v>
      </c>
      <c r="AF256" s="121">
        <f t="shared" si="11"/>
        <v>673.53</v>
      </c>
      <c r="AG256" s="100">
        <f t="shared" si="28"/>
        <v>11729.470000000001</v>
      </c>
      <c r="AH256" s="101">
        <f t="shared" si="29"/>
        <v>18626.47</v>
      </c>
      <c r="AI256" s="102">
        <f t="shared" ref="AI256:AJ256" si="384">AG256/X256</f>
        <v>0.16404853146853149</v>
      </c>
      <c r="AJ256" s="102">
        <f t="shared" si="384"/>
        <v>0.22577539393939394</v>
      </c>
      <c r="AK256" s="103"/>
      <c r="AL256" s="104"/>
      <c r="AM256" s="17"/>
      <c r="AN256" s="17"/>
      <c r="AO256" s="17"/>
      <c r="AP256" s="17"/>
      <c r="AQ256" s="17"/>
      <c r="AR256" s="17"/>
      <c r="AS256" s="17"/>
      <c r="AT256" s="17"/>
      <c r="AU256" s="17"/>
      <c r="AV256" s="17"/>
      <c r="AW256" s="297"/>
    </row>
    <row r="257" spans="1:49" ht="13.2">
      <c r="A257" s="303">
        <f>HYPERLINK("https://smartstore.naver.com/brickstore2019/products/4650071282",AW:AW)</f>
        <v>4650071282</v>
      </c>
      <c r="B257" s="266"/>
      <c r="C257" s="304" t="s">
        <v>696</v>
      </c>
      <c r="D257" s="117"/>
      <c r="E257" s="304" t="s">
        <v>697</v>
      </c>
      <c r="F257" s="123" t="s">
        <v>698</v>
      </c>
      <c r="G257" s="124" t="str">
        <f>HYPERLINK("https://www.amazon.com/Withings-Move-Activity-Tracking-Watch/dp/B07NMRDKWF/ref=sr_1_12?keywords=withings&amp;qid=1566827116&amp;s=gateway&amp;sr=8-12&amp;th=1","A")</f>
        <v>A</v>
      </c>
      <c r="H257" s="125"/>
      <c r="I257" s="125"/>
      <c r="J257" s="125">
        <v>70</v>
      </c>
      <c r="K257" s="82">
        <f t="shared" ref="K257:K260" si="385">IF(L257&gt;0,L257*0.0625,)</f>
        <v>0.13125000000000001</v>
      </c>
      <c r="L257" s="82">
        <v>2.1</v>
      </c>
      <c r="M257" s="82">
        <f t="shared" si="1"/>
        <v>5.9533950000000002E-2</v>
      </c>
      <c r="N257" s="93">
        <v>0</v>
      </c>
      <c r="O257" s="93">
        <v>0</v>
      </c>
      <c r="P257" s="95">
        <f t="shared" si="2"/>
        <v>70</v>
      </c>
      <c r="Q257" s="96">
        <f t="shared" ref="Q257:Q272" si="386">P257*C$3</f>
        <v>87500</v>
      </c>
      <c r="R257" s="96">
        <v>0</v>
      </c>
      <c r="S257" s="97">
        <f t="shared" si="24"/>
        <v>87500</v>
      </c>
      <c r="T257" s="97">
        <f>ROUNDUP(HLOOKUP(ROUNDUP(K257,0),'배송비 조회'!A$10:U$22,7,0)*C$3,-2)</f>
        <v>9000</v>
      </c>
      <c r="U257" s="97">
        <v>0</v>
      </c>
      <c r="V257" s="97">
        <f t="shared" si="379"/>
        <v>29000</v>
      </c>
      <c r="W257" s="97">
        <f t="shared" si="264"/>
        <v>48300</v>
      </c>
      <c r="X257" s="98">
        <f t="shared" si="345"/>
        <v>125500</v>
      </c>
      <c r="Y257" s="98">
        <f t="shared" si="27"/>
        <v>144800</v>
      </c>
      <c r="Z257" s="121">
        <v>0</v>
      </c>
      <c r="AA257" s="121">
        <f t="shared" si="6"/>
        <v>4769</v>
      </c>
      <c r="AB257" s="121">
        <f t="shared" si="7"/>
        <v>2510</v>
      </c>
      <c r="AC257" s="99">
        <f t="shared" si="8"/>
        <v>14480</v>
      </c>
      <c r="AD257" s="121">
        <f t="shared" si="9"/>
        <v>118221</v>
      </c>
      <c r="AE257" s="99">
        <f t="shared" si="10"/>
        <v>130320</v>
      </c>
      <c r="AF257" s="121">
        <f t="shared" si="11"/>
        <v>1182.21</v>
      </c>
      <c r="AG257" s="100">
        <f t="shared" si="28"/>
        <v>20538.79</v>
      </c>
      <c r="AH257" s="101">
        <f t="shared" si="29"/>
        <v>32637.79</v>
      </c>
      <c r="AI257" s="102">
        <f t="shared" ref="AI257:AJ257" si="387">AG257/X257</f>
        <v>0.16365569721115539</v>
      </c>
      <c r="AJ257" s="102">
        <f t="shared" si="387"/>
        <v>0.22539910220994475</v>
      </c>
      <c r="AK257" s="103"/>
      <c r="AL257" s="104"/>
      <c r="AM257" s="17"/>
      <c r="AN257" s="17"/>
      <c r="AO257" s="17"/>
      <c r="AP257" s="17"/>
      <c r="AQ257" s="17"/>
      <c r="AR257" s="17"/>
      <c r="AS257" s="17"/>
      <c r="AT257" s="17"/>
      <c r="AU257" s="17"/>
      <c r="AV257" s="17"/>
      <c r="AW257" s="296">
        <v>4650071282</v>
      </c>
    </row>
    <row r="258" spans="1:49" ht="13.2">
      <c r="A258" s="302"/>
      <c r="B258" s="266"/>
      <c r="C258" s="302"/>
      <c r="D258" s="117"/>
      <c r="E258" s="302"/>
      <c r="F258" s="123" t="s">
        <v>699</v>
      </c>
      <c r="G258" s="124" t="str">
        <f>HYPERLINK("https://www.amazon.com/Withings-Move-Activity-Tracking-Watch/dp/B07L7168W9/ref=sr_1_12?keywords=withings&amp;qid=1566827116&amp;s=gateway&amp;sr=8-12&amp;th=1","A")</f>
        <v>A</v>
      </c>
      <c r="H258" s="125"/>
      <c r="I258" s="125"/>
      <c r="J258" s="125">
        <v>70</v>
      </c>
      <c r="K258" s="82">
        <f t="shared" si="385"/>
        <v>0.13125000000000001</v>
      </c>
      <c r="L258" s="82">
        <v>2.1</v>
      </c>
      <c r="M258" s="82">
        <f t="shared" si="1"/>
        <v>5.9533950000000002E-2</v>
      </c>
      <c r="N258" s="93">
        <v>0</v>
      </c>
      <c r="O258" s="93">
        <v>0</v>
      </c>
      <c r="P258" s="95">
        <f t="shared" si="2"/>
        <v>70</v>
      </c>
      <c r="Q258" s="96">
        <f t="shared" si="386"/>
        <v>87500</v>
      </c>
      <c r="R258" s="96">
        <v>0</v>
      </c>
      <c r="S258" s="97">
        <f t="shared" si="24"/>
        <v>87500</v>
      </c>
      <c r="T258" s="97">
        <f>ROUNDUP(HLOOKUP(ROUNDUP(K258,0),'배송비 조회'!A$10:U$22,7,0)*C$3,-2)</f>
        <v>9000</v>
      </c>
      <c r="U258" s="97">
        <v>0</v>
      </c>
      <c r="V258" s="97">
        <f t="shared" si="379"/>
        <v>29000</v>
      </c>
      <c r="W258" s="97">
        <f t="shared" si="264"/>
        <v>48300</v>
      </c>
      <c r="X258" s="98">
        <f t="shared" si="345"/>
        <v>125500</v>
      </c>
      <c r="Y258" s="98">
        <f t="shared" si="27"/>
        <v>144800</v>
      </c>
      <c r="Z258" s="121">
        <v>0</v>
      </c>
      <c r="AA258" s="121">
        <f t="shared" si="6"/>
        <v>4769</v>
      </c>
      <c r="AB258" s="121">
        <f t="shared" si="7"/>
        <v>2510</v>
      </c>
      <c r="AC258" s="99">
        <f t="shared" si="8"/>
        <v>14480</v>
      </c>
      <c r="AD258" s="121">
        <f t="shared" si="9"/>
        <v>118221</v>
      </c>
      <c r="AE258" s="99">
        <f t="shared" si="10"/>
        <v>130320</v>
      </c>
      <c r="AF258" s="121">
        <f t="shared" si="11"/>
        <v>1182.21</v>
      </c>
      <c r="AG258" s="100">
        <f t="shared" si="28"/>
        <v>20538.79</v>
      </c>
      <c r="AH258" s="101">
        <f t="shared" si="29"/>
        <v>32637.79</v>
      </c>
      <c r="AI258" s="102">
        <f t="shared" ref="AI258:AJ258" si="388">AG258/X258</f>
        <v>0.16365569721115539</v>
      </c>
      <c r="AJ258" s="102">
        <f t="shared" si="388"/>
        <v>0.22539910220994475</v>
      </c>
      <c r="AK258" s="103"/>
      <c r="AL258" s="104"/>
      <c r="AM258" s="17"/>
      <c r="AN258" s="17"/>
      <c r="AO258" s="17"/>
      <c r="AP258" s="17"/>
      <c r="AQ258" s="17"/>
      <c r="AR258" s="17"/>
      <c r="AS258" s="17"/>
      <c r="AT258" s="17"/>
      <c r="AU258" s="17"/>
      <c r="AV258" s="17"/>
      <c r="AW258" s="297"/>
    </row>
    <row r="259" spans="1:49" ht="13.2">
      <c r="A259" s="302"/>
      <c r="B259" s="266"/>
      <c r="C259" s="302"/>
      <c r="D259" s="117"/>
      <c r="E259" s="302"/>
      <c r="F259" s="123" t="s">
        <v>700</v>
      </c>
      <c r="G259" s="124" t="str">
        <f>HYPERLINK("https://www.amazon.com/Withings-Move-Activity-Tracking-Watch/dp/B07L6ZXXNK/ref=sr_1_12?keywords=withings&amp;qid=1566827116&amp;s=gateway&amp;sr=8-12&amp;th=1","A")</f>
        <v>A</v>
      </c>
      <c r="H259" s="125"/>
      <c r="I259" s="125"/>
      <c r="J259" s="125">
        <v>70</v>
      </c>
      <c r="K259" s="82">
        <f t="shared" si="385"/>
        <v>0.13125000000000001</v>
      </c>
      <c r="L259" s="82">
        <v>2.1</v>
      </c>
      <c r="M259" s="82">
        <f t="shared" si="1"/>
        <v>5.9533950000000002E-2</v>
      </c>
      <c r="N259" s="93">
        <v>0</v>
      </c>
      <c r="O259" s="93">
        <v>0</v>
      </c>
      <c r="P259" s="95">
        <f t="shared" si="2"/>
        <v>70</v>
      </c>
      <c r="Q259" s="96">
        <f t="shared" si="386"/>
        <v>87500</v>
      </c>
      <c r="R259" s="96">
        <v>0</v>
      </c>
      <c r="S259" s="97">
        <f t="shared" si="24"/>
        <v>87500</v>
      </c>
      <c r="T259" s="97">
        <f>ROUNDUP(HLOOKUP(ROUNDUP(K259,0),'배송비 조회'!A$10:U$22,7,0)*C$3,-2)</f>
        <v>9000</v>
      </c>
      <c r="U259" s="97">
        <v>0</v>
      </c>
      <c r="V259" s="97">
        <f t="shared" si="379"/>
        <v>29000</v>
      </c>
      <c r="W259" s="97">
        <f t="shared" si="264"/>
        <v>48300</v>
      </c>
      <c r="X259" s="98">
        <f t="shared" si="345"/>
        <v>125500</v>
      </c>
      <c r="Y259" s="98">
        <f t="shared" si="27"/>
        <v>144800</v>
      </c>
      <c r="Z259" s="121">
        <v>0</v>
      </c>
      <c r="AA259" s="121">
        <f t="shared" si="6"/>
        <v>4769</v>
      </c>
      <c r="AB259" s="121">
        <f t="shared" si="7"/>
        <v>2510</v>
      </c>
      <c r="AC259" s="99">
        <f t="shared" si="8"/>
        <v>14480</v>
      </c>
      <c r="AD259" s="121">
        <f t="shared" si="9"/>
        <v>118221</v>
      </c>
      <c r="AE259" s="99">
        <f t="shared" si="10"/>
        <v>130320</v>
      </c>
      <c r="AF259" s="121">
        <f t="shared" si="11"/>
        <v>1182.21</v>
      </c>
      <c r="AG259" s="100">
        <f t="shared" si="28"/>
        <v>20538.79</v>
      </c>
      <c r="AH259" s="101">
        <f t="shared" si="29"/>
        <v>32637.79</v>
      </c>
      <c r="AI259" s="102">
        <f t="shared" ref="AI259:AJ259" si="389">AG259/X259</f>
        <v>0.16365569721115539</v>
      </c>
      <c r="AJ259" s="102">
        <f t="shared" si="389"/>
        <v>0.22539910220994475</v>
      </c>
      <c r="AK259" s="103"/>
      <c r="AL259" s="104"/>
      <c r="AM259" s="17"/>
      <c r="AN259" s="17"/>
      <c r="AO259" s="17"/>
      <c r="AP259" s="17"/>
      <c r="AQ259" s="17"/>
      <c r="AR259" s="17"/>
      <c r="AS259" s="17"/>
      <c r="AT259" s="17"/>
      <c r="AU259" s="17"/>
      <c r="AV259" s="17"/>
      <c r="AW259" s="297"/>
    </row>
    <row r="260" spans="1:49" ht="13.2">
      <c r="A260" s="302"/>
      <c r="B260" s="266"/>
      <c r="C260" s="302"/>
      <c r="D260" s="117"/>
      <c r="E260" s="302"/>
      <c r="F260" s="123" t="s">
        <v>701</v>
      </c>
      <c r="G260" s="124" t="str">
        <f>HYPERLINK("https://www.amazon.com/Withings-Move-Activity-Tracking-Watch/dp/B07PVKR6QX/ref=sr_1_12?keywords=withings&amp;qid=1566827116&amp;s=gateway&amp;sr=8-12&amp;th=1","A")</f>
        <v>A</v>
      </c>
      <c r="H260" s="125"/>
      <c r="I260" s="125"/>
      <c r="J260" s="125">
        <v>70</v>
      </c>
      <c r="K260" s="82">
        <f t="shared" si="385"/>
        <v>0.13125000000000001</v>
      </c>
      <c r="L260" s="82">
        <v>2.1</v>
      </c>
      <c r="M260" s="82">
        <f t="shared" si="1"/>
        <v>5.9533950000000002E-2</v>
      </c>
      <c r="N260" s="93">
        <v>0</v>
      </c>
      <c r="O260" s="93">
        <v>0</v>
      </c>
      <c r="P260" s="95">
        <f t="shared" si="2"/>
        <v>70</v>
      </c>
      <c r="Q260" s="96">
        <f t="shared" si="386"/>
        <v>87500</v>
      </c>
      <c r="R260" s="96">
        <v>0</v>
      </c>
      <c r="S260" s="97">
        <f t="shared" si="24"/>
        <v>87500</v>
      </c>
      <c r="T260" s="97">
        <f>ROUNDUP(HLOOKUP(ROUNDUP(K260,0),'배송비 조회'!A$10:U$22,7,0)*C$3,-2)</f>
        <v>9000</v>
      </c>
      <c r="U260" s="97">
        <v>0</v>
      </c>
      <c r="V260" s="97">
        <f t="shared" si="379"/>
        <v>29000</v>
      </c>
      <c r="W260" s="97">
        <f t="shared" si="264"/>
        <v>48300</v>
      </c>
      <c r="X260" s="98">
        <f t="shared" si="345"/>
        <v>125500</v>
      </c>
      <c r="Y260" s="98">
        <f t="shared" si="27"/>
        <v>144800</v>
      </c>
      <c r="Z260" s="121">
        <v>0</v>
      </c>
      <c r="AA260" s="121">
        <f t="shared" si="6"/>
        <v>4769</v>
      </c>
      <c r="AB260" s="121">
        <f t="shared" si="7"/>
        <v>2510</v>
      </c>
      <c r="AC260" s="99">
        <f t="shared" si="8"/>
        <v>14480</v>
      </c>
      <c r="AD260" s="121">
        <f t="shared" si="9"/>
        <v>118221</v>
      </c>
      <c r="AE260" s="99">
        <f t="shared" si="10"/>
        <v>130320</v>
      </c>
      <c r="AF260" s="121">
        <f t="shared" si="11"/>
        <v>1182.21</v>
      </c>
      <c r="AG260" s="100">
        <f t="shared" si="28"/>
        <v>20538.79</v>
      </c>
      <c r="AH260" s="101">
        <f t="shared" si="29"/>
        <v>32637.79</v>
      </c>
      <c r="AI260" s="102">
        <f t="shared" ref="AI260:AJ260" si="390">AG260/X260</f>
        <v>0.16365569721115539</v>
      </c>
      <c r="AJ260" s="102">
        <f t="shared" si="390"/>
        <v>0.22539910220994475</v>
      </c>
      <c r="AK260" s="103"/>
      <c r="AL260" s="104"/>
      <c r="AM260" s="17"/>
      <c r="AN260" s="17"/>
      <c r="AO260" s="17"/>
      <c r="AP260" s="17"/>
      <c r="AQ260" s="17"/>
      <c r="AR260" s="17"/>
      <c r="AS260" s="17"/>
      <c r="AT260" s="17"/>
      <c r="AU260" s="17"/>
      <c r="AV260" s="17"/>
      <c r="AW260" s="297"/>
    </row>
    <row r="261" spans="1:49" ht="13.2">
      <c r="A261" s="303">
        <f>HYPERLINK("https://smartstore.naver.com/brickstore2019/products/4651619931",AW:AW)</f>
        <v>4651619931</v>
      </c>
      <c r="B261" s="266"/>
      <c r="C261" s="304" t="s">
        <v>702</v>
      </c>
      <c r="D261" s="117"/>
      <c r="E261" s="304" t="s">
        <v>703</v>
      </c>
      <c r="F261" s="168" t="s">
        <v>704</v>
      </c>
      <c r="G261" s="124" t="str">
        <f>HYPERLINK("https://www.amazon.com/dp/B07SJ8V14C/ref=cm_sw_r_cp_api_i_-G7yDb8EAN774","A")</f>
        <v>A</v>
      </c>
      <c r="H261" s="125"/>
      <c r="I261" s="125"/>
      <c r="J261" s="125">
        <v>40</v>
      </c>
      <c r="K261" s="82">
        <v>1.05</v>
      </c>
      <c r="L261" s="82">
        <f t="shared" ref="L261:L262" si="391">IF(K261&gt;0,K261*16,)</f>
        <v>16.8</v>
      </c>
      <c r="M261" s="82">
        <f t="shared" si="1"/>
        <v>0.47627160000000002</v>
      </c>
      <c r="N261" s="93">
        <v>0</v>
      </c>
      <c r="O261" s="93">
        <v>0</v>
      </c>
      <c r="P261" s="95">
        <f t="shared" si="2"/>
        <v>40</v>
      </c>
      <c r="Q261" s="96">
        <f t="shared" si="386"/>
        <v>50000</v>
      </c>
      <c r="R261" s="96">
        <v>0</v>
      </c>
      <c r="S261" s="97">
        <f t="shared" si="24"/>
        <v>50000</v>
      </c>
      <c r="T261" s="97">
        <f>ROUNDUP(HLOOKUP(ROUNDUP(K261,0),'배송비 조회'!A$10:U$22,7,0)*C$3,-2)</f>
        <v>11200</v>
      </c>
      <c r="U261" s="97">
        <v>0</v>
      </c>
      <c r="V261" s="97">
        <f t="shared" si="379"/>
        <v>18400</v>
      </c>
      <c r="W261" s="97">
        <f t="shared" si="264"/>
        <v>30600</v>
      </c>
      <c r="X261" s="98">
        <f t="shared" si="345"/>
        <v>79600</v>
      </c>
      <c r="Y261" s="98">
        <f t="shared" si="27"/>
        <v>91800</v>
      </c>
      <c r="Z261" s="121">
        <v>0</v>
      </c>
      <c r="AA261" s="121">
        <f t="shared" si="6"/>
        <v>3024.7999999999997</v>
      </c>
      <c r="AB261" s="121">
        <f t="shared" si="7"/>
        <v>1592</v>
      </c>
      <c r="AC261" s="99">
        <f t="shared" si="8"/>
        <v>9180</v>
      </c>
      <c r="AD261" s="121">
        <f t="shared" si="9"/>
        <v>74983.199999999997</v>
      </c>
      <c r="AE261" s="99">
        <f t="shared" si="10"/>
        <v>82620</v>
      </c>
      <c r="AF261" s="121">
        <f t="shared" si="11"/>
        <v>749.83199999999999</v>
      </c>
      <c r="AG261" s="100">
        <f t="shared" si="28"/>
        <v>13033.367999999999</v>
      </c>
      <c r="AH261" s="101">
        <f t="shared" si="29"/>
        <v>20670.168000000001</v>
      </c>
      <c r="AI261" s="102">
        <f t="shared" ref="AI261:AJ261" si="392">AG261/X261</f>
        <v>0.16373577889447236</v>
      </c>
      <c r="AJ261" s="102">
        <f t="shared" si="392"/>
        <v>0.22516522875816994</v>
      </c>
      <c r="AK261" s="103"/>
      <c r="AL261" s="104"/>
      <c r="AM261" s="17"/>
      <c r="AN261" s="17"/>
      <c r="AO261" s="17"/>
      <c r="AP261" s="17"/>
      <c r="AQ261" s="17"/>
      <c r="AR261" s="17"/>
      <c r="AS261" s="17"/>
      <c r="AT261" s="17"/>
      <c r="AU261" s="17"/>
      <c r="AV261" s="17"/>
      <c r="AW261" s="296">
        <v>4651619931</v>
      </c>
    </row>
    <row r="262" spans="1:49" ht="13.2">
      <c r="A262" s="302"/>
      <c r="B262" s="266"/>
      <c r="C262" s="302"/>
      <c r="D262" s="117"/>
      <c r="E262" s="302"/>
      <c r="F262" s="168" t="s">
        <v>705</v>
      </c>
      <c r="G262" s="124" t="str">
        <f>HYPERLINK("https://www.amazon.com/dp/B07SH97KCZ/ref=cm_sw_r_cp_api_i_-G7yDb8EAN774?th=1","A")</f>
        <v>A</v>
      </c>
      <c r="H262" s="125"/>
      <c r="I262" s="125"/>
      <c r="J262" s="125">
        <v>40</v>
      </c>
      <c r="K262" s="82">
        <v>1.05</v>
      </c>
      <c r="L262" s="82">
        <f t="shared" si="391"/>
        <v>16.8</v>
      </c>
      <c r="M262" s="82">
        <f t="shared" si="1"/>
        <v>0.47627160000000002</v>
      </c>
      <c r="N262" s="93">
        <v>0</v>
      </c>
      <c r="O262" s="93">
        <v>0</v>
      </c>
      <c r="P262" s="95">
        <f t="shared" si="2"/>
        <v>40</v>
      </c>
      <c r="Q262" s="96">
        <f t="shared" si="386"/>
        <v>50000</v>
      </c>
      <c r="R262" s="96">
        <v>0</v>
      </c>
      <c r="S262" s="97">
        <f t="shared" si="24"/>
        <v>50000</v>
      </c>
      <c r="T262" s="97">
        <f>ROUNDUP(HLOOKUP(ROUNDUP(K262,0),'배송비 조회'!A$10:U$22,7,0)*C$3,-2)</f>
        <v>11200</v>
      </c>
      <c r="U262" s="97">
        <v>0</v>
      </c>
      <c r="V262" s="97">
        <f t="shared" si="379"/>
        <v>18400</v>
      </c>
      <c r="W262" s="97">
        <f t="shared" si="264"/>
        <v>30600</v>
      </c>
      <c r="X262" s="98">
        <f t="shared" si="345"/>
        <v>79600</v>
      </c>
      <c r="Y262" s="98">
        <f t="shared" si="27"/>
        <v>91800</v>
      </c>
      <c r="Z262" s="121">
        <v>0</v>
      </c>
      <c r="AA262" s="121">
        <f t="shared" si="6"/>
        <v>3024.7999999999997</v>
      </c>
      <c r="AB262" s="121">
        <f t="shared" si="7"/>
        <v>1592</v>
      </c>
      <c r="AC262" s="99">
        <f t="shared" si="8"/>
        <v>9180</v>
      </c>
      <c r="AD262" s="121">
        <f t="shared" si="9"/>
        <v>74983.199999999997</v>
      </c>
      <c r="AE262" s="99">
        <f t="shared" si="10"/>
        <v>82620</v>
      </c>
      <c r="AF262" s="121">
        <f t="shared" si="11"/>
        <v>749.83199999999999</v>
      </c>
      <c r="AG262" s="100">
        <f t="shared" si="28"/>
        <v>13033.367999999999</v>
      </c>
      <c r="AH262" s="101">
        <f t="shared" si="29"/>
        <v>20670.168000000001</v>
      </c>
      <c r="AI262" s="102">
        <f t="shared" ref="AI262:AJ262" si="393">AG262/X262</f>
        <v>0.16373577889447236</v>
      </c>
      <c r="AJ262" s="102">
        <f t="shared" si="393"/>
        <v>0.22516522875816994</v>
      </c>
      <c r="AK262" s="103"/>
      <c r="AL262" s="104"/>
      <c r="AM262" s="17"/>
      <c r="AN262" s="17"/>
      <c r="AO262" s="17"/>
      <c r="AP262" s="17"/>
      <c r="AQ262" s="17"/>
      <c r="AR262" s="17"/>
      <c r="AS262" s="17"/>
      <c r="AT262" s="17"/>
      <c r="AU262" s="17"/>
      <c r="AV262" s="17"/>
      <c r="AW262" s="297"/>
    </row>
    <row r="263" spans="1:49" ht="13.2">
      <c r="A263" s="119">
        <f>HYPERLINK("https://smartstore.naver.com/brickstore2019/products/4651722921",AW:AW)</f>
        <v>4651722921</v>
      </c>
      <c r="B263" s="266"/>
      <c r="C263" s="117" t="s">
        <v>706</v>
      </c>
      <c r="D263" s="117"/>
      <c r="E263" s="117" t="s">
        <v>707</v>
      </c>
      <c r="F263" s="168"/>
      <c r="G263" s="124" t="str">
        <f>HYPERLINK("https://www.amazon.com/Cube-Tracker-Replaceable-Battery-Locator/dp/B07HFMZXR4","A")</f>
        <v>A</v>
      </c>
      <c r="H263" s="125"/>
      <c r="I263" s="125"/>
      <c r="J263" s="125">
        <v>30</v>
      </c>
      <c r="K263" s="82">
        <f t="shared" ref="K263:K265" si="394">IF(L263&gt;0,L263*0.0625,)</f>
        <v>0.03</v>
      </c>
      <c r="L263" s="82">
        <v>0.48</v>
      </c>
      <c r="M263" s="82">
        <f t="shared" si="1"/>
        <v>1.360776E-2</v>
      </c>
      <c r="N263" s="93">
        <v>0</v>
      </c>
      <c r="O263" s="93">
        <v>0</v>
      </c>
      <c r="P263" s="95">
        <f t="shared" si="2"/>
        <v>30</v>
      </c>
      <c r="Q263" s="96">
        <f t="shared" si="386"/>
        <v>37500</v>
      </c>
      <c r="R263" s="96">
        <v>0</v>
      </c>
      <c r="S263" s="97">
        <f t="shared" si="24"/>
        <v>37500</v>
      </c>
      <c r="T263" s="97">
        <f>ROUNDUP(HLOOKUP(ROUNDUP(K263,0),'배송비 조회'!A$10:U$22,7,0)*C$3,-2)</f>
        <v>9000</v>
      </c>
      <c r="U263" s="97">
        <v>0</v>
      </c>
      <c r="V263" s="97">
        <f>ROUND(IF(R263&gt;0,0,(S263+T263)*0.4),-2)</f>
        <v>18600</v>
      </c>
      <c r="W263" s="97">
        <f t="shared" si="264"/>
        <v>23300</v>
      </c>
      <c r="X263" s="98">
        <f t="shared" si="345"/>
        <v>65100</v>
      </c>
      <c r="Y263" s="98">
        <f t="shared" si="27"/>
        <v>69800</v>
      </c>
      <c r="Z263" s="121">
        <v>0</v>
      </c>
      <c r="AA263" s="121">
        <f t="shared" si="6"/>
        <v>2473.7999999999997</v>
      </c>
      <c r="AB263" s="121">
        <f t="shared" si="7"/>
        <v>1302</v>
      </c>
      <c r="AC263" s="99">
        <f t="shared" si="8"/>
        <v>6980</v>
      </c>
      <c r="AD263" s="121">
        <f t="shared" si="9"/>
        <v>61324.2</v>
      </c>
      <c r="AE263" s="99">
        <f t="shared" si="10"/>
        <v>62820</v>
      </c>
      <c r="AF263" s="121">
        <f t="shared" si="11"/>
        <v>613.24199999999996</v>
      </c>
      <c r="AG263" s="100">
        <f t="shared" si="28"/>
        <v>14210.957999999999</v>
      </c>
      <c r="AH263" s="101">
        <f t="shared" si="29"/>
        <v>15706.758000000002</v>
      </c>
      <c r="AI263" s="102">
        <f t="shared" ref="AI263:AJ263" si="395">AG263/X263</f>
        <v>0.21829428571428569</v>
      </c>
      <c r="AJ263" s="102">
        <f t="shared" si="395"/>
        <v>0.22502518624641837</v>
      </c>
      <c r="AK263" s="103"/>
      <c r="AL263" s="104"/>
      <c r="AM263" s="17"/>
      <c r="AN263" s="17"/>
      <c r="AO263" s="17"/>
      <c r="AP263" s="17"/>
      <c r="AQ263" s="17"/>
      <c r="AR263" s="17"/>
      <c r="AS263" s="17"/>
      <c r="AT263" s="17"/>
      <c r="AU263" s="17"/>
      <c r="AV263" s="17"/>
      <c r="AW263" s="22">
        <v>4651722921</v>
      </c>
    </row>
    <row r="264" spans="1:49" ht="13.2">
      <c r="A264" s="303">
        <f>HYPERLINK("https://smartstore.naver.com/brickstore2019/products/4654236262",AW:AW)</f>
        <v>4654236262</v>
      </c>
      <c r="B264" s="266"/>
      <c r="C264" s="304" t="s">
        <v>708</v>
      </c>
      <c r="D264" s="117"/>
      <c r="E264" s="304" t="s">
        <v>709</v>
      </c>
      <c r="F264" s="168" t="s">
        <v>710</v>
      </c>
      <c r="G264" s="124" t="str">
        <f>HYPERLINK("https://www.amazon.com/dp/B07RSH69HC/ref=psdc_490757011_t2_B07CPHBQ6F?th=1","A")</f>
        <v>A</v>
      </c>
      <c r="H264" s="125"/>
      <c r="I264" s="125"/>
      <c r="J264" s="93">
        <v>35</v>
      </c>
      <c r="K264" s="82">
        <f t="shared" si="394"/>
        <v>0.45</v>
      </c>
      <c r="L264" s="82">
        <v>7.2</v>
      </c>
      <c r="M264" s="82">
        <f t="shared" si="1"/>
        <v>0.2041164</v>
      </c>
      <c r="N264" s="93">
        <v>0</v>
      </c>
      <c r="O264" s="93">
        <v>0</v>
      </c>
      <c r="P264" s="95">
        <f t="shared" si="2"/>
        <v>35</v>
      </c>
      <c r="Q264" s="96">
        <f t="shared" si="386"/>
        <v>43750</v>
      </c>
      <c r="R264" s="96">
        <v>0</v>
      </c>
      <c r="S264" s="97">
        <f t="shared" si="24"/>
        <v>43800</v>
      </c>
      <c r="T264" s="97">
        <f>ROUNDUP(HLOOKUP(ROUNDUP(K264,0),'배송비 조회'!A$10:U$22,7,0)*C$3,-2)</f>
        <v>9000</v>
      </c>
      <c r="U264" s="97">
        <v>0</v>
      </c>
      <c r="V264" s="97">
        <f t="shared" ref="V264:V271" si="396">ROUND(IF(R264&gt;0,0,(S264+T264)*0.3),-2)</f>
        <v>15800</v>
      </c>
      <c r="W264" s="97">
        <f t="shared" si="264"/>
        <v>26400</v>
      </c>
      <c r="X264" s="98">
        <f t="shared" si="345"/>
        <v>68600</v>
      </c>
      <c r="Y264" s="98">
        <f t="shared" si="27"/>
        <v>79200</v>
      </c>
      <c r="Z264" s="121">
        <v>0</v>
      </c>
      <c r="AA264" s="121">
        <f t="shared" si="6"/>
        <v>2606.7999999999997</v>
      </c>
      <c r="AB264" s="121">
        <f t="shared" si="7"/>
        <v>1372</v>
      </c>
      <c r="AC264" s="99">
        <f t="shared" si="8"/>
        <v>7920</v>
      </c>
      <c r="AD264" s="121">
        <f t="shared" si="9"/>
        <v>64621.2</v>
      </c>
      <c r="AE264" s="99">
        <f t="shared" si="10"/>
        <v>71280</v>
      </c>
      <c r="AF264" s="121">
        <f t="shared" si="11"/>
        <v>646.21199999999999</v>
      </c>
      <c r="AG264" s="100">
        <f t="shared" si="28"/>
        <v>11224.987999999998</v>
      </c>
      <c r="AH264" s="101">
        <f t="shared" si="29"/>
        <v>17883.788</v>
      </c>
      <c r="AI264" s="102">
        <f t="shared" ref="AI264:AJ264" si="397">AG264/X264</f>
        <v>0.16362956268221571</v>
      </c>
      <c r="AJ264" s="102">
        <f t="shared" si="397"/>
        <v>0.22580540404040406</v>
      </c>
      <c r="AK264" s="103"/>
      <c r="AL264" s="104"/>
      <c r="AM264" s="17"/>
      <c r="AN264" s="17"/>
      <c r="AO264" s="17"/>
      <c r="AP264" s="17"/>
      <c r="AQ264" s="17"/>
      <c r="AR264" s="17"/>
      <c r="AS264" s="17"/>
      <c r="AT264" s="17"/>
      <c r="AU264" s="17"/>
      <c r="AV264" s="17"/>
      <c r="AW264" s="296">
        <v>4654236262</v>
      </c>
    </row>
    <row r="265" spans="1:49" ht="13.2">
      <c r="A265" s="302"/>
      <c r="B265" s="266"/>
      <c r="C265" s="302"/>
      <c r="D265" s="117"/>
      <c r="E265" s="302"/>
      <c r="F265" s="123" t="s">
        <v>711</v>
      </c>
      <c r="G265" s="124" t="str">
        <f>HYPERLINK("https://www.amazon.com/dp/B07RTN4F7D/ref=psdc_490757011_t2_B07CPHBQ6F?th=1","A")</f>
        <v>A</v>
      </c>
      <c r="H265" s="125"/>
      <c r="I265" s="125"/>
      <c r="J265" s="125">
        <v>38</v>
      </c>
      <c r="K265" s="82">
        <f t="shared" si="394"/>
        <v>0.45</v>
      </c>
      <c r="L265" s="82">
        <v>7.2</v>
      </c>
      <c r="M265" s="82">
        <f t="shared" si="1"/>
        <v>0.2041164</v>
      </c>
      <c r="N265" s="93">
        <v>0</v>
      </c>
      <c r="O265" s="93">
        <v>0</v>
      </c>
      <c r="P265" s="95">
        <f t="shared" si="2"/>
        <v>38</v>
      </c>
      <c r="Q265" s="96">
        <f t="shared" si="386"/>
        <v>47500</v>
      </c>
      <c r="R265" s="96">
        <v>0</v>
      </c>
      <c r="S265" s="97">
        <f t="shared" si="24"/>
        <v>47500</v>
      </c>
      <c r="T265" s="97">
        <f>ROUNDUP(HLOOKUP(ROUNDUP(K265,0),'배송비 조회'!A$10:U$22,7,0)*C$3,-2)</f>
        <v>9000</v>
      </c>
      <c r="U265" s="97">
        <v>0</v>
      </c>
      <c r="V265" s="97">
        <f t="shared" si="396"/>
        <v>17000</v>
      </c>
      <c r="W265" s="97">
        <f t="shared" si="264"/>
        <v>28300</v>
      </c>
      <c r="X265" s="98">
        <f t="shared" si="345"/>
        <v>73500</v>
      </c>
      <c r="Y265" s="98">
        <f t="shared" si="27"/>
        <v>84800</v>
      </c>
      <c r="Z265" s="121">
        <v>0</v>
      </c>
      <c r="AA265" s="121">
        <f t="shared" si="6"/>
        <v>2793</v>
      </c>
      <c r="AB265" s="121">
        <f t="shared" si="7"/>
        <v>1470</v>
      </c>
      <c r="AC265" s="99">
        <f t="shared" si="8"/>
        <v>8480</v>
      </c>
      <c r="AD265" s="121">
        <f t="shared" si="9"/>
        <v>69237</v>
      </c>
      <c r="AE265" s="99">
        <f t="shared" si="10"/>
        <v>76320</v>
      </c>
      <c r="AF265" s="121">
        <f t="shared" si="11"/>
        <v>692.37</v>
      </c>
      <c r="AG265" s="100">
        <f t="shared" si="28"/>
        <v>12044.630000000001</v>
      </c>
      <c r="AH265" s="101">
        <f t="shared" si="29"/>
        <v>19127.63</v>
      </c>
      <c r="AI265" s="102">
        <f t="shared" ref="AI265:AJ265" si="398">AG265/X265</f>
        <v>0.16387251700680275</v>
      </c>
      <c r="AJ265" s="102">
        <f t="shared" si="398"/>
        <v>0.22556167452830189</v>
      </c>
      <c r="AK265" s="103">
        <f>X265-X264</f>
        <v>4900</v>
      </c>
      <c r="AL265" s="104"/>
      <c r="AM265" s="17"/>
      <c r="AN265" s="17"/>
      <c r="AO265" s="17"/>
      <c r="AP265" s="17"/>
      <c r="AQ265" s="17"/>
      <c r="AR265" s="17"/>
      <c r="AS265" s="17"/>
      <c r="AT265" s="17"/>
      <c r="AU265" s="17"/>
      <c r="AV265" s="17"/>
      <c r="AW265" s="297"/>
    </row>
    <row r="266" spans="1:49" ht="13.2">
      <c r="A266" s="119">
        <f>HYPERLINK("https://smartstore.naver.com/brickstore2019/products/4655399145",AW:AW)</f>
        <v>4655399145</v>
      </c>
      <c r="B266" s="264"/>
      <c r="C266" s="117" t="s">
        <v>712</v>
      </c>
      <c r="D266" s="117"/>
      <c r="E266" s="117" t="s">
        <v>713</v>
      </c>
      <c r="F266" s="168" t="s">
        <v>714</v>
      </c>
      <c r="G266" s="124" t="str">
        <f>HYPERLINK("https://www.amazon.com/Samsonite-Komni-Small-Backpack-Black/dp/B076VXP36V/ref=sr_1_3?keywords=samsonite%2Bbackpack&amp;qid=1567090957&amp;refinements=p_89%3ASamsonite&amp;rnid=2528832011&amp;s=gateway&amp;sr=8-3&amp;th=1","A")</f>
        <v>A</v>
      </c>
      <c r="H266" s="125"/>
      <c r="I266" s="125"/>
      <c r="J266" s="93">
        <v>82.47</v>
      </c>
      <c r="K266" s="82">
        <v>2.85</v>
      </c>
      <c r="L266" s="82">
        <f t="shared" ref="L266:L271" si="399">IF(K266&gt;0,K266*16,)</f>
        <v>45.6</v>
      </c>
      <c r="M266" s="82">
        <f t="shared" si="1"/>
        <v>1.2927371999999999</v>
      </c>
      <c r="N266" s="93">
        <v>0</v>
      </c>
      <c r="O266" s="93">
        <v>0</v>
      </c>
      <c r="P266" s="95">
        <f t="shared" si="2"/>
        <v>82.47</v>
      </c>
      <c r="Q266" s="96">
        <f t="shared" si="386"/>
        <v>103087.5</v>
      </c>
      <c r="R266" s="96">
        <v>0</v>
      </c>
      <c r="S266" s="97">
        <f t="shared" si="24"/>
        <v>103100</v>
      </c>
      <c r="T266" s="97">
        <f>ROUNDUP(HLOOKUP(ROUNDUP(K266,0),'배송비 조회'!A$10:U$22,7,0)*C$3,-2)</f>
        <v>13400</v>
      </c>
      <c r="U266" s="97">
        <v>0</v>
      </c>
      <c r="V266" s="97">
        <f t="shared" si="396"/>
        <v>35000</v>
      </c>
      <c r="W266" s="97">
        <f t="shared" si="264"/>
        <v>58300</v>
      </c>
      <c r="X266" s="98">
        <f t="shared" si="345"/>
        <v>151500</v>
      </c>
      <c r="Y266" s="98">
        <f t="shared" si="27"/>
        <v>174800</v>
      </c>
      <c r="Z266" s="121">
        <v>0</v>
      </c>
      <c r="AA266" s="121">
        <f t="shared" si="6"/>
        <v>5757</v>
      </c>
      <c r="AB266" s="121">
        <f t="shared" si="7"/>
        <v>3030</v>
      </c>
      <c r="AC266" s="99">
        <f t="shared" si="8"/>
        <v>17480</v>
      </c>
      <c r="AD266" s="121">
        <f t="shared" si="9"/>
        <v>142713</v>
      </c>
      <c r="AE266" s="99">
        <f t="shared" si="10"/>
        <v>157320</v>
      </c>
      <c r="AF266" s="121">
        <f t="shared" si="11"/>
        <v>1427.13</v>
      </c>
      <c r="AG266" s="100">
        <f t="shared" si="28"/>
        <v>24798.370000000003</v>
      </c>
      <c r="AH266" s="101">
        <f t="shared" si="29"/>
        <v>39405.370000000003</v>
      </c>
      <c r="AI266" s="102">
        <f t="shared" ref="AI266:AJ266" si="400">AG266/X266</f>
        <v>0.16368561056105613</v>
      </c>
      <c r="AJ266" s="102">
        <f t="shared" si="400"/>
        <v>0.22543117848970254</v>
      </c>
      <c r="AK266" s="103"/>
      <c r="AL266" s="104"/>
      <c r="AM266" s="17"/>
      <c r="AN266" s="17"/>
      <c r="AO266" s="17"/>
      <c r="AP266" s="17"/>
      <c r="AQ266" s="17"/>
      <c r="AR266" s="17"/>
      <c r="AS266" s="17"/>
      <c r="AT266" s="17"/>
      <c r="AU266" s="17"/>
      <c r="AV266" s="17"/>
      <c r="AW266" s="40">
        <v>4655399145</v>
      </c>
    </row>
    <row r="267" spans="1:49" ht="13.2">
      <c r="A267" s="119">
        <f>HYPERLINK("https://smartstore.naver.com/brickstore2019/products/4655408201",AW:AW)</f>
        <v>4655408201</v>
      </c>
      <c r="B267" s="264"/>
      <c r="C267" s="117" t="s">
        <v>715</v>
      </c>
      <c r="D267" s="117"/>
      <c r="E267" s="117" t="s">
        <v>716</v>
      </c>
      <c r="F267" s="123" t="s">
        <v>717</v>
      </c>
      <c r="G267" s="124" t="str">
        <f>HYPERLINK("https://www.amazon.com/Samsonite-Komni-Small-Backpack-Black/dp/B0765JTG8J/ref=sr_1_3?keywords=samsonite%2Bbackpack&amp;qid=1567090957&amp;refinements=p_89%3ASamsonite&amp;rnid=2528832011&amp;s=gateway&amp;sr=8-3&amp;th=1","A")</f>
        <v>A</v>
      </c>
      <c r="H267" s="125"/>
      <c r="I267" s="125"/>
      <c r="J267" s="125">
        <v>111</v>
      </c>
      <c r="K267" s="82">
        <v>3.55</v>
      </c>
      <c r="L267" s="82">
        <f t="shared" si="399"/>
        <v>56.8</v>
      </c>
      <c r="M267" s="82">
        <f t="shared" si="1"/>
        <v>1.6102516</v>
      </c>
      <c r="N267" s="93">
        <v>0</v>
      </c>
      <c r="O267" s="93">
        <v>0</v>
      </c>
      <c r="P267" s="95">
        <f t="shared" si="2"/>
        <v>111</v>
      </c>
      <c r="Q267" s="96">
        <f t="shared" si="386"/>
        <v>138750</v>
      </c>
      <c r="R267" s="96">
        <v>0</v>
      </c>
      <c r="S267" s="97">
        <f t="shared" si="24"/>
        <v>138800</v>
      </c>
      <c r="T267" s="97">
        <f>ROUNDUP(HLOOKUP(ROUNDUP(K267,0),'배송비 조회'!A$10:U$22,7,0)*C$3,-2)</f>
        <v>15600</v>
      </c>
      <c r="U267" s="97">
        <v>0</v>
      </c>
      <c r="V267" s="97">
        <f t="shared" si="396"/>
        <v>46300</v>
      </c>
      <c r="W267" s="97">
        <f t="shared" si="264"/>
        <v>77200</v>
      </c>
      <c r="X267" s="98">
        <f t="shared" si="345"/>
        <v>200700</v>
      </c>
      <c r="Y267" s="98">
        <f t="shared" si="27"/>
        <v>231600</v>
      </c>
      <c r="Z267" s="121">
        <v>0</v>
      </c>
      <c r="AA267" s="121">
        <f t="shared" si="6"/>
        <v>7626.5999999999995</v>
      </c>
      <c r="AB267" s="121">
        <f t="shared" si="7"/>
        <v>4014</v>
      </c>
      <c r="AC267" s="99">
        <f t="shared" si="8"/>
        <v>23160</v>
      </c>
      <c r="AD267" s="121">
        <f t="shared" si="9"/>
        <v>189059.4</v>
      </c>
      <c r="AE267" s="99">
        <f t="shared" si="10"/>
        <v>208440</v>
      </c>
      <c r="AF267" s="121">
        <f t="shared" si="11"/>
        <v>1890.5940000000001</v>
      </c>
      <c r="AG267" s="100">
        <f t="shared" si="28"/>
        <v>32818.805999999997</v>
      </c>
      <c r="AH267" s="101">
        <f t="shared" si="29"/>
        <v>52199.406000000003</v>
      </c>
      <c r="AI267" s="102">
        <f t="shared" ref="AI267:AJ267" si="401">AG267/X267</f>
        <v>0.16352170403587443</v>
      </c>
      <c r="AJ267" s="102">
        <f t="shared" si="401"/>
        <v>0.22538603626943007</v>
      </c>
      <c r="AK267" s="103"/>
      <c r="AL267" s="104"/>
      <c r="AM267" s="17"/>
      <c r="AN267" s="17"/>
      <c r="AO267" s="17"/>
      <c r="AP267" s="17"/>
      <c r="AQ267" s="17"/>
      <c r="AR267" s="17"/>
      <c r="AS267" s="17"/>
      <c r="AT267" s="17"/>
      <c r="AU267" s="17"/>
      <c r="AV267" s="17"/>
      <c r="AW267" s="40">
        <v>4655408201</v>
      </c>
    </row>
    <row r="268" spans="1:49" ht="13.2">
      <c r="A268" s="119">
        <f>HYPERLINK("https://smartstore.naver.com/brickstore2019/products/4655412506",AW:AW)</f>
        <v>4655412506</v>
      </c>
      <c r="B268" s="264"/>
      <c r="C268" s="117" t="s">
        <v>718</v>
      </c>
      <c r="D268" s="117"/>
      <c r="E268" s="117" t="s">
        <v>719</v>
      </c>
      <c r="F268" s="123" t="s">
        <v>720</v>
      </c>
      <c r="G268" s="124" t="str">
        <f>HYPERLINK("https://www.amazon.com/Samsonite-Komni-Small-Backpack-Black/dp/B0765JCL3V/ref=sr_1_3?keywords=samsonite%2Bbackpack&amp;qid=1567090957&amp;refinements=p_89%3ASamsonite&amp;rnid=2528832011&amp;s=gateway&amp;sr=8-3&amp;th=1","A")</f>
        <v>A</v>
      </c>
      <c r="H268" s="125"/>
      <c r="I268" s="125"/>
      <c r="J268" s="125">
        <v>80</v>
      </c>
      <c r="K268" s="82">
        <v>2.15</v>
      </c>
      <c r="L268" s="82">
        <f t="shared" si="399"/>
        <v>34.4</v>
      </c>
      <c r="M268" s="82">
        <f t="shared" si="1"/>
        <v>0.97522279999999995</v>
      </c>
      <c r="N268" s="93">
        <v>0</v>
      </c>
      <c r="O268" s="93">
        <v>0</v>
      </c>
      <c r="P268" s="95">
        <f t="shared" si="2"/>
        <v>80</v>
      </c>
      <c r="Q268" s="96">
        <f t="shared" si="386"/>
        <v>100000</v>
      </c>
      <c r="R268" s="96">
        <v>0</v>
      </c>
      <c r="S268" s="97">
        <f t="shared" si="24"/>
        <v>100000</v>
      </c>
      <c r="T268" s="97">
        <f>ROUNDUP(HLOOKUP(ROUNDUP(K268,0),'배송비 조회'!A$10:U$22,7,0)*C$3,-2)</f>
        <v>13400</v>
      </c>
      <c r="U268" s="97">
        <v>0</v>
      </c>
      <c r="V268" s="97">
        <f t="shared" si="396"/>
        <v>34000</v>
      </c>
      <c r="W268" s="97">
        <f t="shared" si="264"/>
        <v>56700</v>
      </c>
      <c r="X268" s="98">
        <f t="shared" si="345"/>
        <v>147400</v>
      </c>
      <c r="Y268" s="98">
        <f t="shared" si="27"/>
        <v>170100</v>
      </c>
      <c r="Z268" s="121">
        <v>0</v>
      </c>
      <c r="AA268" s="121">
        <f t="shared" si="6"/>
        <v>5601.2</v>
      </c>
      <c r="AB268" s="121">
        <f t="shared" si="7"/>
        <v>2948</v>
      </c>
      <c r="AC268" s="99">
        <f t="shared" si="8"/>
        <v>17010</v>
      </c>
      <c r="AD268" s="121">
        <f t="shared" si="9"/>
        <v>138850.79999999999</v>
      </c>
      <c r="AE268" s="99">
        <f t="shared" si="10"/>
        <v>153090</v>
      </c>
      <c r="AF268" s="121">
        <f t="shared" si="11"/>
        <v>1388.5079999999998</v>
      </c>
      <c r="AG268" s="100">
        <f t="shared" si="28"/>
        <v>24062.291999999987</v>
      </c>
      <c r="AH268" s="101">
        <f t="shared" si="29"/>
        <v>38301.491999999998</v>
      </c>
      <c r="AI268" s="102">
        <f t="shared" ref="AI268:AJ268" si="402">AG268/X268</f>
        <v>0.16324485753052909</v>
      </c>
      <c r="AJ268" s="102">
        <f t="shared" si="402"/>
        <v>0.22517044091710758</v>
      </c>
      <c r="AK268" s="103"/>
      <c r="AL268" s="104"/>
      <c r="AM268" s="17"/>
      <c r="AN268" s="17"/>
      <c r="AO268" s="17"/>
      <c r="AP268" s="17"/>
      <c r="AQ268" s="17"/>
      <c r="AR268" s="17"/>
      <c r="AS268" s="17"/>
      <c r="AT268" s="17"/>
      <c r="AU268" s="17"/>
      <c r="AV268" s="17"/>
      <c r="AW268" s="40">
        <v>4655412506</v>
      </c>
    </row>
    <row r="269" spans="1:49" ht="13.2">
      <c r="A269" s="303">
        <f>HYPERLINK("https://smartstore.naver.com/brickstore2019/products/4655455382",AW:AW)</f>
        <v>4655455382</v>
      </c>
      <c r="B269" s="266"/>
      <c r="C269" s="304" t="s">
        <v>721</v>
      </c>
      <c r="D269" s="117"/>
      <c r="E269" s="304" t="s">
        <v>722</v>
      </c>
      <c r="F269" s="123" t="s">
        <v>723</v>
      </c>
      <c r="G269" s="281" t="s">
        <v>1293</v>
      </c>
      <c r="H269" s="125"/>
      <c r="I269" s="125"/>
      <c r="J269" s="125">
        <v>99</v>
      </c>
      <c r="K269" s="82">
        <v>1.32</v>
      </c>
      <c r="L269" s="82">
        <f t="shared" si="399"/>
        <v>21.12</v>
      </c>
      <c r="M269" s="82">
        <f t="shared" si="1"/>
        <v>0.59874144000000007</v>
      </c>
      <c r="N269" s="93">
        <v>0</v>
      </c>
      <c r="O269" s="93">
        <v>0</v>
      </c>
      <c r="P269" s="95">
        <f t="shared" si="2"/>
        <v>99</v>
      </c>
      <c r="Q269" s="96">
        <f t="shared" si="386"/>
        <v>123750</v>
      </c>
      <c r="R269" s="96">
        <v>0</v>
      </c>
      <c r="S269" s="97">
        <f t="shared" si="24"/>
        <v>123800</v>
      </c>
      <c r="T269" s="97">
        <f>ROUNDUP(HLOOKUP(ROUNDUP(K269,0),'배송비 조회'!A$10:U$22,7,0)*C$3,-2)</f>
        <v>11200</v>
      </c>
      <c r="U269" s="97">
        <v>0</v>
      </c>
      <c r="V269" s="97">
        <f t="shared" si="396"/>
        <v>40500</v>
      </c>
      <c r="W269" s="97">
        <f t="shared" si="264"/>
        <v>67500</v>
      </c>
      <c r="X269" s="98">
        <f t="shared" si="345"/>
        <v>175500</v>
      </c>
      <c r="Y269" s="98">
        <f t="shared" si="27"/>
        <v>202500</v>
      </c>
      <c r="Z269" s="121">
        <v>0</v>
      </c>
      <c r="AA269" s="121">
        <f t="shared" si="6"/>
        <v>6669</v>
      </c>
      <c r="AB269" s="121">
        <f t="shared" si="7"/>
        <v>3510</v>
      </c>
      <c r="AC269" s="99">
        <f t="shared" si="8"/>
        <v>20250</v>
      </c>
      <c r="AD269" s="121">
        <f t="shared" si="9"/>
        <v>165321</v>
      </c>
      <c r="AE269" s="99">
        <f t="shared" si="10"/>
        <v>182250</v>
      </c>
      <c r="AF269" s="121">
        <f t="shared" si="11"/>
        <v>1653.21</v>
      </c>
      <c r="AG269" s="100">
        <f t="shared" si="28"/>
        <v>28717.79</v>
      </c>
      <c r="AH269" s="101">
        <f t="shared" si="29"/>
        <v>45646.79</v>
      </c>
      <c r="AI269" s="102">
        <f t="shared" ref="AI269:AJ269" si="403">AG269/X269</f>
        <v>0.16363413105413105</v>
      </c>
      <c r="AJ269" s="102">
        <f t="shared" si="403"/>
        <v>0.22541624691358025</v>
      </c>
      <c r="AK269" s="103"/>
      <c r="AL269" s="104"/>
      <c r="AM269" s="17"/>
      <c r="AN269" s="17"/>
      <c r="AO269" s="17"/>
      <c r="AP269" s="17"/>
      <c r="AQ269" s="17"/>
      <c r="AR269" s="17"/>
      <c r="AS269" s="17"/>
      <c r="AT269" s="17"/>
      <c r="AU269" s="17"/>
      <c r="AV269" s="17"/>
      <c r="AW269" s="296">
        <v>4655455382</v>
      </c>
    </row>
    <row r="270" spans="1:49" ht="13.2">
      <c r="A270" s="302"/>
      <c r="B270" s="266"/>
      <c r="C270" s="302"/>
      <c r="D270" s="117"/>
      <c r="E270" s="302"/>
      <c r="F270" s="123" t="s">
        <v>724</v>
      </c>
      <c r="G270" s="157" t="str">
        <f>HYPERLINK("https://www.amazon.com/dp/B07NJRSGFH/ref=twister_B07VZKJQCY?_encoding=UTF8&amp;psc=1","A")</f>
        <v>A</v>
      </c>
      <c r="H270" s="125"/>
      <c r="I270" s="125"/>
      <c r="J270" s="125">
        <v>99</v>
      </c>
      <c r="K270" s="82">
        <v>1.32</v>
      </c>
      <c r="L270" s="82">
        <f t="shared" si="399"/>
        <v>21.12</v>
      </c>
      <c r="M270" s="82">
        <f t="shared" si="1"/>
        <v>0.59874144000000007</v>
      </c>
      <c r="N270" s="93">
        <v>0</v>
      </c>
      <c r="O270" s="93">
        <v>0</v>
      </c>
      <c r="P270" s="95">
        <f t="shared" si="2"/>
        <v>99</v>
      </c>
      <c r="Q270" s="96">
        <f t="shared" si="386"/>
        <v>123750</v>
      </c>
      <c r="R270" s="96">
        <v>0</v>
      </c>
      <c r="S270" s="97">
        <f t="shared" si="24"/>
        <v>123800</v>
      </c>
      <c r="T270" s="97">
        <f>ROUNDUP(HLOOKUP(ROUNDUP(K270,0),'배송비 조회'!A$10:U$22,7,0)*C$3,-2)</f>
        <v>11200</v>
      </c>
      <c r="U270" s="97">
        <v>0</v>
      </c>
      <c r="V270" s="97">
        <f t="shared" si="396"/>
        <v>40500</v>
      </c>
      <c r="W270" s="97">
        <f t="shared" si="264"/>
        <v>67500</v>
      </c>
      <c r="X270" s="98">
        <f t="shared" si="345"/>
        <v>175500</v>
      </c>
      <c r="Y270" s="98">
        <f t="shared" si="27"/>
        <v>202500</v>
      </c>
      <c r="Z270" s="121">
        <v>0</v>
      </c>
      <c r="AA270" s="121">
        <f t="shared" si="6"/>
        <v>6669</v>
      </c>
      <c r="AB270" s="121">
        <f t="shared" si="7"/>
        <v>3510</v>
      </c>
      <c r="AC270" s="99">
        <f t="shared" si="8"/>
        <v>20250</v>
      </c>
      <c r="AD270" s="121">
        <f t="shared" si="9"/>
        <v>165321</v>
      </c>
      <c r="AE270" s="99">
        <f t="shared" si="10"/>
        <v>182250</v>
      </c>
      <c r="AF270" s="121">
        <f t="shared" si="11"/>
        <v>1653.21</v>
      </c>
      <c r="AG270" s="100">
        <f t="shared" si="28"/>
        <v>28717.79</v>
      </c>
      <c r="AH270" s="101">
        <f t="shared" si="29"/>
        <v>45646.79</v>
      </c>
      <c r="AI270" s="102">
        <f t="shared" ref="AI270:AJ270" si="404">AG270/X270</f>
        <v>0.16363413105413105</v>
      </c>
      <c r="AJ270" s="102">
        <f t="shared" si="404"/>
        <v>0.22541624691358025</v>
      </c>
      <c r="AK270" s="103"/>
      <c r="AL270" s="104"/>
      <c r="AM270" s="17"/>
      <c r="AN270" s="17"/>
      <c r="AO270" s="17"/>
      <c r="AP270" s="17"/>
      <c r="AQ270" s="17"/>
      <c r="AR270" s="17"/>
      <c r="AS270" s="17"/>
      <c r="AT270" s="17"/>
      <c r="AU270" s="17"/>
      <c r="AV270" s="17"/>
      <c r="AW270" s="297"/>
    </row>
    <row r="271" spans="1:49" ht="13.2">
      <c r="A271" s="303">
        <f>HYPERLINK("https://smartstore.naver.com/brickstore2019/products/4659021818",AW:AW)</f>
        <v>4659021818</v>
      </c>
      <c r="B271" s="266"/>
      <c r="C271" s="117" t="s">
        <v>725</v>
      </c>
      <c r="D271" s="117"/>
      <c r="E271" s="117" t="s">
        <v>726</v>
      </c>
      <c r="F271" s="123" t="s">
        <v>55</v>
      </c>
      <c r="G271" s="124" t="str">
        <f>HYPERLINK("https://www.amazon.com/Harman-Kardon-Wireless-Bluetooth-Speaker/dp/B074P79X9C/ref=cm_cr_arp_d_product_top?ie=UTF8&amp;th=1","A")</f>
        <v>A</v>
      </c>
      <c r="H271" s="125"/>
      <c r="I271" s="125"/>
      <c r="J271" s="125">
        <v>120</v>
      </c>
      <c r="K271" s="82">
        <v>7.2</v>
      </c>
      <c r="L271" s="82">
        <f t="shared" si="399"/>
        <v>115.2</v>
      </c>
      <c r="M271" s="82">
        <f t="shared" si="1"/>
        <v>3.2658624000000001</v>
      </c>
      <c r="N271" s="93">
        <v>0</v>
      </c>
      <c r="O271" s="93">
        <v>0</v>
      </c>
      <c r="P271" s="95">
        <f t="shared" si="2"/>
        <v>120</v>
      </c>
      <c r="Q271" s="96">
        <f t="shared" si="386"/>
        <v>150000</v>
      </c>
      <c r="R271" s="96">
        <v>0</v>
      </c>
      <c r="S271" s="97">
        <f t="shared" si="24"/>
        <v>150000</v>
      </c>
      <c r="T271" s="97">
        <f>ROUNDUP(HLOOKUP(ROUNDUP(K271,0),'배송비 조회'!A$10:U$22,7,0)*C$3,-2)</f>
        <v>24400</v>
      </c>
      <c r="U271" s="97">
        <v>0</v>
      </c>
      <c r="V271" s="97">
        <f t="shared" si="396"/>
        <v>52300</v>
      </c>
      <c r="W271" s="97">
        <f t="shared" si="264"/>
        <v>87200</v>
      </c>
      <c r="X271" s="98">
        <f t="shared" si="345"/>
        <v>226700</v>
      </c>
      <c r="Y271" s="98">
        <f t="shared" si="27"/>
        <v>261600</v>
      </c>
      <c r="Z271" s="121">
        <v>0</v>
      </c>
      <c r="AA271" s="121">
        <f t="shared" si="6"/>
        <v>8614.6</v>
      </c>
      <c r="AB271" s="121">
        <f t="shared" si="7"/>
        <v>4534</v>
      </c>
      <c r="AC271" s="99">
        <f t="shared" si="8"/>
        <v>26160</v>
      </c>
      <c r="AD271" s="121">
        <f t="shared" si="9"/>
        <v>213551.4</v>
      </c>
      <c r="AE271" s="99">
        <f t="shared" si="10"/>
        <v>235440</v>
      </c>
      <c r="AF271" s="121">
        <f t="shared" si="11"/>
        <v>2135.5140000000001</v>
      </c>
      <c r="AG271" s="100">
        <f t="shared" si="28"/>
        <v>37015.885999999991</v>
      </c>
      <c r="AH271" s="101">
        <f t="shared" si="29"/>
        <v>58904.486000000004</v>
      </c>
      <c r="AI271" s="102">
        <f t="shared" ref="AI271:AJ271" si="405">AG271/X271</f>
        <v>0.1632813674459638</v>
      </c>
      <c r="AJ271" s="102">
        <f t="shared" si="405"/>
        <v>0.2251700535168196</v>
      </c>
      <c r="AK271" s="103"/>
      <c r="AL271" s="104"/>
      <c r="AM271" s="17"/>
      <c r="AN271" s="17"/>
      <c r="AO271" s="17"/>
      <c r="AP271" s="17"/>
      <c r="AQ271" s="17"/>
      <c r="AR271" s="17"/>
      <c r="AS271" s="17"/>
      <c r="AT271" s="17"/>
      <c r="AU271" s="17"/>
      <c r="AV271" s="17"/>
      <c r="AW271" s="296">
        <v>4659021818</v>
      </c>
    </row>
    <row r="272" spans="1:49" ht="13.2">
      <c r="A272" s="302"/>
      <c r="B272" s="266"/>
      <c r="C272" s="117" t="s">
        <v>727</v>
      </c>
      <c r="D272" s="117"/>
      <c r="E272" s="117" t="s">
        <v>728</v>
      </c>
      <c r="F272" s="123"/>
      <c r="G272" s="218" t="s">
        <v>1293</v>
      </c>
      <c r="H272" s="125"/>
      <c r="I272" s="125"/>
      <c r="J272" s="125">
        <v>19</v>
      </c>
      <c r="K272" s="82">
        <f>IF(L272&gt;0,L272*0.0625,)</f>
        <v>0.96875</v>
      </c>
      <c r="L272" s="82">
        <v>15.5</v>
      </c>
      <c r="M272" s="82">
        <f t="shared" si="1"/>
        <v>0.43941724999999998</v>
      </c>
      <c r="N272" s="93">
        <v>0</v>
      </c>
      <c r="O272" s="93">
        <v>0</v>
      </c>
      <c r="P272" s="95">
        <f t="shared" si="2"/>
        <v>19</v>
      </c>
      <c r="Q272" s="96">
        <f t="shared" si="386"/>
        <v>23750</v>
      </c>
      <c r="R272" s="96">
        <v>0</v>
      </c>
      <c r="S272" s="97">
        <f t="shared" si="24"/>
        <v>23800</v>
      </c>
      <c r="T272" s="97"/>
      <c r="U272" s="97">
        <v>0</v>
      </c>
      <c r="V272" s="97">
        <f>ROUND(IF(R272&gt;0,0,(S272+T272)*0.6),-2)</f>
        <v>14300</v>
      </c>
      <c r="W272" s="97">
        <f t="shared" si="264"/>
        <v>11900</v>
      </c>
      <c r="X272" s="98">
        <f t="shared" si="345"/>
        <v>38100</v>
      </c>
      <c r="Y272" s="98">
        <f t="shared" si="27"/>
        <v>35700</v>
      </c>
      <c r="Z272" s="121">
        <v>0</v>
      </c>
      <c r="AA272" s="121">
        <f t="shared" si="6"/>
        <v>1447.8</v>
      </c>
      <c r="AB272" s="121">
        <f t="shared" si="7"/>
        <v>762</v>
      </c>
      <c r="AC272" s="99">
        <f t="shared" si="8"/>
        <v>3570</v>
      </c>
      <c r="AD272" s="121">
        <f t="shared" si="9"/>
        <v>35890.199999999997</v>
      </c>
      <c r="AE272" s="99">
        <f t="shared" si="10"/>
        <v>32130</v>
      </c>
      <c r="AF272" s="121">
        <f t="shared" si="11"/>
        <v>358.90199999999999</v>
      </c>
      <c r="AG272" s="100">
        <f t="shared" si="28"/>
        <v>11781.297999999997</v>
      </c>
      <c r="AH272" s="101">
        <f t="shared" si="29"/>
        <v>8021.098</v>
      </c>
      <c r="AI272" s="102">
        <f t="shared" ref="AI272:AJ272" si="406">AG272/X272</f>
        <v>0.30922041994750649</v>
      </c>
      <c r="AJ272" s="102">
        <f t="shared" si="406"/>
        <v>0.2246806162464986</v>
      </c>
      <c r="AK272" s="103"/>
      <c r="AL272" s="104"/>
      <c r="AM272" s="17"/>
      <c r="AN272" s="17"/>
      <c r="AO272" s="17"/>
      <c r="AP272" s="17"/>
      <c r="AQ272" s="17"/>
      <c r="AR272" s="17"/>
      <c r="AS272" s="17"/>
      <c r="AT272" s="17"/>
      <c r="AU272" s="17"/>
      <c r="AV272" s="17"/>
      <c r="AW272" s="297"/>
    </row>
    <row r="273" spans="1:49" ht="13.2">
      <c r="A273" s="138"/>
      <c r="B273" s="266"/>
      <c r="C273" s="139"/>
      <c r="D273" s="139"/>
      <c r="E273" s="139"/>
      <c r="F273" s="141"/>
      <c r="G273" s="146"/>
      <c r="H273" s="125" t="s">
        <v>729</v>
      </c>
      <c r="I273" s="125"/>
      <c r="J273" s="125">
        <f>J271+J272</f>
        <v>139</v>
      </c>
      <c r="K273" s="82">
        <f t="shared" ref="K273:M273" si="407">K272+K271</f>
        <v>8.1687499999999993</v>
      </c>
      <c r="L273" s="82">
        <f t="shared" si="407"/>
        <v>130.69999999999999</v>
      </c>
      <c r="M273" s="82">
        <f t="shared" si="407"/>
        <v>3.70527965</v>
      </c>
      <c r="N273" s="93">
        <v>0</v>
      </c>
      <c r="O273" s="93">
        <v>0</v>
      </c>
      <c r="P273" s="95">
        <f t="shared" si="2"/>
        <v>139</v>
      </c>
      <c r="Q273" s="96">
        <f>Q272+Q271</f>
        <v>173750</v>
      </c>
      <c r="R273" s="96">
        <v>0</v>
      </c>
      <c r="S273" s="97">
        <f t="shared" ref="S273:T273" si="408">S272+S271</f>
        <v>173800</v>
      </c>
      <c r="T273" s="97">
        <f t="shared" si="408"/>
        <v>24400</v>
      </c>
      <c r="U273" s="97">
        <v>0</v>
      </c>
      <c r="V273" s="97">
        <f t="shared" ref="V273:V276" si="409">ROUND(IF(R273&gt;0,0,(S273+T273)*0.3),-2)</f>
        <v>59500</v>
      </c>
      <c r="W273" s="97">
        <f t="shared" si="264"/>
        <v>99100</v>
      </c>
      <c r="X273" s="98">
        <f t="shared" si="345"/>
        <v>257700</v>
      </c>
      <c r="Y273" s="98">
        <f t="shared" si="27"/>
        <v>297300</v>
      </c>
      <c r="Z273" s="121">
        <v>0</v>
      </c>
      <c r="AA273" s="121">
        <f t="shared" si="6"/>
        <v>9792.6</v>
      </c>
      <c r="AB273" s="121">
        <f t="shared" si="7"/>
        <v>5154</v>
      </c>
      <c r="AC273" s="99">
        <f t="shared" si="8"/>
        <v>29730</v>
      </c>
      <c r="AD273" s="121">
        <f t="shared" si="9"/>
        <v>242753.4</v>
      </c>
      <c r="AE273" s="99">
        <f t="shared" si="10"/>
        <v>267570</v>
      </c>
      <c r="AF273" s="121">
        <f t="shared" si="11"/>
        <v>2427.5340000000001</v>
      </c>
      <c r="AG273" s="100">
        <f t="shared" si="28"/>
        <v>42175.865999999995</v>
      </c>
      <c r="AH273" s="101">
        <f t="shared" si="29"/>
        <v>66992.466</v>
      </c>
      <c r="AI273" s="102">
        <f t="shared" ref="AI273:AJ273" si="410">AG273/X273</f>
        <v>0.16366265424912688</v>
      </c>
      <c r="AJ273" s="102">
        <f t="shared" si="410"/>
        <v>0.2253362462159435</v>
      </c>
      <c r="AK273" s="103"/>
      <c r="AL273" s="104"/>
      <c r="AM273" s="17"/>
      <c r="AN273" s="17"/>
      <c r="AO273" s="17"/>
      <c r="AP273" s="17"/>
      <c r="AQ273" s="17"/>
      <c r="AR273" s="17"/>
      <c r="AS273" s="17"/>
      <c r="AT273" s="17"/>
      <c r="AU273" s="17"/>
      <c r="AV273" s="17"/>
      <c r="AW273" s="297"/>
    </row>
    <row r="274" spans="1:49" ht="13.2">
      <c r="A274" s="184">
        <f>HYPERLINK("https://smartstore.naver.com/brickstore2019/products/4660567882",AW:AW)</f>
        <v>4660567882</v>
      </c>
      <c r="B274" s="274"/>
      <c r="C274" s="185" t="s">
        <v>730</v>
      </c>
      <c r="D274" s="185"/>
      <c r="E274" s="117" t="s">
        <v>731</v>
      </c>
      <c r="F274" s="123" t="s">
        <v>55</v>
      </c>
      <c r="G274" s="124" t="str">
        <f>HYPERLINK("https://www.amazon.com/Logitech-Ultra-Portable-Stand-Alone-COMPATIBLE-920-006701/dp/B00R0I71S4/ref=sr_1_1?keywords=keys+to+go&amp;qid=1570716028&amp;sr=8-1","A")</f>
        <v>A</v>
      </c>
      <c r="H274" s="125"/>
      <c r="I274" s="125"/>
      <c r="J274" s="93">
        <v>57</v>
      </c>
      <c r="K274" s="82">
        <f t="shared" ref="K274:K277" si="411">IF(L274&gt;0,L274*0.0625,)</f>
        <v>0.83750000000000002</v>
      </c>
      <c r="L274" s="82">
        <v>13.4</v>
      </c>
      <c r="M274" s="82">
        <f t="shared" ref="M274:M332" si="412">IF(K274&gt;0,K274*0.453592,IF(L274&gt;0,L274*0.02835,))</f>
        <v>0.37988329999999998</v>
      </c>
      <c r="N274" s="93">
        <v>0</v>
      </c>
      <c r="O274" s="93">
        <v>0</v>
      </c>
      <c r="P274" s="95">
        <f t="shared" si="2"/>
        <v>57</v>
      </c>
      <c r="Q274" s="96">
        <f t="shared" ref="Q274:Q305" si="413">P274*C$3</f>
        <v>71250</v>
      </c>
      <c r="R274" s="96">
        <v>0</v>
      </c>
      <c r="S274" s="97">
        <f t="shared" ref="S274:S332" si="414">ROUND(SUM(Q274:R274), -2)</f>
        <v>71300</v>
      </c>
      <c r="T274" s="97">
        <f>ROUNDUP(HLOOKUP(ROUNDUP(K274,0),'배송비 조회'!A$10:U$22,7,0)*C$3,-2)</f>
        <v>9000</v>
      </c>
      <c r="U274" s="97">
        <v>0</v>
      </c>
      <c r="V274" s="97">
        <f t="shared" si="409"/>
        <v>24100</v>
      </c>
      <c r="W274" s="97">
        <f t="shared" si="264"/>
        <v>40200</v>
      </c>
      <c r="X274" s="98">
        <f t="shared" si="345"/>
        <v>104400</v>
      </c>
      <c r="Y274" s="98">
        <f t="shared" si="27"/>
        <v>120500</v>
      </c>
      <c r="Z274" s="121">
        <v>0</v>
      </c>
      <c r="AA274" s="121">
        <f t="shared" si="6"/>
        <v>3967.2</v>
      </c>
      <c r="AB274" s="121">
        <f t="shared" si="7"/>
        <v>2088</v>
      </c>
      <c r="AC274" s="99">
        <f t="shared" si="8"/>
        <v>12050</v>
      </c>
      <c r="AD274" s="121">
        <f t="shared" si="9"/>
        <v>98344.8</v>
      </c>
      <c r="AE274" s="99">
        <f t="shared" si="10"/>
        <v>108450</v>
      </c>
      <c r="AF274" s="121">
        <f t="shared" si="11"/>
        <v>983.44800000000009</v>
      </c>
      <c r="AG274" s="100">
        <f t="shared" si="28"/>
        <v>17111.352000000003</v>
      </c>
      <c r="AH274" s="101">
        <f t="shared" si="29"/>
        <v>27216.552000000003</v>
      </c>
      <c r="AI274" s="102">
        <f t="shared" ref="AI274:AJ274" si="415">AG274/X274</f>
        <v>0.1639018390804598</v>
      </c>
      <c r="AJ274" s="102">
        <f t="shared" si="415"/>
        <v>0.22586350207468883</v>
      </c>
      <c r="AK274" s="118" t="s">
        <v>732</v>
      </c>
      <c r="AL274" s="104"/>
      <c r="AM274" s="17"/>
      <c r="AN274" s="17"/>
      <c r="AO274" s="17"/>
      <c r="AP274" s="17"/>
      <c r="AQ274" s="17"/>
      <c r="AR274" s="17"/>
      <c r="AS274" s="17"/>
      <c r="AT274" s="17"/>
      <c r="AU274" s="17"/>
      <c r="AV274" s="17"/>
      <c r="AW274" s="22">
        <v>4660567882</v>
      </c>
    </row>
    <row r="275" spans="1:49" ht="13.2">
      <c r="A275" s="353">
        <f>HYPERLINK("https://smartstore.naver.com/brickstore2019/products/4658960999",AW:AW)</f>
        <v>4658960999</v>
      </c>
      <c r="B275" s="354" t="str">
        <f>HYPERLINK("https://www.coupang.com/vp/products/330199708?vendorItemId=5527113486","330199708")</f>
        <v>330199708</v>
      </c>
      <c r="C275" s="355" t="s">
        <v>733</v>
      </c>
      <c r="D275" s="355" t="s">
        <v>734</v>
      </c>
      <c r="E275" s="304" t="s">
        <v>735</v>
      </c>
      <c r="F275" s="168" t="s">
        <v>55</v>
      </c>
      <c r="G275" s="124" t="str">
        <f>HYPERLINK("https://www.amazon.com/dp/B07R9HPSYN/ref=cm_sw_r_cp_api_i_lZeBDbS3HKADW?th=1","A")</f>
        <v>A</v>
      </c>
      <c r="H275" s="125"/>
      <c r="I275" s="125"/>
      <c r="J275" s="125">
        <v>50</v>
      </c>
      <c r="K275" s="82">
        <f t="shared" si="411"/>
        <v>0.04</v>
      </c>
      <c r="L275" s="82">
        <v>0.64</v>
      </c>
      <c r="M275" s="82">
        <f t="shared" si="412"/>
        <v>1.8143679999999999E-2</v>
      </c>
      <c r="N275" s="93">
        <v>0</v>
      </c>
      <c r="O275" s="93">
        <v>0</v>
      </c>
      <c r="P275" s="95">
        <f t="shared" si="2"/>
        <v>50</v>
      </c>
      <c r="Q275" s="96">
        <f t="shared" si="413"/>
        <v>62500</v>
      </c>
      <c r="R275" s="96">
        <v>0</v>
      </c>
      <c r="S275" s="97">
        <f t="shared" si="414"/>
        <v>62500</v>
      </c>
      <c r="T275" s="97">
        <f>ROUNDUP(HLOOKUP(ROUNDUP(K275,0),'배송비 조회'!A$10:U$22,7,0)*C$3,-2)</f>
        <v>9000</v>
      </c>
      <c r="U275" s="97">
        <v>0</v>
      </c>
      <c r="V275" s="97">
        <f t="shared" si="409"/>
        <v>21500</v>
      </c>
      <c r="W275" s="97">
        <f t="shared" ref="W275:W276" si="416">ROUND(IF(R275&gt;0,0,(S275+T275)*0.4),-2)</f>
        <v>28600</v>
      </c>
      <c r="X275" s="98">
        <f t="shared" si="345"/>
        <v>93000</v>
      </c>
      <c r="Y275" s="98">
        <f t="shared" si="27"/>
        <v>100100</v>
      </c>
      <c r="Z275" s="121">
        <v>0</v>
      </c>
      <c r="AA275" s="121">
        <f t="shared" si="6"/>
        <v>3534</v>
      </c>
      <c r="AB275" s="121">
        <f t="shared" si="7"/>
        <v>1860</v>
      </c>
      <c r="AC275" s="99">
        <f t="shared" si="8"/>
        <v>10010</v>
      </c>
      <c r="AD275" s="121">
        <f t="shared" si="9"/>
        <v>87606</v>
      </c>
      <c r="AE275" s="99">
        <f t="shared" si="10"/>
        <v>90090</v>
      </c>
      <c r="AF275" s="121">
        <f t="shared" si="11"/>
        <v>876.06000000000006</v>
      </c>
      <c r="AG275" s="100">
        <f t="shared" si="28"/>
        <v>15229.939999999999</v>
      </c>
      <c r="AH275" s="101">
        <f t="shared" si="29"/>
        <v>17713.939999999999</v>
      </c>
      <c r="AI275" s="102">
        <f t="shared" ref="AI275:AJ275" si="417">AG275/X275</f>
        <v>0.16376279569892471</v>
      </c>
      <c r="AJ275" s="102">
        <f t="shared" si="417"/>
        <v>0.17696243756243754</v>
      </c>
      <c r="AK275" s="118" t="s">
        <v>31</v>
      </c>
      <c r="AL275" s="104"/>
      <c r="AM275" s="17"/>
      <c r="AN275" s="17"/>
      <c r="AO275" s="17"/>
      <c r="AP275" s="17"/>
      <c r="AQ275" s="17"/>
      <c r="AR275" s="17"/>
      <c r="AS275" s="17"/>
      <c r="AT275" s="17"/>
      <c r="AU275" s="17"/>
      <c r="AV275" s="17"/>
      <c r="AW275" s="298">
        <v>4658960999</v>
      </c>
    </row>
    <row r="276" spans="1:49" ht="13.2">
      <c r="A276" s="302"/>
      <c r="B276" s="306"/>
      <c r="C276" s="302"/>
      <c r="D276" s="302"/>
      <c r="E276" s="302"/>
      <c r="F276" s="123" t="s">
        <v>690</v>
      </c>
      <c r="G276" s="124" t="str">
        <f>HYPERLINK("https://www.amazon.com/dp/B07R76TTLJ/ref=twister_B07RZZBFK4?_encoding=UTF8&amp;psc=1","A")</f>
        <v>A</v>
      </c>
      <c r="H276" s="125"/>
      <c r="I276" s="125"/>
      <c r="J276" s="125">
        <v>50</v>
      </c>
      <c r="K276" s="82">
        <f t="shared" si="411"/>
        <v>0.04</v>
      </c>
      <c r="L276" s="82">
        <v>0.64</v>
      </c>
      <c r="M276" s="82">
        <f t="shared" si="412"/>
        <v>1.8143679999999999E-2</v>
      </c>
      <c r="N276" s="93">
        <v>0</v>
      </c>
      <c r="O276" s="93">
        <v>0</v>
      </c>
      <c r="P276" s="95">
        <f t="shared" si="2"/>
        <v>50</v>
      </c>
      <c r="Q276" s="96">
        <f t="shared" si="413"/>
        <v>62500</v>
      </c>
      <c r="R276" s="96">
        <v>0</v>
      </c>
      <c r="S276" s="97">
        <f t="shared" si="414"/>
        <v>62500</v>
      </c>
      <c r="T276" s="97">
        <f>ROUNDUP(HLOOKUP(ROUNDUP(K276,0),'배송비 조회'!A$10:U$22,7,0)*C$3,-2)</f>
        <v>9000</v>
      </c>
      <c r="U276" s="97">
        <v>0</v>
      </c>
      <c r="V276" s="97">
        <f t="shared" si="409"/>
        <v>21500</v>
      </c>
      <c r="W276" s="97">
        <f t="shared" si="416"/>
        <v>28600</v>
      </c>
      <c r="X276" s="98">
        <f t="shared" si="345"/>
        <v>93000</v>
      </c>
      <c r="Y276" s="98">
        <f t="shared" si="27"/>
        <v>100100</v>
      </c>
      <c r="Z276" s="121">
        <v>0</v>
      </c>
      <c r="AA276" s="121">
        <f t="shared" si="6"/>
        <v>3534</v>
      </c>
      <c r="AB276" s="121">
        <f t="shared" si="7"/>
        <v>1860</v>
      </c>
      <c r="AC276" s="99">
        <f t="shared" si="8"/>
        <v>10010</v>
      </c>
      <c r="AD276" s="121">
        <f t="shared" si="9"/>
        <v>87606</v>
      </c>
      <c r="AE276" s="99">
        <f t="shared" si="10"/>
        <v>90090</v>
      </c>
      <c r="AF276" s="121">
        <f t="shared" si="11"/>
        <v>876.06000000000006</v>
      </c>
      <c r="AG276" s="100">
        <f t="shared" si="28"/>
        <v>15229.939999999999</v>
      </c>
      <c r="AH276" s="101">
        <f t="shared" si="29"/>
        <v>17713.939999999999</v>
      </c>
      <c r="AI276" s="102">
        <f t="shared" ref="AI276:AJ276" si="418">AG276/X276</f>
        <v>0.16376279569892471</v>
      </c>
      <c r="AJ276" s="102">
        <f t="shared" si="418"/>
        <v>0.17696243756243754</v>
      </c>
      <c r="AK276" s="103"/>
      <c r="AL276" s="104"/>
      <c r="AM276" s="17"/>
      <c r="AN276" s="17"/>
      <c r="AO276" s="17"/>
      <c r="AP276" s="17"/>
      <c r="AQ276" s="17"/>
      <c r="AR276" s="17"/>
      <c r="AS276" s="17"/>
      <c r="AT276" s="17"/>
      <c r="AU276" s="17"/>
      <c r="AV276" s="17"/>
      <c r="AW276" s="297"/>
    </row>
    <row r="277" spans="1:49" ht="13.2">
      <c r="A277" s="119" t="str">
        <f>HYPERLINK("https://smartstore.naver.com/brickstore2019/products/4658960999",AW:AW)</f>
        <v>추가상품</v>
      </c>
      <c r="B277" s="266"/>
      <c r="C277" s="117" t="s">
        <v>736</v>
      </c>
      <c r="D277" s="117"/>
      <c r="E277" s="117" t="s">
        <v>737</v>
      </c>
      <c r="F277" s="123"/>
      <c r="G277" s="124" t="str">
        <f>HYPERLINK("https://www.amazon.com/Adonit-Note-Sensitive-Extra-Stylus/dp/B07T34NRGS/ref=as_li_ss_tl?keywords=adonit+note+pen+tips&amp;qid=1567009996&amp;s=gateway&amp;sr=8-3&amp;linkCode=sl1&amp;tag=techgearcast-20&amp;linkId=d488edc3bb8589ff3188719f6e24f808&amp;language=en_US","A")</f>
        <v>A</v>
      </c>
      <c r="H277" s="125"/>
      <c r="I277" s="125"/>
      <c r="J277" s="125">
        <v>15</v>
      </c>
      <c r="K277" s="82">
        <f t="shared" si="411"/>
        <v>0.02</v>
      </c>
      <c r="L277" s="82">
        <v>0.32</v>
      </c>
      <c r="M277" s="82">
        <f t="shared" si="412"/>
        <v>9.0718399999999994E-3</v>
      </c>
      <c r="N277" s="93">
        <v>0</v>
      </c>
      <c r="O277" s="93">
        <v>0</v>
      </c>
      <c r="P277" s="95">
        <f t="shared" si="2"/>
        <v>15</v>
      </c>
      <c r="Q277" s="96">
        <f t="shared" si="413"/>
        <v>18750</v>
      </c>
      <c r="R277" s="96">
        <v>0</v>
      </c>
      <c r="S277" s="97">
        <f t="shared" si="414"/>
        <v>18800</v>
      </c>
      <c r="T277" s="97">
        <v>0</v>
      </c>
      <c r="U277" s="97">
        <v>0</v>
      </c>
      <c r="V277" s="97">
        <f>ROUND(IF(R277&gt;0,0,(S277+T277)*0.7),-2)</f>
        <v>13200</v>
      </c>
      <c r="W277" s="97">
        <f t="shared" ref="W277:W288" si="419">ROUND(IF(R277&gt;0,0,(S277+T277)*0.5),-2)</f>
        <v>9400</v>
      </c>
      <c r="X277" s="98">
        <f t="shared" si="345"/>
        <v>32000</v>
      </c>
      <c r="Y277" s="98">
        <f t="shared" si="27"/>
        <v>28200</v>
      </c>
      <c r="Z277" s="121">
        <v>0</v>
      </c>
      <c r="AA277" s="121">
        <f t="shared" si="6"/>
        <v>1216</v>
      </c>
      <c r="AB277" s="121">
        <f t="shared" si="7"/>
        <v>640</v>
      </c>
      <c r="AC277" s="99">
        <f t="shared" si="8"/>
        <v>2820</v>
      </c>
      <c r="AD277" s="121">
        <f t="shared" si="9"/>
        <v>30144</v>
      </c>
      <c r="AE277" s="99">
        <f t="shared" si="10"/>
        <v>25380</v>
      </c>
      <c r="AF277" s="121">
        <f t="shared" si="11"/>
        <v>301.44</v>
      </c>
      <c r="AG277" s="100">
        <f t="shared" si="28"/>
        <v>11092.56</v>
      </c>
      <c r="AH277" s="101">
        <f t="shared" si="29"/>
        <v>6328.56</v>
      </c>
      <c r="AI277" s="102">
        <f t="shared" ref="AI277:AJ277" si="420">AG277/X277</f>
        <v>0.34664249999999996</v>
      </c>
      <c r="AJ277" s="102">
        <f t="shared" si="420"/>
        <v>0.22441702127659577</v>
      </c>
      <c r="AK277" s="103"/>
      <c r="AL277" s="104"/>
      <c r="AM277" s="17"/>
      <c r="AN277" s="17"/>
      <c r="AO277" s="17"/>
      <c r="AP277" s="17"/>
      <c r="AQ277" s="17"/>
      <c r="AR277" s="17"/>
      <c r="AS277" s="17"/>
      <c r="AT277" s="17"/>
      <c r="AU277" s="17"/>
      <c r="AV277" s="17"/>
      <c r="AW277" s="22" t="s">
        <v>738</v>
      </c>
    </row>
    <row r="278" spans="1:49" ht="13.2">
      <c r="A278" s="303">
        <f>HYPERLINK("https://smartstore.naver.com/brickstore2019/products/4659010984",AW:AW)</f>
        <v>4659010984</v>
      </c>
      <c r="B278" s="266"/>
      <c r="C278" s="304" t="s">
        <v>739</v>
      </c>
      <c r="D278" s="117"/>
      <c r="E278" s="117" t="s">
        <v>740</v>
      </c>
      <c r="F278" s="168" t="s">
        <v>741</v>
      </c>
      <c r="G278" s="124" t="str">
        <f>HYPERLINK("https://www.amazon.com/gp/product/B009S750LA/ref=as_li_tl?ie=UTF8&amp;camp=1789&amp;creative=390957&amp;tag=207858-20&amp;creativeASIN=B009S750LA&amp;linkCode=as2&amp;th=1","A")</f>
        <v>A</v>
      </c>
      <c r="H278" s="125"/>
      <c r="I278" s="125"/>
      <c r="J278" s="125">
        <v>30</v>
      </c>
      <c r="K278" s="82">
        <v>9</v>
      </c>
      <c r="L278" s="82">
        <f t="shared" ref="L278:L279" si="421">IF(K278&gt;0,K278*16,)</f>
        <v>144</v>
      </c>
      <c r="M278" s="82">
        <f t="shared" si="412"/>
        <v>4.0823280000000004</v>
      </c>
      <c r="N278" s="93">
        <v>0</v>
      </c>
      <c r="O278" s="93">
        <v>0</v>
      </c>
      <c r="P278" s="95">
        <f t="shared" si="2"/>
        <v>30</v>
      </c>
      <c r="Q278" s="96">
        <f t="shared" si="413"/>
        <v>37500</v>
      </c>
      <c r="R278" s="96">
        <v>0</v>
      </c>
      <c r="S278" s="97">
        <f t="shared" si="414"/>
        <v>37500</v>
      </c>
      <c r="T278" s="97">
        <f>ROUNDUP(HLOOKUP(ROUNDUP(K278,0),'배송비 조회'!A$10:U$22,7,0)*C$3,-2)</f>
        <v>26500</v>
      </c>
      <c r="U278" s="97">
        <v>0</v>
      </c>
      <c r="V278" s="97">
        <f t="shared" ref="V278:V279" si="422">ROUND(IF(R278&gt;0,0,(S278+T278)*0.3),-2)</f>
        <v>19200</v>
      </c>
      <c r="W278" s="97">
        <f t="shared" si="419"/>
        <v>32000</v>
      </c>
      <c r="X278" s="98">
        <f t="shared" si="345"/>
        <v>83200</v>
      </c>
      <c r="Y278" s="98">
        <f t="shared" si="27"/>
        <v>96000</v>
      </c>
      <c r="Z278" s="121">
        <v>0</v>
      </c>
      <c r="AA278" s="121">
        <f t="shared" si="6"/>
        <v>3161.6</v>
      </c>
      <c r="AB278" s="121">
        <f t="shared" si="7"/>
        <v>1664</v>
      </c>
      <c r="AC278" s="99">
        <f t="shared" si="8"/>
        <v>9600</v>
      </c>
      <c r="AD278" s="121">
        <f t="shared" si="9"/>
        <v>78374.399999999994</v>
      </c>
      <c r="AE278" s="99">
        <f t="shared" si="10"/>
        <v>86400</v>
      </c>
      <c r="AF278" s="121">
        <f t="shared" si="11"/>
        <v>783.74399999999991</v>
      </c>
      <c r="AG278" s="100">
        <f t="shared" si="28"/>
        <v>13590.655999999995</v>
      </c>
      <c r="AH278" s="101">
        <f t="shared" si="29"/>
        <v>21616.256000000001</v>
      </c>
      <c r="AI278" s="102">
        <f t="shared" ref="AI278:AJ278" si="423">AG278/X278</f>
        <v>0.16334923076923072</v>
      </c>
      <c r="AJ278" s="102">
        <f t="shared" si="423"/>
        <v>0.22516933333333333</v>
      </c>
      <c r="AK278" s="103"/>
      <c r="AL278" s="104"/>
      <c r="AM278" s="17"/>
      <c r="AN278" s="17"/>
      <c r="AO278" s="17"/>
      <c r="AP278" s="17"/>
      <c r="AQ278" s="17"/>
      <c r="AR278" s="17"/>
      <c r="AS278" s="17"/>
      <c r="AT278" s="17"/>
      <c r="AU278" s="17"/>
      <c r="AV278" s="17"/>
      <c r="AW278" s="296">
        <v>4659010984</v>
      </c>
    </row>
    <row r="279" spans="1:49" ht="13.2">
      <c r="A279" s="302"/>
      <c r="B279" s="266"/>
      <c r="C279" s="302"/>
      <c r="D279" s="117"/>
      <c r="E279" s="117" t="s">
        <v>742</v>
      </c>
      <c r="F279" s="123" t="s">
        <v>743</v>
      </c>
      <c r="G279" s="124" t="str">
        <f>HYPERLINK("https://www.amazon.com/gp/product/B074GBSXTM/ref=as_li_tl?ie=UTF8&amp;camp=1789&amp;creative=390957&amp;tag=207858-20&amp;creativeASIN=B009S750LA&amp;linkCode=as2&amp;th=1","A")</f>
        <v>A</v>
      </c>
      <c r="H279" s="125"/>
      <c r="I279" s="125"/>
      <c r="J279" s="125">
        <v>38</v>
      </c>
      <c r="K279" s="82">
        <v>11</v>
      </c>
      <c r="L279" s="82">
        <f t="shared" si="421"/>
        <v>176</v>
      </c>
      <c r="M279" s="82">
        <f t="shared" si="412"/>
        <v>4.9895119999999995</v>
      </c>
      <c r="N279" s="93">
        <v>0</v>
      </c>
      <c r="O279" s="93">
        <v>0</v>
      </c>
      <c r="P279" s="95">
        <f t="shared" si="2"/>
        <v>38</v>
      </c>
      <c r="Q279" s="96">
        <f t="shared" si="413"/>
        <v>47500</v>
      </c>
      <c r="R279" s="96">
        <v>0</v>
      </c>
      <c r="S279" s="97">
        <f t="shared" si="414"/>
        <v>47500</v>
      </c>
      <c r="T279" s="97">
        <f>ROUNDUP(HLOOKUP(ROUNDUP(K279,0),'배송비 조회'!A$10:U$22,7,0)*C$3,-2)</f>
        <v>30900</v>
      </c>
      <c r="U279" s="97">
        <v>0</v>
      </c>
      <c r="V279" s="97">
        <f t="shared" si="422"/>
        <v>23500</v>
      </c>
      <c r="W279" s="97">
        <f t="shared" si="419"/>
        <v>39200</v>
      </c>
      <c r="X279" s="98">
        <f t="shared" si="345"/>
        <v>101900</v>
      </c>
      <c r="Y279" s="98">
        <f t="shared" si="27"/>
        <v>117600</v>
      </c>
      <c r="Z279" s="121">
        <v>0</v>
      </c>
      <c r="AA279" s="121">
        <f t="shared" si="6"/>
        <v>3872.2</v>
      </c>
      <c r="AB279" s="121">
        <f t="shared" si="7"/>
        <v>2038</v>
      </c>
      <c r="AC279" s="99">
        <f t="shared" si="8"/>
        <v>11760</v>
      </c>
      <c r="AD279" s="121">
        <f t="shared" si="9"/>
        <v>95989.8</v>
      </c>
      <c r="AE279" s="99">
        <f t="shared" si="10"/>
        <v>105840</v>
      </c>
      <c r="AF279" s="121">
        <f t="shared" si="11"/>
        <v>959.89800000000002</v>
      </c>
      <c r="AG279" s="100">
        <f t="shared" si="28"/>
        <v>16629.902000000002</v>
      </c>
      <c r="AH279" s="101">
        <f t="shared" si="29"/>
        <v>26480.101999999999</v>
      </c>
      <c r="AI279" s="102">
        <f t="shared" ref="AI279:AJ279" si="424">AG279/X279</f>
        <v>0.1631982531894014</v>
      </c>
      <c r="AJ279" s="102">
        <f t="shared" si="424"/>
        <v>0.22517093537414964</v>
      </c>
      <c r="AK279" s="103">
        <f>X279-X278</f>
        <v>18700</v>
      </c>
      <c r="AL279" s="104"/>
      <c r="AM279" s="17"/>
      <c r="AN279" s="17"/>
      <c r="AO279" s="17"/>
      <c r="AP279" s="17"/>
      <c r="AQ279" s="17"/>
      <c r="AR279" s="17"/>
      <c r="AS279" s="17"/>
      <c r="AT279" s="17"/>
      <c r="AU279" s="17"/>
      <c r="AV279" s="17"/>
      <c r="AW279" s="297"/>
    </row>
    <row r="280" spans="1:49" ht="13.2">
      <c r="A280" s="303">
        <f>HYPERLINK("https://smartstore.naver.com/brickstore2019/products/4660583576",AW:AW)</f>
        <v>4660583576</v>
      </c>
      <c r="B280" s="266"/>
      <c r="C280" s="304" t="s">
        <v>744</v>
      </c>
      <c r="D280" s="117"/>
      <c r="E280" s="304" t="s">
        <v>745</v>
      </c>
      <c r="F280" s="123" t="s">
        <v>746</v>
      </c>
      <c r="G280" s="157" t="str">
        <f t="shared" ref="G280:G281" si="425">HYPERLINK("https://www.amazon.com/Titleist-Classic-Marker-Adjustable-Charcoal/dp/B07JR6JS5L/ref=sr_1_8?crid=3H5S7NH7W5BMG&amp;keywords=titleist%2Bgolf%2Bhat&amp;qid=1567257690&amp;refinements=p_89%3ATitleist&amp;rnid=2528832011&amp;s=gateway&amp;sprefix=title%2Caps%2C432&amp;sr=8-8&amp;th=1","A")</f>
        <v>A</v>
      </c>
      <c r="H280" s="125"/>
      <c r="I280" s="125"/>
      <c r="J280" s="125">
        <v>18</v>
      </c>
      <c r="K280" s="82">
        <f t="shared" ref="K280:K285" si="426">IF(L280&gt;0,L280*0.0625,)</f>
        <v>0.25</v>
      </c>
      <c r="L280" s="82">
        <v>4</v>
      </c>
      <c r="M280" s="82">
        <f t="shared" si="412"/>
        <v>0.113398</v>
      </c>
      <c r="N280" s="93">
        <v>0</v>
      </c>
      <c r="O280" s="93">
        <v>0</v>
      </c>
      <c r="P280" s="95">
        <f t="shared" si="2"/>
        <v>18</v>
      </c>
      <c r="Q280" s="96">
        <f t="shared" si="413"/>
        <v>22500</v>
      </c>
      <c r="R280" s="96">
        <v>0</v>
      </c>
      <c r="S280" s="97">
        <f t="shared" si="414"/>
        <v>22500</v>
      </c>
      <c r="T280" s="97">
        <f>ROUNDUP(HLOOKUP(ROUNDUP(K280,0),'배송비 조회'!A$10:U$22,7,0)*C$3,-2)</f>
        <v>9000</v>
      </c>
      <c r="U280" s="97">
        <v>0</v>
      </c>
      <c r="V280" s="97">
        <f t="shared" ref="V280:V285" si="427">ROUND(IF(R280&gt;0,0,(S280+T280)*0.5),-2)</f>
        <v>15800</v>
      </c>
      <c r="W280" s="97">
        <f t="shared" si="419"/>
        <v>15800</v>
      </c>
      <c r="X280" s="98">
        <f t="shared" si="345"/>
        <v>47300</v>
      </c>
      <c r="Y280" s="98">
        <f t="shared" si="27"/>
        <v>47300</v>
      </c>
      <c r="Z280" s="121">
        <v>0</v>
      </c>
      <c r="AA280" s="121">
        <f t="shared" si="6"/>
        <v>1797.3999999999999</v>
      </c>
      <c r="AB280" s="121">
        <f t="shared" si="7"/>
        <v>946</v>
      </c>
      <c r="AC280" s="99">
        <f t="shared" si="8"/>
        <v>4730</v>
      </c>
      <c r="AD280" s="121">
        <f t="shared" si="9"/>
        <v>44556.6</v>
      </c>
      <c r="AE280" s="99">
        <f t="shared" si="10"/>
        <v>42570</v>
      </c>
      <c r="AF280" s="121">
        <f t="shared" si="11"/>
        <v>445.56599999999997</v>
      </c>
      <c r="AG280" s="100">
        <f t="shared" si="28"/>
        <v>12611.034</v>
      </c>
      <c r="AH280" s="101">
        <f t="shared" si="29"/>
        <v>10624.434000000001</v>
      </c>
      <c r="AI280" s="102">
        <f t="shared" ref="AI280:AJ280" si="428">AG280/X280</f>
        <v>0.2666180549682875</v>
      </c>
      <c r="AJ280" s="102">
        <f t="shared" si="428"/>
        <v>0.22461805496828754</v>
      </c>
      <c r="AK280" s="103"/>
      <c r="AL280" s="104"/>
      <c r="AM280" s="17"/>
      <c r="AN280" s="17"/>
      <c r="AO280" s="17"/>
      <c r="AP280" s="17"/>
      <c r="AQ280" s="17"/>
      <c r="AR280" s="17"/>
      <c r="AS280" s="17"/>
      <c r="AT280" s="17"/>
      <c r="AU280" s="17"/>
      <c r="AV280" s="17"/>
      <c r="AW280" s="296">
        <v>4660583576</v>
      </c>
    </row>
    <row r="281" spans="1:49" ht="13.2">
      <c r="A281" s="302"/>
      <c r="B281" s="266"/>
      <c r="C281" s="302"/>
      <c r="D281" s="117"/>
      <c r="E281" s="302"/>
      <c r="F281" s="108" t="s">
        <v>747</v>
      </c>
      <c r="G281" s="186" t="str">
        <f t="shared" si="425"/>
        <v>A</v>
      </c>
      <c r="H281" s="110" t="s">
        <v>60</v>
      </c>
      <c r="I281" s="110"/>
      <c r="J281" s="125">
        <v>18</v>
      </c>
      <c r="K281" s="82">
        <f t="shared" si="426"/>
        <v>0.25</v>
      </c>
      <c r="L281" s="82">
        <v>4</v>
      </c>
      <c r="M281" s="82">
        <f t="shared" si="412"/>
        <v>0.113398</v>
      </c>
      <c r="N281" s="93">
        <v>0</v>
      </c>
      <c r="O281" s="93">
        <v>0</v>
      </c>
      <c r="P281" s="95">
        <f t="shared" si="2"/>
        <v>18</v>
      </c>
      <c r="Q281" s="96">
        <f t="shared" si="413"/>
        <v>22500</v>
      </c>
      <c r="R281" s="96">
        <v>0</v>
      </c>
      <c r="S281" s="97">
        <f t="shared" si="414"/>
        <v>22500</v>
      </c>
      <c r="T281" s="97">
        <f>ROUNDUP(HLOOKUP(ROUNDUP(K281,0),'배송비 조회'!A$10:U$22,7,0)*C$3,-2)</f>
        <v>9000</v>
      </c>
      <c r="U281" s="97">
        <v>0</v>
      </c>
      <c r="V281" s="97">
        <f t="shared" si="427"/>
        <v>15800</v>
      </c>
      <c r="W281" s="97">
        <f t="shared" si="419"/>
        <v>15800</v>
      </c>
      <c r="X281" s="98">
        <f t="shared" si="345"/>
        <v>47300</v>
      </c>
      <c r="Y281" s="98">
        <f t="shared" si="27"/>
        <v>47300</v>
      </c>
      <c r="Z281" s="121">
        <v>0</v>
      </c>
      <c r="AA281" s="121">
        <f t="shared" si="6"/>
        <v>1797.3999999999999</v>
      </c>
      <c r="AB281" s="121">
        <f t="shared" si="7"/>
        <v>946</v>
      </c>
      <c r="AC281" s="99">
        <f t="shared" si="8"/>
        <v>4730</v>
      </c>
      <c r="AD281" s="121">
        <f t="shared" si="9"/>
        <v>44556.6</v>
      </c>
      <c r="AE281" s="99">
        <f t="shared" si="10"/>
        <v>42570</v>
      </c>
      <c r="AF281" s="121">
        <f t="shared" si="11"/>
        <v>445.56599999999997</v>
      </c>
      <c r="AG281" s="100">
        <f t="shared" si="28"/>
        <v>12611.034</v>
      </c>
      <c r="AH281" s="101">
        <f t="shared" si="29"/>
        <v>10624.434000000001</v>
      </c>
      <c r="AI281" s="102">
        <f t="shared" ref="AI281:AJ281" si="429">AG281/X281</f>
        <v>0.2666180549682875</v>
      </c>
      <c r="AJ281" s="102">
        <f t="shared" si="429"/>
        <v>0.22461805496828754</v>
      </c>
      <c r="AK281" s="103"/>
      <c r="AL281" s="104"/>
      <c r="AM281" s="17"/>
      <c r="AN281" s="17"/>
      <c r="AO281" s="17"/>
      <c r="AP281" s="17"/>
      <c r="AQ281" s="17"/>
      <c r="AR281" s="17"/>
      <c r="AS281" s="17"/>
      <c r="AT281" s="17"/>
      <c r="AU281" s="17"/>
      <c r="AV281" s="17"/>
      <c r="AW281" s="297"/>
    </row>
    <row r="282" spans="1:49" ht="13.2">
      <c r="A282" s="302"/>
      <c r="B282" s="266"/>
      <c r="C282" s="302"/>
      <c r="D282" s="117"/>
      <c r="E282" s="302"/>
      <c r="F282" s="123" t="s">
        <v>748</v>
      </c>
      <c r="G282" s="157" t="str">
        <f>HYPERLINK("https://www.amazon.com/Titleist-Classic-Marker-Adjustable-Charcoal/dp/B07JRH2L9D/ref=sr_1_8?crid=3H5S7NH7W5BMG&amp;keywords=titleist%2Bgolf%2Bhat&amp;qid=1567257690&amp;refinements=p_89%3ATitleist&amp;rnid=2528832011&amp;s=gateway&amp;sprefix=title%2Caps%2C432&amp;sr=8-8&amp;th=1","A")</f>
        <v>A</v>
      </c>
      <c r="H282" s="125"/>
      <c r="I282" s="125"/>
      <c r="J282" s="125">
        <v>18</v>
      </c>
      <c r="K282" s="82">
        <f t="shared" si="426"/>
        <v>0.25</v>
      </c>
      <c r="L282" s="82">
        <v>4</v>
      </c>
      <c r="M282" s="82">
        <f t="shared" si="412"/>
        <v>0.113398</v>
      </c>
      <c r="N282" s="93">
        <v>0</v>
      </c>
      <c r="O282" s="93">
        <v>0</v>
      </c>
      <c r="P282" s="95">
        <f t="shared" si="2"/>
        <v>18</v>
      </c>
      <c r="Q282" s="96">
        <f t="shared" si="413"/>
        <v>22500</v>
      </c>
      <c r="R282" s="96">
        <v>0</v>
      </c>
      <c r="S282" s="97">
        <f t="shared" si="414"/>
        <v>22500</v>
      </c>
      <c r="T282" s="97">
        <f>ROUNDUP(HLOOKUP(ROUNDUP(K282,0),'배송비 조회'!A$10:U$22,7,0)*C$3,-2)</f>
        <v>9000</v>
      </c>
      <c r="U282" s="97">
        <v>0</v>
      </c>
      <c r="V282" s="97">
        <f t="shared" si="427"/>
        <v>15800</v>
      </c>
      <c r="W282" s="97">
        <f t="shared" si="419"/>
        <v>15800</v>
      </c>
      <c r="X282" s="98">
        <f t="shared" si="345"/>
        <v>47300</v>
      </c>
      <c r="Y282" s="98">
        <f t="shared" si="27"/>
        <v>47300</v>
      </c>
      <c r="Z282" s="121">
        <v>0</v>
      </c>
      <c r="AA282" s="121">
        <f t="shared" si="6"/>
        <v>1797.3999999999999</v>
      </c>
      <c r="AB282" s="121">
        <f t="shared" si="7"/>
        <v>946</v>
      </c>
      <c r="AC282" s="99">
        <f t="shared" si="8"/>
        <v>4730</v>
      </c>
      <c r="AD282" s="121">
        <f t="shared" si="9"/>
        <v>44556.6</v>
      </c>
      <c r="AE282" s="99">
        <f t="shared" si="10"/>
        <v>42570</v>
      </c>
      <c r="AF282" s="121">
        <f t="shared" si="11"/>
        <v>445.56599999999997</v>
      </c>
      <c r="AG282" s="100">
        <f t="shared" si="28"/>
        <v>12611.034</v>
      </c>
      <c r="AH282" s="101">
        <f t="shared" si="29"/>
        <v>10624.434000000001</v>
      </c>
      <c r="AI282" s="102">
        <f t="shared" ref="AI282:AJ282" si="430">AG282/X282</f>
        <v>0.2666180549682875</v>
      </c>
      <c r="AJ282" s="102">
        <f t="shared" si="430"/>
        <v>0.22461805496828754</v>
      </c>
      <c r="AK282" s="103"/>
      <c r="AL282" s="104"/>
      <c r="AM282" s="17"/>
      <c r="AN282" s="17"/>
      <c r="AO282" s="17"/>
      <c r="AP282" s="17"/>
      <c r="AQ282" s="17"/>
      <c r="AR282" s="17"/>
      <c r="AS282" s="17"/>
      <c r="AT282" s="17"/>
      <c r="AU282" s="17"/>
      <c r="AV282" s="17"/>
      <c r="AW282" s="297"/>
    </row>
    <row r="283" spans="1:49" ht="13.2">
      <c r="A283" s="302"/>
      <c r="B283" s="266"/>
      <c r="C283" s="302"/>
      <c r="D283" s="117"/>
      <c r="E283" s="302"/>
      <c r="F283" s="123" t="s">
        <v>749</v>
      </c>
      <c r="G283" s="157" t="str">
        <f>HYPERLINK("https://www.amazon.com/Titleist-Classic-Marker-Adjustable-Charcoal/dp/B07JRH2197/ref=sr_1_8?crid=3H5S7NH7W5BMG&amp;keywords=titleist%2Bgolf%2Bhat&amp;qid=1567257690&amp;refinements=p_89%3ATitleist&amp;rnid=2528832011&amp;s=gateway&amp;sprefix=title%2Caps%2C432&amp;sr=8-8&amp;th=1","A")</f>
        <v>A</v>
      </c>
      <c r="H283" s="125"/>
      <c r="I283" s="125"/>
      <c r="J283" s="125">
        <v>18</v>
      </c>
      <c r="K283" s="82">
        <f t="shared" si="426"/>
        <v>0.25</v>
      </c>
      <c r="L283" s="82">
        <v>4</v>
      </c>
      <c r="M283" s="82">
        <f t="shared" si="412"/>
        <v>0.113398</v>
      </c>
      <c r="N283" s="93">
        <v>0</v>
      </c>
      <c r="O283" s="93">
        <v>0</v>
      </c>
      <c r="P283" s="95">
        <f t="shared" si="2"/>
        <v>18</v>
      </c>
      <c r="Q283" s="96">
        <f t="shared" si="413"/>
        <v>22500</v>
      </c>
      <c r="R283" s="96">
        <v>0</v>
      </c>
      <c r="S283" s="97">
        <f t="shared" si="414"/>
        <v>22500</v>
      </c>
      <c r="T283" s="97">
        <f>ROUNDUP(HLOOKUP(ROUNDUP(K283,0),'배송비 조회'!A$10:U$22,7,0)*C$3,-2)</f>
        <v>9000</v>
      </c>
      <c r="U283" s="97">
        <v>0</v>
      </c>
      <c r="V283" s="97">
        <f t="shared" si="427"/>
        <v>15800</v>
      </c>
      <c r="W283" s="97">
        <f t="shared" si="419"/>
        <v>15800</v>
      </c>
      <c r="X283" s="98">
        <f t="shared" si="345"/>
        <v>47300</v>
      </c>
      <c r="Y283" s="98">
        <f t="shared" si="27"/>
        <v>47300</v>
      </c>
      <c r="Z283" s="121">
        <v>0</v>
      </c>
      <c r="AA283" s="121">
        <f t="shared" si="6"/>
        <v>1797.3999999999999</v>
      </c>
      <c r="AB283" s="121">
        <f t="shared" si="7"/>
        <v>946</v>
      </c>
      <c r="AC283" s="99">
        <f t="shared" si="8"/>
        <v>4730</v>
      </c>
      <c r="AD283" s="121">
        <f t="shared" si="9"/>
        <v>44556.6</v>
      </c>
      <c r="AE283" s="99">
        <f t="shared" si="10"/>
        <v>42570</v>
      </c>
      <c r="AF283" s="121">
        <f t="shared" si="11"/>
        <v>445.56599999999997</v>
      </c>
      <c r="AG283" s="100">
        <f t="shared" si="28"/>
        <v>12611.034</v>
      </c>
      <c r="AH283" s="101">
        <f t="shared" si="29"/>
        <v>10624.434000000001</v>
      </c>
      <c r="AI283" s="102">
        <f t="shared" ref="AI283:AJ283" si="431">AG283/X283</f>
        <v>0.2666180549682875</v>
      </c>
      <c r="AJ283" s="102">
        <f t="shared" si="431"/>
        <v>0.22461805496828754</v>
      </c>
      <c r="AK283" s="103"/>
      <c r="AL283" s="104"/>
      <c r="AM283" s="17"/>
      <c r="AN283" s="17"/>
      <c r="AO283" s="17"/>
      <c r="AP283" s="17"/>
      <c r="AQ283" s="17"/>
      <c r="AR283" s="17"/>
      <c r="AS283" s="17"/>
      <c r="AT283" s="17"/>
      <c r="AU283" s="17"/>
      <c r="AV283" s="17"/>
      <c r="AW283" s="297"/>
    </row>
    <row r="284" spans="1:49" ht="13.2">
      <c r="A284" s="302"/>
      <c r="B284" s="266"/>
      <c r="C284" s="302"/>
      <c r="D284" s="117"/>
      <c r="E284" s="302"/>
      <c r="F284" s="123" t="s">
        <v>750</v>
      </c>
      <c r="G284" s="157" t="str">
        <f>HYPERLINK("https://www.amazon.com/Titleist-Classic-Marker-Adjustable-Charcoal/dp/B07JRHHY5Y/ref=sr_1_8?crid=3H5S7NH7W5BMG&amp;keywords=titleist%2Bgolf%2Bhat&amp;qid=1567257690&amp;refinements=p_89%3ATitleist&amp;rnid=2528832011&amp;s=gateway&amp;sprefix=title%2Caps%2C432&amp;sr=8-8&amp;th=1","A")</f>
        <v>A</v>
      </c>
      <c r="H284" s="125"/>
      <c r="I284" s="125"/>
      <c r="J284" s="125">
        <v>18</v>
      </c>
      <c r="K284" s="82">
        <f t="shared" si="426"/>
        <v>0.25</v>
      </c>
      <c r="L284" s="82">
        <v>4</v>
      </c>
      <c r="M284" s="82">
        <f t="shared" si="412"/>
        <v>0.113398</v>
      </c>
      <c r="N284" s="93">
        <v>0</v>
      </c>
      <c r="O284" s="93">
        <v>0</v>
      </c>
      <c r="P284" s="95">
        <f t="shared" si="2"/>
        <v>18</v>
      </c>
      <c r="Q284" s="96">
        <f t="shared" si="413"/>
        <v>22500</v>
      </c>
      <c r="R284" s="96">
        <v>0</v>
      </c>
      <c r="S284" s="97">
        <f t="shared" si="414"/>
        <v>22500</v>
      </c>
      <c r="T284" s="97">
        <f>ROUNDUP(HLOOKUP(ROUNDUP(K284,0),'배송비 조회'!A$10:U$22,7,0)*C$3,-2)</f>
        <v>9000</v>
      </c>
      <c r="U284" s="97">
        <v>0</v>
      </c>
      <c r="V284" s="97">
        <f t="shared" si="427"/>
        <v>15800</v>
      </c>
      <c r="W284" s="97">
        <f t="shared" si="419"/>
        <v>15800</v>
      </c>
      <c r="X284" s="98">
        <f t="shared" si="345"/>
        <v>47300</v>
      </c>
      <c r="Y284" s="98">
        <f t="shared" si="27"/>
        <v>47300</v>
      </c>
      <c r="Z284" s="121">
        <v>0</v>
      </c>
      <c r="AA284" s="121">
        <f t="shared" si="6"/>
        <v>1797.3999999999999</v>
      </c>
      <c r="AB284" s="121">
        <f t="shared" si="7"/>
        <v>946</v>
      </c>
      <c r="AC284" s="99">
        <f t="shared" si="8"/>
        <v>4730</v>
      </c>
      <c r="AD284" s="121">
        <f t="shared" si="9"/>
        <v>44556.6</v>
      </c>
      <c r="AE284" s="99">
        <f t="shared" si="10"/>
        <v>42570</v>
      </c>
      <c r="AF284" s="121">
        <f t="shared" si="11"/>
        <v>445.56599999999997</v>
      </c>
      <c r="AG284" s="100">
        <f t="shared" si="28"/>
        <v>12611.034</v>
      </c>
      <c r="AH284" s="101">
        <f t="shared" si="29"/>
        <v>10624.434000000001</v>
      </c>
      <c r="AI284" s="102">
        <f t="shared" ref="AI284:AJ284" si="432">AG284/X284</f>
        <v>0.2666180549682875</v>
      </c>
      <c r="AJ284" s="102">
        <f t="shared" si="432"/>
        <v>0.22461805496828754</v>
      </c>
      <c r="AK284" s="103"/>
      <c r="AL284" s="104"/>
      <c r="AM284" s="17"/>
      <c r="AN284" s="17"/>
      <c r="AO284" s="17"/>
      <c r="AP284" s="17"/>
      <c r="AQ284" s="17"/>
      <c r="AR284" s="17"/>
      <c r="AS284" s="17"/>
      <c r="AT284" s="17"/>
      <c r="AU284" s="17"/>
      <c r="AV284" s="17"/>
      <c r="AW284" s="297"/>
    </row>
    <row r="285" spans="1:49" ht="13.2">
      <c r="A285" s="302"/>
      <c r="B285" s="266"/>
      <c r="C285" s="302"/>
      <c r="D285" s="117"/>
      <c r="E285" s="302"/>
      <c r="F285" s="123" t="s">
        <v>751</v>
      </c>
      <c r="G285" s="157" t="str">
        <f>HYPERLINK("https://www.amazon.com/Titleist-Classic-Marker-Adjustable-Charcoal/dp/B07JQ9KS4H/ref=sr_1_8?crid=3H5S7NH7W5BMG&amp;keywords=titleist%2Bgolf%2Bhat&amp;qid=1567257690&amp;refinements=p_89%3ATitleist&amp;rnid=2528832011&amp;s=gateway&amp;sprefix=title%2Caps%2C432&amp;sr=8-8&amp;th=1","A")</f>
        <v>A</v>
      </c>
      <c r="H285" s="125"/>
      <c r="I285" s="125"/>
      <c r="J285" s="125">
        <v>18</v>
      </c>
      <c r="K285" s="82">
        <f t="shared" si="426"/>
        <v>0.25</v>
      </c>
      <c r="L285" s="82">
        <v>4</v>
      </c>
      <c r="M285" s="82">
        <f t="shared" si="412"/>
        <v>0.113398</v>
      </c>
      <c r="N285" s="93">
        <v>0</v>
      </c>
      <c r="O285" s="93">
        <v>0</v>
      </c>
      <c r="P285" s="95">
        <f t="shared" si="2"/>
        <v>18</v>
      </c>
      <c r="Q285" s="96">
        <f t="shared" si="413"/>
        <v>22500</v>
      </c>
      <c r="R285" s="96">
        <v>0</v>
      </c>
      <c r="S285" s="97">
        <f t="shared" si="414"/>
        <v>22500</v>
      </c>
      <c r="T285" s="97">
        <f>ROUNDUP(HLOOKUP(ROUNDUP(K285,0),'배송비 조회'!A$10:U$22,7,0)*C$3,-2)</f>
        <v>9000</v>
      </c>
      <c r="U285" s="97">
        <v>0</v>
      </c>
      <c r="V285" s="97">
        <f t="shared" si="427"/>
        <v>15800</v>
      </c>
      <c r="W285" s="97">
        <f t="shared" si="419"/>
        <v>15800</v>
      </c>
      <c r="X285" s="98">
        <f t="shared" si="345"/>
        <v>47300</v>
      </c>
      <c r="Y285" s="98">
        <f t="shared" si="27"/>
        <v>47300</v>
      </c>
      <c r="Z285" s="121">
        <v>0</v>
      </c>
      <c r="AA285" s="121">
        <f t="shared" si="6"/>
        <v>1797.3999999999999</v>
      </c>
      <c r="AB285" s="121">
        <f t="shared" si="7"/>
        <v>946</v>
      </c>
      <c r="AC285" s="99">
        <f t="shared" si="8"/>
        <v>4730</v>
      </c>
      <c r="AD285" s="121">
        <f t="shared" si="9"/>
        <v>44556.6</v>
      </c>
      <c r="AE285" s="99">
        <f t="shared" si="10"/>
        <v>42570</v>
      </c>
      <c r="AF285" s="121">
        <f t="shared" si="11"/>
        <v>445.56599999999997</v>
      </c>
      <c r="AG285" s="100">
        <f t="shared" si="28"/>
        <v>12611.034</v>
      </c>
      <c r="AH285" s="101">
        <f t="shared" si="29"/>
        <v>10624.434000000001</v>
      </c>
      <c r="AI285" s="102">
        <f t="shared" ref="AI285:AJ285" si="433">AG285/X285</f>
        <v>0.2666180549682875</v>
      </c>
      <c r="AJ285" s="102">
        <f t="shared" si="433"/>
        <v>0.22461805496828754</v>
      </c>
      <c r="AK285" s="103"/>
      <c r="AL285" s="104"/>
      <c r="AM285" s="17"/>
      <c r="AN285" s="17"/>
      <c r="AO285" s="17"/>
      <c r="AP285" s="17"/>
      <c r="AQ285" s="17"/>
      <c r="AR285" s="17"/>
      <c r="AS285" s="17"/>
      <c r="AT285" s="17"/>
      <c r="AU285" s="17"/>
      <c r="AV285" s="17"/>
      <c r="AW285" s="297"/>
    </row>
    <row r="286" spans="1:49" ht="13.2">
      <c r="A286" s="119">
        <f>HYPERLINK("https://smartstore.naver.com/brickstore2019/products/4660605713",AW:AW)</f>
        <v>4660605713</v>
      </c>
      <c r="B286" s="266"/>
      <c r="C286" s="117" t="s">
        <v>752</v>
      </c>
      <c r="D286" s="117"/>
      <c r="E286" s="117" t="s">
        <v>753</v>
      </c>
      <c r="F286" s="123"/>
      <c r="G286" s="218" t="s">
        <v>1293</v>
      </c>
      <c r="H286" s="125"/>
      <c r="I286" s="125"/>
      <c r="J286" s="125">
        <v>46</v>
      </c>
      <c r="K286" s="82">
        <v>3</v>
      </c>
      <c r="L286" s="82">
        <f>IF(K286&gt;0,K286*16,)</f>
        <v>48</v>
      </c>
      <c r="M286" s="82">
        <f t="shared" si="412"/>
        <v>1.360776</v>
      </c>
      <c r="N286" s="93">
        <v>0</v>
      </c>
      <c r="O286" s="93">
        <v>0</v>
      </c>
      <c r="P286" s="95">
        <f t="shared" si="2"/>
        <v>46</v>
      </c>
      <c r="Q286" s="96">
        <f t="shared" si="413"/>
        <v>57500</v>
      </c>
      <c r="R286" s="96">
        <v>0</v>
      </c>
      <c r="S286" s="97">
        <f t="shared" si="414"/>
        <v>57500</v>
      </c>
      <c r="T286" s="97">
        <f>ROUNDUP(HLOOKUP(ROUNDUP(K286,0),'배송비 조회'!A$10:U$22,7,0)*C$3,-2)</f>
        <v>13400</v>
      </c>
      <c r="U286" s="97">
        <v>0</v>
      </c>
      <c r="V286" s="97">
        <f>ROUND(IF(R286&gt;0,0,(S286+T286)*0.3),-2)</f>
        <v>21300</v>
      </c>
      <c r="W286" s="97">
        <f t="shared" si="419"/>
        <v>35500</v>
      </c>
      <c r="X286" s="98">
        <f t="shared" si="345"/>
        <v>92200</v>
      </c>
      <c r="Y286" s="98">
        <f t="shared" si="27"/>
        <v>106400</v>
      </c>
      <c r="Z286" s="121">
        <v>0</v>
      </c>
      <c r="AA286" s="121">
        <f t="shared" si="6"/>
        <v>3503.6</v>
      </c>
      <c r="AB286" s="121">
        <f t="shared" si="7"/>
        <v>1844</v>
      </c>
      <c r="AC286" s="99">
        <f t="shared" si="8"/>
        <v>10640</v>
      </c>
      <c r="AD286" s="121">
        <f t="shared" si="9"/>
        <v>86852.4</v>
      </c>
      <c r="AE286" s="99">
        <f t="shared" si="10"/>
        <v>95760</v>
      </c>
      <c r="AF286" s="121">
        <f t="shared" si="11"/>
        <v>868.524</v>
      </c>
      <c r="AG286" s="100">
        <f t="shared" si="28"/>
        <v>15083.875999999993</v>
      </c>
      <c r="AH286" s="101">
        <f t="shared" si="29"/>
        <v>23991.476000000002</v>
      </c>
      <c r="AI286" s="102">
        <f t="shared" ref="AI286:AJ286" si="434">AG286/X286</f>
        <v>0.16359952277657258</v>
      </c>
      <c r="AJ286" s="102">
        <f t="shared" si="434"/>
        <v>0.22548379699248122</v>
      </c>
      <c r="AK286" s="103"/>
      <c r="AL286" s="104"/>
      <c r="AM286" s="17"/>
      <c r="AN286" s="17"/>
      <c r="AO286" s="17"/>
      <c r="AP286" s="17"/>
      <c r="AQ286" s="17"/>
      <c r="AR286" s="17"/>
      <c r="AS286" s="17"/>
      <c r="AT286" s="17"/>
      <c r="AU286" s="17"/>
      <c r="AV286" s="17"/>
      <c r="AW286" s="22">
        <v>4660605713</v>
      </c>
    </row>
    <row r="287" spans="1:49" ht="13.2">
      <c r="A287" s="303">
        <f>HYPERLINK("https://smartstore.naver.com/brickstore2019/products/4661807433",AW:AW)</f>
        <v>4661807433</v>
      </c>
      <c r="B287" s="266"/>
      <c r="C287" s="304" t="s">
        <v>754</v>
      </c>
      <c r="D287" s="117"/>
      <c r="E287" s="304" t="s">
        <v>755</v>
      </c>
      <c r="F287" s="123" t="s">
        <v>756</v>
      </c>
      <c r="G287" s="124" t="str">
        <f>HYPERLINK("https://www.amazon.com/dp/B0070AMQGY/ref=twister_B07NVRRH76?_encoding=UTF8&amp;psc=1","A")</f>
        <v>A</v>
      </c>
      <c r="H287" s="125"/>
      <c r="I287" s="125"/>
      <c r="J287" s="125">
        <v>11</v>
      </c>
      <c r="K287" s="82">
        <f t="shared" ref="K287:K288" si="435">IF(L287&gt;0,L287*0.0625,)</f>
        <v>0.6</v>
      </c>
      <c r="L287" s="82">
        <v>9.6</v>
      </c>
      <c r="M287" s="82">
        <f t="shared" si="412"/>
        <v>0.27215519999999999</v>
      </c>
      <c r="N287" s="93">
        <v>0</v>
      </c>
      <c r="O287" s="93">
        <v>0</v>
      </c>
      <c r="P287" s="95">
        <f t="shared" si="2"/>
        <v>11</v>
      </c>
      <c r="Q287" s="96">
        <f t="shared" si="413"/>
        <v>13750</v>
      </c>
      <c r="R287" s="96">
        <v>0</v>
      </c>
      <c r="S287" s="97">
        <f t="shared" si="414"/>
        <v>13800</v>
      </c>
      <c r="T287" s="97">
        <f>ROUNDUP(HLOOKUP(ROUNDUP(K287,0),'배송비 조회'!A$10:U$22,7,0)*C$3,-2)</f>
        <v>9000</v>
      </c>
      <c r="U287" s="97">
        <v>0</v>
      </c>
      <c r="V287" s="97">
        <f>ROUND(IF(R287&gt;0,0,(S287+T287)*0.6),-2)</f>
        <v>13700</v>
      </c>
      <c r="W287" s="97">
        <f t="shared" si="419"/>
        <v>11400</v>
      </c>
      <c r="X287" s="98">
        <f t="shared" si="345"/>
        <v>36500</v>
      </c>
      <c r="Y287" s="98">
        <f t="shared" si="27"/>
        <v>34200</v>
      </c>
      <c r="Z287" s="121">
        <v>0</v>
      </c>
      <c r="AA287" s="121">
        <f t="shared" si="6"/>
        <v>1387</v>
      </c>
      <c r="AB287" s="121">
        <f t="shared" si="7"/>
        <v>730</v>
      </c>
      <c r="AC287" s="99">
        <f t="shared" si="8"/>
        <v>3420</v>
      </c>
      <c r="AD287" s="121">
        <f t="shared" si="9"/>
        <v>34383</v>
      </c>
      <c r="AE287" s="99">
        <f t="shared" si="10"/>
        <v>30780</v>
      </c>
      <c r="AF287" s="121">
        <f t="shared" si="11"/>
        <v>343.83</v>
      </c>
      <c r="AG287" s="100">
        <f t="shared" si="28"/>
        <v>11289.169999999998</v>
      </c>
      <c r="AH287" s="101">
        <f t="shared" si="29"/>
        <v>7686.1699999999983</v>
      </c>
      <c r="AI287" s="102">
        <f t="shared" ref="AI287:AJ287" si="436">AG287/X287</f>
        <v>0.30929232876712326</v>
      </c>
      <c r="AJ287" s="102">
        <f t="shared" si="436"/>
        <v>0.22474181286549702</v>
      </c>
      <c r="AK287" s="103"/>
      <c r="AL287" s="104"/>
      <c r="AM287" s="17"/>
      <c r="AN287" s="17"/>
      <c r="AO287" s="17"/>
      <c r="AP287" s="17"/>
      <c r="AQ287" s="17"/>
      <c r="AR287" s="17"/>
      <c r="AS287" s="17"/>
      <c r="AT287" s="17"/>
      <c r="AU287" s="17"/>
      <c r="AV287" s="17"/>
      <c r="AW287" s="296">
        <v>4661807433</v>
      </c>
    </row>
    <row r="288" spans="1:49" ht="13.2">
      <c r="A288" s="302"/>
      <c r="B288" s="266"/>
      <c r="C288" s="302"/>
      <c r="D288" s="117"/>
      <c r="E288" s="302"/>
      <c r="F288" s="123" t="s">
        <v>98</v>
      </c>
      <c r="G288" s="124" t="str">
        <f>HYPERLINK("https://www.amazon.com/dp/B07H5N5HJS/ref=cm_sw_r_other_apa_i_eY0ADbNV81227?th=1","A")</f>
        <v>A</v>
      </c>
      <c r="H288" s="125"/>
      <c r="I288" s="125"/>
      <c r="J288" s="125">
        <v>15</v>
      </c>
      <c r="K288" s="82">
        <f t="shared" si="435"/>
        <v>0.6</v>
      </c>
      <c r="L288" s="82">
        <v>9.6</v>
      </c>
      <c r="M288" s="82">
        <f t="shared" si="412"/>
        <v>0.27215519999999999</v>
      </c>
      <c r="N288" s="93">
        <v>0</v>
      </c>
      <c r="O288" s="93">
        <v>0</v>
      </c>
      <c r="P288" s="95">
        <f t="shared" si="2"/>
        <v>15</v>
      </c>
      <c r="Q288" s="96">
        <f t="shared" si="413"/>
        <v>18750</v>
      </c>
      <c r="R288" s="96">
        <v>0</v>
      </c>
      <c r="S288" s="97">
        <f t="shared" si="414"/>
        <v>18800</v>
      </c>
      <c r="T288" s="97">
        <f>ROUNDUP(HLOOKUP(ROUNDUP(K288,0),'배송비 조회'!A$10:U$22,7,0)*C$3,-2)</f>
        <v>9000</v>
      </c>
      <c r="U288" s="97">
        <v>0</v>
      </c>
      <c r="V288" s="97">
        <f>ROUND(IF(R288&gt;0,0,(S288+T288)*0.5),-2)</f>
        <v>13900</v>
      </c>
      <c r="W288" s="97">
        <f t="shared" si="419"/>
        <v>13900</v>
      </c>
      <c r="X288" s="98">
        <f t="shared" si="345"/>
        <v>41700</v>
      </c>
      <c r="Y288" s="98">
        <f t="shared" si="27"/>
        <v>41700</v>
      </c>
      <c r="Z288" s="121">
        <v>0</v>
      </c>
      <c r="AA288" s="121">
        <f t="shared" si="6"/>
        <v>1584.6</v>
      </c>
      <c r="AB288" s="121">
        <f t="shared" si="7"/>
        <v>834</v>
      </c>
      <c r="AC288" s="99">
        <f t="shared" si="8"/>
        <v>4170</v>
      </c>
      <c r="AD288" s="121">
        <f t="shared" si="9"/>
        <v>39281.4</v>
      </c>
      <c r="AE288" s="99">
        <f t="shared" si="10"/>
        <v>37530</v>
      </c>
      <c r="AF288" s="121">
        <f t="shared" si="11"/>
        <v>392.81400000000002</v>
      </c>
      <c r="AG288" s="100">
        <f t="shared" si="28"/>
        <v>11138.586000000003</v>
      </c>
      <c r="AH288" s="101">
        <f t="shared" si="29"/>
        <v>9387.1860000000015</v>
      </c>
      <c r="AI288" s="102">
        <f t="shared" ref="AI288:AJ288" si="437">AG288/X288</f>
        <v>0.26711237410071947</v>
      </c>
      <c r="AJ288" s="102">
        <f t="shared" si="437"/>
        <v>0.22511237410071946</v>
      </c>
      <c r="AK288" s="103"/>
      <c r="AL288" s="104"/>
      <c r="AM288" s="17"/>
      <c r="AN288" s="17"/>
      <c r="AO288" s="17"/>
      <c r="AP288" s="17"/>
      <c r="AQ288" s="17"/>
      <c r="AR288" s="17"/>
      <c r="AS288" s="17"/>
      <c r="AT288" s="17"/>
      <c r="AU288" s="17"/>
      <c r="AV288" s="17"/>
      <c r="AW288" s="297"/>
    </row>
    <row r="289" spans="1:49" ht="13.2">
      <c r="A289" s="119">
        <f>HYPERLINK("https://smartstore.naver.com/brickstore2019/products/4661848306",AW:AW)</f>
        <v>4661848306</v>
      </c>
      <c r="B289" s="275" t="str">
        <f>HYPERLINK("https://www.coupang.com/vp/products/331941249","331941249")</f>
        <v>331941249</v>
      </c>
      <c r="C289" s="117" t="s">
        <v>757</v>
      </c>
      <c r="D289" s="117" t="s">
        <v>757</v>
      </c>
      <c r="E289" s="117" t="s">
        <v>758</v>
      </c>
      <c r="F289" s="123"/>
      <c r="G289" s="124" t="str">
        <f>HYPERLINK("https://www.amazon.com/AmazonBasics-Single-Monitor-Stand-Adjustable/dp/B07DHK5DHN/ref=sr_1_4?crid=ORD8OHGD06GC&amp;keywords=amazon+basics+monitor+arm&amp;qid=1567601553&amp;s=electronics&amp;sprefix=amazon+basics+moni%2Celectronics%2C327&amp;sr=1-4","A")</f>
        <v>A</v>
      </c>
      <c r="H289" s="125"/>
      <c r="I289" s="125"/>
      <c r="J289" s="93">
        <v>26</v>
      </c>
      <c r="K289" s="82">
        <v>7.75</v>
      </c>
      <c r="L289" s="82">
        <v>9.6</v>
      </c>
      <c r="M289" s="82">
        <f t="shared" si="412"/>
        <v>3.5153379999999999</v>
      </c>
      <c r="N289" s="93">
        <v>0</v>
      </c>
      <c r="O289" s="93">
        <v>0</v>
      </c>
      <c r="P289" s="95">
        <f t="shared" si="2"/>
        <v>26</v>
      </c>
      <c r="Q289" s="96">
        <f t="shared" si="413"/>
        <v>32500</v>
      </c>
      <c r="R289" s="96">
        <v>0</v>
      </c>
      <c r="S289" s="97">
        <f t="shared" si="414"/>
        <v>32500</v>
      </c>
      <c r="T289" s="97">
        <f>ROUNDUP(HLOOKUP(ROUNDUP(K289,0),'배송비 조회'!A$10:U$22,7,0)*C$3,-2)</f>
        <v>24400</v>
      </c>
      <c r="U289" s="97">
        <v>0</v>
      </c>
      <c r="V289" s="97">
        <f t="shared" ref="V289:V302" si="438">ROUND(IF(R289&gt;0,0,(S289+T289)*0.3),-2)</f>
        <v>17100</v>
      </c>
      <c r="W289" s="97">
        <f>ROUND(IF(R289&gt;0,0,(S289+T289)*0.4),-2)</f>
        <v>22800</v>
      </c>
      <c r="X289" s="98">
        <f t="shared" si="345"/>
        <v>74000</v>
      </c>
      <c r="Y289" s="98">
        <f t="shared" si="27"/>
        <v>79700</v>
      </c>
      <c r="Z289" s="121">
        <v>0</v>
      </c>
      <c r="AA289" s="121">
        <f t="shared" si="6"/>
        <v>2812</v>
      </c>
      <c r="AB289" s="121">
        <f t="shared" si="7"/>
        <v>1480</v>
      </c>
      <c r="AC289" s="99">
        <f t="shared" si="8"/>
        <v>7970</v>
      </c>
      <c r="AD289" s="121">
        <f t="shared" si="9"/>
        <v>69708</v>
      </c>
      <c r="AE289" s="99">
        <f t="shared" si="10"/>
        <v>71730</v>
      </c>
      <c r="AF289" s="121">
        <f t="shared" si="11"/>
        <v>697.08</v>
      </c>
      <c r="AG289" s="100">
        <f t="shared" si="28"/>
        <v>12110.919999999998</v>
      </c>
      <c r="AH289" s="101">
        <f t="shared" si="29"/>
        <v>14132.919999999998</v>
      </c>
      <c r="AI289" s="102">
        <f t="shared" ref="AI289:AJ289" si="439">AG289/X289</f>
        <v>0.16366108108108104</v>
      </c>
      <c r="AJ289" s="102">
        <f t="shared" si="439"/>
        <v>0.17732647427854453</v>
      </c>
      <c r="AK289" s="103"/>
      <c r="AL289" s="104"/>
      <c r="AM289" s="17"/>
      <c r="AN289" s="17"/>
      <c r="AO289" s="17"/>
      <c r="AP289" s="17"/>
      <c r="AQ289" s="17"/>
      <c r="AR289" s="17"/>
      <c r="AS289" s="17"/>
      <c r="AT289" s="17"/>
      <c r="AU289" s="17"/>
      <c r="AV289" s="17"/>
      <c r="AW289" s="22">
        <v>4661848306</v>
      </c>
    </row>
    <row r="290" spans="1:49" ht="13.2">
      <c r="A290" s="348">
        <f>HYPERLINK("https://smartstore.naver.com/brickstore2019/products/4661886919",AW:AW)</f>
        <v>4661886919</v>
      </c>
      <c r="B290" s="263"/>
      <c r="C290" s="343" t="s">
        <v>759</v>
      </c>
      <c r="D290" s="107"/>
      <c r="E290" s="343" t="s">
        <v>760</v>
      </c>
      <c r="F290" s="108" t="s">
        <v>761</v>
      </c>
      <c r="G290" s="109" t="str">
        <f>HYPERLINK("https://www.amazon.com/dp/B00WGOO2AW/?th=1","A")</f>
        <v>A</v>
      </c>
      <c r="H290" s="110"/>
      <c r="I290" s="110"/>
      <c r="J290" s="110">
        <v>234</v>
      </c>
      <c r="K290" s="82">
        <v>10</v>
      </c>
      <c r="L290" s="82">
        <f t="shared" ref="L290:L301" si="440">IF(K290&gt;0,K290*16,)</f>
        <v>160</v>
      </c>
      <c r="M290" s="82">
        <f t="shared" si="412"/>
        <v>4.53592</v>
      </c>
      <c r="N290" s="93">
        <v>0</v>
      </c>
      <c r="O290" s="93">
        <v>0</v>
      </c>
      <c r="P290" s="95">
        <f t="shared" si="2"/>
        <v>234</v>
      </c>
      <c r="Q290" s="96">
        <f t="shared" si="413"/>
        <v>292500</v>
      </c>
      <c r="R290" s="96">
        <v>0</v>
      </c>
      <c r="S290" s="97">
        <f t="shared" si="414"/>
        <v>292500</v>
      </c>
      <c r="T290" s="97">
        <f>ROUNDUP(HLOOKUP(ROUNDUP(K290,0),'배송비 조회'!A$10:U$22,7,0)*C$3,-2)</f>
        <v>28700</v>
      </c>
      <c r="U290" s="97">
        <v>0</v>
      </c>
      <c r="V290" s="97">
        <f t="shared" si="438"/>
        <v>96400</v>
      </c>
      <c r="W290" s="97">
        <f t="shared" ref="W290:W324" si="441">ROUND(IF(R290&gt;0,0,(S290+T290)*0.5),-2)</f>
        <v>160600</v>
      </c>
      <c r="X290" s="98">
        <f t="shared" si="345"/>
        <v>417600</v>
      </c>
      <c r="Y290" s="98">
        <f t="shared" si="27"/>
        <v>481800</v>
      </c>
      <c r="Z290" s="121">
        <v>0</v>
      </c>
      <c r="AA290" s="121">
        <f t="shared" si="6"/>
        <v>15868.8</v>
      </c>
      <c r="AB290" s="121">
        <f t="shared" si="7"/>
        <v>8352</v>
      </c>
      <c r="AC290" s="99">
        <f t="shared" si="8"/>
        <v>48180</v>
      </c>
      <c r="AD290" s="121">
        <f t="shared" si="9"/>
        <v>393379.2</v>
      </c>
      <c r="AE290" s="99">
        <f t="shared" si="10"/>
        <v>433620</v>
      </c>
      <c r="AF290" s="121">
        <f t="shared" si="11"/>
        <v>3933.7920000000004</v>
      </c>
      <c r="AG290" s="100">
        <f t="shared" si="28"/>
        <v>68245.40800000001</v>
      </c>
      <c r="AH290" s="101">
        <f t="shared" si="29"/>
        <v>108486.20800000001</v>
      </c>
      <c r="AI290" s="102">
        <f t="shared" ref="AI290:AJ290" si="442">AG290/X290</f>
        <v>0.16342291187739466</v>
      </c>
      <c r="AJ290" s="102">
        <f t="shared" si="442"/>
        <v>0.22516855126608554</v>
      </c>
      <c r="AK290" s="103"/>
      <c r="AL290" s="104"/>
      <c r="AM290" s="17"/>
      <c r="AN290" s="17"/>
      <c r="AO290" s="17"/>
      <c r="AP290" s="17"/>
      <c r="AQ290" s="17"/>
      <c r="AR290" s="17"/>
      <c r="AS290" s="17"/>
      <c r="AT290" s="17"/>
      <c r="AU290" s="17"/>
      <c r="AV290" s="17"/>
      <c r="AW290" s="296">
        <v>4661886919</v>
      </c>
    </row>
    <row r="291" spans="1:49" ht="13.2">
      <c r="A291" s="302"/>
      <c r="B291" s="263"/>
      <c r="C291" s="302"/>
      <c r="D291" s="107"/>
      <c r="E291" s="302"/>
      <c r="F291" s="108" t="s">
        <v>55</v>
      </c>
      <c r="G291" s="109" t="str">
        <f>HYPERLINK("https://www.amazon.com/dp/B00WGOO3ZG/ref=twister_B07BX2FHYF?_encoding=UTF8&amp;psc=1","A")</f>
        <v>A</v>
      </c>
      <c r="H291" s="110"/>
      <c r="I291" s="110"/>
      <c r="J291" s="110">
        <v>64</v>
      </c>
      <c r="K291" s="82">
        <v>10</v>
      </c>
      <c r="L291" s="82">
        <f t="shared" si="440"/>
        <v>160</v>
      </c>
      <c r="M291" s="82">
        <f t="shared" si="412"/>
        <v>4.53592</v>
      </c>
      <c r="N291" s="93">
        <v>0</v>
      </c>
      <c r="O291" s="93">
        <v>0</v>
      </c>
      <c r="P291" s="95">
        <f t="shared" si="2"/>
        <v>64</v>
      </c>
      <c r="Q291" s="96">
        <f t="shared" si="413"/>
        <v>80000</v>
      </c>
      <c r="R291" s="96">
        <v>0</v>
      </c>
      <c r="S291" s="97">
        <f t="shared" si="414"/>
        <v>80000</v>
      </c>
      <c r="T291" s="97">
        <f>ROUNDUP(HLOOKUP(ROUNDUP(K291,0),'배송비 조회'!A$10:U$22,7,0)*C$3,-2)</f>
        <v>28700</v>
      </c>
      <c r="U291" s="97">
        <v>0</v>
      </c>
      <c r="V291" s="97">
        <f t="shared" si="438"/>
        <v>32600</v>
      </c>
      <c r="W291" s="97">
        <f t="shared" si="441"/>
        <v>54400</v>
      </c>
      <c r="X291" s="98">
        <f t="shared" si="345"/>
        <v>141300</v>
      </c>
      <c r="Y291" s="98">
        <f t="shared" si="27"/>
        <v>163100</v>
      </c>
      <c r="Z291" s="121">
        <v>0</v>
      </c>
      <c r="AA291" s="121">
        <f t="shared" si="6"/>
        <v>5369.4</v>
      </c>
      <c r="AB291" s="121">
        <f t="shared" si="7"/>
        <v>2826</v>
      </c>
      <c r="AC291" s="99">
        <f t="shared" si="8"/>
        <v>16310</v>
      </c>
      <c r="AD291" s="121">
        <f t="shared" si="9"/>
        <v>133104.6</v>
      </c>
      <c r="AE291" s="99">
        <f t="shared" si="10"/>
        <v>146790</v>
      </c>
      <c r="AF291" s="121">
        <f t="shared" si="11"/>
        <v>1331.046</v>
      </c>
      <c r="AG291" s="100">
        <f t="shared" si="28"/>
        <v>23073.554000000004</v>
      </c>
      <c r="AH291" s="101">
        <f t="shared" si="29"/>
        <v>36758.953999999998</v>
      </c>
      <c r="AI291" s="102">
        <f t="shared" ref="AI291:AJ291" si="443">AG291/X291</f>
        <v>0.1632947912243454</v>
      </c>
      <c r="AJ291" s="102">
        <f t="shared" si="443"/>
        <v>0.22537678724708765</v>
      </c>
      <c r="AK291" s="103"/>
      <c r="AL291" s="104"/>
      <c r="AM291" s="17"/>
      <c r="AN291" s="17"/>
      <c r="AO291" s="17"/>
      <c r="AP291" s="17"/>
      <c r="AQ291" s="17"/>
      <c r="AR291" s="17"/>
      <c r="AS291" s="17"/>
      <c r="AT291" s="17"/>
      <c r="AU291" s="17"/>
      <c r="AV291" s="17"/>
      <c r="AW291" s="297"/>
    </row>
    <row r="292" spans="1:49" ht="13.2">
      <c r="A292" s="303">
        <f>HYPERLINK("https://smartstore.naver.com/brickstore2019/products/4663174801",AW:AW)</f>
        <v>4663174801</v>
      </c>
      <c r="B292" s="266"/>
      <c r="C292" s="304" t="s">
        <v>762</v>
      </c>
      <c r="D292" s="117"/>
      <c r="E292" s="304" t="s">
        <v>763</v>
      </c>
      <c r="F292" s="123" t="s">
        <v>764</v>
      </c>
      <c r="G292" s="124" t="str">
        <f>HYPERLINK("https://www.amazon.com/dp/B00M4D395O/ref=emc_b_5_i?th=1","A")</f>
        <v>A</v>
      </c>
      <c r="H292" s="110" t="s">
        <v>60</v>
      </c>
      <c r="I292" s="110"/>
      <c r="J292" s="169">
        <v>66</v>
      </c>
      <c r="K292" s="82">
        <v>11.2</v>
      </c>
      <c r="L292" s="82">
        <f t="shared" si="440"/>
        <v>179.2</v>
      </c>
      <c r="M292" s="82">
        <f t="shared" si="412"/>
        <v>5.0802303999999996</v>
      </c>
      <c r="N292" s="93">
        <v>0</v>
      </c>
      <c r="O292" s="93">
        <v>0</v>
      </c>
      <c r="P292" s="95">
        <f t="shared" si="2"/>
        <v>66</v>
      </c>
      <c r="Q292" s="96">
        <f t="shared" si="413"/>
        <v>82500</v>
      </c>
      <c r="R292" s="96">
        <v>0</v>
      </c>
      <c r="S292" s="97">
        <f t="shared" si="414"/>
        <v>82500</v>
      </c>
      <c r="T292" s="97">
        <f>ROUNDUP(HLOOKUP(ROUNDUP(K292,0),'배송비 조회'!A$10:U$22,7,0)*C$3,-2)</f>
        <v>33100</v>
      </c>
      <c r="U292" s="97">
        <v>0</v>
      </c>
      <c r="V292" s="97">
        <f t="shared" si="438"/>
        <v>34700</v>
      </c>
      <c r="W292" s="97">
        <f t="shared" si="441"/>
        <v>57800</v>
      </c>
      <c r="X292" s="98">
        <f t="shared" si="345"/>
        <v>150300</v>
      </c>
      <c r="Y292" s="98">
        <f t="shared" si="27"/>
        <v>173400</v>
      </c>
      <c r="Z292" s="121">
        <v>0</v>
      </c>
      <c r="AA292" s="121">
        <f t="shared" si="6"/>
        <v>5711.4</v>
      </c>
      <c r="AB292" s="121">
        <f t="shared" si="7"/>
        <v>3006</v>
      </c>
      <c r="AC292" s="99">
        <f t="shared" si="8"/>
        <v>17340</v>
      </c>
      <c r="AD292" s="121">
        <f t="shared" si="9"/>
        <v>141582.6</v>
      </c>
      <c r="AE292" s="99">
        <f t="shared" si="10"/>
        <v>156060</v>
      </c>
      <c r="AF292" s="121">
        <f t="shared" si="11"/>
        <v>1415.826</v>
      </c>
      <c r="AG292" s="100">
        <f t="shared" si="28"/>
        <v>24566.774000000005</v>
      </c>
      <c r="AH292" s="101">
        <f t="shared" si="29"/>
        <v>39044.173999999999</v>
      </c>
      <c r="AI292" s="102">
        <f t="shared" ref="AI292:AJ292" si="444">AG292/X292</f>
        <v>0.16345159015302732</v>
      </c>
      <c r="AJ292" s="102">
        <f t="shared" si="444"/>
        <v>0.22516824682814301</v>
      </c>
      <c r="AK292" s="103"/>
      <c r="AL292" s="104"/>
      <c r="AM292" s="17"/>
      <c r="AN292" s="17"/>
      <c r="AO292" s="17"/>
      <c r="AP292" s="17"/>
      <c r="AQ292" s="17"/>
      <c r="AR292" s="17"/>
      <c r="AS292" s="17"/>
      <c r="AT292" s="17"/>
      <c r="AU292" s="17"/>
      <c r="AV292" s="17"/>
      <c r="AW292" s="296">
        <v>4663174801</v>
      </c>
    </row>
    <row r="293" spans="1:49" ht="13.2">
      <c r="A293" s="302"/>
      <c r="B293" s="266"/>
      <c r="C293" s="302"/>
      <c r="D293" s="117"/>
      <c r="E293" s="302"/>
      <c r="F293" s="187" t="s">
        <v>765</v>
      </c>
      <c r="G293" s="124" t="str">
        <f>HYPERLINK("https://www.amazon.com/dp/B01771CJ1M/ref=emc_b_5_i?th=1","A")</f>
        <v>A</v>
      </c>
      <c r="H293" s="110" t="s">
        <v>60</v>
      </c>
      <c r="I293" s="110"/>
      <c r="J293" s="125">
        <v>76</v>
      </c>
      <c r="K293" s="82">
        <v>12.1</v>
      </c>
      <c r="L293" s="82">
        <f t="shared" si="440"/>
        <v>193.6</v>
      </c>
      <c r="M293" s="82">
        <f t="shared" si="412"/>
        <v>5.4884632</v>
      </c>
      <c r="N293" s="93">
        <v>0</v>
      </c>
      <c r="O293" s="93">
        <v>0</v>
      </c>
      <c r="P293" s="95">
        <f t="shared" si="2"/>
        <v>76</v>
      </c>
      <c r="Q293" s="96">
        <f t="shared" si="413"/>
        <v>95000</v>
      </c>
      <c r="R293" s="96">
        <v>0</v>
      </c>
      <c r="S293" s="97">
        <f t="shared" si="414"/>
        <v>95000</v>
      </c>
      <c r="T293" s="97">
        <f>ROUNDUP(HLOOKUP(ROUNDUP(K293,0),'배송비 조회'!A$10:U$22,7,0)*C$3,-2)</f>
        <v>35300</v>
      </c>
      <c r="U293" s="97">
        <v>0</v>
      </c>
      <c r="V293" s="97">
        <f t="shared" si="438"/>
        <v>39100</v>
      </c>
      <c r="W293" s="97">
        <f t="shared" si="441"/>
        <v>65200</v>
      </c>
      <c r="X293" s="98">
        <f t="shared" si="345"/>
        <v>169400</v>
      </c>
      <c r="Y293" s="98">
        <f t="shared" si="27"/>
        <v>195500</v>
      </c>
      <c r="Z293" s="121">
        <v>0</v>
      </c>
      <c r="AA293" s="121">
        <f t="shared" si="6"/>
        <v>6437.2</v>
      </c>
      <c r="AB293" s="121">
        <f t="shared" si="7"/>
        <v>3388</v>
      </c>
      <c r="AC293" s="99">
        <f t="shared" si="8"/>
        <v>19550</v>
      </c>
      <c r="AD293" s="121">
        <f t="shared" si="9"/>
        <v>159574.79999999999</v>
      </c>
      <c r="AE293" s="99">
        <f t="shared" si="10"/>
        <v>175950</v>
      </c>
      <c r="AF293" s="121">
        <f t="shared" si="11"/>
        <v>1595.7479999999998</v>
      </c>
      <c r="AG293" s="100">
        <f t="shared" si="28"/>
        <v>27679.051999999989</v>
      </c>
      <c r="AH293" s="101">
        <f t="shared" si="29"/>
        <v>44054.251999999993</v>
      </c>
      <c r="AI293" s="102">
        <f t="shared" ref="AI293:AJ293" si="445">AG293/X293</f>
        <v>0.16339463990554892</v>
      </c>
      <c r="AJ293" s="102">
        <f t="shared" si="445"/>
        <v>0.22534144245524293</v>
      </c>
      <c r="AK293" s="103"/>
      <c r="AL293" s="104"/>
      <c r="AM293" s="17"/>
      <c r="AN293" s="17"/>
      <c r="AO293" s="17"/>
      <c r="AP293" s="17"/>
      <c r="AQ293" s="17"/>
      <c r="AR293" s="17"/>
      <c r="AS293" s="17"/>
      <c r="AT293" s="17"/>
      <c r="AU293" s="17"/>
      <c r="AV293" s="17"/>
      <c r="AW293" s="297"/>
    </row>
    <row r="294" spans="1:49" ht="13.2">
      <c r="A294" s="119">
        <f>HYPERLINK("https://smartstore.naver.com/brickstore2019/products/4664369711",AW:AW)</f>
        <v>4664369711</v>
      </c>
      <c r="B294" s="266"/>
      <c r="C294" s="117" t="s">
        <v>766</v>
      </c>
      <c r="D294" s="117"/>
      <c r="E294" s="117" t="s">
        <v>767</v>
      </c>
      <c r="F294" s="123"/>
      <c r="G294" s="124" t="str">
        <f>HYPERLINK("https://www.amazon.com/Tempur-Pedic-15335133-TEMPUR-Seat-Cushion/dp/B004TT6X4U/ref=sr_1_1?keywords=tempur+cushion&amp;qid=1567777408&amp;s=gateway&amp;sr=8-1","A")</f>
        <v>A</v>
      </c>
      <c r="H294" s="125"/>
      <c r="I294" s="125"/>
      <c r="J294" s="125">
        <v>76.489999999999995</v>
      </c>
      <c r="K294" s="82">
        <v>3.17</v>
      </c>
      <c r="L294" s="82">
        <f t="shared" si="440"/>
        <v>50.72</v>
      </c>
      <c r="M294" s="82">
        <f t="shared" si="412"/>
        <v>1.4378866399999999</v>
      </c>
      <c r="N294" s="93">
        <v>0</v>
      </c>
      <c r="O294" s="93">
        <v>0</v>
      </c>
      <c r="P294" s="95">
        <f t="shared" si="2"/>
        <v>76.489999999999995</v>
      </c>
      <c r="Q294" s="96">
        <f t="shared" si="413"/>
        <v>95612.5</v>
      </c>
      <c r="R294" s="96">
        <v>0</v>
      </c>
      <c r="S294" s="97">
        <f t="shared" si="414"/>
        <v>95600</v>
      </c>
      <c r="T294" s="97">
        <f>ROUNDUP(HLOOKUP(ROUNDUP(K294,0),'배송비 조회'!A$10:U$22,7,0)*C$3,-2)</f>
        <v>15600</v>
      </c>
      <c r="U294" s="97">
        <v>0</v>
      </c>
      <c r="V294" s="97">
        <f t="shared" si="438"/>
        <v>33400</v>
      </c>
      <c r="W294" s="97">
        <f t="shared" si="441"/>
        <v>55600</v>
      </c>
      <c r="X294" s="98">
        <f t="shared" si="345"/>
        <v>144600</v>
      </c>
      <c r="Y294" s="98">
        <f t="shared" si="27"/>
        <v>166800</v>
      </c>
      <c r="Z294" s="121">
        <v>0</v>
      </c>
      <c r="AA294" s="121">
        <f t="shared" si="6"/>
        <v>5494.8</v>
      </c>
      <c r="AB294" s="121">
        <f t="shared" si="7"/>
        <v>2892</v>
      </c>
      <c r="AC294" s="99">
        <f t="shared" si="8"/>
        <v>16680</v>
      </c>
      <c r="AD294" s="121">
        <f t="shared" si="9"/>
        <v>136213.20000000001</v>
      </c>
      <c r="AE294" s="99">
        <f t="shared" si="10"/>
        <v>150120</v>
      </c>
      <c r="AF294" s="121">
        <f t="shared" si="11"/>
        <v>1362.1320000000001</v>
      </c>
      <c r="AG294" s="100">
        <f t="shared" si="28"/>
        <v>23638.568000000014</v>
      </c>
      <c r="AH294" s="101">
        <f t="shared" si="29"/>
        <v>37545.368000000002</v>
      </c>
      <c r="AI294" s="102">
        <f t="shared" ref="AI294:AJ294" si="446">AG294/X294</f>
        <v>0.16347557399723384</v>
      </c>
      <c r="AJ294" s="102">
        <f t="shared" si="446"/>
        <v>0.22509213429256597</v>
      </c>
      <c r="AK294" s="103"/>
      <c r="AL294" s="104"/>
      <c r="AM294" s="17"/>
      <c r="AN294" s="17"/>
      <c r="AO294" s="17"/>
      <c r="AP294" s="17"/>
      <c r="AQ294" s="17"/>
      <c r="AR294" s="17"/>
      <c r="AS294" s="17"/>
      <c r="AT294" s="17"/>
      <c r="AU294" s="17"/>
      <c r="AV294" s="17"/>
      <c r="AW294" s="22">
        <v>4664369711</v>
      </c>
    </row>
    <row r="295" spans="1:49" ht="13.2">
      <c r="A295" s="89">
        <f>HYPERLINK("https://smartstore.naver.com/brickstore2019/products/4664384486",AW:AW)</f>
        <v>4664384486</v>
      </c>
      <c r="B295" s="264"/>
      <c r="C295" s="114" t="s">
        <v>768</v>
      </c>
      <c r="D295" s="114"/>
      <c r="E295" s="114" t="s">
        <v>769</v>
      </c>
      <c r="F295" s="91"/>
      <c r="G295" s="92" t="str">
        <f>HYPERLINK("https://www.amazon.com/Tempur-Pedic-TEMPUR-Body-Pressure-Adaptable-Assembled/dp/B003BGNIZE/ref=sr_1_11?keywords=TEMPUR+Cushion&amp;qid=1567777417&amp;s=gateway&amp;sr=8-11","A")</f>
        <v>A</v>
      </c>
      <c r="H295" s="93"/>
      <c r="I295" s="93"/>
      <c r="J295" s="93">
        <v>140</v>
      </c>
      <c r="K295" s="82">
        <v>12.5</v>
      </c>
      <c r="L295" s="82">
        <f t="shared" si="440"/>
        <v>200</v>
      </c>
      <c r="M295" s="82">
        <f t="shared" si="412"/>
        <v>5.6699000000000002</v>
      </c>
      <c r="N295" s="93">
        <v>0</v>
      </c>
      <c r="O295" s="93">
        <v>0</v>
      </c>
      <c r="P295" s="95">
        <f t="shared" si="2"/>
        <v>140</v>
      </c>
      <c r="Q295" s="96">
        <f t="shared" si="413"/>
        <v>175000</v>
      </c>
      <c r="R295" s="96">
        <v>0</v>
      </c>
      <c r="S295" s="97">
        <f t="shared" si="414"/>
        <v>175000</v>
      </c>
      <c r="T295" s="97">
        <f>ROUNDUP(HLOOKUP(ROUNDUP(K295,0),'배송비 조회'!A$10:U$22,7,0)*C$3,-2)</f>
        <v>35300</v>
      </c>
      <c r="U295" s="97">
        <v>0</v>
      </c>
      <c r="V295" s="97">
        <f t="shared" si="438"/>
        <v>63100</v>
      </c>
      <c r="W295" s="97">
        <f t="shared" si="441"/>
        <v>105200</v>
      </c>
      <c r="X295" s="98">
        <f t="shared" si="345"/>
        <v>273400</v>
      </c>
      <c r="Y295" s="98">
        <f t="shared" si="27"/>
        <v>315500</v>
      </c>
      <c r="Z295" s="121">
        <v>0</v>
      </c>
      <c r="AA295" s="121">
        <f t="shared" si="6"/>
        <v>10389.199999999999</v>
      </c>
      <c r="AB295" s="121">
        <f t="shared" si="7"/>
        <v>5468</v>
      </c>
      <c r="AC295" s="99">
        <f t="shared" si="8"/>
        <v>31550</v>
      </c>
      <c r="AD295" s="121">
        <f t="shared" si="9"/>
        <v>257542.8</v>
      </c>
      <c r="AE295" s="99">
        <f t="shared" si="10"/>
        <v>283950</v>
      </c>
      <c r="AF295" s="121">
        <f t="shared" si="11"/>
        <v>2575.4279999999999</v>
      </c>
      <c r="AG295" s="100">
        <f t="shared" si="28"/>
        <v>44667.371999999988</v>
      </c>
      <c r="AH295" s="101">
        <f t="shared" si="29"/>
        <v>71074.572</v>
      </c>
      <c r="AI295" s="102">
        <f t="shared" ref="AI295:AJ295" si="447">AG295/X295</f>
        <v>0.16337736649597656</v>
      </c>
      <c r="AJ295" s="102">
        <f t="shared" si="447"/>
        <v>0.22527598098256735</v>
      </c>
      <c r="AK295" s="103"/>
      <c r="AL295" s="104"/>
      <c r="AM295" s="17"/>
      <c r="AN295" s="17"/>
      <c r="AO295" s="17"/>
      <c r="AP295" s="17"/>
      <c r="AQ295" s="17"/>
      <c r="AR295" s="17"/>
      <c r="AS295" s="17"/>
      <c r="AT295" s="17"/>
      <c r="AU295" s="17"/>
      <c r="AV295" s="17"/>
      <c r="AW295" s="23">
        <v>4664384486</v>
      </c>
    </row>
    <row r="296" spans="1:49" ht="13.2">
      <c r="A296" s="119">
        <f>HYPERLINK("https://smartstore.naver.com/brickstore2019/products/4664413653",AW:AW)</f>
        <v>4664413653</v>
      </c>
      <c r="B296" s="266"/>
      <c r="C296" s="117" t="s">
        <v>770</v>
      </c>
      <c r="D296" s="117"/>
      <c r="E296" s="117"/>
      <c r="F296" s="123"/>
      <c r="G296" s="124" t="str">
        <f>HYPERLINK("https://www.amazon.com/Tempur-Pedic-15325141-TEMPUR-Universal-Cushion/dp/B005PYMB3U/ref=sr_1_5?keywords=TEMPUR+Cushion&amp;qid=1567777417&amp;s=gateway&amp;sr=8-5","A")</f>
        <v>A</v>
      </c>
      <c r="H296" s="125"/>
      <c r="I296" s="125"/>
      <c r="J296" s="93">
        <v>67.150000000000006</v>
      </c>
      <c r="K296" s="82">
        <v>2</v>
      </c>
      <c r="L296" s="82">
        <f t="shared" si="440"/>
        <v>32</v>
      </c>
      <c r="M296" s="82">
        <f t="shared" si="412"/>
        <v>0.90718399999999999</v>
      </c>
      <c r="N296" s="93">
        <v>0</v>
      </c>
      <c r="O296" s="93">
        <v>0</v>
      </c>
      <c r="P296" s="95">
        <f t="shared" si="2"/>
        <v>67.150000000000006</v>
      </c>
      <c r="Q296" s="96">
        <f t="shared" si="413"/>
        <v>83937.5</v>
      </c>
      <c r="R296" s="96">
        <v>0</v>
      </c>
      <c r="S296" s="97">
        <f t="shared" si="414"/>
        <v>83900</v>
      </c>
      <c r="T296" s="97">
        <f>ROUNDUP(HLOOKUP(ROUNDUP(K296,0),'배송비 조회'!A$10:U$22,7,0)*C$3,-2)</f>
        <v>11200</v>
      </c>
      <c r="U296" s="97">
        <v>0</v>
      </c>
      <c r="V296" s="97">
        <f t="shared" si="438"/>
        <v>28500</v>
      </c>
      <c r="W296" s="97">
        <f t="shared" si="441"/>
        <v>47600</v>
      </c>
      <c r="X296" s="98">
        <f t="shared" si="345"/>
        <v>123600</v>
      </c>
      <c r="Y296" s="98">
        <f t="shared" si="27"/>
        <v>142700</v>
      </c>
      <c r="Z296" s="121">
        <v>0</v>
      </c>
      <c r="AA296" s="121">
        <f t="shared" si="6"/>
        <v>4696.8</v>
      </c>
      <c r="AB296" s="121">
        <f t="shared" si="7"/>
        <v>2472</v>
      </c>
      <c r="AC296" s="99">
        <f t="shared" si="8"/>
        <v>14270</v>
      </c>
      <c r="AD296" s="121">
        <f t="shared" si="9"/>
        <v>116431.2</v>
      </c>
      <c r="AE296" s="99">
        <f t="shared" si="10"/>
        <v>128430</v>
      </c>
      <c r="AF296" s="121">
        <f t="shared" si="11"/>
        <v>1164.3119999999999</v>
      </c>
      <c r="AG296" s="100">
        <f t="shared" si="28"/>
        <v>20129.387999999999</v>
      </c>
      <c r="AH296" s="101">
        <f t="shared" si="29"/>
        <v>32128.188000000002</v>
      </c>
      <c r="AI296" s="102">
        <f t="shared" ref="AI296:AJ296" si="448">AG296/X296</f>
        <v>0.16285912621359222</v>
      </c>
      <c r="AJ296" s="102">
        <f t="shared" si="448"/>
        <v>0.22514497547302034</v>
      </c>
      <c r="AK296" s="103"/>
      <c r="AL296" s="104"/>
      <c r="AM296" s="17"/>
      <c r="AN296" s="17"/>
      <c r="AO296" s="17"/>
      <c r="AP296" s="17"/>
      <c r="AQ296" s="17"/>
      <c r="AR296" s="17"/>
      <c r="AS296" s="17"/>
      <c r="AT296" s="17"/>
      <c r="AU296" s="17"/>
      <c r="AV296" s="17"/>
      <c r="AW296" s="22">
        <v>4664413653</v>
      </c>
    </row>
    <row r="297" spans="1:49" ht="13.2">
      <c r="A297" s="119">
        <f>HYPERLINK("https://smartstore.naver.com/brickstore2019/products/4664775122",AW:AW)</f>
        <v>4664775122</v>
      </c>
      <c r="B297" s="266"/>
      <c r="C297" s="117" t="s">
        <v>771</v>
      </c>
      <c r="D297" s="117"/>
      <c r="E297" s="117" t="s">
        <v>772</v>
      </c>
      <c r="F297" s="123"/>
      <c r="G297" s="124" t="str">
        <f>HYPERLINK("https://www.amazon.com/Ultimate-Ears-Bluetooth-Waterproof-Shockproof/dp/B014M8ZO8S/ref=lp_17284462011_1_5?srs=17284462011&amp;ie=UTF8&amp;qid=1567834310&amp;sr=8-5","A")</f>
        <v>A</v>
      </c>
      <c r="H297" s="125"/>
      <c r="I297" s="125"/>
      <c r="J297" s="93">
        <v>93.72</v>
      </c>
      <c r="K297" s="82">
        <v>2.1</v>
      </c>
      <c r="L297" s="82">
        <f t="shared" si="440"/>
        <v>33.6</v>
      </c>
      <c r="M297" s="82">
        <f t="shared" si="412"/>
        <v>0.95254320000000003</v>
      </c>
      <c r="N297" s="93">
        <v>0</v>
      </c>
      <c r="O297" s="93">
        <v>0</v>
      </c>
      <c r="P297" s="95">
        <f t="shared" si="2"/>
        <v>93.72</v>
      </c>
      <c r="Q297" s="96">
        <f t="shared" si="413"/>
        <v>117150</v>
      </c>
      <c r="R297" s="96">
        <v>0</v>
      </c>
      <c r="S297" s="97">
        <f t="shared" si="414"/>
        <v>117200</v>
      </c>
      <c r="T297" s="97">
        <f>ROUNDUP(HLOOKUP(ROUNDUP(K297,0),'배송비 조회'!A$10:U$22,7,0)*C$3,-2)</f>
        <v>13400</v>
      </c>
      <c r="U297" s="97">
        <v>0</v>
      </c>
      <c r="V297" s="97">
        <f t="shared" si="438"/>
        <v>39200</v>
      </c>
      <c r="W297" s="97">
        <f t="shared" si="441"/>
        <v>65300</v>
      </c>
      <c r="X297" s="98">
        <f t="shared" si="345"/>
        <v>169800</v>
      </c>
      <c r="Y297" s="98">
        <f t="shared" si="27"/>
        <v>195900</v>
      </c>
      <c r="Z297" s="121">
        <v>0</v>
      </c>
      <c r="AA297" s="121">
        <f t="shared" si="6"/>
        <v>6452.4</v>
      </c>
      <c r="AB297" s="121">
        <f t="shared" si="7"/>
        <v>3396</v>
      </c>
      <c r="AC297" s="99">
        <f t="shared" si="8"/>
        <v>19590</v>
      </c>
      <c r="AD297" s="121">
        <f t="shared" si="9"/>
        <v>159951.6</v>
      </c>
      <c r="AE297" s="99">
        <f t="shared" si="10"/>
        <v>176310</v>
      </c>
      <c r="AF297" s="121">
        <f t="shared" si="11"/>
        <v>1599.5160000000001</v>
      </c>
      <c r="AG297" s="100">
        <f t="shared" si="28"/>
        <v>27802.084000000003</v>
      </c>
      <c r="AH297" s="101">
        <f t="shared" si="29"/>
        <v>44160.483999999997</v>
      </c>
      <c r="AI297" s="102">
        <f t="shared" ref="AI297:AJ297" si="449">AG297/X297</f>
        <v>0.16373429917550061</v>
      </c>
      <c r="AJ297" s="102">
        <f t="shared" si="449"/>
        <v>0.22542360387953037</v>
      </c>
      <c r="AK297" s="103"/>
      <c r="AL297" s="104"/>
      <c r="AM297" s="17"/>
      <c r="AN297" s="17"/>
      <c r="AO297" s="17"/>
      <c r="AP297" s="17"/>
      <c r="AQ297" s="17"/>
      <c r="AR297" s="17"/>
      <c r="AS297" s="17"/>
      <c r="AT297" s="17"/>
      <c r="AU297" s="17"/>
      <c r="AV297" s="17"/>
      <c r="AW297" s="22">
        <v>4664775122</v>
      </c>
    </row>
    <row r="298" spans="1:49" ht="13.2">
      <c r="A298" s="303">
        <f>HYPERLINK("https://www.amazon.com/dp/B07DD3WBYW/ref=twister_B07GY8WFVK?_encoding=UTF8&amp;th=1",AW:AW)</f>
        <v>4664819159</v>
      </c>
      <c r="B298" s="266"/>
      <c r="C298" s="304" t="s">
        <v>773</v>
      </c>
      <c r="D298" s="117"/>
      <c r="E298" s="327" t="s">
        <v>774</v>
      </c>
      <c r="F298" s="123" t="s">
        <v>775</v>
      </c>
      <c r="G298" s="124" t="str">
        <f>HYPERLINK("https://www.amazon.com/dp/B07DD7ZJ6X/ref=twister_B07GY8WFVK?_encoding=UTF8&amp;th=1","A")</f>
        <v>A</v>
      </c>
      <c r="H298" s="125"/>
      <c r="I298" s="125"/>
      <c r="J298" s="93">
        <v>120</v>
      </c>
      <c r="K298" s="82">
        <v>2.1</v>
      </c>
      <c r="L298" s="82">
        <f t="shared" si="440"/>
        <v>33.6</v>
      </c>
      <c r="M298" s="82">
        <f t="shared" si="412"/>
        <v>0.95254320000000003</v>
      </c>
      <c r="N298" s="93">
        <v>0</v>
      </c>
      <c r="O298" s="93">
        <v>0</v>
      </c>
      <c r="P298" s="95">
        <f t="shared" si="2"/>
        <v>120</v>
      </c>
      <c r="Q298" s="96">
        <f t="shared" si="413"/>
        <v>150000</v>
      </c>
      <c r="R298" s="96">
        <v>0</v>
      </c>
      <c r="S298" s="97">
        <f t="shared" si="414"/>
        <v>150000</v>
      </c>
      <c r="T298" s="97">
        <f>ROUNDUP(HLOOKUP(ROUNDUP(K298,0),'배송비 조회'!A$10:U$22,7,0)*C$3,-2)</f>
        <v>13400</v>
      </c>
      <c r="U298" s="97">
        <v>0</v>
      </c>
      <c r="V298" s="97">
        <f t="shared" si="438"/>
        <v>49000</v>
      </c>
      <c r="W298" s="97">
        <f t="shared" si="441"/>
        <v>81700</v>
      </c>
      <c r="X298" s="98">
        <f t="shared" si="345"/>
        <v>212400</v>
      </c>
      <c r="Y298" s="98">
        <f t="shared" si="27"/>
        <v>245100</v>
      </c>
      <c r="Z298" s="121">
        <v>0</v>
      </c>
      <c r="AA298" s="121">
        <f t="shared" si="6"/>
        <v>8071.2</v>
      </c>
      <c r="AB298" s="121">
        <f t="shared" si="7"/>
        <v>4248</v>
      </c>
      <c r="AC298" s="99">
        <f t="shared" si="8"/>
        <v>24510</v>
      </c>
      <c r="AD298" s="121">
        <f t="shared" si="9"/>
        <v>200080.8</v>
      </c>
      <c r="AE298" s="99">
        <f t="shared" si="10"/>
        <v>220590</v>
      </c>
      <c r="AF298" s="121">
        <f t="shared" si="11"/>
        <v>2000.808</v>
      </c>
      <c r="AG298" s="100">
        <f t="shared" si="28"/>
        <v>34679.991999999991</v>
      </c>
      <c r="AH298" s="101">
        <f t="shared" si="29"/>
        <v>55189.191999999995</v>
      </c>
      <c r="AI298" s="102">
        <f t="shared" ref="AI298:AJ298" si="450">AG298/X298</f>
        <v>0.16327679849340862</v>
      </c>
      <c r="AJ298" s="102">
        <f t="shared" si="450"/>
        <v>0.225170101999184</v>
      </c>
      <c r="AK298" s="103"/>
      <c r="AL298" s="104"/>
      <c r="AM298" s="17"/>
      <c r="AN298" s="17"/>
      <c r="AO298" s="17"/>
      <c r="AP298" s="17"/>
      <c r="AQ298" s="17"/>
      <c r="AR298" s="17"/>
      <c r="AS298" s="17"/>
      <c r="AT298" s="17"/>
      <c r="AU298" s="17"/>
      <c r="AV298" s="17"/>
      <c r="AW298" s="296">
        <v>4664819159</v>
      </c>
    </row>
    <row r="299" spans="1:49" ht="13.2">
      <c r="A299" s="302"/>
      <c r="B299" s="266"/>
      <c r="C299" s="302"/>
      <c r="D299" s="117"/>
      <c r="E299" s="302"/>
      <c r="F299" s="123" t="s">
        <v>776</v>
      </c>
      <c r="G299" s="124" t="str">
        <f>HYPERLINK("https://www.amazon.com/dp/B07DD3VXRZ/ref=twister_B07GY8WFVK?_encoding=UTF8&amp;th=1","A")</f>
        <v>A</v>
      </c>
      <c r="H299" s="125"/>
      <c r="I299" s="125"/>
      <c r="J299" s="93">
        <v>120</v>
      </c>
      <c r="K299" s="82">
        <v>2.1</v>
      </c>
      <c r="L299" s="82">
        <f t="shared" si="440"/>
        <v>33.6</v>
      </c>
      <c r="M299" s="82">
        <f t="shared" si="412"/>
        <v>0.95254320000000003</v>
      </c>
      <c r="N299" s="93">
        <v>0</v>
      </c>
      <c r="O299" s="93">
        <v>0</v>
      </c>
      <c r="P299" s="95">
        <f t="shared" si="2"/>
        <v>120</v>
      </c>
      <c r="Q299" s="96">
        <f t="shared" si="413"/>
        <v>150000</v>
      </c>
      <c r="R299" s="96">
        <v>0</v>
      </c>
      <c r="S299" s="97">
        <f t="shared" si="414"/>
        <v>150000</v>
      </c>
      <c r="T299" s="97">
        <f>ROUNDUP(HLOOKUP(ROUNDUP(K299,0),'배송비 조회'!A$10:U$22,7,0)*C$3,-2)</f>
        <v>13400</v>
      </c>
      <c r="U299" s="97">
        <v>0</v>
      </c>
      <c r="V299" s="97">
        <f t="shared" si="438"/>
        <v>49000</v>
      </c>
      <c r="W299" s="97">
        <f t="shared" si="441"/>
        <v>81700</v>
      </c>
      <c r="X299" s="98">
        <f t="shared" si="345"/>
        <v>212400</v>
      </c>
      <c r="Y299" s="98">
        <f t="shared" si="27"/>
        <v>245100</v>
      </c>
      <c r="Z299" s="121">
        <v>0</v>
      </c>
      <c r="AA299" s="121">
        <f t="shared" si="6"/>
        <v>8071.2</v>
      </c>
      <c r="AB299" s="121">
        <f t="shared" si="7"/>
        <v>4248</v>
      </c>
      <c r="AC299" s="99">
        <f t="shared" si="8"/>
        <v>24510</v>
      </c>
      <c r="AD299" s="121">
        <f t="shared" si="9"/>
        <v>200080.8</v>
      </c>
      <c r="AE299" s="99">
        <f t="shared" si="10"/>
        <v>220590</v>
      </c>
      <c r="AF299" s="121">
        <f t="shared" si="11"/>
        <v>2000.808</v>
      </c>
      <c r="AG299" s="100">
        <f t="shared" si="28"/>
        <v>34679.991999999991</v>
      </c>
      <c r="AH299" s="101">
        <f t="shared" si="29"/>
        <v>55189.191999999995</v>
      </c>
      <c r="AI299" s="102">
        <f t="shared" ref="AI299:AJ299" si="451">AG299/X299</f>
        <v>0.16327679849340862</v>
      </c>
      <c r="AJ299" s="102">
        <f t="shared" si="451"/>
        <v>0.225170101999184</v>
      </c>
      <c r="AK299" s="103">
        <f>X299-X298</f>
        <v>0</v>
      </c>
      <c r="AL299" s="104"/>
      <c r="AM299" s="17"/>
      <c r="AN299" s="17"/>
      <c r="AO299" s="17"/>
      <c r="AP299" s="17"/>
      <c r="AQ299" s="17"/>
      <c r="AR299" s="17"/>
      <c r="AS299" s="17"/>
      <c r="AT299" s="17"/>
      <c r="AU299" s="17"/>
      <c r="AV299" s="17"/>
      <c r="AW299" s="297"/>
    </row>
    <row r="300" spans="1:49" ht="13.2">
      <c r="A300" s="302"/>
      <c r="B300" s="266"/>
      <c r="C300" s="302"/>
      <c r="D300" s="117"/>
      <c r="E300" s="302"/>
      <c r="F300" s="123" t="s">
        <v>777</v>
      </c>
      <c r="G300" s="124" t="str">
        <f>HYPERLINK("https://www.amazon.com/dp/B07DD7ZFKW/ref=twister_B07GY8WFVK?_encoding=UTF8&amp;th=1","A")</f>
        <v>A</v>
      </c>
      <c r="H300" s="125"/>
      <c r="I300" s="125"/>
      <c r="J300" s="93">
        <v>120</v>
      </c>
      <c r="K300" s="82">
        <v>2.1</v>
      </c>
      <c r="L300" s="82">
        <f t="shared" si="440"/>
        <v>33.6</v>
      </c>
      <c r="M300" s="82">
        <f t="shared" si="412"/>
        <v>0.95254320000000003</v>
      </c>
      <c r="N300" s="93">
        <v>0</v>
      </c>
      <c r="O300" s="93">
        <v>0</v>
      </c>
      <c r="P300" s="95">
        <f t="shared" si="2"/>
        <v>120</v>
      </c>
      <c r="Q300" s="96">
        <f t="shared" si="413"/>
        <v>150000</v>
      </c>
      <c r="R300" s="96">
        <v>0</v>
      </c>
      <c r="S300" s="97">
        <f t="shared" si="414"/>
        <v>150000</v>
      </c>
      <c r="T300" s="97">
        <f>ROUNDUP(HLOOKUP(ROUNDUP(K300,0),'배송비 조회'!A$10:U$22,7,0)*C$3,-2)</f>
        <v>13400</v>
      </c>
      <c r="U300" s="97">
        <v>0</v>
      </c>
      <c r="V300" s="97">
        <f t="shared" si="438"/>
        <v>49000</v>
      </c>
      <c r="W300" s="97">
        <f t="shared" si="441"/>
        <v>81700</v>
      </c>
      <c r="X300" s="98">
        <f t="shared" si="345"/>
        <v>212400</v>
      </c>
      <c r="Y300" s="98">
        <f t="shared" si="27"/>
        <v>245100</v>
      </c>
      <c r="Z300" s="121">
        <v>0</v>
      </c>
      <c r="AA300" s="121">
        <f t="shared" si="6"/>
        <v>8071.2</v>
      </c>
      <c r="AB300" s="121">
        <f t="shared" si="7"/>
        <v>4248</v>
      </c>
      <c r="AC300" s="99">
        <f t="shared" si="8"/>
        <v>24510</v>
      </c>
      <c r="AD300" s="121">
        <f t="shared" si="9"/>
        <v>200080.8</v>
      </c>
      <c r="AE300" s="99">
        <f t="shared" si="10"/>
        <v>220590</v>
      </c>
      <c r="AF300" s="121">
        <f t="shared" si="11"/>
        <v>2000.808</v>
      </c>
      <c r="AG300" s="100">
        <f t="shared" si="28"/>
        <v>34679.991999999991</v>
      </c>
      <c r="AH300" s="101">
        <f t="shared" si="29"/>
        <v>55189.191999999995</v>
      </c>
      <c r="AI300" s="102">
        <f t="shared" ref="AI300:AJ300" si="452">AG300/X300</f>
        <v>0.16327679849340862</v>
      </c>
      <c r="AJ300" s="102">
        <f t="shared" si="452"/>
        <v>0.225170101999184</v>
      </c>
      <c r="AK300" s="103"/>
      <c r="AL300" s="104"/>
      <c r="AM300" s="17"/>
      <c r="AN300" s="17"/>
      <c r="AO300" s="17"/>
      <c r="AP300" s="17"/>
      <c r="AQ300" s="17"/>
      <c r="AR300" s="17"/>
      <c r="AS300" s="17"/>
      <c r="AT300" s="17"/>
      <c r="AU300" s="17"/>
      <c r="AV300" s="17"/>
      <c r="AW300" s="297"/>
    </row>
    <row r="301" spans="1:49" ht="13.2">
      <c r="A301" s="302"/>
      <c r="B301" s="266"/>
      <c r="C301" s="302"/>
      <c r="D301" s="117"/>
      <c r="E301" s="302"/>
      <c r="F301" s="123" t="s">
        <v>778</v>
      </c>
      <c r="G301" s="124" t="str">
        <f>HYPERLINK("https://www.amazon.com/dp/B07DD3WBYW/ref=twister_B07GY8WFVK?_encoding=UTF8&amp;th=1","A")</f>
        <v>A</v>
      </c>
      <c r="H301" s="125"/>
      <c r="I301" s="125"/>
      <c r="J301" s="93">
        <v>120</v>
      </c>
      <c r="K301" s="82">
        <v>2.1</v>
      </c>
      <c r="L301" s="82">
        <f t="shared" si="440"/>
        <v>33.6</v>
      </c>
      <c r="M301" s="82">
        <f t="shared" si="412"/>
        <v>0.95254320000000003</v>
      </c>
      <c r="N301" s="93">
        <v>0</v>
      </c>
      <c r="O301" s="93">
        <v>0</v>
      </c>
      <c r="P301" s="95">
        <f t="shared" si="2"/>
        <v>120</v>
      </c>
      <c r="Q301" s="96">
        <f t="shared" si="413"/>
        <v>150000</v>
      </c>
      <c r="R301" s="96">
        <v>0</v>
      </c>
      <c r="S301" s="97">
        <f t="shared" si="414"/>
        <v>150000</v>
      </c>
      <c r="T301" s="97">
        <f>ROUNDUP(HLOOKUP(ROUNDUP(K301,0),'배송비 조회'!A$10:U$22,7,0)*C$3,-2)</f>
        <v>13400</v>
      </c>
      <c r="U301" s="97">
        <v>0</v>
      </c>
      <c r="V301" s="97">
        <f t="shared" si="438"/>
        <v>49000</v>
      </c>
      <c r="W301" s="97">
        <f t="shared" si="441"/>
        <v>81700</v>
      </c>
      <c r="X301" s="98">
        <f t="shared" si="345"/>
        <v>212400</v>
      </c>
      <c r="Y301" s="98">
        <f t="shared" si="27"/>
        <v>245100</v>
      </c>
      <c r="Z301" s="121">
        <v>0</v>
      </c>
      <c r="AA301" s="121">
        <f t="shared" si="6"/>
        <v>8071.2</v>
      </c>
      <c r="AB301" s="121">
        <f t="shared" si="7"/>
        <v>4248</v>
      </c>
      <c r="AC301" s="99">
        <f t="shared" si="8"/>
        <v>24510</v>
      </c>
      <c r="AD301" s="121">
        <f t="shared" si="9"/>
        <v>200080.8</v>
      </c>
      <c r="AE301" s="99">
        <f t="shared" si="10"/>
        <v>220590</v>
      </c>
      <c r="AF301" s="121">
        <f t="shared" si="11"/>
        <v>2000.808</v>
      </c>
      <c r="AG301" s="100">
        <f t="shared" si="28"/>
        <v>34679.991999999991</v>
      </c>
      <c r="AH301" s="101">
        <f t="shared" si="29"/>
        <v>55189.191999999995</v>
      </c>
      <c r="AI301" s="102">
        <f t="shared" ref="AI301:AJ301" si="453">AG301/X301</f>
        <v>0.16327679849340862</v>
      </c>
      <c r="AJ301" s="102">
        <f t="shared" si="453"/>
        <v>0.225170101999184</v>
      </c>
      <c r="AK301" s="103">
        <f>X299-X301</f>
        <v>0</v>
      </c>
      <c r="AL301" s="104"/>
      <c r="AM301" s="17"/>
      <c r="AN301" s="17"/>
      <c r="AO301" s="17"/>
      <c r="AP301" s="17"/>
      <c r="AQ301" s="17"/>
      <c r="AR301" s="17"/>
      <c r="AS301" s="17"/>
      <c r="AT301" s="17"/>
      <c r="AU301" s="17"/>
      <c r="AV301" s="17"/>
      <c r="AW301" s="297"/>
    </row>
    <row r="302" spans="1:49" ht="13.2">
      <c r="A302" s="119">
        <f>HYPERLINK("https://smartstore.naver.com/brickstore2019/products/4665446843",AW:AW)</f>
        <v>4665446843</v>
      </c>
      <c r="B302" s="266"/>
      <c r="C302" s="117" t="s">
        <v>779</v>
      </c>
      <c r="D302" s="117"/>
      <c r="E302" s="117" t="s">
        <v>772</v>
      </c>
      <c r="F302" s="188"/>
      <c r="G302" s="124" t="str">
        <f>HYPERLINK("https://www.amazon.com/gp/product/B07V4Y1PJ1/ref=as_li_ss_tl?ie=UTF8&amp;psc=1&amp;linkCode=sl1&amp;tag=techgearcast-20&amp;linkId=9feedfa326edb5694973d626f4ff05d1&amp;language=en_US","A")</f>
        <v>A</v>
      </c>
      <c r="H302" s="125"/>
      <c r="I302" s="125"/>
      <c r="J302" s="93">
        <v>40</v>
      </c>
      <c r="K302" s="82">
        <f t="shared" ref="K302:K313" si="454">IF(L302&gt;0,L302*0.0625,)</f>
        <v>0.15</v>
      </c>
      <c r="L302" s="82">
        <v>2.4</v>
      </c>
      <c r="M302" s="82">
        <f t="shared" si="412"/>
        <v>6.8038799999999997E-2</v>
      </c>
      <c r="N302" s="93">
        <v>0</v>
      </c>
      <c r="O302" s="93">
        <v>0</v>
      </c>
      <c r="P302" s="95">
        <f t="shared" si="2"/>
        <v>40</v>
      </c>
      <c r="Q302" s="96">
        <f t="shared" si="413"/>
        <v>50000</v>
      </c>
      <c r="R302" s="96">
        <v>0</v>
      </c>
      <c r="S302" s="97">
        <f t="shared" si="414"/>
        <v>50000</v>
      </c>
      <c r="T302" s="97">
        <f>ROUNDUP(HLOOKUP(ROUNDUP(K302,0),'배송비 조회'!A$10:U$22,7,0)*C$3,-2)</f>
        <v>9000</v>
      </c>
      <c r="U302" s="97">
        <v>0</v>
      </c>
      <c r="V302" s="97">
        <f t="shared" si="438"/>
        <v>17700</v>
      </c>
      <c r="W302" s="97">
        <f t="shared" si="441"/>
        <v>29500</v>
      </c>
      <c r="X302" s="98">
        <f t="shared" si="345"/>
        <v>76700</v>
      </c>
      <c r="Y302" s="98">
        <f t="shared" si="27"/>
        <v>88500</v>
      </c>
      <c r="Z302" s="121">
        <v>0</v>
      </c>
      <c r="AA302" s="121">
        <f t="shared" si="6"/>
        <v>2914.6</v>
      </c>
      <c r="AB302" s="121">
        <f t="shared" si="7"/>
        <v>1534</v>
      </c>
      <c r="AC302" s="99">
        <f t="shared" si="8"/>
        <v>8850</v>
      </c>
      <c r="AD302" s="121">
        <f t="shared" si="9"/>
        <v>72251.399999999994</v>
      </c>
      <c r="AE302" s="99">
        <f t="shared" si="10"/>
        <v>79650</v>
      </c>
      <c r="AF302" s="121">
        <f t="shared" si="11"/>
        <v>722.51400000000001</v>
      </c>
      <c r="AG302" s="100">
        <f t="shared" si="28"/>
        <v>12528.885999999995</v>
      </c>
      <c r="AH302" s="101">
        <f t="shared" si="29"/>
        <v>19927.486000000001</v>
      </c>
      <c r="AI302" s="102">
        <f t="shared" ref="AI302:AJ302" si="455">AG302/X302</f>
        <v>0.16334923076923069</v>
      </c>
      <c r="AJ302" s="102">
        <f t="shared" si="455"/>
        <v>0.22516933333333333</v>
      </c>
      <c r="AK302" s="103"/>
      <c r="AL302" s="104"/>
      <c r="AM302" s="17"/>
      <c r="AN302" s="17"/>
      <c r="AO302" s="17"/>
      <c r="AP302" s="17"/>
      <c r="AQ302" s="17"/>
      <c r="AR302" s="17"/>
      <c r="AS302" s="17"/>
      <c r="AT302" s="17"/>
      <c r="AU302" s="17"/>
      <c r="AV302" s="17"/>
      <c r="AW302" s="22">
        <v>4665446843</v>
      </c>
    </row>
    <row r="303" spans="1:49" ht="13.2">
      <c r="A303" s="347">
        <f>HYPERLINK("https://smartstore.naver.com/brickstore2019/products/4666461347",AW:AW)</f>
        <v>4666461347</v>
      </c>
      <c r="B303" s="271"/>
      <c r="C303" s="342" t="s">
        <v>780</v>
      </c>
      <c r="D303" s="160"/>
      <c r="E303" s="342" t="s">
        <v>781</v>
      </c>
      <c r="F303" s="123" t="s">
        <v>782</v>
      </c>
      <c r="G303" s="124" t="str">
        <f t="shared" ref="G303:G310" si="456">HYPERLINK("https://www.amazon.com/ThinOPTICS-Keychain-Reading-Glasses-Strength/dp/B01MYDWUXL/ref=lp_12034493011_1_2?s=boost&amp;srs=12034493011&amp;ie=UTF8&amp;qid=1567837649&amp;sr=1-2&amp;th=1","A")</f>
        <v>A</v>
      </c>
      <c r="H303" s="125"/>
      <c r="I303" s="125"/>
      <c r="J303" s="125">
        <v>25</v>
      </c>
      <c r="K303" s="82">
        <f t="shared" si="454"/>
        <v>0.15</v>
      </c>
      <c r="L303" s="82">
        <v>2.4</v>
      </c>
      <c r="M303" s="82">
        <f t="shared" si="412"/>
        <v>6.8038799999999997E-2</v>
      </c>
      <c r="N303" s="93">
        <v>0</v>
      </c>
      <c r="O303" s="93">
        <v>0</v>
      </c>
      <c r="P303" s="95">
        <f t="shared" si="2"/>
        <v>25</v>
      </c>
      <c r="Q303" s="96">
        <f t="shared" si="413"/>
        <v>31250</v>
      </c>
      <c r="R303" s="96">
        <v>0</v>
      </c>
      <c r="S303" s="97">
        <f t="shared" si="414"/>
        <v>31300</v>
      </c>
      <c r="T303" s="97">
        <f>ROUNDUP(HLOOKUP(ROUNDUP(K303,0),'배송비 조회'!A$10:U$22,7,0)*C$3,-2)</f>
        <v>9000</v>
      </c>
      <c r="U303" s="97">
        <v>0</v>
      </c>
      <c r="V303" s="97">
        <f t="shared" ref="V303:V310" si="457">ROUND(IF(R303&gt;0,0,(S303+T303)*0.4),-2)</f>
        <v>16100</v>
      </c>
      <c r="W303" s="97">
        <f t="shared" si="441"/>
        <v>20200</v>
      </c>
      <c r="X303" s="98">
        <f t="shared" si="345"/>
        <v>56400</v>
      </c>
      <c r="Y303" s="98">
        <f t="shared" si="27"/>
        <v>60500</v>
      </c>
      <c r="Z303" s="121">
        <v>0</v>
      </c>
      <c r="AA303" s="121">
        <f t="shared" si="6"/>
        <v>2143.1999999999998</v>
      </c>
      <c r="AB303" s="121">
        <f t="shared" si="7"/>
        <v>1128</v>
      </c>
      <c r="AC303" s="99">
        <f t="shared" si="8"/>
        <v>6050</v>
      </c>
      <c r="AD303" s="121">
        <f t="shared" si="9"/>
        <v>53128.800000000003</v>
      </c>
      <c r="AE303" s="99">
        <f t="shared" si="10"/>
        <v>54450</v>
      </c>
      <c r="AF303" s="121">
        <f t="shared" si="11"/>
        <v>531.28800000000001</v>
      </c>
      <c r="AG303" s="100">
        <f t="shared" si="28"/>
        <v>12347.512000000002</v>
      </c>
      <c r="AH303" s="101">
        <f t="shared" si="29"/>
        <v>13668.712</v>
      </c>
      <c r="AI303" s="102">
        <f t="shared" ref="AI303:AJ303" si="458">AG303/X303</f>
        <v>0.21892751773049648</v>
      </c>
      <c r="AJ303" s="102">
        <f t="shared" si="458"/>
        <v>0.22592912396694215</v>
      </c>
      <c r="AK303" s="103"/>
      <c r="AL303" s="104"/>
      <c r="AM303" s="17"/>
      <c r="AN303" s="17"/>
      <c r="AO303" s="17"/>
      <c r="AP303" s="17"/>
      <c r="AQ303" s="17"/>
      <c r="AR303" s="17"/>
      <c r="AS303" s="17"/>
      <c r="AT303" s="17"/>
      <c r="AU303" s="17"/>
      <c r="AV303" s="17"/>
      <c r="AW303" s="296">
        <v>4666461347</v>
      </c>
    </row>
    <row r="304" spans="1:49" ht="13.2">
      <c r="A304" s="302"/>
      <c r="B304" s="271"/>
      <c r="C304" s="302"/>
      <c r="D304" s="160"/>
      <c r="E304" s="302"/>
      <c r="F304" s="123" t="s">
        <v>783</v>
      </c>
      <c r="G304" s="124" t="str">
        <f t="shared" si="456"/>
        <v>A</v>
      </c>
      <c r="H304" s="125"/>
      <c r="I304" s="125"/>
      <c r="J304" s="125">
        <v>25</v>
      </c>
      <c r="K304" s="82">
        <f t="shared" si="454"/>
        <v>0.15</v>
      </c>
      <c r="L304" s="82">
        <v>2.4</v>
      </c>
      <c r="M304" s="82">
        <f t="shared" si="412"/>
        <v>6.8038799999999997E-2</v>
      </c>
      <c r="N304" s="93">
        <v>0</v>
      </c>
      <c r="O304" s="93">
        <v>0</v>
      </c>
      <c r="P304" s="95">
        <f t="shared" si="2"/>
        <v>25</v>
      </c>
      <c r="Q304" s="96">
        <f t="shared" si="413"/>
        <v>31250</v>
      </c>
      <c r="R304" s="96">
        <v>0</v>
      </c>
      <c r="S304" s="97">
        <f t="shared" si="414"/>
        <v>31300</v>
      </c>
      <c r="T304" s="97">
        <f>ROUNDUP(HLOOKUP(ROUNDUP(K304,0),'배송비 조회'!A$10:U$22,7,0)*C$3,-2)</f>
        <v>9000</v>
      </c>
      <c r="U304" s="97">
        <v>0</v>
      </c>
      <c r="V304" s="97">
        <f t="shared" si="457"/>
        <v>16100</v>
      </c>
      <c r="W304" s="97">
        <f t="shared" si="441"/>
        <v>20200</v>
      </c>
      <c r="X304" s="98">
        <f t="shared" si="345"/>
        <v>56400</v>
      </c>
      <c r="Y304" s="98">
        <f t="shared" si="27"/>
        <v>60500</v>
      </c>
      <c r="Z304" s="121">
        <v>0</v>
      </c>
      <c r="AA304" s="121">
        <f t="shared" si="6"/>
        <v>2143.1999999999998</v>
      </c>
      <c r="AB304" s="121">
        <f t="shared" si="7"/>
        <v>1128</v>
      </c>
      <c r="AC304" s="99">
        <f t="shared" si="8"/>
        <v>6050</v>
      </c>
      <c r="AD304" s="121">
        <f t="shared" si="9"/>
        <v>53128.800000000003</v>
      </c>
      <c r="AE304" s="99">
        <f t="shared" si="10"/>
        <v>54450</v>
      </c>
      <c r="AF304" s="121">
        <f t="shared" si="11"/>
        <v>531.28800000000001</v>
      </c>
      <c r="AG304" s="100">
        <f t="shared" si="28"/>
        <v>12347.512000000002</v>
      </c>
      <c r="AH304" s="101">
        <f t="shared" si="29"/>
        <v>13668.712</v>
      </c>
      <c r="AI304" s="102">
        <f t="shared" ref="AI304:AJ304" si="459">AG304/X304</f>
        <v>0.21892751773049648</v>
      </c>
      <c r="AJ304" s="102">
        <f t="shared" si="459"/>
        <v>0.22592912396694215</v>
      </c>
      <c r="AK304" s="103"/>
      <c r="AL304" s="104"/>
      <c r="AM304" s="17"/>
      <c r="AN304" s="17"/>
      <c r="AO304" s="17"/>
      <c r="AP304" s="17"/>
      <c r="AQ304" s="17"/>
      <c r="AR304" s="17"/>
      <c r="AS304" s="17"/>
      <c r="AT304" s="17"/>
      <c r="AU304" s="17"/>
      <c r="AV304" s="17"/>
      <c r="AW304" s="297"/>
    </row>
    <row r="305" spans="1:49" ht="13.2">
      <c r="A305" s="302"/>
      <c r="B305" s="271"/>
      <c r="C305" s="302"/>
      <c r="D305" s="160"/>
      <c r="E305" s="302"/>
      <c r="F305" s="123" t="s">
        <v>784</v>
      </c>
      <c r="G305" s="124" t="str">
        <f t="shared" si="456"/>
        <v>A</v>
      </c>
      <c r="H305" s="125"/>
      <c r="I305" s="125"/>
      <c r="J305" s="125">
        <v>25</v>
      </c>
      <c r="K305" s="82">
        <f t="shared" si="454"/>
        <v>0.15</v>
      </c>
      <c r="L305" s="82">
        <v>2.4</v>
      </c>
      <c r="M305" s="82">
        <f t="shared" si="412"/>
        <v>6.8038799999999997E-2</v>
      </c>
      <c r="N305" s="93">
        <v>0</v>
      </c>
      <c r="O305" s="93">
        <v>0</v>
      </c>
      <c r="P305" s="95">
        <f t="shared" si="2"/>
        <v>25</v>
      </c>
      <c r="Q305" s="96">
        <f t="shared" si="413"/>
        <v>31250</v>
      </c>
      <c r="R305" s="96">
        <v>0</v>
      </c>
      <c r="S305" s="97">
        <f t="shared" si="414"/>
        <v>31300</v>
      </c>
      <c r="T305" s="97">
        <f>ROUNDUP(HLOOKUP(ROUNDUP(K305,0),'배송비 조회'!A$10:U$22,7,0)*C$3,-2)</f>
        <v>9000</v>
      </c>
      <c r="U305" s="97">
        <v>0</v>
      </c>
      <c r="V305" s="97">
        <f t="shared" si="457"/>
        <v>16100</v>
      </c>
      <c r="W305" s="97">
        <f t="shared" si="441"/>
        <v>20200</v>
      </c>
      <c r="X305" s="98">
        <f t="shared" si="345"/>
        <v>56400</v>
      </c>
      <c r="Y305" s="98">
        <f t="shared" si="27"/>
        <v>60500</v>
      </c>
      <c r="Z305" s="121">
        <v>0</v>
      </c>
      <c r="AA305" s="121">
        <f t="shared" si="6"/>
        <v>2143.1999999999998</v>
      </c>
      <c r="AB305" s="121">
        <f t="shared" si="7"/>
        <v>1128</v>
      </c>
      <c r="AC305" s="99">
        <f t="shared" si="8"/>
        <v>6050</v>
      </c>
      <c r="AD305" s="121">
        <f t="shared" si="9"/>
        <v>53128.800000000003</v>
      </c>
      <c r="AE305" s="99">
        <f t="shared" si="10"/>
        <v>54450</v>
      </c>
      <c r="AF305" s="121">
        <f t="shared" si="11"/>
        <v>531.28800000000001</v>
      </c>
      <c r="AG305" s="100">
        <f t="shared" si="28"/>
        <v>12347.512000000002</v>
      </c>
      <c r="AH305" s="101">
        <f t="shared" si="29"/>
        <v>13668.712</v>
      </c>
      <c r="AI305" s="102">
        <f t="shared" ref="AI305:AJ305" si="460">AG305/X305</f>
        <v>0.21892751773049648</v>
      </c>
      <c r="AJ305" s="102">
        <f t="shared" si="460"/>
        <v>0.22592912396694215</v>
      </c>
      <c r="AK305" s="103"/>
      <c r="AL305" s="104"/>
      <c r="AM305" s="17"/>
      <c r="AN305" s="17"/>
      <c r="AO305" s="17"/>
      <c r="AP305" s="17"/>
      <c r="AQ305" s="17"/>
      <c r="AR305" s="17"/>
      <c r="AS305" s="17"/>
      <c r="AT305" s="17"/>
      <c r="AU305" s="17"/>
      <c r="AV305" s="17"/>
      <c r="AW305" s="297"/>
    </row>
    <row r="306" spans="1:49" ht="13.2">
      <c r="A306" s="302"/>
      <c r="B306" s="271"/>
      <c r="C306" s="302"/>
      <c r="D306" s="160"/>
      <c r="E306" s="302"/>
      <c r="F306" s="123" t="s">
        <v>785</v>
      </c>
      <c r="G306" s="124" t="str">
        <f t="shared" si="456"/>
        <v>A</v>
      </c>
      <c r="H306" s="125"/>
      <c r="I306" s="125"/>
      <c r="J306" s="125">
        <v>25</v>
      </c>
      <c r="K306" s="82">
        <f t="shared" si="454"/>
        <v>0.15</v>
      </c>
      <c r="L306" s="82">
        <v>2.4</v>
      </c>
      <c r="M306" s="82">
        <f t="shared" si="412"/>
        <v>6.8038799999999997E-2</v>
      </c>
      <c r="N306" s="93">
        <v>0</v>
      </c>
      <c r="O306" s="93">
        <v>0</v>
      </c>
      <c r="P306" s="95">
        <f t="shared" si="2"/>
        <v>25</v>
      </c>
      <c r="Q306" s="96">
        <f t="shared" ref="Q306:Q337" si="461">P306*C$3</f>
        <v>31250</v>
      </c>
      <c r="R306" s="96">
        <v>0</v>
      </c>
      <c r="S306" s="97">
        <f t="shared" si="414"/>
        <v>31300</v>
      </c>
      <c r="T306" s="97">
        <f>ROUNDUP(HLOOKUP(ROUNDUP(K306,0),'배송비 조회'!A$10:U$22,7,0)*C$3,-2)</f>
        <v>9000</v>
      </c>
      <c r="U306" s="97">
        <v>0</v>
      </c>
      <c r="V306" s="97">
        <f t="shared" si="457"/>
        <v>16100</v>
      </c>
      <c r="W306" s="97">
        <f t="shared" si="441"/>
        <v>20200</v>
      </c>
      <c r="X306" s="98">
        <f t="shared" si="345"/>
        <v>56400</v>
      </c>
      <c r="Y306" s="98">
        <f t="shared" si="27"/>
        <v>60500</v>
      </c>
      <c r="Z306" s="121">
        <v>0</v>
      </c>
      <c r="AA306" s="121">
        <f t="shared" si="6"/>
        <v>2143.1999999999998</v>
      </c>
      <c r="AB306" s="121">
        <f t="shared" si="7"/>
        <v>1128</v>
      </c>
      <c r="AC306" s="99">
        <f t="shared" si="8"/>
        <v>6050</v>
      </c>
      <c r="AD306" s="121">
        <f t="shared" si="9"/>
        <v>53128.800000000003</v>
      </c>
      <c r="AE306" s="99">
        <f t="shared" si="10"/>
        <v>54450</v>
      </c>
      <c r="AF306" s="121">
        <f t="shared" si="11"/>
        <v>531.28800000000001</v>
      </c>
      <c r="AG306" s="100">
        <f t="shared" si="28"/>
        <v>12347.512000000002</v>
      </c>
      <c r="AH306" s="101">
        <f t="shared" si="29"/>
        <v>13668.712</v>
      </c>
      <c r="AI306" s="102">
        <f t="shared" ref="AI306:AJ306" si="462">AG306/X306</f>
        <v>0.21892751773049648</v>
      </c>
      <c r="AJ306" s="102">
        <f t="shared" si="462"/>
        <v>0.22592912396694215</v>
      </c>
      <c r="AK306" s="103"/>
      <c r="AL306" s="104"/>
      <c r="AM306" s="17"/>
      <c r="AN306" s="17"/>
      <c r="AO306" s="17"/>
      <c r="AP306" s="17"/>
      <c r="AQ306" s="17"/>
      <c r="AR306" s="17"/>
      <c r="AS306" s="17"/>
      <c r="AT306" s="17"/>
      <c r="AU306" s="17"/>
      <c r="AV306" s="17"/>
      <c r="AW306" s="297"/>
    </row>
    <row r="307" spans="1:49" ht="13.2">
      <c r="A307" s="302"/>
      <c r="B307" s="271"/>
      <c r="C307" s="302"/>
      <c r="D307" s="160"/>
      <c r="E307" s="302"/>
      <c r="F307" s="123" t="s">
        <v>786</v>
      </c>
      <c r="G307" s="124" t="str">
        <f t="shared" si="456"/>
        <v>A</v>
      </c>
      <c r="H307" s="125"/>
      <c r="I307" s="125"/>
      <c r="J307" s="125">
        <v>25</v>
      </c>
      <c r="K307" s="82">
        <f t="shared" si="454"/>
        <v>0.15</v>
      </c>
      <c r="L307" s="82">
        <v>2.4</v>
      </c>
      <c r="M307" s="82">
        <f t="shared" si="412"/>
        <v>6.8038799999999997E-2</v>
      </c>
      <c r="N307" s="93">
        <v>0</v>
      </c>
      <c r="O307" s="93">
        <v>0</v>
      </c>
      <c r="P307" s="95">
        <f t="shared" si="2"/>
        <v>25</v>
      </c>
      <c r="Q307" s="96">
        <f t="shared" si="461"/>
        <v>31250</v>
      </c>
      <c r="R307" s="96">
        <v>0</v>
      </c>
      <c r="S307" s="97">
        <f t="shared" si="414"/>
        <v>31300</v>
      </c>
      <c r="T307" s="97">
        <f>ROUNDUP(HLOOKUP(ROUNDUP(K307,0),'배송비 조회'!A$10:U$22,7,0)*C$3,-2)</f>
        <v>9000</v>
      </c>
      <c r="U307" s="97">
        <v>0</v>
      </c>
      <c r="V307" s="97">
        <f t="shared" si="457"/>
        <v>16100</v>
      </c>
      <c r="W307" s="97">
        <f t="shared" si="441"/>
        <v>20200</v>
      </c>
      <c r="X307" s="98">
        <f t="shared" si="345"/>
        <v>56400</v>
      </c>
      <c r="Y307" s="98">
        <f t="shared" si="27"/>
        <v>60500</v>
      </c>
      <c r="Z307" s="121">
        <v>0</v>
      </c>
      <c r="AA307" s="121">
        <f t="shared" si="6"/>
        <v>2143.1999999999998</v>
      </c>
      <c r="AB307" s="121">
        <f t="shared" si="7"/>
        <v>1128</v>
      </c>
      <c r="AC307" s="99">
        <f t="shared" si="8"/>
        <v>6050</v>
      </c>
      <c r="AD307" s="121">
        <f t="shared" si="9"/>
        <v>53128.800000000003</v>
      </c>
      <c r="AE307" s="99">
        <f t="shared" si="10"/>
        <v>54450</v>
      </c>
      <c r="AF307" s="121">
        <f t="shared" si="11"/>
        <v>531.28800000000001</v>
      </c>
      <c r="AG307" s="100">
        <f t="shared" si="28"/>
        <v>12347.512000000002</v>
      </c>
      <c r="AH307" s="101">
        <f t="shared" si="29"/>
        <v>13668.712</v>
      </c>
      <c r="AI307" s="102">
        <f t="shared" ref="AI307:AJ307" si="463">AG307/X307</f>
        <v>0.21892751773049648</v>
      </c>
      <c r="AJ307" s="102">
        <f t="shared" si="463"/>
        <v>0.22592912396694215</v>
      </c>
      <c r="AK307" s="103"/>
      <c r="AL307" s="104"/>
      <c r="AM307" s="17"/>
      <c r="AN307" s="17"/>
      <c r="AO307" s="17"/>
      <c r="AP307" s="17"/>
      <c r="AQ307" s="17"/>
      <c r="AR307" s="17"/>
      <c r="AS307" s="17"/>
      <c r="AT307" s="17"/>
      <c r="AU307" s="17"/>
      <c r="AV307" s="17"/>
      <c r="AW307" s="297"/>
    </row>
    <row r="308" spans="1:49" ht="13.2">
      <c r="A308" s="302"/>
      <c r="B308" s="271"/>
      <c r="C308" s="302"/>
      <c r="D308" s="160"/>
      <c r="E308" s="302"/>
      <c r="F308" s="123" t="s">
        <v>787</v>
      </c>
      <c r="G308" s="124" t="str">
        <f t="shared" si="456"/>
        <v>A</v>
      </c>
      <c r="H308" s="125"/>
      <c r="I308" s="125"/>
      <c r="J308" s="125">
        <v>25</v>
      </c>
      <c r="K308" s="82">
        <f t="shared" si="454"/>
        <v>0.15</v>
      </c>
      <c r="L308" s="82">
        <v>2.4</v>
      </c>
      <c r="M308" s="82">
        <f t="shared" si="412"/>
        <v>6.8038799999999997E-2</v>
      </c>
      <c r="N308" s="93">
        <v>0</v>
      </c>
      <c r="O308" s="93">
        <v>0</v>
      </c>
      <c r="P308" s="95">
        <f t="shared" si="2"/>
        <v>25</v>
      </c>
      <c r="Q308" s="96">
        <f t="shared" si="461"/>
        <v>31250</v>
      </c>
      <c r="R308" s="96">
        <v>0</v>
      </c>
      <c r="S308" s="97">
        <f t="shared" si="414"/>
        <v>31300</v>
      </c>
      <c r="T308" s="97">
        <f>ROUNDUP(HLOOKUP(ROUNDUP(K308,0),'배송비 조회'!A$10:U$22,7,0)*C$3,-2)</f>
        <v>9000</v>
      </c>
      <c r="U308" s="97">
        <v>0</v>
      </c>
      <c r="V308" s="97">
        <f t="shared" si="457"/>
        <v>16100</v>
      </c>
      <c r="W308" s="97">
        <f t="shared" si="441"/>
        <v>20200</v>
      </c>
      <c r="X308" s="98">
        <f t="shared" si="345"/>
        <v>56400</v>
      </c>
      <c r="Y308" s="98">
        <f t="shared" si="27"/>
        <v>60500</v>
      </c>
      <c r="Z308" s="121">
        <v>0</v>
      </c>
      <c r="AA308" s="121">
        <f t="shared" si="6"/>
        <v>2143.1999999999998</v>
      </c>
      <c r="AB308" s="121">
        <f t="shared" si="7"/>
        <v>1128</v>
      </c>
      <c r="AC308" s="99">
        <f t="shared" si="8"/>
        <v>6050</v>
      </c>
      <c r="AD308" s="121">
        <f t="shared" si="9"/>
        <v>53128.800000000003</v>
      </c>
      <c r="AE308" s="99">
        <f t="shared" si="10"/>
        <v>54450</v>
      </c>
      <c r="AF308" s="121">
        <f t="shared" si="11"/>
        <v>531.28800000000001</v>
      </c>
      <c r="AG308" s="100">
        <f t="shared" si="28"/>
        <v>12347.512000000002</v>
      </c>
      <c r="AH308" s="101">
        <f t="shared" si="29"/>
        <v>13668.712</v>
      </c>
      <c r="AI308" s="102">
        <f t="shared" ref="AI308:AJ308" si="464">AG308/X308</f>
        <v>0.21892751773049648</v>
      </c>
      <c r="AJ308" s="102">
        <f t="shared" si="464"/>
        <v>0.22592912396694215</v>
      </c>
      <c r="AK308" s="103"/>
      <c r="AL308" s="104"/>
      <c r="AM308" s="17"/>
      <c r="AN308" s="17"/>
      <c r="AO308" s="17"/>
      <c r="AP308" s="17"/>
      <c r="AQ308" s="17"/>
      <c r="AR308" s="17"/>
      <c r="AS308" s="17"/>
      <c r="AT308" s="17"/>
      <c r="AU308" s="17"/>
      <c r="AV308" s="17"/>
      <c r="AW308" s="297"/>
    </row>
    <row r="309" spans="1:49" ht="13.2">
      <c r="A309" s="302"/>
      <c r="B309" s="271"/>
      <c r="C309" s="302"/>
      <c r="D309" s="160"/>
      <c r="E309" s="302"/>
      <c r="F309" s="123" t="s">
        <v>788</v>
      </c>
      <c r="G309" s="124" t="str">
        <f t="shared" si="456"/>
        <v>A</v>
      </c>
      <c r="H309" s="125"/>
      <c r="I309" s="125"/>
      <c r="J309" s="125">
        <v>25</v>
      </c>
      <c r="K309" s="82">
        <f t="shared" si="454"/>
        <v>0.15</v>
      </c>
      <c r="L309" s="82">
        <v>2.4</v>
      </c>
      <c r="M309" s="82">
        <f t="shared" si="412"/>
        <v>6.8038799999999997E-2</v>
      </c>
      <c r="N309" s="93">
        <v>0</v>
      </c>
      <c r="O309" s="93">
        <v>0</v>
      </c>
      <c r="P309" s="95">
        <f t="shared" si="2"/>
        <v>25</v>
      </c>
      <c r="Q309" s="96">
        <f t="shared" si="461"/>
        <v>31250</v>
      </c>
      <c r="R309" s="96">
        <v>0</v>
      </c>
      <c r="S309" s="97">
        <f t="shared" si="414"/>
        <v>31300</v>
      </c>
      <c r="T309" s="97">
        <f>ROUNDUP(HLOOKUP(ROUNDUP(K309,0),'배송비 조회'!A$10:U$22,7,0)*C$3,-2)</f>
        <v>9000</v>
      </c>
      <c r="U309" s="97">
        <v>0</v>
      </c>
      <c r="V309" s="97">
        <f t="shared" si="457"/>
        <v>16100</v>
      </c>
      <c r="W309" s="97">
        <f t="shared" si="441"/>
        <v>20200</v>
      </c>
      <c r="X309" s="98">
        <f t="shared" si="345"/>
        <v>56400</v>
      </c>
      <c r="Y309" s="98">
        <f t="shared" si="27"/>
        <v>60500</v>
      </c>
      <c r="Z309" s="121">
        <v>0</v>
      </c>
      <c r="AA309" s="121">
        <f t="shared" si="6"/>
        <v>2143.1999999999998</v>
      </c>
      <c r="AB309" s="121">
        <f t="shared" si="7"/>
        <v>1128</v>
      </c>
      <c r="AC309" s="99">
        <f t="shared" si="8"/>
        <v>6050</v>
      </c>
      <c r="AD309" s="121">
        <f t="shared" si="9"/>
        <v>53128.800000000003</v>
      </c>
      <c r="AE309" s="99">
        <f t="shared" si="10"/>
        <v>54450</v>
      </c>
      <c r="AF309" s="121">
        <f t="shared" si="11"/>
        <v>531.28800000000001</v>
      </c>
      <c r="AG309" s="100">
        <f t="shared" si="28"/>
        <v>12347.512000000002</v>
      </c>
      <c r="AH309" s="101">
        <f t="shared" si="29"/>
        <v>13668.712</v>
      </c>
      <c r="AI309" s="102">
        <f t="shared" ref="AI309:AJ309" si="465">AG309/X309</f>
        <v>0.21892751773049648</v>
      </c>
      <c r="AJ309" s="102">
        <f t="shared" si="465"/>
        <v>0.22592912396694215</v>
      </c>
      <c r="AK309" s="103"/>
      <c r="AL309" s="104"/>
      <c r="AM309" s="17"/>
      <c r="AN309" s="17"/>
      <c r="AO309" s="17"/>
      <c r="AP309" s="17"/>
      <c r="AQ309" s="17"/>
      <c r="AR309" s="17"/>
      <c r="AS309" s="17"/>
      <c r="AT309" s="17"/>
      <c r="AU309" s="17"/>
      <c r="AV309" s="17"/>
      <c r="AW309" s="297"/>
    </row>
    <row r="310" spans="1:49" ht="13.2">
      <c r="A310" s="302"/>
      <c r="B310" s="271"/>
      <c r="C310" s="302"/>
      <c r="D310" s="160"/>
      <c r="E310" s="302"/>
      <c r="F310" s="123" t="s">
        <v>789</v>
      </c>
      <c r="G310" s="124" t="str">
        <f t="shared" si="456"/>
        <v>A</v>
      </c>
      <c r="H310" s="125"/>
      <c r="I310" s="125"/>
      <c r="J310" s="125">
        <v>25</v>
      </c>
      <c r="K310" s="82">
        <f t="shared" si="454"/>
        <v>0.15</v>
      </c>
      <c r="L310" s="82">
        <v>2.4</v>
      </c>
      <c r="M310" s="82">
        <f t="shared" si="412"/>
        <v>6.8038799999999997E-2</v>
      </c>
      <c r="N310" s="93">
        <v>0</v>
      </c>
      <c r="O310" s="93">
        <v>0</v>
      </c>
      <c r="P310" s="95">
        <f t="shared" si="2"/>
        <v>25</v>
      </c>
      <c r="Q310" s="96">
        <f t="shared" si="461"/>
        <v>31250</v>
      </c>
      <c r="R310" s="96">
        <v>0</v>
      </c>
      <c r="S310" s="97">
        <f t="shared" si="414"/>
        <v>31300</v>
      </c>
      <c r="T310" s="97">
        <f>ROUNDUP(HLOOKUP(ROUNDUP(K310,0),'배송비 조회'!A$10:U$22,7,0)*C$3,-2)</f>
        <v>9000</v>
      </c>
      <c r="U310" s="97">
        <v>0</v>
      </c>
      <c r="V310" s="97">
        <f t="shared" si="457"/>
        <v>16100</v>
      </c>
      <c r="W310" s="97">
        <f t="shared" si="441"/>
        <v>20200</v>
      </c>
      <c r="X310" s="98">
        <f t="shared" si="345"/>
        <v>56400</v>
      </c>
      <c r="Y310" s="98">
        <f t="shared" si="27"/>
        <v>60500</v>
      </c>
      <c r="Z310" s="121">
        <v>0</v>
      </c>
      <c r="AA310" s="121">
        <f t="shared" si="6"/>
        <v>2143.1999999999998</v>
      </c>
      <c r="AB310" s="121">
        <f t="shared" si="7"/>
        <v>1128</v>
      </c>
      <c r="AC310" s="99">
        <f t="shared" si="8"/>
        <v>6050</v>
      </c>
      <c r="AD310" s="121">
        <f t="shared" si="9"/>
        <v>53128.800000000003</v>
      </c>
      <c r="AE310" s="99">
        <f t="shared" si="10"/>
        <v>54450</v>
      </c>
      <c r="AF310" s="121">
        <f t="shared" si="11"/>
        <v>531.28800000000001</v>
      </c>
      <c r="AG310" s="100">
        <f t="shared" si="28"/>
        <v>12347.512000000002</v>
      </c>
      <c r="AH310" s="101">
        <f t="shared" si="29"/>
        <v>13668.712</v>
      </c>
      <c r="AI310" s="102">
        <f t="shared" ref="AI310:AJ310" si="466">AG310/X310</f>
        <v>0.21892751773049648</v>
      </c>
      <c r="AJ310" s="102">
        <f t="shared" si="466"/>
        <v>0.22592912396694215</v>
      </c>
      <c r="AK310" s="103"/>
      <c r="AL310" s="104"/>
      <c r="AM310" s="17"/>
      <c r="AN310" s="17"/>
      <c r="AO310" s="17"/>
      <c r="AP310" s="17"/>
      <c r="AQ310" s="17"/>
      <c r="AR310" s="17"/>
      <c r="AS310" s="17"/>
      <c r="AT310" s="17"/>
      <c r="AU310" s="17"/>
      <c r="AV310" s="17"/>
      <c r="AW310" s="297"/>
    </row>
    <row r="311" spans="1:49" ht="13.2">
      <c r="A311" s="159">
        <f>HYPERLINK("https://smartstore.naver.com/brickstore2019/products/4666568128",AW:AW)</f>
        <v>4666568128</v>
      </c>
      <c r="B311" s="271"/>
      <c r="C311" s="160" t="s">
        <v>790</v>
      </c>
      <c r="D311" s="160"/>
      <c r="E311" s="160" t="s">
        <v>791</v>
      </c>
      <c r="F311" s="123" t="s">
        <v>792</v>
      </c>
      <c r="G311" s="124" t="str">
        <f>HYPERLINK("https://www.amazon.com/ThinOptics-Manhattan-anodized-aluminum-magnetic/dp/B07FL3166Q?ref_=ast_sto_dp&amp;th=1&amp;psc=1","A")</f>
        <v>A</v>
      </c>
      <c r="H311" s="125"/>
      <c r="I311" s="125"/>
      <c r="J311" s="125">
        <v>50</v>
      </c>
      <c r="K311" s="82">
        <f t="shared" si="454"/>
        <v>0.25</v>
      </c>
      <c r="L311" s="82">
        <v>4</v>
      </c>
      <c r="M311" s="82">
        <f t="shared" si="412"/>
        <v>0.113398</v>
      </c>
      <c r="N311" s="93">
        <v>0</v>
      </c>
      <c r="O311" s="93">
        <v>0</v>
      </c>
      <c r="P311" s="95">
        <f t="shared" si="2"/>
        <v>50</v>
      </c>
      <c r="Q311" s="96">
        <f t="shared" si="461"/>
        <v>62500</v>
      </c>
      <c r="R311" s="96">
        <v>0</v>
      </c>
      <c r="S311" s="97">
        <f t="shared" si="414"/>
        <v>62500</v>
      </c>
      <c r="T311" s="97">
        <f>ROUNDUP(HLOOKUP(ROUNDUP(K311,0),'배송비 조회'!A$10:U$22,7,0)*C$3,-2)</f>
        <v>9000</v>
      </c>
      <c r="U311" s="97">
        <v>0</v>
      </c>
      <c r="V311" s="97">
        <f>ROUND(IF(R311&gt;0,0,(S311+T311)*0.3),-2)</f>
        <v>21500</v>
      </c>
      <c r="W311" s="97">
        <f t="shared" si="441"/>
        <v>35800</v>
      </c>
      <c r="X311" s="98">
        <f t="shared" si="345"/>
        <v>93000</v>
      </c>
      <c r="Y311" s="98">
        <f t="shared" si="27"/>
        <v>107300</v>
      </c>
      <c r="Z311" s="121">
        <v>0</v>
      </c>
      <c r="AA311" s="121">
        <f t="shared" si="6"/>
        <v>3534</v>
      </c>
      <c r="AB311" s="121">
        <f t="shared" si="7"/>
        <v>1860</v>
      </c>
      <c r="AC311" s="99">
        <f t="shared" si="8"/>
        <v>10730</v>
      </c>
      <c r="AD311" s="121">
        <f t="shared" si="9"/>
        <v>87606</v>
      </c>
      <c r="AE311" s="99">
        <f t="shared" si="10"/>
        <v>96570</v>
      </c>
      <c r="AF311" s="121">
        <f t="shared" si="11"/>
        <v>876.06000000000006</v>
      </c>
      <c r="AG311" s="100">
        <f t="shared" si="28"/>
        <v>15229.939999999999</v>
      </c>
      <c r="AH311" s="101">
        <f t="shared" si="29"/>
        <v>24193.940000000002</v>
      </c>
      <c r="AI311" s="102">
        <f t="shared" ref="AI311:AJ311" si="467">AG311/X311</f>
        <v>0.16376279569892471</v>
      </c>
      <c r="AJ311" s="102">
        <f t="shared" si="467"/>
        <v>0.22547940354147253</v>
      </c>
      <c r="AK311" s="103"/>
      <c r="AL311" s="104"/>
      <c r="AM311" s="17"/>
      <c r="AN311" s="17"/>
      <c r="AO311" s="17"/>
      <c r="AP311" s="17"/>
      <c r="AQ311" s="17"/>
      <c r="AR311" s="17"/>
      <c r="AS311" s="17"/>
      <c r="AT311" s="17"/>
      <c r="AU311" s="17"/>
      <c r="AV311" s="17"/>
      <c r="AW311" s="22">
        <v>4666568128</v>
      </c>
    </row>
    <row r="312" spans="1:49" ht="13.2">
      <c r="A312" s="303">
        <f>HYPERLINK("https://smartstore.naver.com/brickstore2019/products/4668334527",AW:AW)</f>
        <v>4668334527</v>
      </c>
      <c r="B312" s="266"/>
      <c r="C312" s="304" t="s">
        <v>793</v>
      </c>
      <c r="D312" s="117"/>
      <c r="E312" s="304" t="s">
        <v>794</v>
      </c>
      <c r="F312" s="123" t="s">
        <v>795</v>
      </c>
      <c r="G312" s="124" t="str">
        <f>HYPERLINK("https://www.amazon.com/Titleist-Mens-Snapback-Black-Charcoal/dp/B07PYYQY5M/ref=sr_1_6?crid=2SI3UC8J34K6J&amp;keywords=titleist%2Bhat&amp;qid=1568210955&amp;refinements=p_72%3A2661618011&amp;rnid=2661617011&amp;s=gateway&amp;sprefix=title%2Caps%2C322&amp;sr=8-6&amp;th=1","A")</f>
        <v>A</v>
      </c>
      <c r="H312" s="125"/>
      <c r="I312" s="125"/>
      <c r="J312" s="125">
        <v>30</v>
      </c>
      <c r="K312" s="82">
        <f t="shared" si="454"/>
        <v>0.25</v>
      </c>
      <c r="L312" s="82">
        <v>4</v>
      </c>
      <c r="M312" s="82">
        <f t="shared" si="412"/>
        <v>0.113398</v>
      </c>
      <c r="N312" s="93">
        <v>0</v>
      </c>
      <c r="O312" s="93">
        <v>0</v>
      </c>
      <c r="P312" s="95">
        <f t="shared" si="2"/>
        <v>30</v>
      </c>
      <c r="Q312" s="96">
        <f t="shared" si="461"/>
        <v>37500</v>
      </c>
      <c r="R312" s="96">
        <v>0</v>
      </c>
      <c r="S312" s="97">
        <f t="shared" si="414"/>
        <v>37500</v>
      </c>
      <c r="T312" s="97">
        <f>ROUNDUP(HLOOKUP(ROUNDUP(K312,0),'배송비 조회'!A$10:U$22,7,0)*C$3,-2)</f>
        <v>9000</v>
      </c>
      <c r="U312" s="97">
        <v>0</v>
      </c>
      <c r="V312" s="97">
        <f t="shared" ref="V312:V314" si="468">ROUND(IF(R312&gt;0,0,(S312+T312)*0.4),-2)</f>
        <v>18600</v>
      </c>
      <c r="W312" s="97">
        <f t="shared" si="441"/>
        <v>23300</v>
      </c>
      <c r="X312" s="98">
        <f t="shared" si="345"/>
        <v>65100</v>
      </c>
      <c r="Y312" s="98">
        <f t="shared" si="27"/>
        <v>69800</v>
      </c>
      <c r="Z312" s="121">
        <v>0</v>
      </c>
      <c r="AA312" s="121">
        <f t="shared" si="6"/>
        <v>2473.7999999999997</v>
      </c>
      <c r="AB312" s="121">
        <f t="shared" si="7"/>
        <v>1302</v>
      </c>
      <c r="AC312" s="99">
        <f t="shared" si="8"/>
        <v>6980</v>
      </c>
      <c r="AD312" s="121">
        <f t="shared" si="9"/>
        <v>61324.2</v>
      </c>
      <c r="AE312" s="99">
        <f t="shared" si="10"/>
        <v>62820</v>
      </c>
      <c r="AF312" s="121">
        <f t="shared" si="11"/>
        <v>613.24199999999996</v>
      </c>
      <c r="AG312" s="100">
        <f t="shared" si="28"/>
        <v>14210.957999999999</v>
      </c>
      <c r="AH312" s="101">
        <f t="shared" si="29"/>
        <v>15706.758000000002</v>
      </c>
      <c r="AI312" s="102">
        <f t="shared" ref="AI312:AJ312" si="469">AG312/X312</f>
        <v>0.21829428571428569</v>
      </c>
      <c r="AJ312" s="102">
        <f t="shared" si="469"/>
        <v>0.22502518624641837</v>
      </c>
      <c r="AK312" s="103"/>
      <c r="AL312" s="104"/>
      <c r="AM312" s="17"/>
      <c r="AN312" s="17"/>
      <c r="AO312" s="17"/>
      <c r="AP312" s="17"/>
      <c r="AQ312" s="17"/>
      <c r="AR312" s="17"/>
      <c r="AS312" s="17"/>
      <c r="AT312" s="17"/>
      <c r="AU312" s="17"/>
      <c r="AV312" s="17"/>
      <c r="AW312" s="296">
        <v>4668334527</v>
      </c>
    </row>
    <row r="313" spans="1:49" ht="13.2">
      <c r="A313" s="302"/>
      <c r="B313" s="266"/>
      <c r="C313" s="302"/>
      <c r="D313" s="117"/>
      <c r="E313" s="302"/>
      <c r="F313" s="123" t="s">
        <v>747</v>
      </c>
      <c r="G313" s="124" t="str">
        <f>HYPERLINK("https://www.amazon.com/Titleist-Mens-Snapback-Black-Charcoal/dp/B07PVQJF6P/ref=sr_1_6?crid=2SI3UC8J34K6J&amp;keywords=titleist%2Bhat&amp;qid=1568210955&amp;refinements=p_72%3A2661618011&amp;rnid=2661617011&amp;s=gateway&amp;sprefix=title%2Caps%2C322&amp;sr=8-6&amp;th=1","A")</f>
        <v>A</v>
      </c>
      <c r="H313" s="110" t="s">
        <v>60</v>
      </c>
      <c r="I313" s="110"/>
      <c r="J313" s="125">
        <v>30</v>
      </c>
      <c r="K313" s="82">
        <f t="shared" si="454"/>
        <v>0.25</v>
      </c>
      <c r="L313" s="82">
        <v>4</v>
      </c>
      <c r="M313" s="82">
        <f t="shared" si="412"/>
        <v>0.113398</v>
      </c>
      <c r="N313" s="93">
        <v>0</v>
      </c>
      <c r="O313" s="93">
        <v>0</v>
      </c>
      <c r="P313" s="95">
        <f t="shared" si="2"/>
        <v>30</v>
      </c>
      <c r="Q313" s="96">
        <f t="shared" si="461"/>
        <v>37500</v>
      </c>
      <c r="R313" s="96">
        <v>0</v>
      </c>
      <c r="S313" s="97">
        <f t="shared" si="414"/>
        <v>37500</v>
      </c>
      <c r="T313" s="97">
        <f>ROUNDUP(HLOOKUP(ROUNDUP(K313,0),'배송비 조회'!A$10:U$22,7,0)*C$3,-2)</f>
        <v>9000</v>
      </c>
      <c r="U313" s="97">
        <v>0</v>
      </c>
      <c r="V313" s="97">
        <f t="shared" si="468"/>
        <v>18600</v>
      </c>
      <c r="W313" s="97">
        <f t="shared" si="441"/>
        <v>23300</v>
      </c>
      <c r="X313" s="98">
        <f t="shared" si="345"/>
        <v>65100</v>
      </c>
      <c r="Y313" s="98">
        <f t="shared" si="27"/>
        <v>69800</v>
      </c>
      <c r="Z313" s="121">
        <v>0</v>
      </c>
      <c r="AA313" s="121">
        <f t="shared" si="6"/>
        <v>2473.7999999999997</v>
      </c>
      <c r="AB313" s="121">
        <f t="shared" si="7"/>
        <v>1302</v>
      </c>
      <c r="AC313" s="99">
        <f t="shared" si="8"/>
        <v>6980</v>
      </c>
      <c r="AD313" s="121">
        <f t="shared" si="9"/>
        <v>61324.2</v>
      </c>
      <c r="AE313" s="99">
        <f t="shared" si="10"/>
        <v>62820</v>
      </c>
      <c r="AF313" s="121">
        <f t="shared" si="11"/>
        <v>613.24199999999996</v>
      </c>
      <c r="AG313" s="100">
        <f t="shared" si="28"/>
        <v>14210.957999999999</v>
      </c>
      <c r="AH313" s="101">
        <f t="shared" si="29"/>
        <v>15706.758000000002</v>
      </c>
      <c r="AI313" s="102">
        <f t="shared" ref="AI313:AJ313" si="470">AG313/X313</f>
        <v>0.21829428571428569</v>
      </c>
      <c r="AJ313" s="102">
        <f t="shared" si="470"/>
        <v>0.22502518624641837</v>
      </c>
      <c r="AK313" s="103"/>
      <c r="AL313" s="104"/>
      <c r="AM313" s="17"/>
      <c r="AN313" s="17"/>
      <c r="AO313" s="17"/>
      <c r="AP313" s="17"/>
      <c r="AQ313" s="17"/>
      <c r="AR313" s="17"/>
      <c r="AS313" s="17"/>
      <c r="AT313" s="17"/>
      <c r="AU313" s="17"/>
      <c r="AV313" s="17"/>
      <c r="AW313" s="297"/>
    </row>
    <row r="314" spans="1:49" ht="13.2">
      <c r="A314" s="119">
        <f>HYPERLINK("https://smartstore.naver.com/brickstore2019/products/4668374383",AW:AW)</f>
        <v>4668374383</v>
      </c>
      <c r="B314" s="266"/>
      <c r="C314" s="117" t="s">
        <v>796</v>
      </c>
      <c r="D314" s="117"/>
      <c r="E314" s="117" t="s">
        <v>797</v>
      </c>
      <c r="F314" s="123"/>
      <c r="G314" s="124" t="str">
        <f>HYPERLINK("https://www.amazon.com/SHAVA-Bluetooth-Portable-Speakerphone-Supported/dp/B01IEIRFAW/ref=sr_1_131?keywords=BLUETOOTH+SPEAKER&amp;qid=1567859937&amp;s=gateway&amp;sr=8-131","A")</f>
        <v>A</v>
      </c>
      <c r="H314" s="125"/>
      <c r="I314" s="125"/>
      <c r="J314" s="93">
        <v>30</v>
      </c>
      <c r="K314" s="82">
        <v>2</v>
      </c>
      <c r="L314" s="82">
        <v>15.2</v>
      </c>
      <c r="M314" s="82">
        <f t="shared" si="412"/>
        <v>0.90718399999999999</v>
      </c>
      <c r="N314" s="93">
        <v>0</v>
      </c>
      <c r="O314" s="93">
        <v>0</v>
      </c>
      <c r="P314" s="95">
        <f t="shared" si="2"/>
        <v>30</v>
      </c>
      <c r="Q314" s="96">
        <f t="shared" si="461"/>
        <v>37500</v>
      </c>
      <c r="R314" s="96">
        <v>0</v>
      </c>
      <c r="S314" s="97">
        <f t="shared" si="414"/>
        <v>37500</v>
      </c>
      <c r="T314" s="97">
        <f>ROUNDUP(HLOOKUP(ROUNDUP(K314,0),'배송비 조회'!A$10:U$22,7,0)*C$3,-2)</f>
        <v>11200</v>
      </c>
      <c r="U314" s="97">
        <v>0</v>
      </c>
      <c r="V314" s="97">
        <f t="shared" si="468"/>
        <v>19500</v>
      </c>
      <c r="W314" s="97">
        <f t="shared" si="441"/>
        <v>24400</v>
      </c>
      <c r="X314" s="98">
        <f t="shared" si="345"/>
        <v>68200</v>
      </c>
      <c r="Y314" s="98">
        <f t="shared" si="27"/>
        <v>73100</v>
      </c>
      <c r="Z314" s="121">
        <v>0</v>
      </c>
      <c r="AA314" s="121">
        <f t="shared" si="6"/>
        <v>2591.6</v>
      </c>
      <c r="AB314" s="121">
        <f t="shared" si="7"/>
        <v>1364</v>
      </c>
      <c r="AC314" s="99">
        <f t="shared" si="8"/>
        <v>7310</v>
      </c>
      <c r="AD314" s="121">
        <f t="shared" si="9"/>
        <v>64244.399999999994</v>
      </c>
      <c r="AE314" s="99">
        <f t="shared" si="10"/>
        <v>65790</v>
      </c>
      <c r="AF314" s="121">
        <f t="shared" si="11"/>
        <v>642.44399999999996</v>
      </c>
      <c r="AG314" s="100">
        <f t="shared" si="28"/>
        <v>14901.955999999995</v>
      </c>
      <c r="AH314" s="101">
        <f t="shared" si="29"/>
        <v>16447.556</v>
      </c>
      <c r="AI314" s="102">
        <f t="shared" ref="AI314:AJ314" si="471">AG314/X314</f>
        <v>0.21850375366568908</v>
      </c>
      <c r="AJ314" s="102">
        <f t="shared" si="471"/>
        <v>0.22500076607387143</v>
      </c>
      <c r="AK314" s="103"/>
      <c r="AL314" s="104"/>
      <c r="AM314" s="17"/>
      <c r="AN314" s="17"/>
      <c r="AO314" s="17"/>
      <c r="AP314" s="17"/>
      <c r="AQ314" s="17"/>
      <c r="AR314" s="17"/>
      <c r="AS314" s="17"/>
      <c r="AT314" s="17"/>
      <c r="AU314" s="17"/>
      <c r="AV314" s="17"/>
      <c r="AW314" s="22">
        <v>4668374383</v>
      </c>
    </row>
    <row r="315" spans="1:49" ht="13.2">
      <c r="A315" s="105">
        <f>HYPERLINK("https://smartstore.naver.com/brickstore2019/products/4668422508",AW:AW)</f>
        <v>4668422508</v>
      </c>
      <c r="B315" s="263"/>
      <c r="C315" s="107" t="s">
        <v>798</v>
      </c>
      <c r="D315" s="107"/>
      <c r="E315" s="107" t="s">
        <v>799</v>
      </c>
      <c r="F315" s="189"/>
      <c r="G315" s="259" t="s">
        <v>1293</v>
      </c>
      <c r="H315" s="110" t="s">
        <v>60</v>
      </c>
      <c r="I315" s="110"/>
      <c r="J315" s="125">
        <v>32</v>
      </c>
      <c r="K315" s="82">
        <v>2.7</v>
      </c>
      <c r="L315" s="82">
        <f>IF(K315&gt;0,K315*16,)</f>
        <v>43.2</v>
      </c>
      <c r="M315" s="82">
        <f t="shared" si="412"/>
        <v>1.2246984000000001</v>
      </c>
      <c r="N315" s="93">
        <v>0</v>
      </c>
      <c r="O315" s="93">
        <v>0</v>
      </c>
      <c r="P315" s="95">
        <f t="shared" si="2"/>
        <v>32</v>
      </c>
      <c r="Q315" s="96">
        <f t="shared" si="461"/>
        <v>40000</v>
      </c>
      <c r="R315" s="96">
        <v>0</v>
      </c>
      <c r="S315" s="97">
        <f t="shared" si="414"/>
        <v>40000</v>
      </c>
      <c r="T315" s="97">
        <f>ROUNDUP(HLOOKUP(ROUNDUP(K315,0),'배송비 조회'!A$10:U$22,7,0)*C$3,-2)</f>
        <v>13400</v>
      </c>
      <c r="U315" s="97">
        <v>0</v>
      </c>
      <c r="V315" s="97">
        <f>ROUND(IF(R315&gt;0,0,(S315+T315)*0.3),-2)</f>
        <v>16000</v>
      </c>
      <c r="W315" s="97">
        <f t="shared" si="441"/>
        <v>26700</v>
      </c>
      <c r="X315" s="98">
        <f t="shared" si="345"/>
        <v>69400</v>
      </c>
      <c r="Y315" s="98">
        <f t="shared" si="27"/>
        <v>80100</v>
      </c>
      <c r="Z315" s="121">
        <v>0</v>
      </c>
      <c r="AA315" s="121">
        <f t="shared" si="6"/>
        <v>2637.2</v>
      </c>
      <c r="AB315" s="121">
        <f t="shared" si="7"/>
        <v>1388</v>
      </c>
      <c r="AC315" s="99">
        <f t="shared" si="8"/>
        <v>8010</v>
      </c>
      <c r="AD315" s="121">
        <f t="shared" si="9"/>
        <v>65374.8</v>
      </c>
      <c r="AE315" s="99">
        <f t="shared" si="10"/>
        <v>72090</v>
      </c>
      <c r="AF315" s="121">
        <f t="shared" si="11"/>
        <v>653.74800000000005</v>
      </c>
      <c r="AG315" s="100">
        <f t="shared" si="28"/>
        <v>11321.052000000003</v>
      </c>
      <c r="AH315" s="101">
        <f t="shared" si="29"/>
        <v>18036.252</v>
      </c>
      <c r="AI315" s="102">
        <f t="shared" ref="AI315:AJ315" si="472">AG315/X315</f>
        <v>0.1631275504322767</v>
      </c>
      <c r="AJ315" s="102">
        <f t="shared" si="472"/>
        <v>0.22517168539325844</v>
      </c>
      <c r="AK315" s="103"/>
      <c r="AL315" s="104"/>
      <c r="AM315" s="17"/>
      <c r="AN315" s="17"/>
      <c r="AO315" s="17"/>
      <c r="AP315" s="17"/>
      <c r="AQ315" s="17"/>
      <c r="AR315" s="17"/>
      <c r="AS315" s="17"/>
      <c r="AT315" s="17"/>
      <c r="AU315" s="17"/>
      <c r="AV315" s="17"/>
      <c r="AW315" s="22">
        <v>4668422508</v>
      </c>
    </row>
    <row r="316" spans="1:49" ht="13.2">
      <c r="A316" s="303">
        <f>HYPERLINK("https://smartstore.naver.com/brickstore2019/products/4668882624",AW:AW)</f>
        <v>4668882624</v>
      </c>
      <c r="B316" s="266"/>
      <c r="C316" s="304" t="s">
        <v>800</v>
      </c>
      <c r="D316" s="117"/>
      <c r="E316" s="304" t="s">
        <v>801</v>
      </c>
      <c r="F316" s="123" t="s">
        <v>580</v>
      </c>
      <c r="G316" s="157" t="str">
        <f>HYPERLINK("https://www.amazon.com/dp/B07TH7CPTN/ref=twister_B07T8TRQ43?_encoding=UTF8&amp;psc=1","A")</f>
        <v>A</v>
      </c>
      <c r="H316" s="125"/>
      <c r="I316" s="125"/>
      <c r="J316" s="125">
        <v>20</v>
      </c>
      <c r="K316" s="82">
        <f t="shared" ref="K316:K317" si="473">IF(L316&gt;0,L316*0.0625,)</f>
        <v>0.7</v>
      </c>
      <c r="L316" s="82">
        <v>11.2</v>
      </c>
      <c r="M316" s="82">
        <f t="shared" si="412"/>
        <v>0.31751439999999997</v>
      </c>
      <c r="N316" s="93">
        <v>0</v>
      </c>
      <c r="O316" s="93">
        <v>0</v>
      </c>
      <c r="P316" s="95">
        <f t="shared" si="2"/>
        <v>20</v>
      </c>
      <c r="Q316" s="96">
        <f t="shared" si="461"/>
        <v>25000</v>
      </c>
      <c r="R316" s="96">
        <v>0</v>
      </c>
      <c r="S316" s="97">
        <f t="shared" si="414"/>
        <v>25000</v>
      </c>
      <c r="T316" s="97">
        <f>ROUNDUP(HLOOKUP(ROUNDUP(K316,0),'배송비 조회'!A$10:U$22,7,0)*C$3,-2)</f>
        <v>9000</v>
      </c>
      <c r="U316" s="97">
        <v>0</v>
      </c>
      <c r="V316" s="97">
        <f t="shared" ref="V316:V317" si="474">ROUND(IF(R316&gt;0,0,(S316+T316)*0.4),-2)</f>
        <v>13600</v>
      </c>
      <c r="W316" s="97">
        <f t="shared" si="441"/>
        <v>17000</v>
      </c>
      <c r="X316" s="98">
        <f t="shared" si="345"/>
        <v>47600</v>
      </c>
      <c r="Y316" s="98">
        <f t="shared" si="27"/>
        <v>51000</v>
      </c>
      <c r="Z316" s="121">
        <v>0</v>
      </c>
      <c r="AA316" s="121">
        <f t="shared" si="6"/>
        <v>1808.8</v>
      </c>
      <c r="AB316" s="121">
        <f t="shared" si="7"/>
        <v>952</v>
      </c>
      <c r="AC316" s="99">
        <f t="shared" si="8"/>
        <v>5100</v>
      </c>
      <c r="AD316" s="121">
        <f t="shared" si="9"/>
        <v>44839.199999999997</v>
      </c>
      <c r="AE316" s="99">
        <f t="shared" si="10"/>
        <v>45900</v>
      </c>
      <c r="AF316" s="121">
        <f t="shared" si="11"/>
        <v>448.392</v>
      </c>
      <c r="AG316" s="100">
        <f t="shared" si="28"/>
        <v>10390.807999999997</v>
      </c>
      <c r="AH316" s="101">
        <f t="shared" si="29"/>
        <v>11451.608</v>
      </c>
      <c r="AI316" s="102">
        <f t="shared" ref="AI316:AJ316" si="475">AG316/X316</f>
        <v>0.21829428571428566</v>
      </c>
      <c r="AJ316" s="102">
        <f t="shared" si="475"/>
        <v>0.22454133333333334</v>
      </c>
      <c r="AK316" s="103"/>
      <c r="AL316" s="104"/>
      <c r="AM316" s="17"/>
      <c r="AN316" s="17"/>
      <c r="AO316" s="17"/>
      <c r="AP316" s="17"/>
      <c r="AQ316" s="17"/>
      <c r="AR316" s="17"/>
      <c r="AS316" s="17"/>
      <c r="AT316" s="17"/>
      <c r="AU316" s="17"/>
      <c r="AV316" s="17"/>
      <c r="AW316" s="296">
        <v>4668882624</v>
      </c>
    </row>
    <row r="317" spans="1:49" ht="13.2">
      <c r="A317" s="302"/>
      <c r="B317" s="266"/>
      <c r="C317" s="302"/>
      <c r="D317" s="117"/>
      <c r="E317" s="302"/>
      <c r="F317" s="123" t="s">
        <v>577</v>
      </c>
      <c r="G317" s="157" t="str">
        <f>HYPERLINK("https://www.amazon.com/Drawing-Writing-Colorful-Electronic-Adults%EF%BC%88Blue%EF%BC%89/dp/B07TC171Z9/ref=zg_bsnr_electronics_51?_encoding=UTF8&amp;refRID=JFBSPXJN7AGC6R3E1EJ4&amp;th=1","A")</f>
        <v>A</v>
      </c>
      <c r="H317" s="125"/>
      <c r="I317" s="125"/>
      <c r="J317" s="125">
        <v>20</v>
      </c>
      <c r="K317" s="82">
        <f t="shared" si="473"/>
        <v>0.7</v>
      </c>
      <c r="L317" s="82">
        <v>11.2</v>
      </c>
      <c r="M317" s="82">
        <f t="shared" si="412"/>
        <v>0.31751439999999997</v>
      </c>
      <c r="N317" s="93">
        <v>0</v>
      </c>
      <c r="O317" s="93">
        <v>0</v>
      </c>
      <c r="P317" s="95">
        <f t="shared" si="2"/>
        <v>20</v>
      </c>
      <c r="Q317" s="96">
        <f t="shared" si="461"/>
        <v>25000</v>
      </c>
      <c r="R317" s="96">
        <v>0</v>
      </c>
      <c r="S317" s="97">
        <f t="shared" si="414"/>
        <v>25000</v>
      </c>
      <c r="T317" s="97">
        <f>ROUNDUP(HLOOKUP(ROUNDUP(K317,0),'배송비 조회'!A$10:U$22,7,0)*C$3,-2)</f>
        <v>9000</v>
      </c>
      <c r="U317" s="97">
        <v>0</v>
      </c>
      <c r="V317" s="97">
        <f t="shared" si="474"/>
        <v>13600</v>
      </c>
      <c r="W317" s="97">
        <f t="shared" si="441"/>
        <v>17000</v>
      </c>
      <c r="X317" s="98">
        <f t="shared" si="345"/>
        <v>47600</v>
      </c>
      <c r="Y317" s="98">
        <f t="shared" si="27"/>
        <v>51000</v>
      </c>
      <c r="Z317" s="121">
        <v>0</v>
      </c>
      <c r="AA317" s="121">
        <f t="shared" si="6"/>
        <v>1808.8</v>
      </c>
      <c r="AB317" s="121">
        <f t="shared" si="7"/>
        <v>952</v>
      </c>
      <c r="AC317" s="99">
        <f t="shared" si="8"/>
        <v>5100</v>
      </c>
      <c r="AD317" s="121">
        <f t="shared" si="9"/>
        <v>44839.199999999997</v>
      </c>
      <c r="AE317" s="99">
        <f t="shared" si="10"/>
        <v>45900</v>
      </c>
      <c r="AF317" s="121">
        <f t="shared" si="11"/>
        <v>448.392</v>
      </c>
      <c r="AG317" s="100">
        <f t="shared" si="28"/>
        <v>10390.807999999997</v>
      </c>
      <c r="AH317" s="101">
        <f t="shared" si="29"/>
        <v>11451.608</v>
      </c>
      <c r="AI317" s="102">
        <f t="shared" ref="AI317:AJ317" si="476">AG317/X317</f>
        <v>0.21829428571428566</v>
      </c>
      <c r="AJ317" s="102">
        <f t="shared" si="476"/>
        <v>0.22454133333333334</v>
      </c>
      <c r="AK317" s="103"/>
      <c r="AL317" s="104"/>
      <c r="AM317" s="17"/>
      <c r="AN317" s="17"/>
      <c r="AO317" s="17"/>
      <c r="AP317" s="17"/>
      <c r="AQ317" s="17"/>
      <c r="AR317" s="17"/>
      <c r="AS317" s="17"/>
      <c r="AT317" s="17"/>
      <c r="AU317" s="17"/>
      <c r="AV317" s="17"/>
      <c r="AW317" s="297"/>
    </row>
    <row r="318" spans="1:49" ht="13.2">
      <c r="A318" s="303">
        <f>HYPERLINK("https://smartstore.naver.com/brickstore2019/products/4668936446",AW:AW)</f>
        <v>4668936446</v>
      </c>
      <c r="B318" s="276"/>
      <c r="C318" s="304" t="s">
        <v>802</v>
      </c>
      <c r="D318" s="117"/>
      <c r="E318" s="304" t="s">
        <v>803</v>
      </c>
      <c r="F318" s="123" t="s">
        <v>55</v>
      </c>
      <c r="G318" s="218" t="s">
        <v>1293</v>
      </c>
      <c r="H318" s="125"/>
      <c r="I318" s="125"/>
      <c r="J318" s="125">
        <v>52</v>
      </c>
      <c r="K318" s="82">
        <v>2.15</v>
      </c>
      <c r="L318" s="82">
        <f t="shared" ref="L318:L321" si="477">IF(K318&gt;0,K318*16,)</f>
        <v>34.4</v>
      </c>
      <c r="M318" s="82">
        <f t="shared" si="412"/>
        <v>0.97522279999999995</v>
      </c>
      <c r="N318" s="93">
        <v>0</v>
      </c>
      <c r="O318" s="93">
        <v>0</v>
      </c>
      <c r="P318" s="95">
        <f t="shared" si="2"/>
        <v>52</v>
      </c>
      <c r="Q318" s="96">
        <f t="shared" si="461"/>
        <v>65000</v>
      </c>
      <c r="R318" s="96">
        <v>0</v>
      </c>
      <c r="S318" s="97">
        <f t="shared" si="414"/>
        <v>65000</v>
      </c>
      <c r="T318" s="97">
        <f>ROUNDUP(HLOOKUP(ROUNDUP(K318,0),'배송비 조회'!A$10:U$22,7,0)*C$3,-2)</f>
        <v>13400</v>
      </c>
      <c r="U318" s="97">
        <v>0</v>
      </c>
      <c r="V318" s="97">
        <f t="shared" ref="V318:V321" si="478">ROUND(IF(R318&gt;0,0,(S318+T318)*0.3),-2)</f>
        <v>23500</v>
      </c>
      <c r="W318" s="97">
        <f t="shared" si="441"/>
        <v>39200</v>
      </c>
      <c r="X318" s="98">
        <f t="shared" si="345"/>
        <v>101900</v>
      </c>
      <c r="Y318" s="98">
        <f t="shared" si="27"/>
        <v>117600</v>
      </c>
      <c r="Z318" s="121">
        <v>0</v>
      </c>
      <c r="AA318" s="121">
        <f t="shared" si="6"/>
        <v>3872.2</v>
      </c>
      <c r="AB318" s="121">
        <f t="shared" si="7"/>
        <v>2038</v>
      </c>
      <c r="AC318" s="99">
        <f t="shared" si="8"/>
        <v>11760</v>
      </c>
      <c r="AD318" s="121">
        <f t="shared" si="9"/>
        <v>95989.8</v>
      </c>
      <c r="AE318" s="99">
        <f t="shared" si="10"/>
        <v>105840</v>
      </c>
      <c r="AF318" s="121">
        <f t="shared" si="11"/>
        <v>959.89800000000002</v>
      </c>
      <c r="AG318" s="100">
        <f t="shared" si="28"/>
        <v>16629.902000000002</v>
      </c>
      <c r="AH318" s="101">
        <f t="shared" si="29"/>
        <v>26480.101999999999</v>
      </c>
      <c r="AI318" s="102">
        <f t="shared" ref="AI318:AJ318" si="479">AG318/X318</f>
        <v>0.1631982531894014</v>
      </c>
      <c r="AJ318" s="102">
        <f t="shared" si="479"/>
        <v>0.22517093537414964</v>
      </c>
      <c r="AK318" s="103"/>
      <c r="AL318" s="104"/>
      <c r="AM318" s="17"/>
      <c r="AN318" s="17"/>
      <c r="AO318" s="17"/>
      <c r="AP318" s="17"/>
      <c r="AQ318" s="17"/>
      <c r="AR318" s="17"/>
      <c r="AS318" s="17"/>
      <c r="AT318" s="17"/>
      <c r="AU318" s="17"/>
      <c r="AV318" s="17"/>
      <c r="AW318" s="332">
        <v>4668936446</v>
      </c>
    </row>
    <row r="319" spans="1:49" ht="13.2">
      <c r="A319" s="302"/>
      <c r="B319" s="276"/>
      <c r="C319" s="302"/>
      <c r="D319" s="117"/>
      <c r="E319" s="302"/>
      <c r="F319" s="123" t="s">
        <v>58</v>
      </c>
      <c r="G319" s="218" t="s">
        <v>1293</v>
      </c>
      <c r="H319" s="125"/>
      <c r="I319" s="125"/>
      <c r="J319" s="125">
        <v>56</v>
      </c>
      <c r="K319" s="82">
        <v>2.15</v>
      </c>
      <c r="L319" s="82">
        <f t="shared" si="477"/>
        <v>34.4</v>
      </c>
      <c r="M319" s="82">
        <f t="shared" si="412"/>
        <v>0.97522279999999995</v>
      </c>
      <c r="N319" s="93">
        <v>0</v>
      </c>
      <c r="O319" s="93">
        <v>0</v>
      </c>
      <c r="P319" s="95">
        <f t="shared" si="2"/>
        <v>56</v>
      </c>
      <c r="Q319" s="96">
        <f t="shared" si="461"/>
        <v>70000</v>
      </c>
      <c r="R319" s="96">
        <v>0</v>
      </c>
      <c r="S319" s="97">
        <f t="shared" si="414"/>
        <v>70000</v>
      </c>
      <c r="T319" s="97">
        <f>ROUNDUP(HLOOKUP(ROUNDUP(K319,0),'배송비 조회'!A$10:U$22,7,0)*C$3,-2)</f>
        <v>13400</v>
      </c>
      <c r="U319" s="97">
        <v>0</v>
      </c>
      <c r="V319" s="97">
        <f t="shared" si="478"/>
        <v>25000</v>
      </c>
      <c r="W319" s="97">
        <f t="shared" si="441"/>
        <v>41700</v>
      </c>
      <c r="X319" s="98">
        <f t="shared" si="345"/>
        <v>108400</v>
      </c>
      <c r="Y319" s="98">
        <f t="shared" si="27"/>
        <v>125100</v>
      </c>
      <c r="Z319" s="121">
        <v>0</v>
      </c>
      <c r="AA319" s="121">
        <f t="shared" si="6"/>
        <v>4119.2</v>
      </c>
      <c r="AB319" s="121">
        <f t="shared" si="7"/>
        <v>2168</v>
      </c>
      <c r="AC319" s="99">
        <f t="shared" si="8"/>
        <v>12510</v>
      </c>
      <c r="AD319" s="121">
        <f t="shared" si="9"/>
        <v>102112.8</v>
      </c>
      <c r="AE319" s="99">
        <f t="shared" si="10"/>
        <v>112590</v>
      </c>
      <c r="AF319" s="121">
        <f t="shared" si="11"/>
        <v>1021.128</v>
      </c>
      <c r="AG319" s="100">
        <f t="shared" si="28"/>
        <v>17691.672000000002</v>
      </c>
      <c r="AH319" s="101">
        <f t="shared" si="29"/>
        <v>28168.872000000003</v>
      </c>
      <c r="AI319" s="102">
        <f t="shared" ref="AI319:AJ319" si="480">AG319/X319</f>
        <v>0.16320730627306276</v>
      </c>
      <c r="AJ319" s="102">
        <f t="shared" si="480"/>
        <v>0.22517083932853718</v>
      </c>
      <c r="AK319" s="103"/>
      <c r="AL319" s="104"/>
      <c r="AM319" s="17"/>
      <c r="AN319" s="17"/>
      <c r="AO319" s="17"/>
      <c r="AP319" s="17"/>
      <c r="AQ319" s="17"/>
      <c r="AR319" s="17"/>
      <c r="AS319" s="17"/>
      <c r="AT319" s="17"/>
      <c r="AU319" s="17"/>
      <c r="AV319" s="17"/>
      <c r="AW319" s="297"/>
    </row>
    <row r="320" spans="1:49" ht="13.2">
      <c r="A320" s="302"/>
      <c r="B320" s="276"/>
      <c r="C320" s="302"/>
      <c r="D320" s="117"/>
      <c r="E320" s="302"/>
      <c r="F320" s="123" t="s">
        <v>432</v>
      </c>
      <c r="G320" s="218" t="s">
        <v>1293</v>
      </c>
      <c r="H320" s="125"/>
      <c r="I320" s="125"/>
      <c r="J320" s="125">
        <v>56</v>
      </c>
      <c r="K320" s="82">
        <v>2.15</v>
      </c>
      <c r="L320" s="82">
        <f t="shared" si="477"/>
        <v>34.4</v>
      </c>
      <c r="M320" s="82">
        <f t="shared" si="412"/>
        <v>0.97522279999999995</v>
      </c>
      <c r="N320" s="93">
        <v>0</v>
      </c>
      <c r="O320" s="93">
        <v>0</v>
      </c>
      <c r="P320" s="95">
        <f t="shared" si="2"/>
        <v>56</v>
      </c>
      <c r="Q320" s="96">
        <f t="shared" si="461"/>
        <v>70000</v>
      </c>
      <c r="R320" s="96">
        <v>0</v>
      </c>
      <c r="S320" s="97">
        <f t="shared" si="414"/>
        <v>70000</v>
      </c>
      <c r="T320" s="97">
        <f>ROUNDUP(HLOOKUP(ROUNDUP(K320,0),'배송비 조회'!A$10:U$22,7,0)*C$3,-2)</f>
        <v>13400</v>
      </c>
      <c r="U320" s="97">
        <v>0</v>
      </c>
      <c r="V320" s="97">
        <f t="shared" si="478"/>
        <v>25000</v>
      </c>
      <c r="W320" s="97">
        <f t="shared" si="441"/>
        <v>41700</v>
      </c>
      <c r="X320" s="98">
        <f t="shared" si="345"/>
        <v>108400</v>
      </c>
      <c r="Y320" s="98">
        <f t="shared" si="27"/>
        <v>125100</v>
      </c>
      <c r="Z320" s="121">
        <v>0</v>
      </c>
      <c r="AA320" s="121">
        <f t="shared" si="6"/>
        <v>4119.2</v>
      </c>
      <c r="AB320" s="121">
        <f t="shared" si="7"/>
        <v>2168</v>
      </c>
      <c r="AC320" s="99">
        <f t="shared" si="8"/>
        <v>12510</v>
      </c>
      <c r="AD320" s="121">
        <f t="shared" si="9"/>
        <v>102112.8</v>
      </c>
      <c r="AE320" s="99">
        <f t="shared" si="10"/>
        <v>112590</v>
      </c>
      <c r="AF320" s="121">
        <f t="shared" si="11"/>
        <v>1021.128</v>
      </c>
      <c r="AG320" s="100">
        <f t="shared" si="28"/>
        <v>17691.672000000002</v>
      </c>
      <c r="AH320" s="101">
        <f t="shared" si="29"/>
        <v>28168.872000000003</v>
      </c>
      <c r="AI320" s="102">
        <f t="shared" ref="AI320:AJ320" si="481">AG320/X320</f>
        <v>0.16320730627306276</v>
      </c>
      <c r="AJ320" s="102">
        <f t="shared" si="481"/>
        <v>0.22517083932853718</v>
      </c>
      <c r="AK320" s="103"/>
      <c r="AL320" s="104"/>
      <c r="AM320" s="17"/>
      <c r="AN320" s="17"/>
      <c r="AO320" s="17"/>
      <c r="AP320" s="17"/>
      <c r="AQ320" s="17"/>
      <c r="AR320" s="17"/>
      <c r="AS320" s="17"/>
      <c r="AT320" s="17"/>
      <c r="AU320" s="17"/>
      <c r="AV320" s="17"/>
      <c r="AW320" s="297"/>
    </row>
    <row r="321" spans="1:49" ht="13.2">
      <c r="A321" s="302"/>
      <c r="B321" s="276"/>
      <c r="C321" s="302"/>
      <c r="D321" s="117"/>
      <c r="E321" s="302"/>
      <c r="F321" s="123" t="s">
        <v>804</v>
      </c>
      <c r="G321" s="218" t="s">
        <v>1293</v>
      </c>
      <c r="H321" s="125"/>
      <c r="I321" s="125"/>
      <c r="J321" s="125">
        <v>56</v>
      </c>
      <c r="K321" s="82">
        <v>2.35</v>
      </c>
      <c r="L321" s="82">
        <f t="shared" si="477"/>
        <v>37.6</v>
      </c>
      <c r="M321" s="82">
        <f t="shared" si="412"/>
        <v>1.0659411999999999</v>
      </c>
      <c r="N321" s="93">
        <v>0</v>
      </c>
      <c r="O321" s="93">
        <v>0</v>
      </c>
      <c r="P321" s="95">
        <f t="shared" si="2"/>
        <v>56</v>
      </c>
      <c r="Q321" s="96">
        <f t="shared" si="461"/>
        <v>70000</v>
      </c>
      <c r="R321" s="96">
        <v>0</v>
      </c>
      <c r="S321" s="97">
        <f t="shared" si="414"/>
        <v>70000</v>
      </c>
      <c r="T321" s="97">
        <f>ROUNDUP(HLOOKUP(ROUNDUP(K321,0),'배송비 조회'!A$10:U$22,7,0)*C$3,-2)</f>
        <v>13400</v>
      </c>
      <c r="U321" s="97">
        <v>0</v>
      </c>
      <c r="V321" s="97">
        <f t="shared" si="478"/>
        <v>25000</v>
      </c>
      <c r="W321" s="97">
        <f t="shared" si="441"/>
        <v>41700</v>
      </c>
      <c r="X321" s="98">
        <f t="shared" si="345"/>
        <v>108400</v>
      </c>
      <c r="Y321" s="98">
        <f t="shared" si="27"/>
        <v>125100</v>
      </c>
      <c r="Z321" s="121">
        <v>0</v>
      </c>
      <c r="AA321" s="121">
        <f t="shared" si="6"/>
        <v>4119.2</v>
      </c>
      <c r="AB321" s="121">
        <f t="shared" si="7"/>
        <v>2168</v>
      </c>
      <c r="AC321" s="99">
        <f t="shared" si="8"/>
        <v>12510</v>
      </c>
      <c r="AD321" s="121">
        <f t="shared" si="9"/>
        <v>102112.8</v>
      </c>
      <c r="AE321" s="99">
        <f t="shared" si="10"/>
        <v>112590</v>
      </c>
      <c r="AF321" s="121">
        <f t="shared" si="11"/>
        <v>1021.128</v>
      </c>
      <c r="AG321" s="100">
        <f t="shared" si="28"/>
        <v>17691.672000000002</v>
      </c>
      <c r="AH321" s="101">
        <f t="shared" si="29"/>
        <v>28168.872000000003</v>
      </c>
      <c r="AI321" s="102">
        <f t="shared" ref="AI321:AJ321" si="482">AG321/X321</f>
        <v>0.16320730627306276</v>
      </c>
      <c r="AJ321" s="102">
        <f t="shared" si="482"/>
        <v>0.22517083932853718</v>
      </c>
      <c r="AK321" s="103"/>
      <c r="AL321" s="104"/>
      <c r="AM321" s="17"/>
      <c r="AN321" s="17"/>
      <c r="AO321" s="17"/>
      <c r="AP321" s="17"/>
      <c r="AQ321" s="17"/>
      <c r="AR321" s="17"/>
      <c r="AS321" s="17"/>
      <c r="AT321" s="17"/>
      <c r="AU321" s="17"/>
      <c r="AV321" s="17"/>
      <c r="AW321" s="297"/>
    </row>
    <row r="322" spans="1:49" ht="13.2">
      <c r="A322" s="105">
        <f>HYPERLINK("https://smartstore.naver.com/brickstore2019/products/4669037742",AW:AW)</f>
        <v>4669037742</v>
      </c>
      <c r="B322" s="263"/>
      <c r="C322" s="107" t="s">
        <v>805</v>
      </c>
      <c r="D322" s="107"/>
      <c r="E322" s="107" t="s">
        <v>806</v>
      </c>
      <c r="F322" s="108"/>
      <c r="G322" s="109" t="str">
        <f>HYPERLINK("https://www.amazon.com/Titleist-Sack-Pack-2016-Black/dp/B0173UX39E/ref=sr_1_9?keywords=titleist+bag&amp;qid=1568214744&amp;s=gateway&amp;sr=8-9","A")</f>
        <v>A</v>
      </c>
      <c r="H322" s="110" t="s">
        <v>60</v>
      </c>
      <c r="I322" s="110"/>
      <c r="J322" s="93">
        <v>35</v>
      </c>
      <c r="K322" s="82">
        <f t="shared" ref="K322:K325" si="483">IF(L322&gt;0,L322*0.0625,)</f>
        <v>0.71250000000000002</v>
      </c>
      <c r="L322" s="82">
        <v>11.4</v>
      </c>
      <c r="M322" s="82">
        <f t="shared" si="412"/>
        <v>0.32318429999999998</v>
      </c>
      <c r="N322" s="93">
        <v>0</v>
      </c>
      <c r="O322" s="93">
        <v>0</v>
      </c>
      <c r="P322" s="95">
        <f t="shared" si="2"/>
        <v>35</v>
      </c>
      <c r="Q322" s="96">
        <f t="shared" si="461"/>
        <v>43750</v>
      </c>
      <c r="R322" s="96">
        <v>0</v>
      </c>
      <c r="S322" s="97">
        <f t="shared" si="414"/>
        <v>43800</v>
      </c>
      <c r="T322" s="97">
        <f>ROUNDUP(HLOOKUP(ROUNDUP(K322,0),'배송비 조회'!A$10:U$22,7,0)*C$3,-2)</f>
        <v>9000</v>
      </c>
      <c r="U322" s="97">
        <v>0</v>
      </c>
      <c r="V322" s="97">
        <f>ROUND(IF(R322&gt;0,0,(S322+T322)*0.4),-2)</f>
        <v>21100</v>
      </c>
      <c r="W322" s="97">
        <f t="shared" si="441"/>
        <v>26400</v>
      </c>
      <c r="X322" s="98">
        <f t="shared" si="345"/>
        <v>73900</v>
      </c>
      <c r="Y322" s="98">
        <f t="shared" si="27"/>
        <v>79200</v>
      </c>
      <c r="Z322" s="121">
        <v>0</v>
      </c>
      <c r="AA322" s="121">
        <f t="shared" si="6"/>
        <v>2808.2</v>
      </c>
      <c r="AB322" s="121">
        <f t="shared" si="7"/>
        <v>1478</v>
      </c>
      <c r="AC322" s="99">
        <f t="shared" si="8"/>
        <v>7920</v>
      </c>
      <c r="AD322" s="121">
        <f t="shared" si="9"/>
        <v>69613.8</v>
      </c>
      <c r="AE322" s="99">
        <f t="shared" si="10"/>
        <v>71280</v>
      </c>
      <c r="AF322" s="121">
        <f t="shared" si="11"/>
        <v>696.13800000000003</v>
      </c>
      <c r="AG322" s="100">
        <f t="shared" si="28"/>
        <v>16167.662000000004</v>
      </c>
      <c r="AH322" s="101">
        <f t="shared" si="29"/>
        <v>17833.862000000001</v>
      </c>
      <c r="AI322" s="102">
        <f t="shared" ref="AI322:AJ322" si="484">AG322/X322</f>
        <v>0.21877756427604877</v>
      </c>
      <c r="AJ322" s="102">
        <f t="shared" si="484"/>
        <v>0.22517502525252525</v>
      </c>
      <c r="AK322" s="103"/>
      <c r="AL322" s="104"/>
      <c r="AM322" s="17"/>
      <c r="AN322" s="17"/>
      <c r="AO322" s="17"/>
      <c r="AP322" s="17"/>
      <c r="AQ322" s="17"/>
      <c r="AR322" s="17"/>
      <c r="AS322" s="17"/>
      <c r="AT322" s="17"/>
      <c r="AU322" s="17"/>
      <c r="AV322" s="17"/>
      <c r="AW322" s="22">
        <v>4669037742</v>
      </c>
    </row>
    <row r="323" spans="1:49" ht="13.2">
      <c r="A323" s="119">
        <f>HYPERLINK("https://smartstore.naver.com/brickstore2019/products/4669112228",AW:AW)</f>
        <v>4669112228</v>
      </c>
      <c r="B323" s="266"/>
      <c r="C323" s="128" t="s">
        <v>807</v>
      </c>
      <c r="D323" s="128"/>
      <c r="E323" s="117" t="s">
        <v>808</v>
      </c>
      <c r="F323" s="123"/>
      <c r="G323" s="124" t="str">
        <f>HYPERLINK("https://www.amazon.com/Roku-Streaming-Stick-HDR-Streaming-Long-range/dp/B075XLWML4/ref=sr_1_1?keywords=Roku+Streaming+Stick%2B&amp;qid=1568124093&amp;s=electronics&amp;sr=1-1","A")</f>
        <v>A</v>
      </c>
      <c r="H323" s="125"/>
      <c r="I323" s="125"/>
      <c r="J323" s="125">
        <v>46</v>
      </c>
      <c r="K323" s="82">
        <f t="shared" si="483"/>
        <v>0.61875000000000002</v>
      </c>
      <c r="L323" s="82">
        <v>9.9</v>
      </c>
      <c r="M323" s="82">
        <f t="shared" si="412"/>
        <v>0.28066004999999999</v>
      </c>
      <c r="N323" s="93">
        <v>0</v>
      </c>
      <c r="O323" s="93">
        <v>0</v>
      </c>
      <c r="P323" s="95">
        <f t="shared" si="2"/>
        <v>46</v>
      </c>
      <c r="Q323" s="96">
        <f t="shared" si="461"/>
        <v>57500</v>
      </c>
      <c r="R323" s="96">
        <v>0</v>
      </c>
      <c r="S323" s="97">
        <f t="shared" si="414"/>
        <v>57500</v>
      </c>
      <c r="T323" s="97">
        <f>ROUNDUP(HLOOKUP(ROUNDUP(K323,0),'배송비 조회'!A$10:U$22,7,0)*C$3,-2)</f>
        <v>9000</v>
      </c>
      <c r="U323" s="97">
        <v>0</v>
      </c>
      <c r="V323" s="97">
        <f t="shared" ref="V323:V324" si="485">ROUND(IF(R323&gt;0,0,(S323+T323)*0.3),-2)</f>
        <v>20000</v>
      </c>
      <c r="W323" s="97">
        <f t="shared" si="441"/>
        <v>33300</v>
      </c>
      <c r="X323" s="98">
        <f t="shared" si="345"/>
        <v>86500</v>
      </c>
      <c r="Y323" s="98">
        <f t="shared" si="27"/>
        <v>99800</v>
      </c>
      <c r="Z323" s="121">
        <v>0</v>
      </c>
      <c r="AA323" s="121">
        <f t="shared" si="6"/>
        <v>3287</v>
      </c>
      <c r="AB323" s="121">
        <f t="shared" si="7"/>
        <v>1730</v>
      </c>
      <c r="AC323" s="99">
        <f t="shared" si="8"/>
        <v>9980</v>
      </c>
      <c r="AD323" s="121">
        <f t="shared" si="9"/>
        <v>81483</v>
      </c>
      <c r="AE323" s="99">
        <f t="shared" si="10"/>
        <v>89820</v>
      </c>
      <c r="AF323" s="121">
        <f t="shared" si="11"/>
        <v>814.83</v>
      </c>
      <c r="AG323" s="100">
        <f t="shared" si="28"/>
        <v>14168.169999999998</v>
      </c>
      <c r="AH323" s="101">
        <f t="shared" si="29"/>
        <v>22505.17</v>
      </c>
      <c r="AI323" s="102">
        <f t="shared" ref="AI323:AJ323" si="486">AG323/X323</f>
        <v>0.16379387283236993</v>
      </c>
      <c r="AJ323" s="102">
        <f t="shared" si="486"/>
        <v>0.22550270541082162</v>
      </c>
      <c r="AK323" s="103"/>
      <c r="AL323" s="104"/>
      <c r="AM323" s="17"/>
      <c r="AN323" s="17"/>
      <c r="AO323" s="17"/>
      <c r="AP323" s="17"/>
      <c r="AQ323" s="17"/>
      <c r="AR323" s="17"/>
      <c r="AS323" s="17"/>
      <c r="AT323" s="17"/>
      <c r="AU323" s="17"/>
      <c r="AV323" s="17"/>
      <c r="AW323" s="22">
        <v>4669112228</v>
      </c>
    </row>
    <row r="324" spans="1:49" ht="13.2">
      <c r="A324" s="119">
        <f>HYPERLINK("https://smartstore.naver.com/brickstore2019/products/4669114224",AW:AW)</f>
        <v>4669114224</v>
      </c>
      <c r="B324" s="266"/>
      <c r="C324" s="128" t="s">
        <v>809</v>
      </c>
      <c r="D324" s="128"/>
      <c r="E324" s="117" t="s">
        <v>808</v>
      </c>
      <c r="F324" s="123"/>
      <c r="G324" s="124" t="str">
        <f>HYPERLINK("https://www.amazon.com/gp/product/B01DA0YCNC/ref=ppx_od_dt_b_asin_title_s00?ie=UTF8&amp;psc=1","A")</f>
        <v>A</v>
      </c>
      <c r="H324" s="125"/>
      <c r="I324" s="125"/>
      <c r="J324" s="125">
        <v>45</v>
      </c>
      <c r="K324" s="82">
        <f t="shared" si="483"/>
        <v>0.25</v>
      </c>
      <c r="L324" s="82">
        <v>4</v>
      </c>
      <c r="M324" s="82">
        <f t="shared" si="412"/>
        <v>0.113398</v>
      </c>
      <c r="N324" s="93">
        <v>0</v>
      </c>
      <c r="O324" s="93">
        <v>0</v>
      </c>
      <c r="P324" s="95">
        <f t="shared" si="2"/>
        <v>45</v>
      </c>
      <c r="Q324" s="96">
        <f t="shared" si="461"/>
        <v>56250</v>
      </c>
      <c r="R324" s="96">
        <v>0</v>
      </c>
      <c r="S324" s="97">
        <f t="shared" si="414"/>
        <v>56300</v>
      </c>
      <c r="T324" s="97">
        <f>ROUNDUP(HLOOKUP(ROUNDUP(K324,0),'배송비 조회'!A$10:U$22,7,0)*C$3,-2)</f>
        <v>9000</v>
      </c>
      <c r="U324" s="97">
        <v>0</v>
      </c>
      <c r="V324" s="97">
        <f t="shared" si="485"/>
        <v>19600</v>
      </c>
      <c r="W324" s="97">
        <f t="shared" si="441"/>
        <v>32700</v>
      </c>
      <c r="X324" s="98">
        <f t="shared" si="345"/>
        <v>84900</v>
      </c>
      <c r="Y324" s="98">
        <f t="shared" si="27"/>
        <v>98000</v>
      </c>
      <c r="Z324" s="121">
        <v>0</v>
      </c>
      <c r="AA324" s="121">
        <f t="shared" si="6"/>
        <v>3226.2</v>
      </c>
      <c r="AB324" s="121">
        <f t="shared" si="7"/>
        <v>1698</v>
      </c>
      <c r="AC324" s="99">
        <f t="shared" si="8"/>
        <v>9800</v>
      </c>
      <c r="AD324" s="121">
        <f t="shared" si="9"/>
        <v>79975.8</v>
      </c>
      <c r="AE324" s="99">
        <f t="shared" si="10"/>
        <v>88200</v>
      </c>
      <c r="AF324" s="121">
        <f t="shared" si="11"/>
        <v>799.75800000000004</v>
      </c>
      <c r="AG324" s="100">
        <f t="shared" si="28"/>
        <v>13926.042000000001</v>
      </c>
      <c r="AH324" s="101">
        <f t="shared" si="29"/>
        <v>22150.241999999998</v>
      </c>
      <c r="AI324" s="102">
        <f t="shared" ref="AI324:AJ324" si="487">AG324/X324</f>
        <v>0.16402876325088342</v>
      </c>
      <c r="AJ324" s="102">
        <f t="shared" si="487"/>
        <v>0.22602287755102038</v>
      </c>
      <c r="AK324" s="103"/>
      <c r="AL324" s="104"/>
      <c r="AM324" s="17"/>
      <c r="AN324" s="17"/>
      <c r="AO324" s="17"/>
      <c r="AP324" s="17"/>
      <c r="AQ324" s="17"/>
      <c r="AR324" s="17"/>
      <c r="AS324" s="17"/>
      <c r="AT324" s="17"/>
      <c r="AU324" s="17"/>
      <c r="AV324" s="17"/>
      <c r="AW324" s="22">
        <v>4669114224</v>
      </c>
    </row>
    <row r="325" spans="1:49" ht="13.2">
      <c r="A325" s="119">
        <f>HYPERLINK("https://smartstore.naver.com/brickstore2019/products/4669120176",AW:AW)</f>
        <v>4669120176</v>
      </c>
      <c r="B325" s="275" t="str">
        <f>HYPERLINK("https://www.coupang.com/vp/products/331385124","331385124")</f>
        <v>331385124</v>
      </c>
      <c r="C325" s="128" t="s">
        <v>810</v>
      </c>
      <c r="D325" s="128" t="s">
        <v>811</v>
      </c>
      <c r="E325" s="117" t="s">
        <v>812</v>
      </c>
      <c r="F325" s="123"/>
      <c r="G325" s="124" t="str">
        <f>HYPERLINK("https://www.amazon.com/Roku-Express-Definition-Streaming-Player/dp/B075XN1NZC/ref=zg_bs_electronics_4?_encoding=UTF8&amp;psc=1&amp;refRID=9QREJHMHD47JP95R3X9P","A")</f>
        <v>A</v>
      </c>
      <c r="H325" s="125"/>
      <c r="I325" s="125"/>
      <c r="J325" s="125">
        <v>30</v>
      </c>
      <c r="K325" s="82">
        <f t="shared" si="483"/>
        <v>0.65</v>
      </c>
      <c r="L325" s="82">
        <v>10.4</v>
      </c>
      <c r="M325" s="82">
        <f t="shared" si="412"/>
        <v>0.29483480000000001</v>
      </c>
      <c r="N325" s="93">
        <v>0</v>
      </c>
      <c r="O325" s="93">
        <v>0</v>
      </c>
      <c r="P325" s="95">
        <f t="shared" si="2"/>
        <v>30</v>
      </c>
      <c r="Q325" s="96">
        <f t="shared" si="461"/>
        <v>37500</v>
      </c>
      <c r="R325" s="96">
        <v>0</v>
      </c>
      <c r="S325" s="97">
        <f t="shared" si="414"/>
        <v>37500</v>
      </c>
      <c r="T325" s="97">
        <f>ROUNDUP(HLOOKUP(ROUNDUP(K325,0),'배송비 조회'!A$10:U$22,7,0)*C$3,-2)</f>
        <v>9000</v>
      </c>
      <c r="U325" s="97">
        <v>0</v>
      </c>
      <c r="V325" s="97">
        <f>ROUND(IF(R325&gt;0,0,(S325+T325)*0.35),-2)</f>
        <v>16300</v>
      </c>
      <c r="W325" s="97">
        <f>ROUND(IF(R325&gt;0,0,(S325+T325)*0.4),-2)</f>
        <v>18600</v>
      </c>
      <c r="X325" s="98">
        <f t="shared" si="345"/>
        <v>62800</v>
      </c>
      <c r="Y325" s="98">
        <f t="shared" si="27"/>
        <v>65100</v>
      </c>
      <c r="Z325" s="121">
        <v>0</v>
      </c>
      <c r="AA325" s="121">
        <f t="shared" si="6"/>
        <v>2386.4</v>
      </c>
      <c r="AB325" s="121">
        <f t="shared" si="7"/>
        <v>1256</v>
      </c>
      <c r="AC325" s="99">
        <f t="shared" si="8"/>
        <v>6510</v>
      </c>
      <c r="AD325" s="121">
        <f t="shared" si="9"/>
        <v>59157.599999999999</v>
      </c>
      <c r="AE325" s="99">
        <f t="shared" si="10"/>
        <v>58590</v>
      </c>
      <c r="AF325" s="121">
        <f t="shared" si="11"/>
        <v>591.57600000000002</v>
      </c>
      <c r="AG325" s="100">
        <f t="shared" si="28"/>
        <v>12066.023999999998</v>
      </c>
      <c r="AH325" s="101">
        <f t="shared" si="29"/>
        <v>11498.423999999999</v>
      </c>
      <c r="AI325" s="102">
        <f t="shared" ref="AI325:AJ325" si="488">AG325/X325</f>
        <v>0.1921341401273885</v>
      </c>
      <c r="AJ325" s="102">
        <f t="shared" si="488"/>
        <v>0.17662709677419353</v>
      </c>
      <c r="AK325" s="103"/>
      <c r="AL325" s="104"/>
      <c r="AM325" s="17"/>
      <c r="AN325" s="17"/>
      <c r="AO325" s="17"/>
      <c r="AP325" s="17"/>
      <c r="AQ325" s="17"/>
      <c r="AR325" s="17"/>
      <c r="AS325" s="17"/>
      <c r="AT325" s="17"/>
      <c r="AU325" s="17"/>
      <c r="AV325" s="17"/>
      <c r="AW325" s="22">
        <v>4669120176</v>
      </c>
    </row>
    <row r="326" spans="1:49" ht="13.2">
      <c r="A326" s="303">
        <f>HYPERLINK("https://smartstore.naver.com/brickstore2019/products/4669296403",AW:AW)</f>
        <v>4669296403</v>
      </c>
      <c r="B326" s="266"/>
      <c r="C326" s="304" t="s">
        <v>813</v>
      </c>
      <c r="D326" s="117"/>
      <c r="E326" s="304" t="s">
        <v>814</v>
      </c>
      <c r="F326" s="123" t="s">
        <v>815</v>
      </c>
      <c r="G326" s="124" t="str">
        <f>HYPERLINK("https://www.amazon.com/YETI-Daytrip-Packable-Lunch-Charcoal/dp/B07T3FWXGX?pf_rd_p=c0dea64e-b08f-4304-afcc-8c16c9d82b97&amp;pd_rd_wg=53kcL&amp;pf_rd_r=3HRYZWX62BQB0K9TVMRH&amp;ref_=pd_gw_bmx&amp;pd_rd_w=hnYcc&amp;pd_rd_r=6ebfc9ca-99bb-42a4-b1e2-07c64f8a733b","A")</f>
        <v>A</v>
      </c>
      <c r="H326" s="125"/>
      <c r="I326" s="125"/>
      <c r="J326" s="125">
        <v>80</v>
      </c>
      <c r="K326" s="82">
        <v>1.2</v>
      </c>
      <c r="L326" s="82">
        <f t="shared" ref="L326:L328" si="489">IF(K326&gt;0,K326*16,)</f>
        <v>19.2</v>
      </c>
      <c r="M326" s="82">
        <f t="shared" si="412"/>
        <v>0.54431039999999997</v>
      </c>
      <c r="N326" s="93">
        <v>0</v>
      </c>
      <c r="O326" s="93">
        <v>0</v>
      </c>
      <c r="P326" s="95">
        <f t="shared" si="2"/>
        <v>80</v>
      </c>
      <c r="Q326" s="96">
        <f t="shared" si="461"/>
        <v>100000</v>
      </c>
      <c r="R326" s="96">
        <v>0</v>
      </c>
      <c r="S326" s="97">
        <f t="shared" si="414"/>
        <v>100000</v>
      </c>
      <c r="T326" s="97">
        <f>ROUNDUP(HLOOKUP(ROUNDUP(K326,0),'배송비 조회'!A$10:U$22,7,0)*C$3,-2)</f>
        <v>11200</v>
      </c>
      <c r="U326" s="97">
        <v>0</v>
      </c>
      <c r="V326" s="97">
        <f t="shared" ref="V326:V328" si="490">ROUND(IF(R326&gt;0,0,(S326+T326)*0.2),-2)</f>
        <v>22200</v>
      </c>
      <c r="W326" s="97">
        <f t="shared" ref="W326:W451" si="491">ROUND(IF(R326&gt;0,0,(S326+T326)*0.5),-2)</f>
        <v>55600</v>
      </c>
      <c r="X326" s="98">
        <f t="shared" si="345"/>
        <v>133400</v>
      </c>
      <c r="Y326" s="98">
        <f t="shared" si="27"/>
        <v>166800</v>
      </c>
      <c r="Z326" s="121">
        <v>0</v>
      </c>
      <c r="AA326" s="121">
        <f t="shared" si="6"/>
        <v>5069.2</v>
      </c>
      <c r="AB326" s="121">
        <f t="shared" si="7"/>
        <v>2668</v>
      </c>
      <c r="AC326" s="99">
        <f t="shared" si="8"/>
        <v>16680</v>
      </c>
      <c r="AD326" s="121">
        <f t="shared" si="9"/>
        <v>125662.8</v>
      </c>
      <c r="AE326" s="99">
        <f t="shared" si="10"/>
        <v>150120</v>
      </c>
      <c r="AF326" s="121">
        <f t="shared" si="11"/>
        <v>1256.6280000000002</v>
      </c>
      <c r="AG326" s="100">
        <f t="shared" si="28"/>
        <v>13206.172000000002</v>
      </c>
      <c r="AH326" s="101">
        <f t="shared" si="29"/>
        <v>37663.372000000003</v>
      </c>
      <c r="AI326" s="102">
        <f t="shared" ref="AI326:AJ326" si="492">AG326/X326</f>
        <v>9.8996791604197915E-2</v>
      </c>
      <c r="AJ326" s="102">
        <f t="shared" si="492"/>
        <v>0.22579959232613911</v>
      </c>
      <c r="AK326" s="103"/>
      <c r="AL326" s="104"/>
      <c r="AM326" s="17"/>
      <c r="AN326" s="17"/>
      <c r="AO326" s="17"/>
      <c r="AP326" s="17"/>
      <c r="AQ326" s="17"/>
      <c r="AR326" s="17"/>
      <c r="AS326" s="17"/>
      <c r="AT326" s="17"/>
      <c r="AU326" s="17"/>
      <c r="AV326" s="17"/>
      <c r="AW326" s="296">
        <v>4669296403</v>
      </c>
    </row>
    <row r="327" spans="1:49" ht="13.2">
      <c r="A327" s="302"/>
      <c r="B327" s="266"/>
      <c r="C327" s="302"/>
      <c r="D327" s="117"/>
      <c r="E327" s="302"/>
      <c r="F327" s="123" t="s">
        <v>593</v>
      </c>
      <c r="G327" s="124" t="str">
        <f>HYPERLINK("https://www.amazon.com/YETI-Daytrip-Packable-Lunch-Charcoal/dp/B07SZ98T79?pf_rd_p=c0dea64e-b08f-4304-afcc-8c16c9d82b97&amp;pd_rd_wg=53kcL&amp;pf_rd_r=3HRYZWX62BQB0K9TVMRH&amp;ref_=pd_gw_bmx&amp;pd_rd_w=hnYcc&amp;pd_rd_r=6ebfc9ca-99bb-42a4-b1e2-07c64f8a733b&amp;th=1","A")</f>
        <v>A</v>
      </c>
      <c r="H327" s="125"/>
      <c r="I327" s="125"/>
      <c r="J327" s="125">
        <v>80</v>
      </c>
      <c r="K327" s="82">
        <v>1.2</v>
      </c>
      <c r="L327" s="82">
        <f t="shared" si="489"/>
        <v>19.2</v>
      </c>
      <c r="M327" s="82">
        <f t="shared" si="412"/>
        <v>0.54431039999999997</v>
      </c>
      <c r="N327" s="93">
        <v>0</v>
      </c>
      <c r="O327" s="93">
        <v>0</v>
      </c>
      <c r="P327" s="95">
        <f t="shared" si="2"/>
        <v>80</v>
      </c>
      <c r="Q327" s="96">
        <f t="shared" si="461"/>
        <v>100000</v>
      </c>
      <c r="R327" s="96">
        <v>0</v>
      </c>
      <c r="S327" s="97">
        <f t="shared" si="414"/>
        <v>100000</v>
      </c>
      <c r="T327" s="97">
        <f>ROUNDUP(HLOOKUP(ROUNDUP(K327,0),'배송비 조회'!A$10:U$22,7,0)*C$3,-2)</f>
        <v>11200</v>
      </c>
      <c r="U327" s="97">
        <v>0</v>
      </c>
      <c r="V327" s="97">
        <f t="shared" si="490"/>
        <v>22200</v>
      </c>
      <c r="W327" s="97">
        <f t="shared" si="491"/>
        <v>55600</v>
      </c>
      <c r="X327" s="98">
        <f t="shared" si="345"/>
        <v>133400</v>
      </c>
      <c r="Y327" s="98">
        <f t="shared" si="27"/>
        <v>166800</v>
      </c>
      <c r="Z327" s="121">
        <v>0</v>
      </c>
      <c r="AA327" s="121">
        <f t="shared" si="6"/>
        <v>5069.2</v>
      </c>
      <c r="AB327" s="121">
        <f t="shared" si="7"/>
        <v>2668</v>
      </c>
      <c r="AC327" s="99">
        <f t="shared" si="8"/>
        <v>16680</v>
      </c>
      <c r="AD327" s="121">
        <f t="shared" si="9"/>
        <v>125662.8</v>
      </c>
      <c r="AE327" s="99">
        <f t="shared" si="10"/>
        <v>150120</v>
      </c>
      <c r="AF327" s="121">
        <f t="shared" si="11"/>
        <v>1256.6280000000002</v>
      </c>
      <c r="AG327" s="100">
        <f t="shared" si="28"/>
        <v>13206.172000000002</v>
      </c>
      <c r="AH327" s="101">
        <f t="shared" si="29"/>
        <v>37663.372000000003</v>
      </c>
      <c r="AI327" s="102">
        <f t="shared" ref="AI327:AJ327" si="493">AG327/X327</f>
        <v>9.8996791604197915E-2</v>
      </c>
      <c r="AJ327" s="102">
        <f t="shared" si="493"/>
        <v>0.22579959232613911</v>
      </c>
      <c r="AK327" s="103"/>
      <c r="AL327" s="104"/>
      <c r="AM327" s="17"/>
      <c r="AN327" s="17"/>
      <c r="AO327" s="17"/>
      <c r="AP327" s="17"/>
      <c r="AQ327" s="17"/>
      <c r="AR327" s="17"/>
      <c r="AS327" s="17"/>
      <c r="AT327" s="17"/>
      <c r="AU327" s="17"/>
      <c r="AV327" s="17"/>
      <c r="AW327" s="297"/>
    </row>
    <row r="328" spans="1:49" ht="13.2">
      <c r="A328" s="302"/>
      <c r="B328" s="266"/>
      <c r="C328" s="302"/>
      <c r="D328" s="117"/>
      <c r="E328" s="302"/>
      <c r="F328" s="91" t="s">
        <v>816</v>
      </c>
      <c r="G328" s="124" t="str">
        <f>HYPERLINK("https://www.amazon.com/YETI-Daytrip-Packable-Lunch-Charcoal/dp/B07T1DQ5YY?pf_rd_p=c0dea64e-b08f-4304-afcc-8c16c9d82b97&amp;pd_rd_wg=53kcL&amp;pf_rd_r=3HRYZWX62BQB0K9TVMRH&amp;ref_=pd_gw_bmx&amp;pd_rd_w=hnYcc&amp;pd_rd_r=6ebfc9ca-99bb-42a4-b1e2-07c64f8a733b&amp;th=1","A")</f>
        <v>A</v>
      </c>
      <c r="H328" s="125"/>
      <c r="I328" s="125"/>
      <c r="J328" s="125">
        <v>80</v>
      </c>
      <c r="K328" s="82">
        <v>1.2</v>
      </c>
      <c r="L328" s="82">
        <f t="shared" si="489"/>
        <v>19.2</v>
      </c>
      <c r="M328" s="82">
        <f t="shared" si="412"/>
        <v>0.54431039999999997</v>
      </c>
      <c r="N328" s="93">
        <v>0</v>
      </c>
      <c r="O328" s="93">
        <v>0</v>
      </c>
      <c r="P328" s="95">
        <f t="shared" si="2"/>
        <v>80</v>
      </c>
      <c r="Q328" s="96">
        <f t="shared" si="461"/>
        <v>100000</v>
      </c>
      <c r="R328" s="96">
        <v>0</v>
      </c>
      <c r="S328" s="97">
        <f t="shared" si="414"/>
        <v>100000</v>
      </c>
      <c r="T328" s="97">
        <f>ROUNDUP(HLOOKUP(ROUNDUP(K328,0),'배송비 조회'!A$10:U$22,7,0)*C$3,-2)</f>
        <v>11200</v>
      </c>
      <c r="U328" s="97">
        <v>0</v>
      </c>
      <c r="V328" s="97">
        <f t="shared" si="490"/>
        <v>22200</v>
      </c>
      <c r="W328" s="97">
        <f t="shared" si="491"/>
        <v>55600</v>
      </c>
      <c r="X328" s="98">
        <f t="shared" si="345"/>
        <v>133400</v>
      </c>
      <c r="Y328" s="98">
        <f t="shared" si="27"/>
        <v>166800</v>
      </c>
      <c r="Z328" s="121">
        <v>0</v>
      </c>
      <c r="AA328" s="121">
        <f t="shared" si="6"/>
        <v>5069.2</v>
      </c>
      <c r="AB328" s="121">
        <f t="shared" si="7"/>
        <v>2668</v>
      </c>
      <c r="AC328" s="99">
        <f t="shared" si="8"/>
        <v>16680</v>
      </c>
      <c r="AD328" s="121">
        <f t="shared" si="9"/>
        <v>125662.8</v>
      </c>
      <c r="AE328" s="99">
        <f t="shared" si="10"/>
        <v>150120</v>
      </c>
      <c r="AF328" s="121">
        <f t="shared" si="11"/>
        <v>1256.6280000000002</v>
      </c>
      <c r="AG328" s="100">
        <f t="shared" si="28"/>
        <v>13206.172000000002</v>
      </c>
      <c r="AH328" s="101">
        <f t="shared" si="29"/>
        <v>37663.372000000003</v>
      </c>
      <c r="AI328" s="102">
        <f t="shared" ref="AI328:AJ328" si="494">AG328/X328</f>
        <v>9.8996791604197915E-2</v>
      </c>
      <c r="AJ328" s="102">
        <f t="shared" si="494"/>
        <v>0.22579959232613911</v>
      </c>
      <c r="AK328" s="103"/>
      <c r="AL328" s="104"/>
      <c r="AM328" s="17"/>
      <c r="AN328" s="17"/>
      <c r="AO328" s="17"/>
      <c r="AP328" s="17"/>
      <c r="AQ328" s="17"/>
      <c r="AR328" s="17"/>
      <c r="AS328" s="17"/>
      <c r="AT328" s="17"/>
      <c r="AU328" s="17"/>
      <c r="AV328" s="17"/>
      <c r="AW328" s="297"/>
    </row>
    <row r="329" spans="1:49" ht="13.2">
      <c r="A329" s="119">
        <f>HYPERLINK("https://smartstore.naver.com/brickstore2019/products/4669315065",AW:AW)</f>
        <v>4669296403</v>
      </c>
      <c r="B329" s="266"/>
      <c r="C329" s="117" t="s">
        <v>817</v>
      </c>
      <c r="D329" s="117"/>
      <c r="E329" s="117" t="s">
        <v>818</v>
      </c>
      <c r="F329" s="123"/>
      <c r="G329" s="124" t="str">
        <f>HYPERLINK("https://www.amazon.com/gp/product/B07QK63LNH/ref=s9_acsd_al_bw_c_x_7_w?pf_rd_m=ATVPDKIKX0DER&amp;pf_rd_s=merchandised-search-4&amp;pf_rd_r=0VQA6S777D11JF6D8Q8J&amp;pf_rd_t=101&amp;pf_rd_p=e3b53f90-ad59-4a75-84a8-f78a37b5b121&amp;pf_rd_i=12034490011","A")</f>
        <v>A</v>
      </c>
      <c r="H329" s="125"/>
      <c r="I329" s="125"/>
      <c r="J329" s="125">
        <v>50</v>
      </c>
      <c r="K329" s="82">
        <f>IF(L329&gt;0,L329*0.0625,)</f>
        <v>6.25E-2</v>
      </c>
      <c r="L329" s="82">
        <v>1</v>
      </c>
      <c r="M329" s="82">
        <f t="shared" si="412"/>
        <v>2.83495E-2</v>
      </c>
      <c r="N329" s="93">
        <v>0</v>
      </c>
      <c r="O329" s="93">
        <v>0</v>
      </c>
      <c r="P329" s="95">
        <f t="shared" si="2"/>
        <v>50</v>
      </c>
      <c r="Q329" s="96">
        <f t="shared" si="461"/>
        <v>62500</v>
      </c>
      <c r="R329" s="96">
        <v>0</v>
      </c>
      <c r="S329" s="97">
        <f t="shared" si="414"/>
        <v>62500</v>
      </c>
      <c r="T329" s="97">
        <f>ROUNDUP(HLOOKUP(ROUNDUP(K329,0),'배송비 조회'!A$10:U$22,7,0)*C$3,-2)</f>
        <v>9000</v>
      </c>
      <c r="U329" s="97">
        <v>0</v>
      </c>
      <c r="V329" s="97">
        <f t="shared" ref="V329:V332" si="495">ROUND(IF(R329&gt;0,0,(S329+T329)*0.3),-2)</f>
        <v>21500</v>
      </c>
      <c r="W329" s="97">
        <f t="shared" si="491"/>
        <v>35800</v>
      </c>
      <c r="X329" s="98">
        <f t="shared" si="345"/>
        <v>93000</v>
      </c>
      <c r="Y329" s="98">
        <f t="shared" si="27"/>
        <v>107300</v>
      </c>
      <c r="Z329" s="121">
        <v>0</v>
      </c>
      <c r="AA329" s="121">
        <f t="shared" si="6"/>
        <v>3534</v>
      </c>
      <c r="AB329" s="121">
        <f t="shared" si="7"/>
        <v>1860</v>
      </c>
      <c r="AC329" s="99">
        <f t="shared" si="8"/>
        <v>10730</v>
      </c>
      <c r="AD329" s="121">
        <f t="shared" si="9"/>
        <v>87606</v>
      </c>
      <c r="AE329" s="99">
        <f t="shared" si="10"/>
        <v>96570</v>
      </c>
      <c r="AF329" s="121">
        <f t="shared" si="11"/>
        <v>876.06000000000006</v>
      </c>
      <c r="AG329" s="100">
        <f t="shared" si="28"/>
        <v>15229.939999999999</v>
      </c>
      <c r="AH329" s="101">
        <f t="shared" si="29"/>
        <v>24193.940000000002</v>
      </c>
      <c r="AI329" s="102">
        <f t="shared" ref="AI329:AJ329" si="496">AG329/X329</f>
        <v>0.16376279569892471</v>
      </c>
      <c r="AJ329" s="102">
        <f t="shared" si="496"/>
        <v>0.22547940354147253</v>
      </c>
      <c r="AK329" s="103"/>
      <c r="AL329" s="104"/>
      <c r="AM329" s="17"/>
      <c r="AN329" s="17"/>
      <c r="AO329" s="17"/>
      <c r="AP329" s="17"/>
      <c r="AQ329" s="17"/>
      <c r="AR329" s="17"/>
      <c r="AS329" s="17"/>
      <c r="AT329" s="17"/>
      <c r="AU329" s="17"/>
      <c r="AV329" s="17"/>
      <c r="AW329" s="22">
        <v>4669296403</v>
      </c>
    </row>
    <row r="330" spans="1:49" ht="13.2">
      <c r="A330" s="348">
        <f>HYPERLINK("https://smartstore.naver.com/brickstore2019/products/4669389966",AW:AW)</f>
        <v>4669389966</v>
      </c>
      <c r="B330" s="263"/>
      <c r="C330" s="343" t="s">
        <v>819</v>
      </c>
      <c r="D330" s="107"/>
      <c r="E330" s="343"/>
      <c r="F330" s="190" t="s">
        <v>820</v>
      </c>
      <c r="G330" s="109" t="str">
        <f>HYPERLINK("https://www.amazon.com/Keychron-Wireless-Bluetooth-Mechanical-Keyboard/dp/B07WDBKHVM?ref_=ast_sto_dp&amp;th=1","A")</f>
        <v>A</v>
      </c>
      <c r="H330" s="110"/>
      <c r="I330" s="110"/>
      <c r="J330" s="110">
        <v>100</v>
      </c>
      <c r="K330" s="153">
        <v>2.5</v>
      </c>
      <c r="L330" s="153">
        <f t="shared" ref="L330:L332" si="497">IF(K330&gt;0,K330*16,)</f>
        <v>40</v>
      </c>
      <c r="M330" s="153">
        <f t="shared" si="412"/>
        <v>1.13398</v>
      </c>
      <c r="N330" s="110">
        <v>0</v>
      </c>
      <c r="O330" s="110">
        <v>0</v>
      </c>
      <c r="P330" s="154">
        <f t="shared" si="2"/>
        <v>100</v>
      </c>
      <c r="Q330" s="155">
        <f t="shared" si="461"/>
        <v>125000</v>
      </c>
      <c r="R330" s="155">
        <v>0</v>
      </c>
      <c r="S330" s="155">
        <f t="shared" si="414"/>
        <v>125000</v>
      </c>
      <c r="T330" s="155">
        <f>ROUNDUP(HLOOKUP(ROUNDUP(K330,0),'배송비 조회'!A$10:U$22,7,0)*C$3,-2)</f>
        <v>13400</v>
      </c>
      <c r="U330" s="155">
        <v>0</v>
      </c>
      <c r="V330" s="155">
        <f t="shared" si="495"/>
        <v>41500</v>
      </c>
      <c r="W330" s="155">
        <f t="shared" si="491"/>
        <v>69200</v>
      </c>
      <c r="X330" s="155">
        <f t="shared" si="345"/>
        <v>179900</v>
      </c>
      <c r="Y330" s="155">
        <f t="shared" si="27"/>
        <v>207600</v>
      </c>
      <c r="Z330" s="133">
        <v>0</v>
      </c>
      <c r="AA330" s="133">
        <f t="shared" si="6"/>
        <v>6836.2</v>
      </c>
      <c r="AB330" s="133">
        <f t="shared" si="7"/>
        <v>3598</v>
      </c>
      <c r="AC330" s="133">
        <f t="shared" si="8"/>
        <v>20760</v>
      </c>
      <c r="AD330" s="133">
        <f t="shared" si="9"/>
        <v>169465.8</v>
      </c>
      <c r="AE330" s="133">
        <f t="shared" si="10"/>
        <v>186840</v>
      </c>
      <c r="AF330" s="133">
        <f t="shared" si="11"/>
        <v>1694.6579999999999</v>
      </c>
      <c r="AG330" s="155">
        <f t="shared" si="28"/>
        <v>29371.141999999985</v>
      </c>
      <c r="AH330" s="155">
        <f t="shared" si="29"/>
        <v>46745.341999999997</v>
      </c>
      <c r="AI330" s="156">
        <f t="shared" ref="AI330:AJ330" si="498">AG330/X330</f>
        <v>0.16326371317398547</v>
      </c>
      <c r="AJ330" s="156">
        <f t="shared" si="498"/>
        <v>0.2251702408477842</v>
      </c>
      <c r="AK330" s="161"/>
      <c r="AL330" s="162"/>
      <c r="AM330" s="38"/>
      <c r="AN330" s="38"/>
      <c r="AO330" s="38"/>
      <c r="AP330" s="38"/>
      <c r="AQ330" s="38"/>
      <c r="AR330" s="38"/>
      <c r="AS330" s="38"/>
      <c r="AT330" s="38"/>
      <c r="AU330" s="38"/>
      <c r="AV330" s="38"/>
      <c r="AW330" s="333">
        <v>4669389966</v>
      </c>
    </row>
    <row r="331" spans="1:49" ht="13.2">
      <c r="A331" s="302"/>
      <c r="B331" s="263"/>
      <c r="C331" s="302"/>
      <c r="D331" s="107"/>
      <c r="E331" s="302"/>
      <c r="F331" s="190" t="s">
        <v>821</v>
      </c>
      <c r="G331" s="109" t="str">
        <f>HYPERLINK("https://www.amazon.com/Keychron-Wireless-Bluetooth-Mechanical-Keyboard/dp/B07YXNSP1B?ref_=ast_sto_dp&amp;th=1","A")</f>
        <v>A</v>
      </c>
      <c r="H331" s="110"/>
      <c r="I331" s="110"/>
      <c r="J331" s="110">
        <v>100</v>
      </c>
      <c r="K331" s="153">
        <v>2.5</v>
      </c>
      <c r="L331" s="153">
        <f t="shared" si="497"/>
        <v>40</v>
      </c>
      <c r="M331" s="153">
        <f t="shared" si="412"/>
        <v>1.13398</v>
      </c>
      <c r="N331" s="110">
        <v>0</v>
      </c>
      <c r="O331" s="110">
        <v>0</v>
      </c>
      <c r="P331" s="154">
        <f t="shared" si="2"/>
        <v>100</v>
      </c>
      <c r="Q331" s="155">
        <f t="shared" si="461"/>
        <v>125000</v>
      </c>
      <c r="R331" s="155">
        <v>0</v>
      </c>
      <c r="S331" s="155">
        <f t="shared" si="414"/>
        <v>125000</v>
      </c>
      <c r="T331" s="155">
        <f>ROUNDUP(HLOOKUP(ROUNDUP(K331,0),'배송비 조회'!A$10:U$22,7,0)*C$3,-2)</f>
        <v>13400</v>
      </c>
      <c r="U331" s="155">
        <v>0</v>
      </c>
      <c r="V331" s="155">
        <f t="shared" si="495"/>
        <v>41500</v>
      </c>
      <c r="W331" s="155">
        <f t="shared" si="491"/>
        <v>69200</v>
      </c>
      <c r="X331" s="155">
        <f t="shared" si="345"/>
        <v>179900</v>
      </c>
      <c r="Y331" s="155">
        <f t="shared" si="27"/>
        <v>207600</v>
      </c>
      <c r="Z331" s="133">
        <v>0</v>
      </c>
      <c r="AA331" s="133">
        <f t="shared" si="6"/>
        <v>6836.2</v>
      </c>
      <c r="AB331" s="133">
        <f t="shared" si="7"/>
        <v>3598</v>
      </c>
      <c r="AC331" s="133">
        <f t="shared" si="8"/>
        <v>20760</v>
      </c>
      <c r="AD331" s="133">
        <f t="shared" si="9"/>
        <v>169465.8</v>
      </c>
      <c r="AE331" s="133">
        <f t="shared" si="10"/>
        <v>186840</v>
      </c>
      <c r="AF331" s="133">
        <f t="shared" si="11"/>
        <v>1694.6579999999999</v>
      </c>
      <c r="AG331" s="155">
        <f t="shared" si="28"/>
        <v>29371.141999999985</v>
      </c>
      <c r="AH331" s="155">
        <f t="shared" si="29"/>
        <v>46745.341999999997</v>
      </c>
      <c r="AI331" s="156">
        <f t="shared" ref="AI331:AJ331" si="499">AG331/X331</f>
        <v>0.16326371317398547</v>
      </c>
      <c r="AJ331" s="156">
        <f t="shared" si="499"/>
        <v>0.2251702408477842</v>
      </c>
      <c r="AK331" s="161"/>
      <c r="AL331" s="162"/>
      <c r="AM331" s="38"/>
      <c r="AN331" s="38"/>
      <c r="AO331" s="38"/>
      <c r="AP331" s="38"/>
      <c r="AQ331" s="38"/>
      <c r="AR331" s="38"/>
      <c r="AS331" s="38"/>
      <c r="AT331" s="38"/>
      <c r="AU331" s="38"/>
      <c r="AV331" s="38"/>
      <c r="AW331" s="297"/>
    </row>
    <row r="332" spans="1:49" ht="13.2">
      <c r="A332" s="302"/>
      <c r="B332" s="263"/>
      <c r="C332" s="302"/>
      <c r="D332" s="107"/>
      <c r="E332" s="302"/>
      <c r="F332" s="190" t="s">
        <v>822</v>
      </c>
      <c r="G332" s="109" t="str">
        <f>HYPERLINK("https://www.amazon.com/Keychron-Bluetooth-Mechanical-Keyboard-Tenkeyless-Keyboard/dp/B07QHWLZG6/ref=sr_1_1?keywords=Keychron+K2&amp;qid=1571711470&amp;s=electronics&amp;sr=1-1-catcorr","A")</f>
        <v>A</v>
      </c>
      <c r="H332" s="110"/>
      <c r="I332" s="110"/>
      <c r="J332" s="110">
        <v>90</v>
      </c>
      <c r="K332" s="153">
        <v>2.5</v>
      </c>
      <c r="L332" s="153">
        <f t="shared" si="497"/>
        <v>40</v>
      </c>
      <c r="M332" s="153">
        <f t="shared" si="412"/>
        <v>1.13398</v>
      </c>
      <c r="N332" s="110">
        <v>0</v>
      </c>
      <c r="O332" s="110">
        <v>0</v>
      </c>
      <c r="P332" s="154">
        <f t="shared" si="2"/>
        <v>90</v>
      </c>
      <c r="Q332" s="155">
        <f t="shared" si="461"/>
        <v>112500</v>
      </c>
      <c r="R332" s="155">
        <v>0</v>
      </c>
      <c r="S332" s="155">
        <f t="shared" si="414"/>
        <v>112500</v>
      </c>
      <c r="T332" s="155">
        <f>ROUNDUP(HLOOKUP(ROUNDUP(K332,0),'배송비 조회'!A$10:U$22,7,0)*C$3,-2)</f>
        <v>13400</v>
      </c>
      <c r="U332" s="155">
        <v>0</v>
      </c>
      <c r="V332" s="155">
        <f t="shared" si="495"/>
        <v>37800</v>
      </c>
      <c r="W332" s="155">
        <f t="shared" si="491"/>
        <v>63000</v>
      </c>
      <c r="X332" s="155">
        <f t="shared" si="345"/>
        <v>163700</v>
      </c>
      <c r="Y332" s="155">
        <f t="shared" si="27"/>
        <v>188900</v>
      </c>
      <c r="Z332" s="133">
        <v>0</v>
      </c>
      <c r="AA332" s="133">
        <f t="shared" si="6"/>
        <v>6220.5999999999995</v>
      </c>
      <c r="AB332" s="133">
        <f t="shared" si="7"/>
        <v>3274</v>
      </c>
      <c r="AC332" s="133">
        <f t="shared" si="8"/>
        <v>18890</v>
      </c>
      <c r="AD332" s="133">
        <f t="shared" si="9"/>
        <v>154205.4</v>
      </c>
      <c r="AE332" s="133">
        <f t="shared" si="10"/>
        <v>170010</v>
      </c>
      <c r="AF332" s="133">
        <f t="shared" si="11"/>
        <v>1542.0540000000001</v>
      </c>
      <c r="AG332" s="155">
        <f t="shared" si="28"/>
        <v>26763.34599999999</v>
      </c>
      <c r="AH332" s="155">
        <f t="shared" si="29"/>
        <v>42567.945999999996</v>
      </c>
      <c r="AI332" s="156">
        <f t="shared" ref="AI332:AJ332" si="500">AG332/X332</f>
        <v>0.16349020158827116</v>
      </c>
      <c r="AJ332" s="156">
        <f t="shared" si="500"/>
        <v>0.22534645844362095</v>
      </c>
      <c r="AK332" s="161">
        <f>X331-X332</f>
        <v>16200</v>
      </c>
      <c r="AL332" s="162"/>
      <c r="AM332" s="38"/>
      <c r="AN332" s="38"/>
      <c r="AO332" s="38"/>
      <c r="AP332" s="38"/>
      <c r="AQ332" s="38"/>
      <c r="AR332" s="38"/>
      <c r="AS332" s="38"/>
      <c r="AT332" s="38"/>
      <c r="AU332" s="38"/>
      <c r="AV332" s="38"/>
      <c r="AW332" s="297"/>
    </row>
    <row r="333" spans="1:49" ht="13.2">
      <c r="A333" s="302"/>
      <c r="B333" s="263"/>
      <c r="C333" s="302"/>
      <c r="D333" s="107"/>
      <c r="E333" s="302"/>
      <c r="F333" s="190" t="s">
        <v>823</v>
      </c>
      <c r="G333" s="110"/>
      <c r="H333" s="110"/>
      <c r="I333" s="110"/>
      <c r="J333" s="110"/>
      <c r="K333" s="153"/>
      <c r="L333" s="153"/>
      <c r="M333" s="153"/>
      <c r="N333" s="110"/>
      <c r="O333" s="110"/>
      <c r="P333" s="154"/>
      <c r="Q333" s="155"/>
      <c r="R333" s="155"/>
      <c r="S333" s="155"/>
      <c r="T333" s="155"/>
      <c r="U333" s="155"/>
      <c r="V333" s="155"/>
      <c r="W333" s="155">
        <f t="shared" si="491"/>
        <v>0</v>
      </c>
      <c r="X333" s="155"/>
      <c r="Y333" s="155">
        <f t="shared" si="27"/>
        <v>0</v>
      </c>
      <c r="Z333" s="133"/>
      <c r="AA333" s="133"/>
      <c r="AB333" s="133"/>
      <c r="AC333" s="133">
        <f t="shared" si="8"/>
        <v>0</v>
      </c>
      <c r="AD333" s="133"/>
      <c r="AE333" s="133">
        <f t="shared" si="10"/>
        <v>0</v>
      </c>
      <c r="AF333" s="133"/>
      <c r="AG333" s="155"/>
      <c r="AH333" s="155">
        <f t="shared" si="29"/>
        <v>0</v>
      </c>
      <c r="AI333" s="156" t="e">
        <f t="shared" ref="AI333:AJ333" si="501">AG333/X333</f>
        <v>#DIV/0!</v>
      </c>
      <c r="AJ333" s="156" t="e">
        <f t="shared" si="501"/>
        <v>#DIV/0!</v>
      </c>
      <c r="AK333" s="161"/>
      <c r="AL333" s="162"/>
      <c r="AM333" s="38"/>
      <c r="AN333" s="38"/>
      <c r="AO333" s="38"/>
      <c r="AP333" s="38"/>
      <c r="AQ333" s="38"/>
      <c r="AR333" s="38"/>
      <c r="AS333" s="38"/>
      <c r="AT333" s="38"/>
      <c r="AU333" s="38"/>
      <c r="AV333" s="38"/>
      <c r="AW333" s="297"/>
    </row>
    <row r="334" spans="1:49" ht="13.2">
      <c r="A334" s="302"/>
      <c r="B334" s="263"/>
      <c r="C334" s="302"/>
      <c r="D334" s="107"/>
      <c r="E334" s="302"/>
      <c r="F334" s="190" t="s">
        <v>824</v>
      </c>
      <c r="G334" s="109" t="str">
        <f>HYPERLINK("https://www.amazon.com/Keychron-Wireless-Bluetooth-Mechanical-Keyboard/dp/B07WDBKHVM?ref_=ast_sto_dp&amp;th=1","A")</f>
        <v>A</v>
      </c>
      <c r="H334" s="110"/>
      <c r="I334" s="110"/>
      <c r="J334" s="110">
        <v>100</v>
      </c>
      <c r="K334" s="153">
        <v>2.5</v>
      </c>
      <c r="L334" s="153">
        <f t="shared" ref="L334:L335" si="502">IF(K334&gt;0,K334*16,)</f>
        <v>40</v>
      </c>
      <c r="M334" s="153">
        <f t="shared" ref="M334:M335" si="503">IF(K334&gt;0,K334*0.453592,IF(L334&gt;0,L334*0.02835,))</f>
        <v>1.13398</v>
      </c>
      <c r="N334" s="110">
        <v>0</v>
      </c>
      <c r="O334" s="110">
        <v>0</v>
      </c>
      <c r="P334" s="154">
        <f t="shared" ref="P334:P335" si="504">J334+O334+N334</f>
        <v>100</v>
      </c>
      <c r="Q334" s="155">
        <f>P334*C$3</f>
        <v>125000</v>
      </c>
      <c r="R334" s="155">
        <v>0</v>
      </c>
      <c r="S334" s="155">
        <f t="shared" ref="S334:S335" si="505">ROUND(SUM(Q334:R334), -2)</f>
        <v>125000</v>
      </c>
      <c r="T334" s="155">
        <f>ROUNDUP(HLOOKUP(ROUNDUP(K334,0),'배송비 조회'!A$10:U$22,7,0)*C$3,-2)</f>
        <v>13400</v>
      </c>
      <c r="U334" s="155">
        <v>0</v>
      </c>
      <c r="V334" s="155">
        <f t="shared" ref="V334:V335" si="506">ROUND(IF(R334&gt;0,0,(S334+T334)*0.3),-2)</f>
        <v>41500</v>
      </c>
      <c r="W334" s="155">
        <f t="shared" si="491"/>
        <v>69200</v>
      </c>
      <c r="X334" s="155">
        <f t="shared" ref="X334:X335" si="507">IF(R334&gt;0,SUM(S334:T334),SUM(S334:V334))</f>
        <v>179900</v>
      </c>
      <c r="Y334" s="155">
        <f t="shared" si="27"/>
        <v>207600</v>
      </c>
      <c r="Z334" s="133">
        <v>0</v>
      </c>
      <c r="AA334" s="133">
        <f t="shared" ref="AA334:AA335" si="508">X334*0.038</f>
        <v>6836.2</v>
      </c>
      <c r="AB334" s="133">
        <f t="shared" ref="AB334:AB335" si="509">X334*0.02</f>
        <v>3598</v>
      </c>
      <c r="AC334" s="133">
        <f t="shared" si="8"/>
        <v>20760</v>
      </c>
      <c r="AD334" s="133">
        <f t="shared" ref="AD334:AD335" si="510">X334-AA334-AB334</f>
        <v>169465.8</v>
      </c>
      <c r="AE334" s="133">
        <f t="shared" si="10"/>
        <v>186840</v>
      </c>
      <c r="AF334" s="133">
        <f t="shared" ref="AF334:AF335" si="511">AD334*0.01</f>
        <v>1694.6579999999999</v>
      </c>
      <c r="AG334" s="155">
        <f t="shared" ref="AG334:AG335" si="512">AD334-Q334-AF334-T334</f>
        <v>29371.141999999985</v>
      </c>
      <c r="AH334" s="155">
        <f t="shared" si="29"/>
        <v>46745.341999999997</v>
      </c>
      <c r="AI334" s="156">
        <f t="shared" ref="AI334:AJ334" si="513">AG334/X334</f>
        <v>0.16326371317398547</v>
      </c>
      <c r="AJ334" s="156">
        <f t="shared" si="513"/>
        <v>0.2251702408477842</v>
      </c>
      <c r="AK334" s="161"/>
      <c r="AL334" s="162"/>
      <c r="AM334" s="38"/>
      <c r="AN334" s="38"/>
      <c r="AO334" s="38"/>
      <c r="AP334" s="38"/>
      <c r="AQ334" s="38"/>
      <c r="AR334" s="38"/>
      <c r="AS334" s="38"/>
      <c r="AT334" s="38"/>
      <c r="AU334" s="38"/>
      <c r="AV334" s="38"/>
      <c r="AW334" s="297"/>
    </row>
    <row r="335" spans="1:49" ht="13.2">
      <c r="A335" s="302"/>
      <c r="B335" s="263"/>
      <c r="C335" s="302"/>
      <c r="D335" s="107"/>
      <c r="E335" s="302"/>
      <c r="F335" s="190" t="s">
        <v>825</v>
      </c>
      <c r="G335" s="109" t="str">
        <f>HYPERLINK("https://www.amazon.com/Keychron-Wireless-Bluetooth-Mechanical-Keyboard/dp/B07YXNSP1B?ref_=ast_sto_dp&amp;th=1","A")</f>
        <v>A</v>
      </c>
      <c r="H335" s="110"/>
      <c r="I335" s="110"/>
      <c r="J335" s="110">
        <v>100</v>
      </c>
      <c r="K335" s="153">
        <v>2.5</v>
      </c>
      <c r="L335" s="153">
        <f t="shared" si="502"/>
        <v>40</v>
      </c>
      <c r="M335" s="153">
        <f t="shared" si="503"/>
        <v>1.13398</v>
      </c>
      <c r="N335" s="110">
        <v>0</v>
      </c>
      <c r="O335" s="110">
        <v>0</v>
      </c>
      <c r="P335" s="154">
        <f t="shared" si="504"/>
        <v>100</v>
      </c>
      <c r="Q335" s="155">
        <f>P335*C$3</f>
        <v>125000</v>
      </c>
      <c r="R335" s="155">
        <v>0</v>
      </c>
      <c r="S335" s="155">
        <f t="shared" si="505"/>
        <v>125000</v>
      </c>
      <c r="T335" s="155">
        <f>ROUNDUP(HLOOKUP(ROUNDUP(K335,0),'배송비 조회'!A$10:U$22,7,0)*C$3,-2)</f>
        <v>13400</v>
      </c>
      <c r="U335" s="155">
        <v>0</v>
      </c>
      <c r="V335" s="155">
        <f t="shared" si="506"/>
        <v>41500</v>
      </c>
      <c r="W335" s="155">
        <f t="shared" si="491"/>
        <v>69200</v>
      </c>
      <c r="X335" s="155">
        <f t="shared" si="507"/>
        <v>179900</v>
      </c>
      <c r="Y335" s="155">
        <f t="shared" si="27"/>
        <v>207600</v>
      </c>
      <c r="Z335" s="133">
        <v>0</v>
      </c>
      <c r="AA335" s="133">
        <f t="shared" si="508"/>
        <v>6836.2</v>
      </c>
      <c r="AB335" s="133">
        <f t="shared" si="509"/>
        <v>3598</v>
      </c>
      <c r="AC335" s="133">
        <f t="shared" si="8"/>
        <v>20760</v>
      </c>
      <c r="AD335" s="133">
        <f t="shared" si="510"/>
        <v>169465.8</v>
      </c>
      <c r="AE335" s="133">
        <f t="shared" si="10"/>
        <v>186840</v>
      </c>
      <c r="AF335" s="133">
        <f t="shared" si="511"/>
        <v>1694.6579999999999</v>
      </c>
      <c r="AG335" s="155">
        <f t="shared" si="512"/>
        <v>29371.141999999985</v>
      </c>
      <c r="AH335" s="155">
        <f t="shared" si="29"/>
        <v>46745.341999999997</v>
      </c>
      <c r="AI335" s="156">
        <f t="shared" ref="AI335:AJ335" si="514">AG335/X335</f>
        <v>0.16326371317398547</v>
      </c>
      <c r="AJ335" s="156">
        <f t="shared" si="514"/>
        <v>0.2251702408477842</v>
      </c>
      <c r="AK335" s="161"/>
      <c r="AL335" s="162"/>
      <c r="AM335" s="38"/>
      <c r="AN335" s="38"/>
      <c r="AO335" s="38"/>
      <c r="AP335" s="38"/>
      <c r="AQ335" s="38"/>
      <c r="AR335" s="38"/>
      <c r="AS335" s="38"/>
      <c r="AT335" s="38"/>
      <c r="AU335" s="38"/>
      <c r="AV335" s="38"/>
      <c r="AW335" s="297"/>
    </row>
    <row r="336" spans="1:49" ht="13.2">
      <c r="A336" s="302"/>
      <c r="B336" s="263"/>
      <c r="C336" s="302"/>
      <c r="D336" s="107"/>
      <c r="E336" s="302"/>
      <c r="F336" s="190" t="s">
        <v>826</v>
      </c>
      <c r="G336" s="110"/>
      <c r="H336" s="110"/>
      <c r="I336" s="110"/>
      <c r="J336" s="110"/>
      <c r="K336" s="153"/>
      <c r="L336" s="153"/>
      <c r="M336" s="153"/>
      <c r="N336" s="110"/>
      <c r="O336" s="110"/>
      <c r="P336" s="154"/>
      <c r="Q336" s="155"/>
      <c r="R336" s="155"/>
      <c r="S336" s="155"/>
      <c r="T336" s="155"/>
      <c r="U336" s="155"/>
      <c r="V336" s="155"/>
      <c r="W336" s="155">
        <f t="shared" si="491"/>
        <v>0</v>
      </c>
      <c r="X336" s="155"/>
      <c r="Y336" s="155">
        <f t="shared" si="27"/>
        <v>0</v>
      </c>
      <c r="Z336" s="133"/>
      <c r="AA336" s="133"/>
      <c r="AB336" s="133"/>
      <c r="AC336" s="133">
        <f t="shared" si="8"/>
        <v>0</v>
      </c>
      <c r="AD336" s="133"/>
      <c r="AE336" s="133">
        <f t="shared" si="10"/>
        <v>0</v>
      </c>
      <c r="AF336" s="133"/>
      <c r="AG336" s="155"/>
      <c r="AH336" s="155">
        <f t="shared" si="29"/>
        <v>0</v>
      </c>
      <c r="AI336" s="156" t="e">
        <f t="shared" ref="AI336:AJ336" si="515">AG336/X336</f>
        <v>#DIV/0!</v>
      </c>
      <c r="AJ336" s="156" t="e">
        <f t="shared" si="515"/>
        <v>#DIV/0!</v>
      </c>
      <c r="AK336" s="161"/>
      <c r="AL336" s="162"/>
      <c r="AM336" s="38"/>
      <c r="AN336" s="38"/>
      <c r="AO336" s="38"/>
      <c r="AP336" s="38"/>
      <c r="AQ336" s="38"/>
      <c r="AR336" s="38"/>
      <c r="AS336" s="38"/>
      <c r="AT336" s="38"/>
      <c r="AU336" s="38"/>
      <c r="AV336" s="38"/>
      <c r="AW336" s="297"/>
    </row>
    <row r="337" spans="1:49" ht="13.2">
      <c r="A337" s="302"/>
      <c r="B337" s="263"/>
      <c r="C337" s="302"/>
      <c r="D337" s="107"/>
      <c r="E337" s="302"/>
      <c r="F337" s="190" t="s">
        <v>827</v>
      </c>
      <c r="G337" s="110"/>
      <c r="H337" s="110"/>
      <c r="I337" s="110"/>
      <c r="J337" s="110"/>
      <c r="K337" s="153"/>
      <c r="L337" s="153"/>
      <c r="M337" s="153"/>
      <c r="N337" s="110"/>
      <c r="O337" s="110"/>
      <c r="P337" s="154"/>
      <c r="Q337" s="155"/>
      <c r="R337" s="155"/>
      <c r="S337" s="155"/>
      <c r="T337" s="155"/>
      <c r="U337" s="155"/>
      <c r="V337" s="155"/>
      <c r="W337" s="155">
        <f t="shared" si="491"/>
        <v>0</v>
      </c>
      <c r="X337" s="155"/>
      <c r="Y337" s="155">
        <f t="shared" si="27"/>
        <v>0</v>
      </c>
      <c r="Z337" s="133"/>
      <c r="AA337" s="133"/>
      <c r="AB337" s="133"/>
      <c r="AC337" s="133">
        <f t="shared" si="8"/>
        <v>0</v>
      </c>
      <c r="AD337" s="133"/>
      <c r="AE337" s="133">
        <f t="shared" si="10"/>
        <v>0</v>
      </c>
      <c r="AF337" s="133"/>
      <c r="AG337" s="155"/>
      <c r="AH337" s="155">
        <f t="shared" si="29"/>
        <v>0</v>
      </c>
      <c r="AI337" s="156" t="e">
        <f t="shared" ref="AI337:AJ337" si="516">AG337/X337</f>
        <v>#DIV/0!</v>
      </c>
      <c r="AJ337" s="156" t="e">
        <f t="shared" si="516"/>
        <v>#DIV/0!</v>
      </c>
      <c r="AK337" s="161"/>
      <c r="AL337" s="162"/>
      <c r="AM337" s="38"/>
      <c r="AN337" s="38"/>
      <c r="AO337" s="38"/>
      <c r="AP337" s="38"/>
      <c r="AQ337" s="38"/>
      <c r="AR337" s="38"/>
      <c r="AS337" s="38"/>
      <c r="AT337" s="38"/>
      <c r="AU337" s="38"/>
      <c r="AV337" s="38"/>
      <c r="AW337" s="297"/>
    </row>
    <row r="338" spans="1:49" ht="13.2">
      <c r="A338" s="302"/>
      <c r="B338" s="263"/>
      <c r="C338" s="302"/>
      <c r="D338" s="107"/>
      <c r="E338" s="302"/>
      <c r="F338" s="190" t="s">
        <v>828</v>
      </c>
      <c r="G338" s="110"/>
      <c r="H338" s="110"/>
      <c r="I338" s="110"/>
      <c r="J338" s="110"/>
      <c r="K338" s="153"/>
      <c r="L338" s="153"/>
      <c r="M338" s="153"/>
      <c r="N338" s="110"/>
      <c r="O338" s="110"/>
      <c r="P338" s="154"/>
      <c r="Q338" s="155"/>
      <c r="R338" s="155"/>
      <c r="S338" s="155"/>
      <c r="T338" s="155"/>
      <c r="U338" s="155"/>
      <c r="V338" s="155"/>
      <c r="W338" s="155">
        <f t="shared" si="491"/>
        <v>0</v>
      </c>
      <c r="X338" s="155"/>
      <c r="Y338" s="155">
        <f t="shared" si="27"/>
        <v>0</v>
      </c>
      <c r="Z338" s="133"/>
      <c r="AA338" s="133"/>
      <c r="AB338" s="133"/>
      <c r="AC338" s="133">
        <f t="shared" si="8"/>
        <v>0</v>
      </c>
      <c r="AD338" s="133"/>
      <c r="AE338" s="133">
        <f t="shared" si="10"/>
        <v>0</v>
      </c>
      <c r="AF338" s="133"/>
      <c r="AG338" s="155"/>
      <c r="AH338" s="155">
        <f t="shared" si="29"/>
        <v>0</v>
      </c>
      <c r="AI338" s="156" t="e">
        <f t="shared" ref="AI338:AJ338" si="517">AG338/X338</f>
        <v>#DIV/0!</v>
      </c>
      <c r="AJ338" s="156" t="e">
        <f t="shared" si="517"/>
        <v>#DIV/0!</v>
      </c>
      <c r="AK338" s="161"/>
      <c r="AL338" s="162"/>
      <c r="AM338" s="38"/>
      <c r="AN338" s="38"/>
      <c r="AO338" s="38"/>
      <c r="AP338" s="38"/>
      <c r="AQ338" s="38"/>
      <c r="AR338" s="38"/>
      <c r="AS338" s="38"/>
      <c r="AT338" s="38"/>
      <c r="AU338" s="38"/>
      <c r="AV338" s="38"/>
      <c r="AW338" s="297"/>
    </row>
    <row r="339" spans="1:49" ht="13.2">
      <c r="A339" s="302"/>
      <c r="B339" s="263"/>
      <c r="C339" s="302"/>
      <c r="D339" s="107"/>
      <c r="E339" s="302"/>
      <c r="F339" s="190" t="s">
        <v>829</v>
      </c>
      <c r="G339" s="110"/>
      <c r="H339" s="110"/>
      <c r="I339" s="110"/>
      <c r="J339" s="110"/>
      <c r="K339" s="153"/>
      <c r="L339" s="153"/>
      <c r="M339" s="153"/>
      <c r="N339" s="110"/>
      <c r="O339" s="110"/>
      <c r="P339" s="154"/>
      <c r="Q339" s="155"/>
      <c r="R339" s="155"/>
      <c r="S339" s="155"/>
      <c r="T339" s="155"/>
      <c r="U339" s="155"/>
      <c r="V339" s="155"/>
      <c r="W339" s="155">
        <f t="shared" si="491"/>
        <v>0</v>
      </c>
      <c r="X339" s="155"/>
      <c r="Y339" s="155">
        <f t="shared" si="27"/>
        <v>0</v>
      </c>
      <c r="Z339" s="133"/>
      <c r="AA339" s="133"/>
      <c r="AB339" s="133"/>
      <c r="AC339" s="133">
        <f t="shared" si="8"/>
        <v>0</v>
      </c>
      <c r="AD339" s="133"/>
      <c r="AE339" s="133">
        <f t="shared" si="10"/>
        <v>0</v>
      </c>
      <c r="AF339" s="133"/>
      <c r="AG339" s="155"/>
      <c r="AH339" s="155">
        <f t="shared" si="29"/>
        <v>0</v>
      </c>
      <c r="AI339" s="156" t="e">
        <f t="shared" ref="AI339:AJ339" si="518">AG339/X339</f>
        <v>#DIV/0!</v>
      </c>
      <c r="AJ339" s="156" t="e">
        <f t="shared" si="518"/>
        <v>#DIV/0!</v>
      </c>
      <c r="AK339" s="161"/>
      <c r="AL339" s="162"/>
      <c r="AM339" s="38"/>
      <c r="AN339" s="38"/>
      <c r="AO339" s="38"/>
      <c r="AP339" s="38"/>
      <c r="AQ339" s="38"/>
      <c r="AR339" s="38"/>
      <c r="AS339" s="38"/>
      <c r="AT339" s="38"/>
      <c r="AU339" s="38"/>
      <c r="AV339" s="38"/>
      <c r="AW339" s="297"/>
    </row>
    <row r="340" spans="1:49" ht="13.2">
      <c r="A340" s="348">
        <f>HYPERLINK("https://smartstore.naver.com/brickstore2019/products/4669395416",AW:AW)</f>
        <v>4669395416</v>
      </c>
      <c r="B340" s="263"/>
      <c r="C340" s="343" t="s">
        <v>830</v>
      </c>
      <c r="D340" s="107"/>
      <c r="E340" s="343" t="s">
        <v>831</v>
      </c>
      <c r="F340" s="190" t="s">
        <v>820</v>
      </c>
      <c r="G340" s="110"/>
      <c r="H340" s="110"/>
      <c r="I340" s="110"/>
      <c r="J340" s="110"/>
      <c r="K340" s="153"/>
      <c r="L340" s="153"/>
      <c r="M340" s="153"/>
      <c r="N340" s="110"/>
      <c r="O340" s="110"/>
      <c r="P340" s="154"/>
      <c r="Q340" s="155"/>
      <c r="R340" s="155"/>
      <c r="S340" s="155"/>
      <c r="T340" s="155"/>
      <c r="U340" s="155"/>
      <c r="V340" s="155"/>
      <c r="W340" s="155">
        <f t="shared" si="491"/>
        <v>0</v>
      </c>
      <c r="X340" s="155"/>
      <c r="Y340" s="155">
        <f t="shared" si="27"/>
        <v>0</v>
      </c>
      <c r="Z340" s="133"/>
      <c r="AA340" s="133"/>
      <c r="AB340" s="133"/>
      <c r="AC340" s="133">
        <f t="shared" si="8"/>
        <v>0</v>
      </c>
      <c r="AD340" s="133"/>
      <c r="AE340" s="133">
        <f t="shared" si="10"/>
        <v>0</v>
      </c>
      <c r="AF340" s="133"/>
      <c r="AG340" s="155"/>
      <c r="AH340" s="155">
        <f t="shared" si="29"/>
        <v>0</v>
      </c>
      <c r="AI340" s="156" t="e">
        <f t="shared" ref="AI340:AJ340" si="519">AG340/X340</f>
        <v>#DIV/0!</v>
      </c>
      <c r="AJ340" s="156" t="e">
        <f t="shared" si="519"/>
        <v>#DIV/0!</v>
      </c>
      <c r="AK340" s="161"/>
      <c r="AL340" s="162"/>
      <c r="AM340" s="38"/>
      <c r="AN340" s="38"/>
      <c r="AO340" s="38"/>
      <c r="AP340" s="38"/>
      <c r="AQ340" s="38"/>
      <c r="AR340" s="38"/>
      <c r="AS340" s="38"/>
      <c r="AT340" s="38"/>
      <c r="AU340" s="38"/>
      <c r="AV340" s="38"/>
      <c r="AW340" s="333">
        <v>4669395416</v>
      </c>
    </row>
    <row r="341" spans="1:49" ht="13.2">
      <c r="A341" s="302"/>
      <c r="B341" s="263"/>
      <c r="C341" s="302"/>
      <c r="D341" s="107"/>
      <c r="E341" s="302"/>
      <c r="F341" s="190" t="s">
        <v>821</v>
      </c>
      <c r="G341" s="110"/>
      <c r="H341" s="110"/>
      <c r="I341" s="110"/>
      <c r="J341" s="110"/>
      <c r="K341" s="153"/>
      <c r="L341" s="153"/>
      <c r="M341" s="153"/>
      <c r="N341" s="110"/>
      <c r="O341" s="110"/>
      <c r="P341" s="154"/>
      <c r="Q341" s="155"/>
      <c r="R341" s="155"/>
      <c r="S341" s="155"/>
      <c r="T341" s="155"/>
      <c r="U341" s="155"/>
      <c r="V341" s="155"/>
      <c r="W341" s="155">
        <f t="shared" si="491"/>
        <v>0</v>
      </c>
      <c r="X341" s="155"/>
      <c r="Y341" s="155">
        <f t="shared" si="27"/>
        <v>0</v>
      </c>
      <c r="Z341" s="133"/>
      <c r="AA341" s="133"/>
      <c r="AB341" s="133"/>
      <c r="AC341" s="133">
        <f t="shared" si="8"/>
        <v>0</v>
      </c>
      <c r="AD341" s="133"/>
      <c r="AE341" s="133">
        <f t="shared" si="10"/>
        <v>0</v>
      </c>
      <c r="AF341" s="133"/>
      <c r="AG341" s="155"/>
      <c r="AH341" s="155">
        <f t="shared" si="29"/>
        <v>0</v>
      </c>
      <c r="AI341" s="156" t="e">
        <f t="shared" ref="AI341:AJ341" si="520">AG341/X341</f>
        <v>#DIV/0!</v>
      </c>
      <c r="AJ341" s="156" t="e">
        <f t="shared" si="520"/>
        <v>#DIV/0!</v>
      </c>
      <c r="AK341" s="161"/>
      <c r="AL341" s="162"/>
      <c r="AM341" s="38"/>
      <c r="AN341" s="38"/>
      <c r="AO341" s="38"/>
      <c r="AP341" s="38"/>
      <c r="AQ341" s="38"/>
      <c r="AR341" s="38"/>
      <c r="AS341" s="38"/>
      <c r="AT341" s="38"/>
      <c r="AU341" s="38"/>
      <c r="AV341" s="38"/>
      <c r="AW341" s="297"/>
    </row>
    <row r="342" spans="1:49" ht="13.2">
      <c r="A342" s="302"/>
      <c r="B342" s="263"/>
      <c r="C342" s="302"/>
      <c r="D342" s="107"/>
      <c r="E342" s="302"/>
      <c r="F342" s="190" t="s">
        <v>824</v>
      </c>
      <c r="G342" s="109" t="str">
        <f>HYPERLINK("https://www.amazon.com/Keychron-Wireless-Bluetooth-Mechanical-Keyboard/dp/B07YB32H52?ref_=ast_sto_dp","A")</f>
        <v>A</v>
      </c>
      <c r="H342" s="110"/>
      <c r="I342" s="110"/>
      <c r="J342" s="110">
        <v>100</v>
      </c>
      <c r="K342" s="153">
        <v>2.2000000000000002</v>
      </c>
      <c r="L342" s="153">
        <f>IF(K342&gt;0,K342*16,)</f>
        <v>35.200000000000003</v>
      </c>
      <c r="M342" s="153">
        <f>IF(K342&gt;0,K342*0.453592,IF(L342&gt;0,L342*0.02835,))</f>
        <v>0.99790240000000008</v>
      </c>
      <c r="N342" s="110">
        <v>0</v>
      </c>
      <c r="O342" s="110">
        <v>0</v>
      </c>
      <c r="P342" s="154">
        <f>J342+O342+N342</f>
        <v>100</v>
      </c>
      <c r="Q342" s="155">
        <f>P342*C$3</f>
        <v>125000</v>
      </c>
      <c r="R342" s="155">
        <v>0</v>
      </c>
      <c r="S342" s="155">
        <f>ROUND(SUM(Q342:R342), -2)</f>
        <v>125000</v>
      </c>
      <c r="T342" s="155">
        <f>ROUNDUP(HLOOKUP(ROUNDUP(K342,0),'배송비 조회'!A$10:U$22,7,0)*C$3,-2)</f>
        <v>13400</v>
      </c>
      <c r="U342" s="155">
        <v>0</v>
      </c>
      <c r="V342" s="155">
        <f>ROUND(IF(R342&gt;0,0,(S342+T342)*0.3),-2)</f>
        <v>41500</v>
      </c>
      <c r="W342" s="155">
        <f t="shared" si="491"/>
        <v>69200</v>
      </c>
      <c r="X342" s="155">
        <f>IF(R342&gt;0,SUM(S342:T342),SUM(S342:V342))</f>
        <v>179900</v>
      </c>
      <c r="Y342" s="155">
        <f t="shared" si="27"/>
        <v>207600</v>
      </c>
      <c r="Z342" s="133">
        <v>0</v>
      </c>
      <c r="AA342" s="133">
        <f>X342*0.038</f>
        <v>6836.2</v>
      </c>
      <c r="AB342" s="133">
        <f>X342*0.02</f>
        <v>3598</v>
      </c>
      <c r="AC342" s="133">
        <f t="shared" si="8"/>
        <v>20760</v>
      </c>
      <c r="AD342" s="133">
        <f>X342-AA342-AB342</f>
        <v>169465.8</v>
      </c>
      <c r="AE342" s="133">
        <f t="shared" si="10"/>
        <v>186840</v>
      </c>
      <c r="AF342" s="133">
        <f>AD342*0.01</f>
        <v>1694.6579999999999</v>
      </c>
      <c r="AG342" s="155">
        <f>AD342-Q342-AF342-T342</f>
        <v>29371.141999999985</v>
      </c>
      <c r="AH342" s="155">
        <f t="shared" si="29"/>
        <v>46745.341999999997</v>
      </c>
      <c r="AI342" s="156">
        <f t="shared" ref="AI342:AJ342" si="521">AG342/X342</f>
        <v>0.16326371317398547</v>
      </c>
      <c r="AJ342" s="156">
        <f t="shared" si="521"/>
        <v>0.2251702408477842</v>
      </c>
      <c r="AK342" s="161">
        <f>X342-X347</f>
        <v>32500</v>
      </c>
      <c r="AL342" s="162"/>
      <c r="AM342" s="38"/>
      <c r="AN342" s="38"/>
      <c r="AO342" s="38"/>
      <c r="AP342" s="38"/>
      <c r="AQ342" s="38"/>
      <c r="AR342" s="38"/>
      <c r="AS342" s="38"/>
      <c r="AT342" s="38"/>
      <c r="AU342" s="38"/>
      <c r="AV342" s="38"/>
      <c r="AW342" s="297"/>
    </row>
    <row r="343" spans="1:49" ht="13.2">
      <c r="A343" s="302"/>
      <c r="B343" s="263"/>
      <c r="C343" s="302"/>
      <c r="D343" s="107"/>
      <c r="E343" s="302"/>
      <c r="F343" s="190" t="s">
        <v>822</v>
      </c>
      <c r="G343" s="110"/>
      <c r="H343" s="110"/>
      <c r="I343" s="110"/>
      <c r="J343" s="110"/>
      <c r="K343" s="153"/>
      <c r="L343" s="153"/>
      <c r="M343" s="153"/>
      <c r="N343" s="110"/>
      <c r="O343" s="110"/>
      <c r="P343" s="154"/>
      <c r="Q343" s="155"/>
      <c r="R343" s="155"/>
      <c r="S343" s="155"/>
      <c r="T343" s="155"/>
      <c r="U343" s="155"/>
      <c r="V343" s="155"/>
      <c r="W343" s="155">
        <f t="shared" si="491"/>
        <v>0</v>
      </c>
      <c r="X343" s="155"/>
      <c r="Y343" s="155">
        <f t="shared" si="27"/>
        <v>0</v>
      </c>
      <c r="Z343" s="133"/>
      <c r="AA343" s="133"/>
      <c r="AB343" s="133"/>
      <c r="AC343" s="133">
        <f t="shared" si="8"/>
        <v>0</v>
      </c>
      <c r="AD343" s="133"/>
      <c r="AE343" s="133">
        <f t="shared" si="10"/>
        <v>0</v>
      </c>
      <c r="AF343" s="133"/>
      <c r="AG343" s="155"/>
      <c r="AH343" s="155">
        <f t="shared" si="29"/>
        <v>0</v>
      </c>
      <c r="AI343" s="156" t="e">
        <f t="shared" ref="AI343:AJ343" si="522">AG343/X343</f>
        <v>#DIV/0!</v>
      </c>
      <c r="AJ343" s="156" t="e">
        <f t="shared" si="522"/>
        <v>#DIV/0!</v>
      </c>
      <c r="AK343" s="161"/>
      <c r="AL343" s="162"/>
      <c r="AM343" s="38"/>
      <c r="AN343" s="38"/>
      <c r="AO343" s="38"/>
      <c r="AP343" s="38"/>
      <c r="AQ343" s="38"/>
      <c r="AR343" s="38"/>
      <c r="AS343" s="38"/>
      <c r="AT343" s="38"/>
      <c r="AU343" s="38"/>
      <c r="AV343" s="38"/>
      <c r="AW343" s="297"/>
    </row>
    <row r="344" spans="1:49" ht="13.2">
      <c r="A344" s="302"/>
      <c r="B344" s="263"/>
      <c r="C344" s="302"/>
      <c r="D344" s="107"/>
      <c r="E344" s="302"/>
      <c r="F344" s="190" t="s">
        <v>823</v>
      </c>
      <c r="G344" s="110"/>
      <c r="H344" s="110"/>
      <c r="I344" s="110"/>
      <c r="J344" s="110"/>
      <c r="K344" s="153"/>
      <c r="L344" s="153"/>
      <c r="M344" s="153"/>
      <c r="N344" s="110"/>
      <c r="O344" s="110"/>
      <c r="P344" s="154"/>
      <c r="Q344" s="155"/>
      <c r="R344" s="155"/>
      <c r="S344" s="155"/>
      <c r="T344" s="155"/>
      <c r="U344" s="155"/>
      <c r="V344" s="155"/>
      <c r="W344" s="155">
        <f t="shared" si="491"/>
        <v>0</v>
      </c>
      <c r="X344" s="155"/>
      <c r="Y344" s="155">
        <f t="shared" si="27"/>
        <v>0</v>
      </c>
      <c r="Z344" s="133"/>
      <c r="AA344" s="133"/>
      <c r="AB344" s="133"/>
      <c r="AC344" s="133">
        <f t="shared" si="8"/>
        <v>0</v>
      </c>
      <c r="AD344" s="133"/>
      <c r="AE344" s="133">
        <f t="shared" si="10"/>
        <v>0</v>
      </c>
      <c r="AF344" s="133"/>
      <c r="AG344" s="155"/>
      <c r="AH344" s="155">
        <f t="shared" si="29"/>
        <v>0</v>
      </c>
      <c r="AI344" s="156" t="e">
        <f t="shared" ref="AI344:AJ344" si="523">AG344/X344</f>
        <v>#DIV/0!</v>
      </c>
      <c r="AJ344" s="156" t="e">
        <f t="shared" si="523"/>
        <v>#DIV/0!</v>
      </c>
      <c r="AK344" s="161"/>
      <c r="AL344" s="162"/>
      <c r="AM344" s="38"/>
      <c r="AN344" s="38"/>
      <c r="AO344" s="38"/>
      <c r="AP344" s="38"/>
      <c r="AQ344" s="38"/>
      <c r="AR344" s="38"/>
      <c r="AS344" s="38"/>
      <c r="AT344" s="38"/>
      <c r="AU344" s="38"/>
      <c r="AV344" s="38"/>
      <c r="AW344" s="297"/>
    </row>
    <row r="345" spans="1:49" ht="13.2">
      <c r="A345" s="302"/>
      <c r="B345" s="263"/>
      <c r="C345" s="302"/>
      <c r="D345" s="107"/>
      <c r="E345" s="302"/>
      <c r="F345" s="190" t="s">
        <v>826</v>
      </c>
      <c r="G345" s="110"/>
      <c r="H345" s="110"/>
      <c r="I345" s="110"/>
      <c r="J345" s="110"/>
      <c r="K345" s="153"/>
      <c r="L345" s="153"/>
      <c r="M345" s="153"/>
      <c r="N345" s="110"/>
      <c r="O345" s="110"/>
      <c r="P345" s="154"/>
      <c r="Q345" s="155"/>
      <c r="R345" s="155"/>
      <c r="S345" s="155"/>
      <c r="T345" s="155"/>
      <c r="U345" s="155"/>
      <c r="V345" s="155"/>
      <c r="W345" s="155">
        <f t="shared" si="491"/>
        <v>0</v>
      </c>
      <c r="X345" s="155"/>
      <c r="Y345" s="155">
        <f t="shared" si="27"/>
        <v>0</v>
      </c>
      <c r="Z345" s="133"/>
      <c r="AA345" s="133"/>
      <c r="AB345" s="133"/>
      <c r="AC345" s="133">
        <f t="shared" si="8"/>
        <v>0</v>
      </c>
      <c r="AD345" s="133"/>
      <c r="AE345" s="133">
        <f t="shared" si="10"/>
        <v>0</v>
      </c>
      <c r="AF345" s="133"/>
      <c r="AG345" s="155"/>
      <c r="AH345" s="155">
        <f t="shared" si="29"/>
        <v>0</v>
      </c>
      <c r="AI345" s="156" t="e">
        <f t="shared" ref="AI345:AJ345" si="524">AG345/X345</f>
        <v>#DIV/0!</v>
      </c>
      <c r="AJ345" s="156" t="e">
        <f t="shared" si="524"/>
        <v>#DIV/0!</v>
      </c>
      <c r="AK345" s="161"/>
      <c r="AL345" s="162"/>
      <c r="AM345" s="38"/>
      <c r="AN345" s="38"/>
      <c r="AO345" s="38"/>
      <c r="AP345" s="38"/>
      <c r="AQ345" s="38"/>
      <c r="AR345" s="38"/>
      <c r="AS345" s="38"/>
      <c r="AT345" s="38"/>
      <c r="AU345" s="38"/>
      <c r="AV345" s="38"/>
      <c r="AW345" s="297"/>
    </row>
    <row r="346" spans="1:49" ht="13.2">
      <c r="A346" s="302"/>
      <c r="B346" s="263"/>
      <c r="C346" s="302"/>
      <c r="D346" s="107"/>
      <c r="E346" s="302"/>
      <c r="F346" s="190" t="s">
        <v>827</v>
      </c>
      <c r="G346" s="110"/>
      <c r="H346" s="110"/>
      <c r="I346" s="110"/>
      <c r="J346" s="110"/>
      <c r="K346" s="153"/>
      <c r="L346" s="153"/>
      <c r="M346" s="153"/>
      <c r="N346" s="110"/>
      <c r="O346" s="110"/>
      <c r="P346" s="154"/>
      <c r="Q346" s="155"/>
      <c r="R346" s="155"/>
      <c r="S346" s="155"/>
      <c r="T346" s="155"/>
      <c r="U346" s="155"/>
      <c r="V346" s="155"/>
      <c r="W346" s="155">
        <f t="shared" si="491"/>
        <v>0</v>
      </c>
      <c r="X346" s="155"/>
      <c r="Y346" s="155">
        <f t="shared" si="27"/>
        <v>0</v>
      </c>
      <c r="Z346" s="133"/>
      <c r="AA346" s="133"/>
      <c r="AB346" s="133"/>
      <c r="AC346" s="133">
        <f t="shared" si="8"/>
        <v>0</v>
      </c>
      <c r="AD346" s="133"/>
      <c r="AE346" s="133">
        <f t="shared" si="10"/>
        <v>0</v>
      </c>
      <c r="AF346" s="133"/>
      <c r="AG346" s="155"/>
      <c r="AH346" s="155">
        <f t="shared" si="29"/>
        <v>0</v>
      </c>
      <c r="AI346" s="156" t="e">
        <f t="shared" ref="AI346:AJ346" si="525">AG346/X346</f>
        <v>#DIV/0!</v>
      </c>
      <c r="AJ346" s="156" t="e">
        <f t="shared" si="525"/>
        <v>#DIV/0!</v>
      </c>
      <c r="AK346" s="161"/>
      <c r="AL346" s="162"/>
      <c r="AM346" s="38"/>
      <c r="AN346" s="38"/>
      <c r="AO346" s="38"/>
      <c r="AP346" s="38"/>
      <c r="AQ346" s="38"/>
      <c r="AR346" s="38"/>
      <c r="AS346" s="38"/>
      <c r="AT346" s="38"/>
      <c r="AU346" s="38"/>
      <c r="AV346" s="38"/>
      <c r="AW346" s="297"/>
    </row>
    <row r="347" spans="1:49" ht="13.2">
      <c r="A347" s="302"/>
      <c r="B347" s="263"/>
      <c r="C347" s="302"/>
      <c r="D347" s="107"/>
      <c r="E347" s="302"/>
      <c r="F347" s="190" t="s">
        <v>828</v>
      </c>
      <c r="G347" s="109" t="str">
        <f>HYPERLINK("https://www.amazon.com/Keychron-Wireless-Mechanical-Keyboard-Bluetooth/dp/B07QCP1M8F?ref_=ast_sto_dp","A")</f>
        <v>A</v>
      </c>
      <c r="H347" s="110"/>
      <c r="I347" s="110"/>
      <c r="J347" s="110">
        <v>80</v>
      </c>
      <c r="K347" s="153">
        <v>2.2000000000000002</v>
      </c>
      <c r="L347" s="153">
        <f>IF(K347&gt;0,K347*16,)</f>
        <v>35.200000000000003</v>
      </c>
      <c r="M347" s="153">
        <f>IF(K347&gt;0,K347*0.453592,IF(L347&gt;0,L347*0.02835,))</f>
        <v>0.99790240000000008</v>
      </c>
      <c r="N347" s="110">
        <v>0</v>
      </c>
      <c r="O347" s="110">
        <v>0</v>
      </c>
      <c r="P347" s="154">
        <f>J347+O347+N347</f>
        <v>80</v>
      </c>
      <c r="Q347" s="155">
        <f>P347*C$3</f>
        <v>100000</v>
      </c>
      <c r="R347" s="155">
        <v>0</v>
      </c>
      <c r="S347" s="155">
        <f>ROUND(SUM(Q347:R347), -2)</f>
        <v>100000</v>
      </c>
      <c r="T347" s="155">
        <f>ROUNDUP(HLOOKUP(ROUNDUP(K347,0),'배송비 조회'!A$10:U$22,7,0)*C$3,-2)</f>
        <v>13400</v>
      </c>
      <c r="U347" s="155">
        <v>0</v>
      </c>
      <c r="V347" s="155">
        <f>ROUND(IF(R347&gt;0,0,(S347+T347)*0.3),-2)</f>
        <v>34000</v>
      </c>
      <c r="W347" s="155">
        <f t="shared" si="491"/>
        <v>56700</v>
      </c>
      <c r="X347" s="155">
        <f>IF(R347&gt;0,SUM(S347:T347),SUM(S347:V347))</f>
        <v>147400</v>
      </c>
      <c r="Y347" s="155">
        <f t="shared" si="27"/>
        <v>170100</v>
      </c>
      <c r="Z347" s="133">
        <v>0</v>
      </c>
      <c r="AA347" s="133">
        <f>X347*0.038</f>
        <v>5601.2</v>
      </c>
      <c r="AB347" s="133">
        <f>X347*0.02</f>
        <v>2948</v>
      </c>
      <c r="AC347" s="133">
        <f t="shared" si="8"/>
        <v>17010</v>
      </c>
      <c r="AD347" s="133">
        <f>X347-AA347-AB347</f>
        <v>138850.79999999999</v>
      </c>
      <c r="AE347" s="133">
        <f t="shared" si="10"/>
        <v>153090</v>
      </c>
      <c r="AF347" s="133">
        <f>AD347*0.01</f>
        <v>1388.5079999999998</v>
      </c>
      <c r="AG347" s="155">
        <f>AD347-Q347-AF347-T347</f>
        <v>24062.291999999987</v>
      </c>
      <c r="AH347" s="155">
        <f t="shared" si="29"/>
        <v>38301.491999999998</v>
      </c>
      <c r="AI347" s="156">
        <f t="shared" ref="AI347:AJ347" si="526">AG347/X347</f>
        <v>0.16324485753052909</v>
      </c>
      <c r="AJ347" s="156">
        <f t="shared" si="526"/>
        <v>0.22517044091710758</v>
      </c>
      <c r="AK347" s="161"/>
      <c r="AL347" s="162"/>
      <c r="AM347" s="38"/>
      <c r="AN347" s="38"/>
      <c r="AO347" s="38"/>
      <c r="AP347" s="38"/>
      <c r="AQ347" s="38"/>
      <c r="AR347" s="38"/>
      <c r="AS347" s="38"/>
      <c r="AT347" s="38"/>
      <c r="AU347" s="38"/>
      <c r="AV347" s="38"/>
      <c r="AW347" s="297"/>
    </row>
    <row r="348" spans="1:49" ht="13.2">
      <c r="A348" s="302"/>
      <c r="B348" s="263"/>
      <c r="C348" s="302"/>
      <c r="D348" s="107"/>
      <c r="E348" s="302"/>
      <c r="F348" s="190" t="s">
        <v>829</v>
      </c>
      <c r="G348" s="110"/>
      <c r="H348" s="110"/>
      <c r="I348" s="110"/>
      <c r="J348" s="110"/>
      <c r="K348" s="153"/>
      <c r="L348" s="153"/>
      <c r="M348" s="153"/>
      <c r="N348" s="110"/>
      <c r="O348" s="110"/>
      <c r="P348" s="154"/>
      <c r="Q348" s="155"/>
      <c r="R348" s="155"/>
      <c r="S348" s="155"/>
      <c r="T348" s="155"/>
      <c r="U348" s="155"/>
      <c r="V348" s="155"/>
      <c r="W348" s="155">
        <f t="shared" si="491"/>
        <v>0</v>
      </c>
      <c r="X348" s="155"/>
      <c r="Y348" s="155">
        <f t="shared" si="27"/>
        <v>0</v>
      </c>
      <c r="Z348" s="133"/>
      <c r="AA348" s="133"/>
      <c r="AB348" s="133"/>
      <c r="AC348" s="133">
        <f t="shared" si="8"/>
        <v>0</v>
      </c>
      <c r="AD348" s="133"/>
      <c r="AE348" s="133">
        <f t="shared" si="10"/>
        <v>0</v>
      </c>
      <c r="AF348" s="133"/>
      <c r="AG348" s="155"/>
      <c r="AH348" s="155">
        <f t="shared" si="29"/>
        <v>0</v>
      </c>
      <c r="AI348" s="156" t="e">
        <f t="shared" ref="AI348:AJ348" si="527">AG348/X348</f>
        <v>#DIV/0!</v>
      </c>
      <c r="AJ348" s="156" t="e">
        <f t="shared" si="527"/>
        <v>#DIV/0!</v>
      </c>
      <c r="AK348" s="161"/>
      <c r="AL348" s="162"/>
      <c r="AM348" s="38"/>
      <c r="AN348" s="38"/>
      <c r="AO348" s="38"/>
      <c r="AP348" s="38"/>
      <c r="AQ348" s="38"/>
      <c r="AR348" s="38"/>
      <c r="AS348" s="38"/>
      <c r="AT348" s="38"/>
      <c r="AU348" s="38"/>
      <c r="AV348" s="38"/>
      <c r="AW348" s="297"/>
    </row>
    <row r="349" spans="1:49" ht="13.2">
      <c r="A349" s="351">
        <f>HYPERLINK("https://smartstore.naver.com/brickstore2019/products/4688703934",AW:AW)</f>
        <v>4688703934</v>
      </c>
      <c r="B349" s="277"/>
      <c r="C349" s="344" t="s">
        <v>832</v>
      </c>
      <c r="D349" s="191"/>
      <c r="E349" s="344" t="s">
        <v>833</v>
      </c>
      <c r="F349" s="190" t="s">
        <v>820</v>
      </c>
      <c r="G349" s="192" t="str">
        <f>HYPERLINK("https://www.amazon.com/Keychron-Wireless-Bluetooth-Mechanical-Keyboard/dp/B07WDBLPMS/ref=sr_1_3?crid=36WUWJ4C4G2AB&amp;keywords=keychron+k2&amp;qid=1571740162&amp;sprefix=keychron%2Caps%2C370&amp;sr=8-3","A")</f>
        <v>A</v>
      </c>
      <c r="H349" s="110"/>
      <c r="I349" s="110"/>
      <c r="J349" s="193">
        <v>100</v>
      </c>
      <c r="K349" s="194">
        <v>2.5</v>
      </c>
      <c r="L349" s="194">
        <f t="shared" ref="L349:L353" si="528">IF(K349&gt;0,K349*16,)</f>
        <v>40</v>
      </c>
      <c r="M349" s="194">
        <f t="shared" ref="M349:M353" si="529">IF(K349&gt;0,K349*0.453592,IF(L349&gt;0,L349*0.02835,))</f>
        <v>1.13398</v>
      </c>
      <c r="N349" s="193">
        <v>0</v>
      </c>
      <c r="O349" s="193">
        <v>0</v>
      </c>
      <c r="P349" s="195">
        <f t="shared" ref="P349:P353" si="530">J349+O349+N349</f>
        <v>100</v>
      </c>
      <c r="Q349" s="196">
        <f>P349*C$3</f>
        <v>125000</v>
      </c>
      <c r="R349" s="196">
        <v>0</v>
      </c>
      <c r="S349" s="196">
        <f t="shared" ref="S349:S353" si="531">ROUND(SUM(Q349:R349), -2)</f>
        <v>125000</v>
      </c>
      <c r="T349" s="196">
        <f>ROUNDUP(HLOOKUP(ROUNDUP(K349,0),'배송비 조회'!A$10:U$22,7,0)*C$3,-2)</f>
        <v>13400</v>
      </c>
      <c r="U349" s="196">
        <v>0</v>
      </c>
      <c r="V349" s="196">
        <f t="shared" ref="V349:V353" si="532">ROUND(IF(R349&gt;0,0,(S349+T349)*0.3),-2)</f>
        <v>41500</v>
      </c>
      <c r="W349" s="155">
        <f t="shared" si="491"/>
        <v>69200</v>
      </c>
      <c r="X349" s="196">
        <f t="shared" ref="X349:X353" si="533">IF(R349&gt;0,SUM(S349:T349),SUM(S349:V349))</f>
        <v>179900</v>
      </c>
      <c r="Y349" s="155">
        <f t="shared" si="27"/>
        <v>207600</v>
      </c>
      <c r="Z349" s="197">
        <v>0</v>
      </c>
      <c r="AA349" s="197">
        <f t="shared" ref="AA349:AA353" si="534">X349*0.038</f>
        <v>6836.2</v>
      </c>
      <c r="AB349" s="197">
        <f t="shared" ref="AB349:AB353" si="535">X349*0.02</f>
        <v>3598</v>
      </c>
      <c r="AC349" s="133">
        <f t="shared" si="8"/>
        <v>20760</v>
      </c>
      <c r="AD349" s="197">
        <f t="shared" ref="AD349:AD353" si="536">X349-AA349-AB349</f>
        <v>169465.8</v>
      </c>
      <c r="AE349" s="133">
        <f t="shared" si="10"/>
        <v>186840</v>
      </c>
      <c r="AF349" s="197">
        <f t="shared" ref="AF349:AF353" si="537">AD349*0.01</f>
        <v>1694.6579999999999</v>
      </c>
      <c r="AG349" s="196">
        <f t="shared" ref="AG349:AG353" si="538">AD349-Q349-AF349-T349</f>
        <v>29371.141999999985</v>
      </c>
      <c r="AH349" s="155">
        <f t="shared" si="29"/>
        <v>46745.341999999997</v>
      </c>
      <c r="AI349" s="156">
        <f t="shared" ref="AI349:AJ349" si="539">AG349/X349</f>
        <v>0.16326371317398547</v>
      </c>
      <c r="AJ349" s="156">
        <f t="shared" si="539"/>
        <v>0.2251702408477842</v>
      </c>
      <c r="AK349" s="198"/>
      <c r="AL349" s="190"/>
      <c r="AM349" s="41"/>
      <c r="AN349" s="41"/>
      <c r="AO349" s="41"/>
      <c r="AP349" s="41"/>
      <c r="AQ349" s="41"/>
      <c r="AR349" s="41"/>
      <c r="AS349" s="41"/>
      <c r="AT349" s="41"/>
      <c r="AU349" s="41"/>
      <c r="AV349" s="41"/>
      <c r="AW349" s="334">
        <v>4688703934</v>
      </c>
    </row>
    <row r="350" spans="1:49" ht="13.2">
      <c r="A350" s="302"/>
      <c r="B350" s="277"/>
      <c r="C350" s="302"/>
      <c r="D350" s="191"/>
      <c r="E350" s="302"/>
      <c r="F350" s="190" t="s">
        <v>821</v>
      </c>
      <c r="G350" s="199" t="str">
        <f>HYPERLINK("https://www.amazon.com/Keychron-Wireless-Bluetooth-Mechanical-Keyboard/dp/B07YXP27Y3/ref=sr_1_3?crid=36WUWJ4C4G2AB&amp;keywords=keychron%2Bk2&amp;qid=1571740162&amp;sprefix=keychron%2Caps%2C370&amp;sr=8-3&amp;th=1","A")</f>
        <v>A</v>
      </c>
      <c r="H350" s="110"/>
      <c r="I350" s="110"/>
      <c r="J350" s="193">
        <v>100</v>
      </c>
      <c r="K350" s="194">
        <v>2.5</v>
      </c>
      <c r="L350" s="194">
        <f t="shared" si="528"/>
        <v>40</v>
      </c>
      <c r="M350" s="194">
        <f t="shared" si="529"/>
        <v>1.13398</v>
      </c>
      <c r="N350" s="193">
        <v>0</v>
      </c>
      <c r="O350" s="193">
        <v>0</v>
      </c>
      <c r="P350" s="195">
        <f t="shared" si="530"/>
        <v>100</v>
      </c>
      <c r="Q350" s="196">
        <f>P350*C$3</f>
        <v>125000</v>
      </c>
      <c r="R350" s="196">
        <v>0</v>
      </c>
      <c r="S350" s="196">
        <f t="shared" si="531"/>
        <v>125000</v>
      </c>
      <c r="T350" s="196">
        <f>ROUNDUP(HLOOKUP(ROUNDUP(K350,0),'배송비 조회'!A$10:U$22,7,0)*C$3,-2)</f>
        <v>13400</v>
      </c>
      <c r="U350" s="196">
        <v>0</v>
      </c>
      <c r="V350" s="196">
        <f t="shared" si="532"/>
        <v>41500</v>
      </c>
      <c r="W350" s="155">
        <f t="shared" si="491"/>
        <v>69200</v>
      </c>
      <c r="X350" s="196">
        <f t="shared" si="533"/>
        <v>179900</v>
      </c>
      <c r="Y350" s="155">
        <f t="shared" si="27"/>
        <v>207600</v>
      </c>
      <c r="Z350" s="197">
        <v>0</v>
      </c>
      <c r="AA350" s="197">
        <f t="shared" si="534"/>
        <v>6836.2</v>
      </c>
      <c r="AB350" s="197">
        <f t="shared" si="535"/>
        <v>3598</v>
      </c>
      <c r="AC350" s="133">
        <f t="shared" si="8"/>
        <v>20760</v>
      </c>
      <c r="AD350" s="197">
        <f t="shared" si="536"/>
        <v>169465.8</v>
      </c>
      <c r="AE350" s="133">
        <f t="shared" si="10"/>
        <v>186840</v>
      </c>
      <c r="AF350" s="197">
        <f t="shared" si="537"/>
        <v>1694.6579999999999</v>
      </c>
      <c r="AG350" s="196">
        <f t="shared" si="538"/>
        <v>29371.141999999985</v>
      </c>
      <c r="AH350" s="155">
        <f t="shared" si="29"/>
        <v>46745.341999999997</v>
      </c>
      <c r="AI350" s="156">
        <f t="shared" ref="AI350:AJ350" si="540">AG350/X350</f>
        <v>0.16326371317398547</v>
      </c>
      <c r="AJ350" s="156">
        <f t="shared" si="540"/>
        <v>0.2251702408477842</v>
      </c>
      <c r="AK350" s="198"/>
      <c r="AL350" s="190"/>
      <c r="AM350" s="41"/>
      <c r="AN350" s="41"/>
      <c r="AO350" s="41"/>
      <c r="AP350" s="41"/>
      <c r="AQ350" s="41"/>
      <c r="AR350" s="41"/>
      <c r="AS350" s="41"/>
      <c r="AT350" s="41"/>
      <c r="AU350" s="41"/>
      <c r="AV350" s="41"/>
      <c r="AW350" s="297"/>
    </row>
    <row r="351" spans="1:49" ht="13.2">
      <c r="A351" s="302"/>
      <c r="B351" s="277"/>
      <c r="C351" s="302"/>
      <c r="D351" s="191"/>
      <c r="E351" s="302"/>
      <c r="F351" s="190" t="s">
        <v>824</v>
      </c>
      <c r="G351" s="199" t="str">
        <f>HYPERLINK("https://www.amazon.com/Keychron-Wireless-Bluetooth-Mechanical-Keyboard/dp/B07WDBLPMS?ref_=ast_sto_dp&amp;th=1","A")</f>
        <v>A</v>
      </c>
      <c r="H351" s="110"/>
      <c r="I351" s="110"/>
      <c r="J351" s="193">
        <v>100</v>
      </c>
      <c r="K351" s="194">
        <v>2.5</v>
      </c>
      <c r="L351" s="194">
        <f t="shared" si="528"/>
        <v>40</v>
      </c>
      <c r="M351" s="194">
        <f t="shared" si="529"/>
        <v>1.13398</v>
      </c>
      <c r="N351" s="193">
        <v>0</v>
      </c>
      <c r="O351" s="193">
        <v>0</v>
      </c>
      <c r="P351" s="195">
        <f t="shared" si="530"/>
        <v>100</v>
      </c>
      <c r="Q351" s="196">
        <f>P351*C$3</f>
        <v>125000</v>
      </c>
      <c r="R351" s="196">
        <v>0</v>
      </c>
      <c r="S351" s="196">
        <f t="shared" si="531"/>
        <v>125000</v>
      </c>
      <c r="T351" s="196">
        <f>ROUNDUP(HLOOKUP(ROUNDUP(K351,0),'배송비 조회'!A$10:U$22,7,0)*C$3,-2)</f>
        <v>13400</v>
      </c>
      <c r="U351" s="196">
        <v>0</v>
      </c>
      <c r="V351" s="196">
        <f t="shared" si="532"/>
        <v>41500</v>
      </c>
      <c r="W351" s="155">
        <f t="shared" si="491"/>
        <v>69200</v>
      </c>
      <c r="X351" s="196">
        <f t="shared" si="533"/>
        <v>179900</v>
      </c>
      <c r="Y351" s="155">
        <f t="shared" si="27"/>
        <v>207600</v>
      </c>
      <c r="Z351" s="197">
        <v>0</v>
      </c>
      <c r="AA351" s="197">
        <f t="shared" si="534"/>
        <v>6836.2</v>
      </c>
      <c r="AB351" s="197">
        <f t="shared" si="535"/>
        <v>3598</v>
      </c>
      <c r="AC351" s="133">
        <f t="shared" si="8"/>
        <v>20760</v>
      </c>
      <c r="AD351" s="197">
        <f t="shared" si="536"/>
        <v>169465.8</v>
      </c>
      <c r="AE351" s="133">
        <f t="shared" si="10"/>
        <v>186840</v>
      </c>
      <c r="AF351" s="197">
        <f t="shared" si="537"/>
        <v>1694.6579999999999</v>
      </c>
      <c r="AG351" s="196">
        <f t="shared" si="538"/>
        <v>29371.141999999985</v>
      </c>
      <c r="AH351" s="155">
        <f t="shared" si="29"/>
        <v>46745.341999999997</v>
      </c>
      <c r="AI351" s="156">
        <f t="shared" ref="AI351:AJ351" si="541">AG351/X351</f>
        <v>0.16326371317398547</v>
      </c>
      <c r="AJ351" s="156">
        <f t="shared" si="541"/>
        <v>0.2251702408477842</v>
      </c>
      <c r="AK351" s="198"/>
      <c r="AL351" s="190"/>
      <c r="AM351" s="41"/>
      <c r="AN351" s="41"/>
      <c r="AO351" s="41"/>
      <c r="AP351" s="41"/>
      <c r="AQ351" s="41"/>
      <c r="AR351" s="41"/>
      <c r="AS351" s="41"/>
      <c r="AT351" s="41"/>
      <c r="AU351" s="41"/>
      <c r="AV351" s="41"/>
      <c r="AW351" s="297"/>
    </row>
    <row r="352" spans="1:49" ht="13.2">
      <c r="A352" s="302"/>
      <c r="B352" s="277"/>
      <c r="C352" s="302"/>
      <c r="D352" s="191"/>
      <c r="E352" s="302"/>
      <c r="F352" s="190" t="s">
        <v>825</v>
      </c>
      <c r="G352" s="199" t="str">
        <f>HYPERLINK("https://www.amazon.com/Keychron-Wireless-Bluetooth-Mechanical-Keyboard/dp/B07YXP27Y3?ref_=ast_sto_dp&amp;th=1","A")</f>
        <v>A</v>
      </c>
      <c r="H352" s="110"/>
      <c r="I352" s="110"/>
      <c r="J352" s="193">
        <v>100</v>
      </c>
      <c r="K352" s="194">
        <v>2.5</v>
      </c>
      <c r="L352" s="194">
        <f t="shared" si="528"/>
        <v>40</v>
      </c>
      <c r="M352" s="194">
        <f t="shared" si="529"/>
        <v>1.13398</v>
      </c>
      <c r="N352" s="193">
        <v>0</v>
      </c>
      <c r="O352" s="193">
        <v>0</v>
      </c>
      <c r="P352" s="195">
        <f t="shared" si="530"/>
        <v>100</v>
      </c>
      <c r="Q352" s="196">
        <f>P352*C$3</f>
        <v>125000</v>
      </c>
      <c r="R352" s="196">
        <v>0</v>
      </c>
      <c r="S352" s="196">
        <f t="shared" si="531"/>
        <v>125000</v>
      </c>
      <c r="T352" s="196">
        <f>ROUNDUP(HLOOKUP(ROUNDUP(K352,0),'배송비 조회'!A$10:U$22,7,0)*C$3,-2)</f>
        <v>13400</v>
      </c>
      <c r="U352" s="196">
        <v>0</v>
      </c>
      <c r="V352" s="196">
        <f t="shared" si="532"/>
        <v>41500</v>
      </c>
      <c r="W352" s="155">
        <f t="shared" si="491"/>
        <v>69200</v>
      </c>
      <c r="X352" s="196">
        <f t="shared" si="533"/>
        <v>179900</v>
      </c>
      <c r="Y352" s="155">
        <f t="shared" si="27"/>
        <v>207600</v>
      </c>
      <c r="Z352" s="197">
        <v>0</v>
      </c>
      <c r="AA352" s="197">
        <f t="shared" si="534"/>
        <v>6836.2</v>
      </c>
      <c r="AB352" s="197">
        <f t="shared" si="535"/>
        <v>3598</v>
      </c>
      <c r="AC352" s="133">
        <f t="shared" si="8"/>
        <v>20760</v>
      </c>
      <c r="AD352" s="197">
        <f t="shared" si="536"/>
        <v>169465.8</v>
      </c>
      <c r="AE352" s="133">
        <f t="shared" si="10"/>
        <v>186840</v>
      </c>
      <c r="AF352" s="197">
        <f t="shared" si="537"/>
        <v>1694.6579999999999</v>
      </c>
      <c r="AG352" s="196">
        <f t="shared" si="538"/>
        <v>29371.141999999985</v>
      </c>
      <c r="AH352" s="155">
        <f t="shared" si="29"/>
        <v>46745.341999999997</v>
      </c>
      <c r="AI352" s="156">
        <f t="shared" ref="AI352:AJ352" si="542">AG352/X352</f>
        <v>0.16326371317398547</v>
      </c>
      <c r="AJ352" s="156">
        <f t="shared" si="542"/>
        <v>0.2251702408477842</v>
      </c>
      <c r="AK352" s="198">
        <f>X352-X353</f>
        <v>16200</v>
      </c>
      <c r="AL352" s="190"/>
      <c r="AM352" s="41"/>
      <c r="AN352" s="41"/>
      <c r="AO352" s="41"/>
      <c r="AP352" s="41"/>
      <c r="AQ352" s="41"/>
      <c r="AR352" s="41"/>
      <c r="AS352" s="41"/>
      <c r="AT352" s="41"/>
      <c r="AU352" s="41"/>
      <c r="AV352" s="41"/>
      <c r="AW352" s="297"/>
    </row>
    <row r="353" spans="1:49" ht="13.2">
      <c r="A353" s="302"/>
      <c r="B353" s="277"/>
      <c r="C353" s="302"/>
      <c r="D353" s="191"/>
      <c r="E353" s="302"/>
      <c r="F353" s="190" t="s">
        <v>822</v>
      </c>
      <c r="G353" s="199" t="str">
        <f>HYPERLINK("https://www.amazon.com/Keychron-Wireless-Mechanical-Keyboard-Bluetooth/dp/B07QBPCW4J?ref_=ast_sto_dp&amp;th=1","A")</f>
        <v>A</v>
      </c>
      <c r="H353" s="110"/>
      <c r="I353" s="110"/>
      <c r="J353" s="193">
        <v>90</v>
      </c>
      <c r="K353" s="194">
        <v>2.5</v>
      </c>
      <c r="L353" s="194">
        <f t="shared" si="528"/>
        <v>40</v>
      </c>
      <c r="M353" s="194">
        <f t="shared" si="529"/>
        <v>1.13398</v>
      </c>
      <c r="N353" s="193">
        <v>0</v>
      </c>
      <c r="O353" s="193">
        <v>0</v>
      </c>
      <c r="P353" s="195">
        <f t="shared" si="530"/>
        <v>90</v>
      </c>
      <c r="Q353" s="196">
        <f>P353*C$3</f>
        <v>112500</v>
      </c>
      <c r="R353" s="196">
        <v>0</v>
      </c>
      <c r="S353" s="196">
        <f t="shared" si="531"/>
        <v>112500</v>
      </c>
      <c r="T353" s="196">
        <f>ROUNDUP(HLOOKUP(ROUNDUP(K353,0),'배송비 조회'!A$10:U$22,7,0)*C$3,-2)</f>
        <v>13400</v>
      </c>
      <c r="U353" s="196">
        <v>0</v>
      </c>
      <c r="V353" s="196">
        <f t="shared" si="532"/>
        <v>37800</v>
      </c>
      <c r="W353" s="155">
        <f t="shared" si="491"/>
        <v>63000</v>
      </c>
      <c r="X353" s="196">
        <f t="shared" si="533"/>
        <v>163700</v>
      </c>
      <c r="Y353" s="155">
        <f t="shared" si="27"/>
        <v>188900</v>
      </c>
      <c r="Z353" s="197">
        <v>0</v>
      </c>
      <c r="AA353" s="197">
        <f t="shared" si="534"/>
        <v>6220.5999999999995</v>
      </c>
      <c r="AB353" s="197">
        <f t="shared" si="535"/>
        <v>3274</v>
      </c>
      <c r="AC353" s="133">
        <f t="shared" si="8"/>
        <v>18890</v>
      </c>
      <c r="AD353" s="197">
        <f t="shared" si="536"/>
        <v>154205.4</v>
      </c>
      <c r="AE353" s="133">
        <f t="shared" si="10"/>
        <v>170010</v>
      </c>
      <c r="AF353" s="197">
        <f t="shared" si="537"/>
        <v>1542.0540000000001</v>
      </c>
      <c r="AG353" s="196">
        <f t="shared" si="538"/>
        <v>26763.34599999999</v>
      </c>
      <c r="AH353" s="155">
        <f t="shared" si="29"/>
        <v>42567.945999999996</v>
      </c>
      <c r="AI353" s="156">
        <f t="shared" ref="AI353:AJ353" si="543">AG353/X353</f>
        <v>0.16349020158827116</v>
      </c>
      <c r="AJ353" s="156">
        <f t="shared" si="543"/>
        <v>0.22534645844362095</v>
      </c>
      <c r="AK353" s="198"/>
      <c r="AL353" s="190"/>
      <c r="AM353" s="41"/>
      <c r="AN353" s="41"/>
      <c r="AO353" s="41"/>
      <c r="AP353" s="41"/>
      <c r="AQ353" s="41"/>
      <c r="AR353" s="41"/>
      <c r="AS353" s="41"/>
      <c r="AT353" s="41"/>
      <c r="AU353" s="41"/>
      <c r="AV353" s="41"/>
      <c r="AW353" s="297"/>
    </row>
    <row r="354" spans="1:49" ht="13.2">
      <c r="A354" s="302"/>
      <c r="B354" s="277"/>
      <c r="C354" s="302"/>
      <c r="D354" s="191"/>
      <c r="E354" s="302"/>
      <c r="F354" s="190" t="s">
        <v>823</v>
      </c>
      <c r="G354" s="192"/>
      <c r="H354" s="110"/>
      <c r="I354" s="110"/>
      <c r="J354" s="193"/>
      <c r="K354" s="194"/>
      <c r="L354" s="194"/>
      <c r="M354" s="194"/>
      <c r="N354" s="193"/>
      <c r="O354" s="193"/>
      <c r="P354" s="195"/>
      <c r="Q354" s="196"/>
      <c r="R354" s="196"/>
      <c r="S354" s="196"/>
      <c r="T354" s="196"/>
      <c r="U354" s="196"/>
      <c r="V354" s="196"/>
      <c r="W354" s="155">
        <f t="shared" si="491"/>
        <v>0</v>
      </c>
      <c r="X354" s="196"/>
      <c r="Y354" s="155">
        <f t="shared" si="27"/>
        <v>0</v>
      </c>
      <c r="Z354" s="197"/>
      <c r="AA354" s="197"/>
      <c r="AB354" s="197"/>
      <c r="AC354" s="133">
        <f t="shared" si="8"/>
        <v>0</v>
      </c>
      <c r="AD354" s="197"/>
      <c r="AE354" s="133">
        <f t="shared" si="10"/>
        <v>0</v>
      </c>
      <c r="AF354" s="197"/>
      <c r="AG354" s="196"/>
      <c r="AH354" s="155">
        <f t="shared" si="29"/>
        <v>0</v>
      </c>
      <c r="AI354" s="156" t="e">
        <f t="shared" ref="AI354:AJ354" si="544">AG354/X354</f>
        <v>#DIV/0!</v>
      </c>
      <c r="AJ354" s="156" t="e">
        <f t="shared" si="544"/>
        <v>#DIV/0!</v>
      </c>
      <c r="AK354" s="198"/>
      <c r="AL354" s="190"/>
      <c r="AM354" s="41"/>
      <c r="AN354" s="41"/>
      <c r="AO354" s="41"/>
      <c r="AP354" s="41"/>
      <c r="AQ354" s="41"/>
      <c r="AR354" s="41"/>
      <c r="AS354" s="41"/>
      <c r="AT354" s="41"/>
      <c r="AU354" s="41"/>
      <c r="AV354" s="41"/>
      <c r="AW354" s="297"/>
    </row>
    <row r="355" spans="1:49" ht="13.2">
      <c r="A355" s="302"/>
      <c r="B355" s="277"/>
      <c r="C355" s="302"/>
      <c r="D355" s="191"/>
      <c r="E355" s="302"/>
      <c r="F355" s="190" t="s">
        <v>826</v>
      </c>
      <c r="G355" s="192"/>
      <c r="H355" s="110"/>
      <c r="I355" s="110"/>
      <c r="J355" s="193"/>
      <c r="K355" s="194"/>
      <c r="L355" s="194"/>
      <c r="M355" s="194"/>
      <c r="N355" s="193"/>
      <c r="O355" s="193"/>
      <c r="P355" s="195"/>
      <c r="Q355" s="196"/>
      <c r="R355" s="196"/>
      <c r="S355" s="196"/>
      <c r="T355" s="196"/>
      <c r="U355" s="196"/>
      <c r="V355" s="196"/>
      <c r="W355" s="155">
        <f t="shared" si="491"/>
        <v>0</v>
      </c>
      <c r="X355" s="196"/>
      <c r="Y355" s="155">
        <f t="shared" si="27"/>
        <v>0</v>
      </c>
      <c r="Z355" s="197"/>
      <c r="AA355" s="197"/>
      <c r="AB355" s="197"/>
      <c r="AC355" s="133">
        <f t="shared" si="8"/>
        <v>0</v>
      </c>
      <c r="AD355" s="197"/>
      <c r="AE355" s="133">
        <f t="shared" si="10"/>
        <v>0</v>
      </c>
      <c r="AF355" s="197"/>
      <c r="AG355" s="196"/>
      <c r="AH355" s="155">
        <f t="shared" si="29"/>
        <v>0</v>
      </c>
      <c r="AI355" s="156" t="e">
        <f t="shared" ref="AI355:AJ355" si="545">AG355/X355</f>
        <v>#DIV/0!</v>
      </c>
      <c r="AJ355" s="156" t="e">
        <f t="shared" si="545"/>
        <v>#DIV/0!</v>
      </c>
      <c r="AK355" s="198"/>
      <c r="AL355" s="190"/>
      <c r="AM355" s="41"/>
      <c r="AN355" s="41"/>
      <c r="AO355" s="41"/>
      <c r="AP355" s="41"/>
      <c r="AQ355" s="41"/>
      <c r="AR355" s="41"/>
      <c r="AS355" s="41"/>
      <c r="AT355" s="41"/>
      <c r="AU355" s="41"/>
      <c r="AV355" s="41"/>
      <c r="AW355" s="297"/>
    </row>
    <row r="356" spans="1:49" ht="13.2">
      <c r="A356" s="302"/>
      <c r="B356" s="277"/>
      <c r="C356" s="302"/>
      <c r="D356" s="191"/>
      <c r="E356" s="302"/>
      <c r="F356" s="190" t="s">
        <v>827</v>
      </c>
      <c r="G356" s="192"/>
      <c r="H356" s="110"/>
      <c r="I356" s="110"/>
      <c r="J356" s="193"/>
      <c r="K356" s="194"/>
      <c r="L356" s="194"/>
      <c r="M356" s="194"/>
      <c r="N356" s="193"/>
      <c r="O356" s="193"/>
      <c r="P356" s="195"/>
      <c r="Q356" s="196"/>
      <c r="R356" s="196"/>
      <c r="S356" s="196"/>
      <c r="T356" s="196"/>
      <c r="U356" s="196"/>
      <c r="V356" s="196"/>
      <c r="W356" s="155">
        <f t="shared" si="491"/>
        <v>0</v>
      </c>
      <c r="X356" s="196"/>
      <c r="Y356" s="155">
        <f t="shared" si="27"/>
        <v>0</v>
      </c>
      <c r="Z356" s="197"/>
      <c r="AA356" s="197"/>
      <c r="AB356" s="197"/>
      <c r="AC356" s="133">
        <f t="shared" si="8"/>
        <v>0</v>
      </c>
      <c r="AD356" s="197"/>
      <c r="AE356" s="133">
        <f t="shared" si="10"/>
        <v>0</v>
      </c>
      <c r="AF356" s="197"/>
      <c r="AG356" s="196"/>
      <c r="AH356" s="155">
        <f t="shared" si="29"/>
        <v>0</v>
      </c>
      <c r="AI356" s="156" t="e">
        <f t="shared" ref="AI356:AJ356" si="546">AG356/X356</f>
        <v>#DIV/0!</v>
      </c>
      <c r="AJ356" s="156" t="e">
        <f t="shared" si="546"/>
        <v>#DIV/0!</v>
      </c>
      <c r="AK356" s="198"/>
      <c r="AL356" s="190"/>
      <c r="AM356" s="41"/>
      <c r="AN356" s="41"/>
      <c r="AO356" s="41"/>
      <c r="AP356" s="41"/>
      <c r="AQ356" s="41"/>
      <c r="AR356" s="41"/>
      <c r="AS356" s="41"/>
      <c r="AT356" s="41"/>
      <c r="AU356" s="41"/>
      <c r="AV356" s="41"/>
      <c r="AW356" s="297"/>
    </row>
    <row r="357" spans="1:49" ht="13.2">
      <c r="A357" s="302"/>
      <c r="B357" s="277"/>
      <c r="C357" s="302"/>
      <c r="D357" s="191"/>
      <c r="E357" s="302"/>
      <c r="F357" s="190" t="s">
        <v>828</v>
      </c>
      <c r="G357" s="192"/>
      <c r="H357" s="110"/>
      <c r="I357" s="110"/>
      <c r="J357" s="193"/>
      <c r="K357" s="194"/>
      <c r="L357" s="194"/>
      <c r="M357" s="194"/>
      <c r="N357" s="193"/>
      <c r="O357" s="193"/>
      <c r="P357" s="195"/>
      <c r="Q357" s="196"/>
      <c r="R357" s="196"/>
      <c r="S357" s="196"/>
      <c r="T357" s="196"/>
      <c r="U357" s="196"/>
      <c r="V357" s="196"/>
      <c r="W357" s="155">
        <f t="shared" si="491"/>
        <v>0</v>
      </c>
      <c r="X357" s="196"/>
      <c r="Y357" s="155">
        <f t="shared" si="27"/>
        <v>0</v>
      </c>
      <c r="Z357" s="197"/>
      <c r="AA357" s="197"/>
      <c r="AB357" s="197"/>
      <c r="AC357" s="133">
        <f t="shared" si="8"/>
        <v>0</v>
      </c>
      <c r="AD357" s="197"/>
      <c r="AE357" s="133">
        <f t="shared" si="10"/>
        <v>0</v>
      </c>
      <c r="AF357" s="197"/>
      <c r="AG357" s="196"/>
      <c r="AH357" s="155">
        <f t="shared" si="29"/>
        <v>0</v>
      </c>
      <c r="AI357" s="156" t="e">
        <f t="shared" ref="AI357:AJ357" si="547">AG357/X357</f>
        <v>#DIV/0!</v>
      </c>
      <c r="AJ357" s="156" t="e">
        <f t="shared" si="547"/>
        <v>#DIV/0!</v>
      </c>
      <c r="AK357" s="198"/>
      <c r="AL357" s="190"/>
      <c r="AM357" s="41"/>
      <c r="AN357" s="41"/>
      <c r="AO357" s="41"/>
      <c r="AP357" s="41"/>
      <c r="AQ357" s="41"/>
      <c r="AR357" s="41"/>
      <c r="AS357" s="41"/>
      <c r="AT357" s="41"/>
      <c r="AU357" s="41"/>
      <c r="AV357" s="41"/>
      <c r="AW357" s="297"/>
    </row>
    <row r="358" spans="1:49" ht="13.2">
      <c r="A358" s="302"/>
      <c r="B358" s="277"/>
      <c r="C358" s="302"/>
      <c r="D358" s="191"/>
      <c r="E358" s="302"/>
      <c r="F358" s="190" t="s">
        <v>829</v>
      </c>
      <c r="G358" s="192"/>
      <c r="H358" s="110"/>
      <c r="I358" s="110"/>
      <c r="J358" s="193"/>
      <c r="K358" s="194"/>
      <c r="L358" s="194"/>
      <c r="M358" s="194"/>
      <c r="N358" s="193"/>
      <c r="O358" s="193"/>
      <c r="P358" s="195"/>
      <c r="Q358" s="196"/>
      <c r="R358" s="196"/>
      <c r="S358" s="196"/>
      <c r="T358" s="196"/>
      <c r="U358" s="196"/>
      <c r="V358" s="196"/>
      <c r="W358" s="155">
        <f t="shared" si="491"/>
        <v>0</v>
      </c>
      <c r="X358" s="196"/>
      <c r="Y358" s="155">
        <f t="shared" si="27"/>
        <v>0</v>
      </c>
      <c r="Z358" s="197"/>
      <c r="AA358" s="197"/>
      <c r="AB358" s="197"/>
      <c r="AC358" s="133">
        <f t="shared" si="8"/>
        <v>0</v>
      </c>
      <c r="AD358" s="197"/>
      <c r="AE358" s="133">
        <f t="shared" si="10"/>
        <v>0</v>
      </c>
      <c r="AF358" s="197"/>
      <c r="AG358" s="196"/>
      <c r="AH358" s="155">
        <f t="shared" si="29"/>
        <v>0</v>
      </c>
      <c r="AI358" s="156" t="e">
        <f t="shared" ref="AI358:AJ358" si="548">AG358/X358</f>
        <v>#DIV/0!</v>
      </c>
      <c r="AJ358" s="156" t="e">
        <f t="shared" si="548"/>
        <v>#DIV/0!</v>
      </c>
      <c r="AK358" s="198"/>
      <c r="AL358" s="190"/>
      <c r="AM358" s="41"/>
      <c r="AN358" s="41"/>
      <c r="AO358" s="41"/>
      <c r="AP358" s="41"/>
      <c r="AQ358" s="41"/>
      <c r="AR358" s="41"/>
      <c r="AS358" s="41"/>
      <c r="AT358" s="41"/>
      <c r="AU358" s="41"/>
      <c r="AV358" s="41"/>
      <c r="AW358" s="297"/>
    </row>
    <row r="359" spans="1:49" ht="13.2">
      <c r="A359" s="303">
        <f>HYPERLINK("https://smartstore.naver.com/brickstore2019/products/4669411067",AW:AW)</f>
        <v>4669411067</v>
      </c>
      <c r="B359" s="266"/>
      <c r="C359" s="304" t="s">
        <v>834</v>
      </c>
      <c r="D359" s="117"/>
      <c r="E359" s="304" t="s">
        <v>835</v>
      </c>
      <c r="F359" s="114" t="s">
        <v>55</v>
      </c>
      <c r="G359" s="124" t="str">
        <f>HYPERLINK("https://www.amazon.com/AKASO-EK7000-Sports-Waterproof-Camcorder/dp/B01HGM33HG/ref=zg_bs_photo_12?_encoding=UTF8&amp;refRID=83G3Y943RPVWFEXRZXJ0&amp;th=1","A")</f>
        <v>A</v>
      </c>
      <c r="H359" s="125"/>
      <c r="I359" s="125"/>
      <c r="J359" s="93">
        <v>65</v>
      </c>
      <c r="K359" s="82">
        <v>1.5</v>
      </c>
      <c r="L359" s="82">
        <f t="shared" ref="L359:L361" si="549">IF(K359&gt;0,K359*16,)</f>
        <v>24</v>
      </c>
      <c r="M359" s="82">
        <f t="shared" ref="M359:M1018" si="550">IF(K359&gt;0,K359*0.453592,IF(L359&gt;0,L359*0.02835,))</f>
        <v>0.68038799999999999</v>
      </c>
      <c r="N359" s="93">
        <v>0</v>
      </c>
      <c r="O359" s="93">
        <v>0</v>
      </c>
      <c r="P359" s="95">
        <f t="shared" ref="P359:P484" si="551">J359+O359+N359</f>
        <v>65</v>
      </c>
      <c r="Q359" s="96">
        <f t="shared" ref="Q359:Q422" si="552">P359*C$3</f>
        <v>81250</v>
      </c>
      <c r="R359" s="96">
        <v>0</v>
      </c>
      <c r="S359" s="97">
        <f t="shared" ref="S359:S1018" si="553">ROUND(SUM(Q359:R359), -2)</f>
        <v>81300</v>
      </c>
      <c r="T359" s="97">
        <f>ROUNDUP(HLOOKUP(ROUNDUP(K359,0),'배송비 조회'!A$10:U$22,7,0)*C$3,-2)</f>
        <v>11200</v>
      </c>
      <c r="U359" s="97">
        <v>0</v>
      </c>
      <c r="V359" s="97">
        <f t="shared" ref="V359:V362" si="554">ROUND(IF(R359&gt;0,0,(S359+T359)*0.3),-2)</f>
        <v>27800</v>
      </c>
      <c r="W359" s="97">
        <f t="shared" si="491"/>
        <v>46300</v>
      </c>
      <c r="X359" s="98">
        <f t="shared" ref="X359:X593" si="555">IF(R359&gt;0,SUM(S359:T359),SUM(S359:V359))</f>
        <v>120300</v>
      </c>
      <c r="Y359" s="98">
        <f t="shared" si="27"/>
        <v>138800</v>
      </c>
      <c r="Z359" s="121">
        <v>0</v>
      </c>
      <c r="AA359" s="121">
        <f t="shared" ref="AA359:AA1018" si="556">X359*0.038</f>
        <v>4571.3999999999996</v>
      </c>
      <c r="AB359" s="121">
        <f t="shared" ref="AB359:AB1018" si="557">X359*0.02</f>
        <v>2406</v>
      </c>
      <c r="AC359" s="99">
        <f t="shared" si="8"/>
        <v>13880</v>
      </c>
      <c r="AD359" s="121">
        <f t="shared" ref="AD359:AD1018" si="558">X359-AA359-AB359</f>
        <v>113322.6</v>
      </c>
      <c r="AE359" s="99">
        <f t="shared" si="10"/>
        <v>124920</v>
      </c>
      <c r="AF359" s="121">
        <f t="shared" ref="AF359:AF1018" si="559">AD359*0.01</f>
        <v>1133.2260000000001</v>
      </c>
      <c r="AG359" s="100">
        <f t="shared" ref="AG359:AG1018" si="560">AD359-Q359-AF359-T359</f>
        <v>19739.374000000007</v>
      </c>
      <c r="AH359" s="101">
        <f t="shared" si="29"/>
        <v>31336.773999999998</v>
      </c>
      <c r="AI359" s="102">
        <f t="shared" ref="AI359:AJ359" si="561">AG359/X359</f>
        <v>0.16408457190357445</v>
      </c>
      <c r="AJ359" s="102">
        <f t="shared" si="561"/>
        <v>0.22576926512968298</v>
      </c>
      <c r="AK359" s="103"/>
      <c r="AL359" s="104"/>
      <c r="AM359" s="17"/>
      <c r="AN359" s="17"/>
      <c r="AO359" s="17"/>
      <c r="AP359" s="17"/>
      <c r="AQ359" s="17"/>
      <c r="AR359" s="17"/>
      <c r="AS359" s="17"/>
      <c r="AT359" s="17"/>
      <c r="AU359" s="17"/>
      <c r="AV359" s="17"/>
      <c r="AW359" s="296">
        <v>4669411067</v>
      </c>
    </row>
    <row r="360" spans="1:49" ht="13.2">
      <c r="A360" s="302"/>
      <c r="B360" s="266"/>
      <c r="C360" s="302"/>
      <c r="D360" s="117"/>
      <c r="E360" s="302"/>
      <c r="F360" s="117" t="s">
        <v>836</v>
      </c>
      <c r="G360" s="124" t="str">
        <f>HYPERLINK("https://www.amazon.com/AKASO-EK7000-Sports-Waterproof-Camcorder/dp/B01LMVIS18/ref=zg_bs_photo_12?_encoding=UTF8&amp;refRID=83G3Y943RPVWFEXRZXJ0&amp;th=1","A")</f>
        <v>A</v>
      </c>
      <c r="H360" s="125"/>
      <c r="I360" s="125"/>
      <c r="J360" s="93">
        <v>65</v>
      </c>
      <c r="K360" s="82">
        <v>1.5</v>
      </c>
      <c r="L360" s="82">
        <f t="shared" si="549"/>
        <v>24</v>
      </c>
      <c r="M360" s="82">
        <f t="shared" si="550"/>
        <v>0.68038799999999999</v>
      </c>
      <c r="N360" s="93">
        <v>0</v>
      </c>
      <c r="O360" s="93">
        <v>0</v>
      </c>
      <c r="P360" s="95">
        <f t="shared" si="551"/>
        <v>65</v>
      </c>
      <c r="Q360" s="96">
        <f t="shared" si="552"/>
        <v>81250</v>
      </c>
      <c r="R360" s="96">
        <v>0</v>
      </c>
      <c r="S360" s="97">
        <f t="shared" si="553"/>
        <v>81300</v>
      </c>
      <c r="T360" s="97">
        <f>ROUNDUP(HLOOKUP(ROUNDUP(K360,0),'배송비 조회'!A$10:U$22,7,0)*C$3,-2)</f>
        <v>11200</v>
      </c>
      <c r="U360" s="97">
        <v>0</v>
      </c>
      <c r="V360" s="97">
        <f t="shared" si="554"/>
        <v>27800</v>
      </c>
      <c r="W360" s="97">
        <f t="shared" si="491"/>
        <v>46300</v>
      </c>
      <c r="X360" s="98">
        <f t="shared" si="555"/>
        <v>120300</v>
      </c>
      <c r="Y360" s="98">
        <f t="shared" si="27"/>
        <v>138800</v>
      </c>
      <c r="Z360" s="121">
        <v>0</v>
      </c>
      <c r="AA360" s="121">
        <f t="shared" si="556"/>
        <v>4571.3999999999996</v>
      </c>
      <c r="AB360" s="121">
        <f t="shared" si="557"/>
        <v>2406</v>
      </c>
      <c r="AC360" s="99">
        <f t="shared" si="8"/>
        <v>13880</v>
      </c>
      <c r="AD360" s="121">
        <f t="shared" si="558"/>
        <v>113322.6</v>
      </c>
      <c r="AE360" s="99">
        <f t="shared" si="10"/>
        <v>124920</v>
      </c>
      <c r="AF360" s="121">
        <f t="shared" si="559"/>
        <v>1133.2260000000001</v>
      </c>
      <c r="AG360" s="100">
        <f t="shared" si="560"/>
        <v>19739.374000000007</v>
      </c>
      <c r="AH360" s="101">
        <f t="shared" si="29"/>
        <v>31336.773999999998</v>
      </c>
      <c r="AI360" s="102">
        <f t="shared" ref="AI360:AJ360" si="562">AG360/X360</f>
        <v>0.16408457190357445</v>
      </c>
      <c r="AJ360" s="102">
        <f t="shared" si="562"/>
        <v>0.22576926512968298</v>
      </c>
      <c r="AK360" s="103"/>
      <c r="AL360" s="104"/>
      <c r="AM360" s="17"/>
      <c r="AN360" s="17"/>
      <c r="AO360" s="17"/>
      <c r="AP360" s="17"/>
      <c r="AQ360" s="17"/>
      <c r="AR360" s="17"/>
      <c r="AS360" s="17"/>
      <c r="AT360" s="17"/>
      <c r="AU360" s="17"/>
      <c r="AV360" s="17"/>
      <c r="AW360" s="297"/>
    </row>
    <row r="361" spans="1:49" ht="13.2">
      <c r="A361" s="302"/>
      <c r="B361" s="266"/>
      <c r="C361" s="302"/>
      <c r="D361" s="117"/>
      <c r="E361" s="302"/>
      <c r="F361" s="117" t="s">
        <v>837</v>
      </c>
      <c r="G361" s="124" t="str">
        <f>HYPERLINK("https://www.amazon.com/AKASO-EK7000-Sports-Waterproof-Camcorder/dp/B01LMVITSA/ref=zg_bs_photo_12?_encoding=UTF8&amp;refRID=83G3Y943RPVWFEXRZXJ0&amp;th=1","A")</f>
        <v>A</v>
      </c>
      <c r="H361" s="125"/>
      <c r="I361" s="125"/>
      <c r="J361" s="93">
        <v>65</v>
      </c>
      <c r="K361" s="82">
        <v>1.5</v>
      </c>
      <c r="L361" s="82">
        <f t="shared" si="549"/>
        <v>24</v>
      </c>
      <c r="M361" s="82">
        <f t="shared" si="550"/>
        <v>0.68038799999999999</v>
      </c>
      <c r="N361" s="93">
        <v>0</v>
      </c>
      <c r="O361" s="93">
        <v>0</v>
      </c>
      <c r="P361" s="95">
        <f t="shared" si="551"/>
        <v>65</v>
      </c>
      <c r="Q361" s="96">
        <f t="shared" si="552"/>
        <v>81250</v>
      </c>
      <c r="R361" s="96">
        <v>0</v>
      </c>
      <c r="S361" s="97">
        <f t="shared" si="553"/>
        <v>81300</v>
      </c>
      <c r="T361" s="97">
        <f>ROUNDUP(HLOOKUP(ROUNDUP(K361,0),'배송비 조회'!A$10:U$22,7,0)*C$3,-2)</f>
        <v>11200</v>
      </c>
      <c r="U361" s="97">
        <v>0</v>
      </c>
      <c r="V361" s="97">
        <f t="shared" si="554"/>
        <v>27800</v>
      </c>
      <c r="W361" s="97">
        <f t="shared" si="491"/>
        <v>46300</v>
      </c>
      <c r="X361" s="98">
        <f t="shared" si="555"/>
        <v>120300</v>
      </c>
      <c r="Y361" s="98">
        <f t="shared" si="27"/>
        <v>138800</v>
      </c>
      <c r="Z361" s="121">
        <v>0</v>
      </c>
      <c r="AA361" s="121">
        <f t="shared" si="556"/>
        <v>4571.3999999999996</v>
      </c>
      <c r="AB361" s="121">
        <f t="shared" si="557"/>
        <v>2406</v>
      </c>
      <c r="AC361" s="99">
        <f t="shared" si="8"/>
        <v>13880</v>
      </c>
      <c r="AD361" s="121">
        <f t="shared" si="558"/>
        <v>113322.6</v>
      </c>
      <c r="AE361" s="99">
        <f t="shared" si="10"/>
        <v>124920</v>
      </c>
      <c r="AF361" s="121">
        <f t="shared" si="559"/>
        <v>1133.2260000000001</v>
      </c>
      <c r="AG361" s="100">
        <f t="shared" si="560"/>
        <v>19739.374000000007</v>
      </c>
      <c r="AH361" s="101">
        <f t="shared" si="29"/>
        <v>31336.773999999998</v>
      </c>
      <c r="AI361" s="102">
        <f t="shared" ref="AI361:AJ361" si="563">AG361/X361</f>
        <v>0.16408457190357445</v>
      </c>
      <c r="AJ361" s="102">
        <f t="shared" si="563"/>
        <v>0.22576926512968298</v>
      </c>
      <c r="AK361" s="103"/>
      <c r="AL361" s="104"/>
      <c r="AM361" s="17"/>
      <c r="AN361" s="17"/>
      <c r="AO361" s="17"/>
      <c r="AP361" s="17"/>
      <c r="AQ361" s="17"/>
      <c r="AR361" s="17"/>
      <c r="AS361" s="17"/>
      <c r="AT361" s="17"/>
      <c r="AU361" s="17"/>
      <c r="AV361" s="17"/>
      <c r="AW361" s="297"/>
    </row>
    <row r="362" spans="1:49" ht="13.2">
      <c r="A362" s="119">
        <f>HYPERLINK("https://smartstore.naver.com/brickstore2019/products/4669462424",AW:AW)</f>
        <v>4669462424</v>
      </c>
      <c r="B362" s="264"/>
      <c r="C362" s="117" t="s">
        <v>838</v>
      </c>
      <c r="D362" s="117"/>
      <c r="E362" s="117" t="s">
        <v>839</v>
      </c>
      <c r="F362" s="123"/>
      <c r="G362" s="124" t="str">
        <f>HYPERLINK("https://www.amazon.com/ASTRO-Gaming-C40-TR-Controller-PlayStation/dp/B07KF1FB1F/ref=sr_1_3?keywords=ASTRO+Gaming+C40+TR+Controller+-+PlayStation+4&amp;qid=1567684076&amp;s=gateway&amp;sr=8-3","A")</f>
        <v>A</v>
      </c>
      <c r="H362" s="125"/>
      <c r="I362" s="125"/>
      <c r="J362" s="125">
        <v>200</v>
      </c>
      <c r="K362" s="82">
        <f t="shared" ref="K362:K363" si="564">IF(L362&gt;0,L362*0.0625,)</f>
        <v>0.68125000000000002</v>
      </c>
      <c r="L362" s="82">
        <v>10.9</v>
      </c>
      <c r="M362" s="82">
        <f t="shared" si="550"/>
        <v>0.30900955000000002</v>
      </c>
      <c r="N362" s="93">
        <v>0</v>
      </c>
      <c r="O362" s="93">
        <v>0</v>
      </c>
      <c r="P362" s="95">
        <f t="shared" si="551"/>
        <v>200</v>
      </c>
      <c r="Q362" s="96">
        <f t="shared" si="552"/>
        <v>250000</v>
      </c>
      <c r="R362" s="96">
        <v>0</v>
      </c>
      <c r="S362" s="97">
        <f t="shared" si="553"/>
        <v>250000</v>
      </c>
      <c r="T362" s="97">
        <f>ROUNDUP(HLOOKUP(ROUNDUP(K362,0),'배송비 조회'!A$10:U$22,7,0)*C$3,-2)</f>
        <v>9000</v>
      </c>
      <c r="U362" s="97">
        <v>0</v>
      </c>
      <c r="V362" s="97">
        <f t="shared" si="554"/>
        <v>77700</v>
      </c>
      <c r="W362" s="97">
        <f t="shared" si="491"/>
        <v>129500</v>
      </c>
      <c r="X362" s="98">
        <f t="shared" si="555"/>
        <v>336700</v>
      </c>
      <c r="Y362" s="98">
        <f t="shared" si="27"/>
        <v>388500</v>
      </c>
      <c r="Z362" s="121">
        <v>0</v>
      </c>
      <c r="AA362" s="121">
        <f t="shared" si="556"/>
        <v>12794.6</v>
      </c>
      <c r="AB362" s="121">
        <f t="shared" si="557"/>
        <v>6734</v>
      </c>
      <c r="AC362" s="99">
        <f t="shared" si="8"/>
        <v>38850</v>
      </c>
      <c r="AD362" s="121">
        <f t="shared" si="558"/>
        <v>317171.40000000002</v>
      </c>
      <c r="AE362" s="99">
        <f t="shared" si="10"/>
        <v>349650</v>
      </c>
      <c r="AF362" s="121">
        <f t="shared" si="559"/>
        <v>3171.7140000000004</v>
      </c>
      <c r="AG362" s="100">
        <f t="shared" si="560"/>
        <v>54999.686000000023</v>
      </c>
      <c r="AH362" s="101">
        <f t="shared" si="29"/>
        <v>87478.285999999993</v>
      </c>
      <c r="AI362" s="102">
        <f t="shared" ref="AI362:AJ362" si="565">AG362/X362</f>
        <v>0.16334923076923083</v>
      </c>
      <c r="AJ362" s="102">
        <f t="shared" si="565"/>
        <v>0.2251693333333333</v>
      </c>
      <c r="AK362" s="103"/>
      <c r="AL362" s="104"/>
      <c r="AM362" s="17"/>
      <c r="AN362" s="17"/>
      <c r="AO362" s="17"/>
      <c r="AP362" s="17"/>
      <c r="AQ362" s="17"/>
      <c r="AR362" s="17"/>
      <c r="AS362" s="17"/>
      <c r="AT362" s="17"/>
      <c r="AU362" s="17"/>
      <c r="AV362" s="17"/>
      <c r="AW362" s="30">
        <v>4669462424</v>
      </c>
    </row>
    <row r="363" spans="1:49" ht="13.2">
      <c r="A363" s="119">
        <f>HYPERLINK("https://www.amazon.com/Casio-Classic-Quartz-Plastic-Casual/dp/B07BQXXNQY?pf_rd_p=620603ad-0491-422c-a6dc-22dac9d7dad1&amp;pd_rd_wg=53kcL&amp;pf_rd_r=3HRYZWX62BQB0K9TVMRH&amp;ref_=pd_gw_srecs_l2ra&amp;pd_rd_w=FYupk&amp;pd_rd_r=6ebfc9ca-99bb-42a4-b1e2-07c64f8a733b",AW:AW)</f>
        <v>4669483595</v>
      </c>
      <c r="B363" s="266"/>
      <c r="C363" s="117" t="s">
        <v>840</v>
      </c>
      <c r="D363" s="117"/>
      <c r="E363" s="117" t="s">
        <v>841</v>
      </c>
      <c r="F363" s="123"/>
      <c r="G363" s="124" t="str">
        <f>HYPERLINK("https://www.amazon.com/Casio-Classic-Quartz-Plastic-Casual/dp/B07BQXXNQY?pf_rd_p=620603ad-0491-422c-a6dc-22dac9d7dad1&amp;pd_rd_wg=53kcL&amp;pf_rd_r=3HRYZWX62BQB0K9TVMRH&amp;ref_=pd_gw_srecs_l2ra&amp;pd_rd_w=FYupk&amp;pd_rd_r=6ebfc9ca-99bb-42a4-b1e2-07c64f8a733b","A")</f>
        <v>A</v>
      </c>
      <c r="H363" s="125"/>
      <c r="I363" s="125"/>
      <c r="J363" s="125">
        <v>16.29</v>
      </c>
      <c r="K363" s="82">
        <f t="shared" si="564"/>
        <v>0.2</v>
      </c>
      <c r="L363" s="82">
        <v>3.2</v>
      </c>
      <c r="M363" s="82">
        <f t="shared" si="550"/>
        <v>9.0718400000000005E-2</v>
      </c>
      <c r="N363" s="93">
        <v>0</v>
      </c>
      <c r="O363" s="93">
        <v>0</v>
      </c>
      <c r="P363" s="95">
        <f t="shared" si="551"/>
        <v>16.29</v>
      </c>
      <c r="Q363" s="96">
        <f t="shared" si="552"/>
        <v>20362.5</v>
      </c>
      <c r="R363" s="96">
        <v>0</v>
      </c>
      <c r="S363" s="97">
        <f t="shared" si="553"/>
        <v>20400</v>
      </c>
      <c r="T363" s="97">
        <f>ROUNDUP(HLOOKUP(ROUNDUP(K363,0),'배송비 조회'!A$10:U$22,7,0)*C$3,-2)</f>
        <v>9000</v>
      </c>
      <c r="U363" s="97">
        <v>0</v>
      </c>
      <c r="V363" s="97">
        <f>ROUND(IF(R363&gt;0,0,(S363+T363)*0.5),-2)</f>
        <v>14700</v>
      </c>
      <c r="W363" s="97">
        <f t="shared" si="491"/>
        <v>14700</v>
      </c>
      <c r="X363" s="98">
        <f t="shared" si="555"/>
        <v>44100</v>
      </c>
      <c r="Y363" s="98">
        <f t="shared" si="27"/>
        <v>44100</v>
      </c>
      <c r="Z363" s="121">
        <v>0</v>
      </c>
      <c r="AA363" s="121">
        <f t="shared" si="556"/>
        <v>1675.8</v>
      </c>
      <c r="AB363" s="121">
        <f t="shared" si="557"/>
        <v>882</v>
      </c>
      <c r="AC363" s="99">
        <f t="shared" si="8"/>
        <v>4410</v>
      </c>
      <c r="AD363" s="121">
        <f t="shared" si="558"/>
        <v>41542.199999999997</v>
      </c>
      <c r="AE363" s="99">
        <f t="shared" si="10"/>
        <v>39690</v>
      </c>
      <c r="AF363" s="121">
        <f t="shared" si="559"/>
        <v>415.42199999999997</v>
      </c>
      <c r="AG363" s="100">
        <f t="shared" si="560"/>
        <v>11764.277999999998</v>
      </c>
      <c r="AH363" s="101">
        <f t="shared" si="29"/>
        <v>9912.0780000000013</v>
      </c>
      <c r="AI363" s="102">
        <f t="shared" ref="AI363:AJ363" si="566">AG363/X363</f>
        <v>0.26676367346938773</v>
      </c>
      <c r="AJ363" s="102">
        <f t="shared" si="566"/>
        <v>0.22476367346938778</v>
      </c>
      <c r="AK363" s="103"/>
      <c r="AL363" s="104"/>
      <c r="AM363" s="17"/>
      <c r="AN363" s="17"/>
      <c r="AO363" s="17"/>
      <c r="AP363" s="17"/>
      <c r="AQ363" s="17"/>
      <c r="AR363" s="17"/>
      <c r="AS363" s="17"/>
      <c r="AT363" s="17"/>
      <c r="AU363" s="17"/>
      <c r="AV363" s="17"/>
      <c r="AW363" s="22">
        <v>4669483595</v>
      </c>
    </row>
    <row r="364" spans="1:49" ht="13.2">
      <c r="A364" s="119">
        <f>HYPERLINK("https://smartstore.naver.com/brickstore2019/products/4671065533",AW:AW)</f>
        <v>4671065533</v>
      </c>
      <c r="B364" s="266"/>
      <c r="C364" s="117" t="s">
        <v>842</v>
      </c>
      <c r="D364" s="117"/>
      <c r="E364" s="117" t="s">
        <v>843</v>
      </c>
      <c r="F364" s="123"/>
      <c r="G364" s="124" t="str">
        <f>HYPERLINK("https://www.amazon.com/dp/B01MTLEKNA/ref=cm_sw_r_cp_api_i_vJ4FDbG8WCVV9","A")</f>
        <v>A</v>
      </c>
      <c r="H364" s="125"/>
      <c r="I364" s="125"/>
      <c r="J364" s="125">
        <v>30</v>
      </c>
      <c r="K364" s="82">
        <v>1.1000000000000001</v>
      </c>
      <c r="L364" s="82">
        <f t="shared" ref="L364:L366" si="567">IF(K364&gt;0,K364*16,)</f>
        <v>17.600000000000001</v>
      </c>
      <c r="M364" s="82">
        <f t="shared" si="550"/>
        <v>0.49895120000000004</v>
      </c>
      <c r="N364" s="93">
        <v>0</v>
      </c>
      <c r="O364" s="93">
        <v>0</v>
      </c>
      <c r="P364" s="95">
        <f t="shared" si="551"/>
        <v>30</v>
      </c>
      <c r="Q364" s="96">
        <f t="shared" si="552"/>
        <v>37500</v>
      </c>
      <c r="R364" s="96">
        <v>0</v>
      </c>
      <c r="S364" s="97">
        <f t="shared" si="553"/>
        <v>37500</v>
      </c>
      <c r="T364" s="97">
        <f>ROUNDUP(HLOOKUP(ROUNDUP(K364,0),'배송비 조회'!A$10:U$22,7,0)*C$3,-2)</f>
        <v>11200</v>
      </c>
      <c r="U364" s="97">
        <v>0</v>
      </c>
      <c r="V364" s="97">
        <f t="shared" ref="V364:V369" si="568">ROUND(IF(R364&gt;0,0,(S364+T364)*0.3),-2)</f>
        <v>14600</v>
      </c>
      <c r="W364" s="97">
        <f t="shared" si="491"/>
        <v>24400</v>
      </c>
      <c r="X364" s="98">
        <f t="shared" si="555"/>
        <v>63300</v>
      </c>
      <c r="Y364" s="98">
        <f t="shared" si="27"/>
        <v>73100</v>
      </c>
      <c r="Z364" s="121">
        <v>0</v>
      </c>
      <c r="AA364" s="121">
        <f t="shared" si="556"/>
        <v>2405.4</v>
      </c>
      <c r="AB364" s="121">
        <f t="shared" si="557"/>
        <v>1266</v>
      </c>
      <c r="AC364" s="99">
        <f t="shared" si="8"/>
        <v>7310</v>
      </c>
      <c r="AD364" s="121">
        <f t="shared" si="558"/>
        <v>59628.6</v>
      </c>
      <c r="AE364" s="99">
        <f t="shared" si="10"/>
        <v>65790</v>
      </c>
      <c r="AF364" s="121">
        <f t="shared" si="559"/>
        <v>596.28599999999994</v>
      </c>
      <c r="AG364" s="100">
        <f t="shared" si="560"/>
        <v>10332.313999999998</v>
      </c>
      <c r="AH364" s="101">
        <f t="shared" si="29"/>
        <v>16493.714</v>
      </c>
      <c r="AI364" s="102">
        <f t="shared" ref="AI364:AJ364" si="569">AG364/X364</f>
        <v>0.16322770932069508</v>
      </c>
      <c r="AJ364" s="102">
        <f t="shared" si="569"/>
        <v>0.2256322024623803</v>
      </c>
      <c r="AK364" s="103"/>
      <c r="AL364" s="104"/>
      <c r="AM364" s="17"/>
      <c r="AN364" s="17"/>
      <c r="AO364" s="17"/>
      <c r="AP364" s="17"/>
      <c r="AQ364" s="17"/>
      <c r="AR364" s="17"/>
      <c r="AS364" s="17"/>
      <c r="AT364" s="17"/>
      <c r="AU364" s="17"/>
      <c r="AV364" s="17"/>
      <c r="AW364" s="22">
        <v>4671065533</v>
      </c>
    </row>
    <row r="365" spans="1:49" ht="13.2">
      <c r="A365" s="119">
        <f>HYPERLINK("https://smartstore.naver.com/brickstore2019/products/4671210974",AW:AW)</f>
        <v>4671210974</v>
      </c>
      <c r="B365" s="266"/>
      <c r="C365" s="117" t="s">
        <v>844</v>
      </c>
      <c r="D365" s="117"/>
      <c r="E365" s="117" t="s">
        <v>845</v>
      </c>
      <c r="F365" s="123"/>
      <c r="G365" s="124" t="str">
        <f>HYPERLINK("https://www.amazon.com/dp/B01MY4P9EZ/ref=cm_sw_r_other_apa_i_5dEFDbCG912R2","A")</f>
        <v>A</v>
      </c>
      <c r="H365" s="125"/>
      <c r="I365" s="125"/>
      <c r="J365" s="125">
        <v>135</v>
      </c>
      <c r="K365" s="82">
        <v>1.37</v>
      </c>
      <c r="L365" s="82">
        <f t="shared" si="567"/>
        <v>21.92</v>
      </c>
      <c r="M365" s="82">
        <f t="shared" si="550"/>
        <v>0.62142104000000009</v>
      </c>
      <c r="N365" s="93">
        <v>0</v>
      </c>
      <c r="O365" s="93">
        <v>0</v>
      </c>
      <c r="P365" s="95">
        <f t="shared" si="551"/>
        <v>135</v>
      </c>
      <c r="Q365" s="96">
        <f t="shared" si="552"/>
        <v>168750</v>
      </c>
      <c r="R365" s="96">
        <v>0</v>
      </c>
      <c r="S365" s="97">
        <f t="shared" si="553"/>
        <v>168800</v>
      </c>
      <c r="T365" s="97">
        <f>ROUNDUP(HLOOKUP(ROUNDUP(K365,0),'배송비 조회'!A$10:U$22,7,0)*C$3,-2)</f>
        <v>11200</v>
      </c>
      <c r="U365" s="97">
        <v>0</v>
      </c>
      <c r="V365" s="97">
        <f t="shared" si="568"/>
        <v>54000</v>
      </c>
      <c r="W365" s="97">
        <f t="shared" si="491"/>
        <v>90000</v>
      </c>
      <c r="X365" s="98">
        <f t="shared" si="555"/>
        <v>234000</v>
      </c>
      <c r="Y365" s="98">
        <f t="shared" si="27"/>
        <v>270000</v>
      </c>
      <c r="Z365" s="121">
        <v>0</v>
      </c>
      <c r="AA365" s="121">
        <f t="shared" si="556"/>
        <v>8892</v>
      </c>
      <c r="AB365" s="121">
        <f t="shared" si="557"/>
        <v>4680</v>
      </c>
      <c r="AC365" s="99">
        <f t="shared" si="8"/>
        <v>27000</v>
      </c>
      <c r="AD365" s="121">
        <f t="shared" si="558"/>
        <v>220428</v>
      </c>
      <c r="AE365" s="99">
        <f t="shared" si="10"/>
        <v>243000</v>
      </c>
      <c r="AF365" s="121">
        <f t="shared" si="559"/>
        <v>2204.2800000000002</v>
      </c>
      <c r="AG365" s="100">
        <f t="shared" si="560"/>
        <v>38273.72</v>
      </c>
      <c r="AH365" s="101">
        <f t="shared" si="29"/>
        <v>60845.72</v>
      </c>
      <c r="AI365" s="102">
        <f t="shared" ref="AI365:AJ365" si="570">AG365/X365</f>
        <v>0.16356290598290599</v>
      </c>
      <c r="AJ365" s="102">
        <f t="shared" si="570"/>
        <v>0.22535451851851851</v>
      </c>
      <c r="AK365" s="103"/>
      <c r="AL365" s="104"/>
      <c r="AM365" s="17"/>
      <c r="AN365" s="17"/>
      <c r="AO365" s="17"/>
      <c r="AP365" s="17"/>
      <c r="AQ365" s="17"/>
      <c r="AR365" s="17"/>
      <c r="AS365" s="17"/>
      <c r="AT365" s="17"/>
      <c r="AU365" s="17"/>
      <c r="AV365" s="17"/>
      <c r="AW365" s="22">
        <v>4671210974</v>
      </c>
    </row>
    <row r="366" spans="1:49" ht="13.2">
      <c r="A366" s="159">
        <f>HYPERLINK("https://smartstore.naver.com/brickstore2019/products/4681024862",AW:AW)</f>
        <v>4681024862</v>
      </c>
      <c r="B366" s="271"/>
      <c r="C366" s="160" t="s">
        <v>846</v>
      </c>
      <c r="D366" s="160"/>
      <c r="E366" s="160" t="s">
        <v>847</v>
      </c>
      <c r="F366" s="91"/>
      <c r="G366" s="92" t="str">
        <f>HYPERLINK("https://iridesce.shop/products/make-your-bike-smarter?variant=30248373616689","I")</f>
        <v>I</v>
      </c>
      <c r="H366" s="93"/>
      <c r="I366" s="93"/>
      <c r="J366" s="93">
        <v>39.78</v>
      </c>
      <c r="K366" s="153" t="str">
        <f t="shared" ref="K366:K367" ca="1" si="571">IF(L366&gt;0,L366*0.0625,)</f>
        <v>#REF!</v>
      </c>
      <c r="L366" s="153" t="str">
        <f t="shared" ca="1" si="567"/>
        <v>#REF!</v>
      </c>
      <c r="M366" s="153" t="str">
        <f t="shared" ca="1" si="550"/>
        <v>#REF!</v>
      </c>
      <c r="N366" s="93">
        <v>0</v>
      </c>
      <c r="O366" s="93">
        <v>0</v>
      </c>
      <c r="P366" s="95">
        <f t="shared" si="551"/>
        <v>39.78</v>
      </c>
      <c r="Q366" s="96">
        <f t="shared" si="552"/>
        <v>49725</v>
      </c>
      <c r="R366" s="96">
        <v>0</v>
      </c>
      <c r="S366" s="97">
        <f t="shared" si="553"/>
        <v>49700</v>
      </c>
      <c r="T366" s="97">
        <f>ROUNDUP(14.06*C3,-2)</f>
        <v>17600</v>
      </c>
      <c r="U366" s="97">
        <v>0</v>
      </c>
      <c r="V366" s="97">
        <f t="shared" si="568"/>
        <v>20200</v>
      </c>
      <c r="W366" s="97">
        <f t="shared" si="491"/>
        <v>33700</v>
      </c>
      <c r="X366" s="98">
        <f t="shared" si="555"/>
        <v>87500</v>
      </c>
      <c r="Y366" s="98">
        <f t="shared" si="27"/>
        <v>101000</v>
      </c>
      <c r="Z366" s="133">
        <v>0</v>
      </c>
      <c r="AA366" s="133">
        <f t="shared" si="556"/>
        <v>3325</v>
      </c>
      <c r="AB366" s="133">
        <f t="shared" si="557"/>
        <v>1750</v>
      </c>
      <c r="AC366" s="99">
        <f t="shared" si="8"/>
        <v>10100</v>
      </c>
      <c r="AD366" s="133">
        <f t="shared" si="558"/>
        <v>82425</v>
      </c>
      <c r="AE366" s="99">
        <f t="shared" si="10"/>
        <v>90900</v>
      </c>
      <c r="AF366" s="133">
        <f t="shared" si="559"/>
        <v>824.25</v>
      </c>
      <c r="AG366" s="100">
        <f t="shared" si="560"/>
        <v>14275.75</v>
      </c>
      <c r="AH366" s="101">
        <f t="shared" si="29"/>
        <v>22750.75</v>
      </c>
      <c r="AI366" s="102">
        <f t="shared" ref="AI366:AJ366" si="572">AG366/X366</f>
        <v>0.16315142857142856</v>
      </c>
      <c r="AJ366" s="102">
        <f t="shared" si="572"/>
        <v>0.22525495049504951</v>
      </c>
      <c r="AK366" s="103"/>
      <c r="AL366" s="104"/>
      <c r="AM366" s="17"/>
      <c r="AN366" s="17"/>
      <c r="AO366" s="17"/>
      <c r="AP366" s="17"/>
      <c r="AQ366" s="17"/>
      <c r="AR366" s="17"/>
      <c r="AS366" s="17"/>
      <c r="AT366" s="17"/>
      <c r="AU366" s="17"/>
      <c r="AV366" s="17"/>
      <c r="AW366" s="19">
        <v>4681024862</v>
      </c>
    </row>
    <row r="367" spans="1:49" ht="13.2">
      <c r="A367" s="119">
        <f>HYPERLINK("https://smartstore.naver.com/brickstore2019/products/4681034913",AW:AW)</f>
        <v>4681034913</v>
      </c>
      <c r="B367" s="264"/>
      <c r="C367" s="114" t="s">
        <v>848</v>
      </c>
      <c r="D367" s="114"/>
      <c r="E367" s="114" t="s">
        <v>849</v>
      </c>
      <c r="F367" s="91"/>
      <c r="G367" s="92" t="str">
        <f>HYPERLINK("https://www.amazon.com/dp/B07QN369XX/ref=cm_sw_r_cp_apa_i_2A0IDbJ1QN4QP","A")</f>
        <v>A</v>
      </c>
      <c r="H367" s="93"/>
      <c r="I367" s="93"/>
      <c r="J367" s="93">
        <v>100</v>
      </c>
      <c r="K367" s="82">
        <f t="shared" si="571"/>
        <v>0.56874999999999998</v>
      </c>
      <c r="L367" s="82">
        <v>9.1</v>
      </c>
      <c r="M367" s="82">
        <f t="shared" si="550"/>
        <v>0.25798044999999997</v>
      </c>
      <c r="N367" s="93">
        <v>0</v>
      </c>
      <c r="O367" s="93">
        <v>0</v>
      </c>
      <c r="P367" s="95">
        <f t="shared" si="551"/>
        <v>100</v>
      </c>
      <c r="Q367" s="96">
        <f t="shared" si="552"/>
        <v>125000</v>
      </c>
      <c r="R367" s="96">
        <v>0</v>
      </c>
      <c r="S367" s="97">
        <f t="shared" si="553"/>
        <v>125000</v>
      </c>
      <c r="T367" s="97">
        <f>ROUNDUP(HLOOKUP(ROUNDUP(K367,0),'배송비 조회'!A$10:U$22,7,0)*C$3,-2)</f>
        <v>9000</v>
      </c>
      <c r="U367" s="97">
        <v>0</v>
      </c>
      <c r="V367" s="97">
        <f t="shared" si="568"/>
        <v>40200</v>
      </c>
      <c r="W367" s="97">
        <f t="shared" si="491"/>
        <v>67000</v>
      </c>
      <c r="X367" s="98">
        <f t="shared" si="555"/>
        <v>174200</v>
      </c>
      <c r="Y367" s="98">
        <f t="shared" si="27"/>
        <v>201000</v>
      </c>
      <c r="Z367" s="121">
        <v>0</v>
      </c>
      <c r="AA367" s="121">
        <f t="shared" si="556"/>
        <v>6619.5999999999995</v>
      </c>
      <c r="AB367" s="121">
        <f t="shared" si="557"/>
        <v>3484</v>
      </c>
      <c r="AC367" s="99">
        <f t="shared" si="8"/>
        <v>20100</v>
      </c>
      <c r="AD367" s="121">
        <f t="shared" si="558"/>
        <v>164096.4</v>
      </c>
      <c r="AE367" s="99">
        <f t="shared" si="10"/>
        <v>180900</v>
      </c>
      <c r="AF367" s="121">
        <f t="shared" si="559"/>
        <v>1640.9639999999999</v>
      </c>
      <c r="AG367" s="100">
        <f t="shared" si="560"/>
        <v>28455.435999999994</v>
      </c>
      <c r="AH367" s="101">
        <f t="shared" si="29"/>
        <v>45259.036</v>
      </c>
      <c r="AI367" s="102">
        <f t="shared" ref="AI367:AJ367" si="573">AG367/X367</f>
        <v>0.16334923076923075</v>
      </c>
      <c r="AJ367" s="102">
        <f t="shared" si="573"/>
        <v>0.22516933333333333</v>
      </c>
      <c r="AK367" s="103"/>
      <c r="AL367" s="104"/>
      <c r="AM367" s="17"/>
      <c r="AN367" s="17"/>
      <c r="AO367" s="17"/>
      <c r="AP367" s="17"/>
      <c r="AQ367" s="17"/>
      <c r="AR367" s="17"/>
      <c r="AS367" s="17"/>
      <c r="AT367" s="17"/>
      <c r="AU367" s="17"/>
      <c r="AV367" s="17"/>
      <c r="AW367" s="22">
        <v>4681034913</v>
      </c>
    </row>
    <row r="368" spans="1:49" ht="13.2">
      <c r="A368" s="303">
        <f>HYPERLINK("https://smartstore.naver.com/brickstore2019/products/4682140716",AW:AW)</f>
        <v>4682140716</v>
      </c>
      <c r="B368" s="276"/>
      <c r="C368" s="304" t="s">
        <v>850</v>
      </c>
      <c r="D368" s="117"/>
      <c r="E368" s="304" t="s">
        <v>851</v>
      </c>
      <c r="F368" s="123" t="s">
        <v>55</v>
      </c>
      <c r="G368" s="124" t="str">
        <f>HYPERLINK("https://www.amazon.com/Samsonite-Tectonic-Large-Backpack-Black/dp/B00ZDFWDP2?ref_=ast_sto_dp","A")</f>
        <v>A</v>
      </c>
      <c r="H368" s="125"/>
      <c r="I368" s="125"/>
      <c r="J368" s="93">
        <v>65</v>
      </c>
      <c r="K368" s="82">
        <v>3.48</v>
      </c>
      <c r="L368" s="82">
        <f t="shared" ref="L368:L369" si="574">IF(K368&gt;0,K368*16,)</f>
        <v>55.68</v>
      </c>
      <c r="M368" s="82">
        <f t="shared" si="550"/>
        <v>1.5785001599999999</v>
      </c>
      <c r="N368" s="93">
        <v>0</v>
      </c>
      <c r="O368" s="93">
        <v>0</v>
      </c>
      <c r="P368" s="95">
        <f t="shared" si="551"/>
        <v>65</v>
      </c>
      <c r="Q368" s="96">
        <f t="shared" si="552"/>
        <v>81250</v>
      </c>
      <c r="R368" s="96">
        <v>0</v>
      </c>
      <c r="S368" s="97">
        <f t="shared" si="553"/>
        <v>81300</v>
      </c>
      <c r="T368" s="97">
        <f>ROUNDUP(HLOOKUP(ROUNDUP(K368,0),'배송비 조회'!A$10:U$22,7,0)*C$3,-2)</f>
        <v>15600</v>
      </c>
      <c r="U368" s="97">
        <v>0</v>
      </c>
      <c r="V368" s="97">
        <f t="shared" si="568"/>
        <v>29100</v>
      </c>
      <c r="W368" s="97">
        <f t="shared" si="491"/>
        <v>48500</v>
      </c>
      <c r="X368" s="98">
        <f t="shared" si="555"/>
        <v>126000</v>
      </c>
      <c r="Y368" s="98">
        <f t="shared" si="27"/>
        <v>145400</v>
      </c>
      <c r="Z368" s="121">
        <v>0</v>
      </c>
      <c r="AA368" s="121">
        <f t="shared" si="556"/>
        <v>4788</v>
      </c>
      <c r="AB368" s="121">
        <f t="shared" si="557"/>
        <v>2520</v>
      </c>
      <c r="AC368" s="99">
        <f t="shared" si="8"/>
        <v>14540</v>
      </c>
      <c r="AD368" s="121">
        <f t="shared" si="558"/>
        <v>118692</v>
      </c>
      <c r="AE368" s="99">
        <f t="shared" si="10"/>
        <v>130860</v>
      </c>
      <c r="AF368" s="121">
        <f t="shared" si="559"/>
        <v>1186.92</v>
      </c>
      <c r="AG368" s="100">
        <f t="shared" si="560"/>
        <v>20655.080000000002</v>
      </c>
      <c r="AH368" s="101">
        <f t="shared" si="29"/>
        <v>32823.08</v>
      </c>
      <c r="AI368" s="102">
        <f t="shared" ref="AI368:AJ368" si="575">AG368/X368</f>
        <v>0.16392920634920635</v>
      </c>
      <c r="AJ368" s="102">
        <f t="shared" si="575"/>
        <v>0.22574332874828063</v>
      </c>
      <c r="AK368" s="103">
        <f>X368-X369</f>
        <v>24500</v>
      </c>
      <c r="AL368" s="104"/>
      <c r="AM368" s="17"/>
      <c r="AN368" s="17"/>
      <c r="AO368" s="17"/>
      <c r="AP368" s="17"/>
      <c r="AQ368" s="17"/>
      <c r="AR368" s="17"/>
      <c r="AS368" s="17"/>
      <c r="AT368" s="17"/>
      <c r="AU368" s="17"/>
      <c r="AV368" s="17"/>
      <c r="AW368" s="332">
        <v>4682140716</v>
      </c>
    </row>
    <row r="369" spans="1:49" ht="13.2">
      <c r="A369" s="302"/>
      <c r="B369" s="276"/>
      <c r="C369" s="302"/>
      <c r="D369" s="117"/>
      <c r="E369" s="302"/>
      <c r="F369" s="123" t="s">
        <v>852</v>
      </c>
      <c r="G369" s="124" t="str">
        <f>HYPERLINK("https://www.amazon.com/dp/B00ZDFVQ3C/ref=twister_B013BDLH4A?_encoding=UTF8&amp;th=1","A")</f>
        <v>A</v>
      </c>
      <c r="H369" s="125"/>
      <c r="I369" s="125"/>
      <c r="J369" s="125">
        <v>50</v>
      </c>
      <c r="K369" s="82">
        <v>3.48</v>
      </c>
      <c r="L369" s="82">
        <f t="shared" si="574"/>
        <v>55.68</v>
      </c>
      <c r="M369" s="82">
        <f t="shared" si="550"/>
        <v>1.5785001599999999</v>
      </c>
      <c r="N369" s="93">
        <v>0</v>
      </c>
      <c r="O369" s="93">
        <v>0</v>
      </c>
      <c r="P369" s="95">
        <f t="shared" si="551"/>
        <v>50</v>
      </c>
      <c r="Q369" s="96">
        <f t="shared" si="552"/>
        <v>62500</v>
      </c>
      <c r="R369" s="96">
        <v>0</v>
      </c>
      <c r="S369" s="97">
        <f t="shared" si="553"/>
        <v>62500</v>
      </c>
      <c r="T369" s="97">
        <f>ROUNDUP(HLOOKUP(ROUNDUP(K369,0),'배송비 조회'!A$10:U$22,7,0)*C$3,-2)</f>
        <v>15600</v>
      </c>
      <c r="U369" s="97">
        <v>0</v>
      </c>
      <c r="V369" s="97">
        <f t="shared" si="568"/>
        <v>23400</v>
      </c>
      <c r="W369" s="97">
        <f t="shared" si="491"/>
        <v>39100</v>
      </c>
      <c r="X369" s="98">
        <f t="shared" si="555"/>
        <v>101500</v>
      </c>
      <c r="Y369" s="98">
        <f t="shared" si="27"/>
        <v>117200</v>
      </c>
      <c r="Z369" s="121">
        <v>0</v>
      </c>
      <c r="AA369" s="121">
        <f t="shared" si="556"/>
        <v>3857</v>
      </c>
      <c r="AB369" s="121">
        <f t="shared" si="557"/>
        <v>2030</v>
      </c>
      <c r="AC369" s="99">
        <f t="shared" si="8"/>
        <v>11720</v>
      </c>
      <c r="AD369" s="121">
        <f t="shared" si="558"/>
        <v>95613</v>
      </c>
      <c r="AE369" s="99">
        <f t="shared" si="10"/>
        <v>105480</v>
      </c>
      <c r="AF369" s="121">
        <f t="shared" si="559"/>
        <v>956.13</v>
      </c>
      <c r="AG369" s="100">
        <f t="shared" si="560"/>
        <v>16556.87</v>
      </c>
      <c r="AH369" s="101">
        <f t="shared" si="29"/>
        <v>26423.870000000003</v>
      </c>
      <c r="AI369" s="102">
        <f t="shared" ref="AI369:AJ369" si="576">AG369/X369</f>
        <v>0.16312187192118224</v>
      </c>
      <c r="AJ369" s="102">
        <f t="shared" si="576"/>
        <v>0.22545964163822527</v>
      </c>
      <c r="AK369" s="103"/>
      <c r="AL369" s="104"/>
      <c r="AM369" s="17"/>
      <c r="AN369" s="17"/>
      <c r="AO369" s="17"/>
      <c r="AP369" s="17"/>
      <c r="AQ369" s="17"/>
      <c r="AR369" s="17"/>
      <c r="AS369" s="17"/>
      <c r="AT369" s="17"/>
      <c r="AU369" s="17"/>
      <c r="AV369" s="17"/>
      <c r="AW369" s="297"/>
    </row>
    <row r="370" spans="1:49" ht="13.2">
      <c r="A370" s="303">
        <f>HYPERLINK("https://smartstore.naver.com/brickstore2019/products/4681055526",AW:AW)</f>
        <v>4681055526</v>
      </c>
      <c r="B370" s="266"/>
      <c r="C370" s="304" t="s">
        <v>853</v>
      </c>
      <c r="D370" s="117"/>
      <c r="E370" s="304" t="s">
        <v>854</v>
      </c>
      <c r="F370" s="123" t="s">
        <v>815</v>
      </c>
      <c r="G370" s="124" t="str">
        <f>HYPERLINK("https://www.amazon.com/dp/B07HZLHPKP/ref=cm_sw_r_cp_apa_i_Ar0IDbHVKHM2Z","A")</f>
        <v>A</v>
      </c>
      <c r="H370" s="125"/>
      <c r="I370" s="125"/>
      <c r="J370" s="125">
        <v>90</v>
      </c>
      <c r="K370" s="82">
        <f t="shared" ref="K370:K378" si="577">IF(L370&gt;0,L370*0.0625,)</f>
        <v>0.90625</v>
      </c>
      <c r="L370" s="82">
        <v>14.5</v>
      </c>
      <c r="M370" s="82">
        <f t="shared" si="550"/>
        <v>0.41106775000000001</v>
      </c>
      <c r="N370" s="93">
        <v>0</v>
      </c>
      <c r="O370" s="93">
        <v>0</v>
      </c>
      <c r="P370" s="95">
        <f t="shared" si="551"/>
        <v>90</v>
      </c>
      <c r="Q370" s="96">
        <f t="shared" si="552"/>
        <v>112500</v>
      </c>
      <c r="R370" s="96">
        <v>0</v>
      </c>
      <c r="S370" s="97">
        <f t="shared" si="553"/>
        <v>112500</v>
      </c>
      <c r="T370" s="97">
        <f>ROUNDUP(HLOOKUP(ROUNDUP(K370,0),'배송비 조회'!A$10:U$22,7,0)*C$3,-2)</f>
        <v>9000</v>
      </c>
      <c r="U370" s="97">
        <v>0</v>
      </c>
      <c r="V370" s="97">
        <f t="shared" ref="V370:V371" si="578">ROUND(IF(R370&gt;0,0,(S370+T370)*0.2),-2)</f>
        <v>24300</v>
      </c>
      <c r="W370" s="97">
        <f t="shared" si="491"/>
        <v>60800</v>
      </c>
      <c r="X370" s="98">
        <f t="shared" si="555"/>
        <v>145800</v>
      </c>
      <c r="Y370" s="98">
        <f t="shared" si="27"/>
        <v>182300</v>
      </c>
      <c r="Z370" s="121">
        <v>0</v>
      </c>
      <c r="AA370" s="121">
        <f t="shared" si="556"/>
        <v>5540.4</v>
      </c>
      <c r="AB370" s="121">
        <f t="shared" si="557"/>
        <v>2916</v>
      </c>
      <c r="AC370" s="99">
        <f t="shared" si="8"/>
        <v>18230</v>
      </c>
      <c r="AD370" s="121">
        <f t="shared" si="558"/>
        <v>137343.6</v>
      </c>
      <c r="AE370" s="99">
        <f t="shared" si="10"/>
        <v>164070</v>
      </c>
      <c r="AF370" s="121">
        <f t="shared" si="559"/>
        <v>1373.4360000000001</v>
      </c>
      <c r="AG370" s="100">
        <f t="shared" si="560"/>
        <v>14470.164000000004</v>
      </c>
      <c r="AH370" s="101">
        <f t="shared" si="29"/>
        <v>41196.563999999998</v>
      </c>
      <c r="AI370" s="102">
        <f t="shared" ref="AI370:AJ370" si="579">AG370/X370</f>
        <v>9.9246666666666691E-2</v>
      </c>
      <c r="AJ370" s="102">
        <f t="shared" si="579"/>
        <v>0.22598224904004388</v>
      </c>
      <c r="AK370" s="103"/>
      <c r="AL370" s="104"/>
      <c r="AM370" s="17"/>
      <c r="AN370" s="17"/>
      <c r="AO370" s="17"/>
      <c r="AP370" s="17"/>
      <c r="AQ370" s="17"/>
      <c r="AR370" s="17"/>
      <c r="AS370" s="17"/>
      <c r="AT370" s="17"/>
      <c r="AU370" s="17"/>
      <c r="AV370" s="17"/>
      <c r="AW370" s="296">
        <v>4681055526</v>
      </c>
    </row>
    <row r="371" spans="1:49" ht="13.2">
      <c r="A371" s="302"/>
      <c r="B371" s="266"/>
      <c r="C371" s="302"/>
      <c r="D371" s="117"/>
      <c r="E371" s="302"/>
      <c r="F371" s="123" t="s">
        <v>855</v>
      </c>
      <c r="G371" s="124" t="str">
        <f>HYPERLINK("https://www.amazon.com/dp/B07HZJ64WD/ref=cm_sw_r_cp_apa_i_Ar0IDbHVKHM2Z?th=1","A")</f>
        <v>A</v>
      </c>
      <c r="H371" s="125"/>
      <c r="I371" s="125"/>
      <c r="J371" s="125">
        <v>90</v>
      </c>
      <c r="K371" s="82">
        <f t="shared" si="577"/>
        <v>0.90625</v>
      </c>
      <c r="L371" s="82">
        <v>14.5</v>
      </c>
      <c r="M371" s="82">
        <f t="shared" si="550"/>
        <v>0.41106775000000001</v>
      </c>
      <c r="N371" s="93">
        <v>0</v>
      </c>
      <c r="O371" s="93">
        <v>0</v>
      </c>
      <c r="P371" s="95">
        <f t="shared" si="551"/>
        <v>90</v>
      </c>
      <c r="Q371" s="96">
        <f t="shared" si="552"/>
        <v>112500</v>
      </c>
      <c r="R371" s="96">
        <v>0</v>
      </c>
      <c r="S371" s="97">
        <f t="shared" si="553"/>
        <v>112500</v>
      </c>
      <c r="T371" s="97">
        <f>ROUNDUP(HLOOKUP(ROUNDUP(K371,0),'배송비 조회'!A$10:U$22,7,0)*C$3,-2)</f>
        <v>9000</v>
      </c>
      <c r="U371" s="97">
        <v>0</v>
      </c>
      <c r="V371" s="97">
        <f t="shared" si="578"/>
        <v>24300</v>
      </c>
      <c r="W371" s="97">
        <f t="shared" si="491"/>
        <v>60800</v>
      </c>
      <c r="X371" s="98">
        <f t="shared" si="555"/>
        <v>145800</v>
      </c>
      <c r="Y371" s="98">
        <f t="shared" si="27"/>
        <v>182300</v>
      </c>
      <c r="Z371" s="121">
        <v>0</v>
      </c>
      <c r="AA371" s="121">
        <f t="shared" si="556"/>
        <v>5540.4</v>
      </c>
      <c r="AB371" s="121">
        <f t="shared" si="557"/>
        <v>2916</v>
      </c>
      <c r="AC371" s="99">
        <f t="shared" si="8"/>
        <v>18230</v>
      </c>
      <c r="AD371" s="121">
        <f t="shared" si="558"/>
        <v>137343.6</v>
      </c>
      <c r="AE371" s="99">
        <f t="shared" si="10"/>
        <v>164070</v>
      </c>
      <c r="AF371" s="121">
        <f t="shared" si="559"/>
        <v>1373.4360000000001</v>
      </c>
      <c r="AG371" s="100">
        <f t="shared" si="560"/>
        <v>14470.164000000004</v>
      </c>
      <c r="AH371" s="101">
        <f t="shared" si="29"/>
        <v>41196.563999999998</v>
      </c>
      <c r="AI371" s="102">
        <f t="shared" ref="AI371:AJ371" si="580">AG371/X371</f>
        <v>9.9246666666666691E-2</v>
      </c>
      <c r="AJ371" s="102">
        <f t="shared" si="580"/>
        <v>0.22598224904004388</v>
      </c>
      <c r="AK371" s="103"/>
      <c r="AL371" s="104"/>
      <c r="AM371" s="17"/>
      <c r="AN371" s="17"/>
      <c r="AO371" s="17"/>
      <c r="AP371" s="17"/>
      <c r="AQ371" s="17"/>
      <c r="AR371" s="17"/>
      <c r="AS371" s="17"/>
      <c r="AT371" s="17"/>
      <c r="AU371" s="17"/>
      <c r="AV371" s="17"/>
      <c r="AW371" s="297"/>
    </row>
    <row r="372" spans="1:49" ht="13.2">
      <c r="A372" s="302"/>
      <c r="B372" s="266"/>
      <c r="C372" s="117" t="s">
        <v>856</v>
      </c>
      <c r="D372" s="117"/>
      <c r="E372" s="117" t="s">
        <v>857</v>
      </c>
      <c r="F372" s="123"/>
      <c r="G372" s="124" t="str">
        <f>HYPERLINK("https://www.amazon.com/dp/B07SW188FP/ref=cm_sw_r_cp_apa_i_Ar0IDbHVKHM2Z?th=1","A")</f>
        <v>A</v>
      </c>
      <c r="H372" s="125"/>
      <c r="I372" s="125"/>
      <c r="J372" s="125">
        <v>20</v>
      </c>
      <c r="K372" s="82">
        <f t="shared" si="577"/>
        <v>0.90625</v>
      </c>
      <c r="L372" s="82">
        <v>14.5</v>
      </c>
      <c r="M372" s="82">
        <f t="shared" si="550"/>
        <v>0.41106775000000001</v>
      </c>
      <c r="N372" s="93">
        <v>0</v>
      </c>
      <c r="O372" s="93">
        <v>0</v>
      </c>
      <c r="P372" s="95">
        <f t="shared" si="551"/>
        <v>20</v>
      </c>
      <c r="Q372" s="96">
        <f t="shared" si="552"/>
        <v>25000</v>
      </c>
      <c r="R372" s="96">
        <v>0</v>
      </c>
      <c r="S372" s="97">
        <f t="shared" si="553"/>
        <v>25000</v>
      </c>
      <c r="T372" s="97">
        <f>ROUNDUP(HLOOKUP(ROUNDUP(K372,0),'배송비 조회'!A$10:U$22,7,0)*C$3,-2)</f>
        <v>9000</v>
      </c>
      <c r="U372" s="97">
        <v>0</v>
      </c>
      <c r="V372" s="97">
        <f>ROUND(IF(R372&gt;0,0,(S372+T372)*0.3),-2)</f>
        <v>10200</v>
      </c>
      <c r="W372" s="97">
        <f t="shared" si="491"/>
        <v>17000</v>
      </c>
      <c r="X372" s="98">
        <f t="shared" si="555"/>
        <v>44200</v>
      </c>
      <c r="Y372" s="98">
        <f t="shared" si="27"/>
        <v>51000</v>
      </c>
      <c r="Z372" s="121">
        <v>0</v>
      </c>
      <c r="AA372" s="121">
        <f t="shared" si="556"/>
        <v>1679.6</v>
      </c>
      <c r="AB372" s="121">
        <f t="shared" si="557"/>
        <v>884</v>
      </c>
      <c r="AC372" s="99">
        <f t="shared" si="8"/>
        <v>5100</v>
      </c>
      <c r="AD372" s="121">
        <f t="shared" si="558"/>
        <v>41636.400000000001</v>
      </c>
      <c r="AE372" s="99">
        <f t="shared" si="10"/>
        <v>45900</v>
      </c>
      <c r="AF372" s="121">
        <f t="shared" si="559"/>
        <v>416.36400000000003</v>
      </c>
      <c r="AG372" s="100">
        <f t="shared" si="560"/>
        <v>7220.0360000000019</v>
      </c>
      <c r="AH372" s="101">
        <f t="shared" si="29"/>
        <v>11483.635999999999</v>
      </c>
      <c r="AI372" s="102">
        <f t="shared" ref="AI372:AJ372" si="581">AG372/X372</f>
        <v>0.1633492307692308</v>
      </c>
      <c r="AJ372" s="102">
        <f t="shared" si="581"/>
        <v>0.2251693333333333</v>
      </c>
      <c r="AK372" s="103"/>
      <c r="AL372" s="104"/>
      <c r="AM372" s="17"/>
      <c r="AN372" s="17"/>
      <c r="AO372" s="17"/>
      <c r="AP372" s="17"/>
      <c r="AQ372" s="17"/>
      <c r="AR372" s="17"/>
      <c r="AS372" s="17"/>
      <c r="AT372" s="17"/>
      <c r="AU372" s="17"/>
      <c r="AV372" s="17"/>
      <c r="AW372" s="297"/>
    </row>
    <row r="373" spans="1:49" ht="13.2">
      <c r="A373" s="352">
        <f>HYPERLINK("https://smartstore.naver.com/brickstore2019/products/4681073657",AW:AW)</f>
        <v>4681073657</v>
      </c>
      <c r="B373" s="271"/>
      <c r="C373" s="342" t="s">
        <v>858</v>
      </c>
      <c r="D373" s="160"/>
      <c r="E373" s="342" t="s">
        <v>859</v>
      </c>
      <c r="F373" s="123" t="s">
        <v>55</v>
      </c>
      <c r="G373" s="218" t="s">
        <v>1293</v>
      </c>
      <c r="H373" s="125"/>
      <c r="I373" s="125"/>
      <c r="J373" s="125">
        <v>20</v>
      </c>
      <c r="K373" s="82">
        <f t="shared" si="577"/>
        <v>0.04</v>
      </c>
      <c r="L373" s="82">
        <v>0.64</v>
      </c>
      <c r="M373" s="82">
        <f t="shared" si="550"/>
        <v>1.8143679999999999E-2</v>
      </c>
      <c r="N373" s="93">
        <v>0</v>
      </c>
      <c r="O373" s="93">
        <v>0</v>
      </c>
      <c r="P373" s="95">
        <f t="shared" si="551"/>
        <v>20</v>
      </c>
      <c r="Q373" s="96">
        <f t="shared" si="552"/>
        <v>25000</v>
      </c>
      <c r="R373" s="96">
        <v>0</v>
      </c>
      <c r="S373" s="97">
        <f t="shared" si="553"/>
        <v>25000</v>
      </c>
      <c r="T373" s="97">
        <f>ROUNDUP(HLOOKUP(ROUNDUP(K373,0),'배송비 조회'!A$10:U$22,7,0)*C$3,-2)</f>
        <v>9000</v>
      </c>
      <c r="U373" s="97">
        <v>0</v>
      </c>
      <c r="V373" s="97">
        <f t="shared" ref="V373:V379" si="582">ROUND(IF(R373&gt;0,0,(S373+T373)*0.4),-2)</f>
        <v>13600</v>
      </c>
      <c r="W373" s="97">
        <f t="shared" si="491"/>
        <v>17000</v>
      </c>
      <c r="X373" s="98">
        <f t="shared" si="555"/>
        <v>47600</v>
      </c>
      <c r="Y373" s="98">
        <f t="shared" si="27"/>
        <v>51000</v>
      </c>
      <c r="Z373" s="121">
        <v>0</v>
      </c>
      <c r="AA373" s="121">
        <f t="shared" si="556"/>
        <v>1808.8</v>
      </c>
      <c r="AB373" s="121">
        <f t="shared" si="557"/>
        <v>952</v>
      </c>
      <c r="AC373" s="99">
        <f t="shared" si="8"/>
        <v>5100</v>
      </c>
      <c r="AD373" s="121">
        <f t="shared" si="558"/>
        <v>44839.199999999997</v>
      </c>
      <c r="AE373" s="99">
        <f t="shared" si="10"/>
        <v>45900</v>
      </c>
      <c r="AF373" s="121">
        <f t="shared" si="559"/>
        <v>448.392</v>
      </c>
      <c r="AG373" s="100">
        <f t="shared" si="560"/>
        <v>10390.807999999997</v>
      </c>
      <c r="AH373" s="101">
        <f t="shared" si="29"/>
        <v>11451.608</v>
      </c>
      <c r="AI373" s="102">
        <f t="shared" ref="AI373:AJ373" si="583">AG373/X373</f>
        <v>0.21829428571428566</v>
      </c>
      <c r="AJ373" s="102">
        <f t="shared" si="583"/>
        <v>0.22454133333333334</v>
      </c>
      <c r="AK373" s="103"/>
      <c r="AL373" s="104"/>
      <c r="AM373" s="17"/>
      <c r="AN373" s="17"/>
      <c r="AO373" s="17"/>
      <c r="AP373" s="17"/>
      <c r="AQ373" s="17"/>
      <c r="AR373" s="17"/>
      <c r="AS373" s="17"/>
      <c r="AT373" s="17"/>
      <c r="AU373" s="17"/>
      <c r="AV373" s="17"/>
      <c r="AW373" s="296">
        <v>4681073657</v>
      </c>
    </row>
    <row r="374" spans="1:49" ht="13.2">
      <c r="A374" s="302"/>
      <c r="B374" s="271"/>
      <c r="C374" s="302"/>
      <c r="D374" s="160"/>
      <c r="E374" s="302"/>
      <c r="F374" s="123" t="s">
        <v>92</v>
      </c>
      <c r="G374" s="218" t="s">
        <v>1293</v>
      </c>
      <c r="H374" s="125"/>
      <c r="I374" s="125"/>
      <c r="J374" s="125">
        <v>20</v>
      </c>
      <c r="K374" s="82">
        <f t="shared" si="577"/>
        <v>0.04</v>
      </c>
      <c r="L374" s="82">
        <v>0.64</v>
      </c>
      <c r="M374" s="82">
        <f t="shared" si="550"/>
        <v>1.8143679999999999E-2</v>
      </c>
      <c r="N374" s="93">
        <v>0</v>
      </c>
      <c r="O374" s="93">
        <v>0</v>
      </c>
      <c r="P374" s="95">
        <f t="shared" si="551"/>
        <v>20</v>
      </c>
      <c r="Q374" s="96">
        <f t="shared" si="552"/>
        <v>25000</v>
      </c>
      <c r="R374" s="96">
        <v>0</v>
      </c>
      <c r="S374" s="97">
        <f t="shared" si="553"/>
        <v>25000</v>
      </c>
      <c r="T374" s="97">
        <f>ROUNDUP(HLOOKUP(ROUNDUP(K374,0),'배송비 조회'!A$10:U$22,7,0)*C$3,-2)</f>
        <v>9000</v>
      </c>
      <c r="U374" s="97">
        <v>0</v>
      </c>
      <c r="V374" s="97">
        <f t="shared" si="582"/>
        <v>13600</v>
      </c>
      <c r="W374" s="97">
        <f t="shared" si="491"/>
        <v>17000</v>
      </c>
      <c r="X374" s="98">
        <f t="shared" si="555"/>
        <v>47600</v>
      </c>
      <c r="Y374" s="98">
        <f t="shared" si="27"/>
        <v>51000</v>
      </c>
      <c r="Z374" s="121">
        <v>0</v>
      </c>
      <c r="AA374" s="121">
        <f t="shared" si="556"/>
        <v>1808.8</v>
      </c>
      <c r="AB374" s="121">
        <f t="shared" si="557"/>
        <v>952</v>
      </c>
      <c r="AC374" s="99">
        <f t="shared" si="8"/>
        <v>5100</v>
      </c>
      <c r="AD374" s="121">
        <f t="shared" si="558"/>
        <v>44839.199999999997</v>
      </c>
      <c r="AE374" s="99">
        <f t="shared" si="10"/>
        <v>45900</v>
      </c>
      <c r="AF374" s="121">
        <f t="shared" si="559"/>
        <v>448.392</v>
      </c>
      <c r="AG374" s="100">
        <f t="shared" si="560"/>
        <v>10390.807999999997</v>
      </c>
      <c r="AH374" s="101">
        <f t="shared" si="29"/>
        <v>11451.608</v>
      </c>
      <c r="AI374" s="102">
        <f t="shared" ref="AI374:AJ374" si="584">AG374/X374</f>
        <v>0.21829428571428566</v>
      </c>
      <c r="AJ374" s="102">
        <f t="shared" si="584"/>
        <v>0.22454133333333334</v>
      </c>
      <c r="AK374" s="103"/>
      <c r="AL374" s="104"/>
      <c r="AM374" s="17"/>
      <c r="AN374" s="17"/>
      <c r="AO374" s="17"/>
      <c r="AP374" s="17"/>
      <c r="AQ374" s="17"/>
      <c r="AR374" s="17"/>
      <c r="AS374" s="17"/>
      <c r="AT374" s="17"/>
      <c r="AU374" s="17"/>
      <c r="AV374" s="17"/>
      <c r="AW374" s="297"/>
    </row>
    <row r="375" spans="1:49" ht="13.2">
      <c r="A375" s="302"/>
      <c r="B375" s="271"/>
      <c r="C375" s="302"/>
      <c r="D375" s="160"/>
      <c r="E375" s="302"/>
      <c r="F375" s="200" t="s">
        <v>135</v>
      </c>
      <c r="G375" s="218" t="s">
        <v>1293</v>
      </c>
      <c r="H375" s="125"/>
      <c r="I375" s="125"/>
      <c r="J375" s="125">
        <v>20</v>
      </c>
      <c r="K375" s="82">
        <f t="shared" si="577"/>
        <v>0.04</v>
      </c>
      <c r="L375" s="82">
        <v>0.64</v>
      </c>
      <c r="M375" s="82">
        <f t="shared" si="550"/>
        <v>1.8143679999999999E-2</v>
      </c>
      <c r="N375" s="93">
        <v>0</v>
      </c>
      <c r="O375" s="93">
        <v>0</v>
      </c>
      <c r="P375" s="95">
        <f t="shared" si="551"/>
        <v>20</v>
      </c>
      <c r="Q375" s="96">
        <f t="shared" si="552"/>
        <v>25000</v>
      </c>
      <c r="R375" s="96">
        <v>0</v>
      </c>
      <c r="S375" s="97">
        <f t="shared" si="553"/>
        <v>25000</v>
      </c>
      <c r="T375" s="97">
        <f>ROUNDUP(HLOOKUP(ROUNDUP(K375,0),'배송비 조회'!A$10:U$22,7,0)*C$3,-2)</f>
        <v>9000</v>
      </c>
      <c r="U375" s="97">
        <v>0</v>
      </c>
      <c r="V375" s="97">
        <f t="shared" si="582"/>
        <v>13600</v>
      </c>
      <c r="W375" s="97">
        <f t="shared" si="491"/>
        <v>17000</v>
      </c>
      <c r="X375" s="98">
        <f t="shared" si="555"/>
        <v>47600</v>
      </c>
      <c r="Y375" s="98">
        <f t="shared" si="27"/>
        <v>51000</v>
      </c>
      <c r="Z375" s="121">
        <v>0</v>
      </c>
      <c r="AA375" s="121">
        <f t="shared" si="556"/>
        <v>1808.8</v>
      </c>
      <c r="AB375" s="121">
        <f t="shared" si="557"/>
        <v>952</v>
      </c>
      <c r="AC375" s="99">
        <f t="shared" si="8"/>
        <v>5100</v>
      </c>
      <c r="AD375" s="121">
        <f t="shared" si="558"/>
        <v>44839.199999999997</v>
      </c>
      <c r="AE375" s="99">
        <f t="shared" si="10"/>
        <v>45900</v>
      </c>
      <c r="AF375" s="121">
        <f t="shared" si="559"/>
        <v>448.392</v>
      </c>
      <c r="AG375" s="100">
        <f t="shared" si="560"/>
        <v>10390.807999999997</v>
      </c>
      <c r="AH375" s="101">
        <f t="shared" si="29"/>
        <v>11451.608</v>
      </c>
      <c r="AI375" s="102">
        <f t="shared" ref="AI375:AJ375" si="585">AG375/X375</f>
        <v>0.21829428571428566</v>
      </c>
      <c r="AJ375" s="102">
        <f t="shared" si="585"/>
        <v>0.22454133333333334</v>
      </c>
      <c r="AK375" s="103"/>
      <c r="AL375" s="104"/>
      <c r="AM375" s="17"/>
      <c r="AN375" s="17"/>
      <c r="AO375" s="17"/>
      <c r="AP375" s="17"/>
      <c r="AQ375" s="17"/>
      <c r="AR375" s="17"/>
      <c r="AS375" s="17"/>
      <c r="AT375" s="17"/>
      <c r="AU375" s="17"/>
      <c r="AV375" s="17"/>
      <c r="AW375" s="297"/>
    </row>
    <row r="376" spans="1:49" ht="13.2">
      <c r="A376" s="302"/>
      <c r="B376" s="271"/>
      <c r="C376" s="302"/>
      <c r="D376" s="160"/>
      <c r="E376" s="302"/>
      <c r="F376" s="200" t="s">
        <v>625</v>
      </c>
      <c r="G376" s="218" t="s">
        <v>1293</v>
      </c>
      <c r="H376" s="125"/>
      <c r="I376" s="125"/>
      <c r="J376" s="125">
        <v>20</v>
      </c>
      <c r="K376" s="82">
        <f t="shared" si="577"/>
        <v>0.04</v>
      </c>
      <c r="L376" s="82">
        <v>0.64</v>
      </c>
      <c r="M376" s="82">
        <f t="shared" si="550"/>
        <v>1.8143679999999999E-2</v>
      </c>
      <c r="N376" s="93">
        <v>0</v>
      </c>
      <c r="O376" s="93">
        <v>0</v>
      </c>
      <c r="P376" s="95">
        <f t="shared" si="551"/>
        <v>20</v>
      </c>
      <c r="Q376" s="96">
        <f t="shared" si="552"/>
        <v>25000</v>
      </c>
      <c r="R376" s="96">
        <v>0</v>
      </c>
      <c r="S376" s="97">
        <f t="shared" si="553"/>
        <v>25000</v>
      </c>
      <c r="T376" s="97">
        <f>ROUNDUP(HLOOKUP(ROUNDUP(K376,0),'배송비 조회'!A$10:U$22,7,0)*C$3,-2)</f>
        <v>9000</v>
      </c>
      <c r="U376" s="97">
        <v>0</v>
      </c>
      <c r="V376" s="97">
        <f t="shared" si="582"/>
        <v>13600</v>
      </c>
      <c r="W376" s="97">
        <f t="shared" si="491"/>
        <v>17000</v>
      </c>
      <c r="X376" s="98">
        <f t="shared" si="555"/>
        <v>47600</v>
      </c>
      <c r="Y376" s="98">
        <f t="shared" si="27"/>
        <v>51000</v>
      </c>
      <c r="Z376" s="121">
        <v>0</v>
      </c>
      <c r="AA376" s="121">
        <f t="shared" si="556"/>
        <v>1808.8</v>
      </c>
      <c r="AB376" s="121">
        <f t="shared" si="557"/>
        <v>952</v>
      </c>
      <c r="AC376" s="99">
        <f t="shared" si="8"/>
        <v>5100</v>
      </c>
      <c r="AD376" s="121">
        <f t="shared" si="558"/>
        <v>44839.199999999997</v>
      </c>
      <c r="AE376" s="99">
        <f t="shared" si="10"/>
        <v>45900</v>
      </c>
      <c r="AF376" s="121">
        <f t="shared" si="559"/>
        <v>448.392</v>
      </c>
      <c r="AG376" s="100">
        <f t="shared" si="560"/>
        <v>10390.807999999997</v>
      </c>
      <c r="AH376" s="101">
        <f t="shared" si="29"/>
        <v>11451.608</v>
      </c>
      <c r="AI376" s="102">
        <f t="shared" ref="AI376:AJ376" si="586">AG376/X376</f>
        <v>0.21829428571428566</v>
      </c>
      <c r="AJ376" s="102">
        <f t="shared" si="586"/>
        <v>0.22454133333333334</v>
      </c>
      <c r="AK376" s="103"/>
      <c r="AL376" s="104"/>
      <c r="AM376" s="17"/>
      <c r="AN376" s="17"/>
      <c r="AO376" s="17"/>
      <c r="AP376" s="17"/>
      <c r="AQ376" s="17"/>
      <c r="AR376" s="17"/>
      <c r="AS376" s="17"/>
      <c r="AT376" s="17"/>
      <c r="AU376" s="17"/>
      <c r="AV376" s="17"/>
      <c r="AW376" s="297"/>
    </row>
    <row r="377" spans="1:49" ht="13.2">
      <c r="A377" s="302"/>
      <c r="B377" s="271"/>
      <c r="C377" s="302"/>
      <c r="D377" s="160"/>
      <c r="E377" s="302"/>
      <c r="F377" s="200" t="s">
        <v>188</v>
      </c>
      <c r="G377" s="218" t="s">
        <v>1293</v>
      </c>
      <c r="H377" s="125"/>
      <c r="I377" s="125"/>
      <c r="J377" s="125">
        <v>20</v>
      </c>
      <c r="K377" s="82">
        <f t="shared" si="577"/>
        <v>0.04</v>
      </c>
      <c r="L377" s="82">
        <v>0.64</v>
      </c>
      <c r="M377" s="82">
        <f t="shared" si="550"/>
        <v>1.8143679999999999E-2</v>
      </c>
      <c r="N377" s="93">
        <v>0</v>
      </c>
      <c r="O377" s="93">
        <v>0</v>
      </c>
      <c r="P377" s="95">
        <f t="shared" si="551"/>
        <v>20</v>
      </c>
      <c r="Q377" s="96">
        <f t="shared" si="552"/>
        <v>25000</v>
      </c>
      <c r="R377" s="96">
        <v>0</v>
      </c>
      <c r="S377" s="97">
        <f t="shared" si="553"/>
        <v>25000</v>
      </c>
      <c r="T377" s="97">
        <f>ROUNDUP(HLOOKUP(ROUNDUP(K377,0),'배송비 조회'!A$10:U$22,7,0)*C$3,-2)</f>
        <v>9000</v>
      </c>
      <c r="U377" s="97">
        <v>0</v>
      </c>
      <c r="V377" s="97">
        <f t="shared" si="582"/>
        <v>13600</v>
      </c>
      <c r="W377" s="97">
        <f t="shared" si="491"/>
        <v>17000</v>
      </c>
      <c r="X377" s="98">
        <f t="shared" si="555"/>
        <v>47600</v>
      </c>
      <c r="Y377" s="98">
        <f t="shared" si="27"/>
        <v>51000</v>
      </c>
      <c r="Z377" s="121">
        <v>0</v>
      </c>
      <c r="AA377" s="121">
        <f t="shared" si="556"/>
        <v>1808.8</v>
      </c>
      <c r="AB377" s="121">
        <f t="shared" si="557"/>
        <v>952</v>
      </c>
      <c r="AC377" s="99">
        <f t="shared" si="8"/>
        <v>5100</v>
      </c>
      <c r="AD377" s="121">
        <f t="shared" si="558"/>
        <v>44839.199999999997</v>
      </c>
      <c r="AE377" s="99">
        <f t="shared" si="10"/>
        <v>45900</v>
      </c>
      <c r="AF377" s="121">
        <f t="shared" si="559"/>
        <v>448.392</v>
      </c>
      <c r="AG377" s="100">
        <f t="shared" si="560"/>
        <v>10390.807999999997</v>
      </c>
      <c r="AH377" s="101">
        <f t="shared" si="29"/>
        <v>11451.608</v>
      </c>
      <c r="AI377" s="102">
        <f t="shared" ref="AI377:AJ377" si="587">AG377/X377</f>
        <v>0.21829428571428566</v>
      </c>
      <c r="AJ377" s="102">
        <f t="shared" si="587"/>
        <v>0.22454133333333334</v>
      </c>
      <c r="AK377" s="103"/>
      <c r="AL377" s="104"/>
      <c r="AM377" s="17"/>
      <c r="AN377" s="17"/>
      <c r="AO377" s="17"/>
      <c r="AP377" s="17"/>
      <c r="AQ377" s="17"/>
      <c r="AR377" s="17"/>
      <c r="AS377" s="17"/>
      <c r="AT377" s="17"/>
      <c r="AU377" s="17"/>
      <c r="AV377" s="17"/>
      <c r="AW377" s="297"/>
    </row>
    <row r="378" spans="1:49" ht="13.2">
      <c r="A378" s="302"/>
      <c r="B378" s="271"/>
      <c r="C378" s="302"/>
      <c r="D378" s="160"/>
      <c r="E378" s="302"/>
      <c r="F378" s="200" t="s">
        <v>248</v>
      </c>
      <c r="G378" s="218" t="s">
        <v>1293</v>
      </c>
      <c r="H378" s="125"/>
      <c r="I378" s="125"/>
      <c r="J378" s="125">
        <v>20</v>
      </c>
      <c r="K378" s="82">
        <f t="shared" si="577"/>
        <v>0.04</v>
      </c>
      <c r="L378" s="82">
        <v>0.64</v>
      </c>
      <c r="M378" s="82">
        <f t="shared" si="550"/>
        <v>1.8143679999999999E-2</v>
      </c>
      <c r="N378" s="93">
        <v>0</v>
      </c>
      <c r="O378" s="93">
        <v>0</v>
      </c>
      <c r="P378" s="95">
        <f t="shared" si="551"/>
        <v>20</v>
      </c>
      <c r="Q378" s="96">
        <f t="shared" si="552"/>
        <v>25000</v>
      </c>
      <c r="R378" s="96">
        <v>0</v>
      </c>
      <c r="S378" s="97">
        <f t="shared" si="553"/>
        <v>25000</v>
      </c>
      <c r="T378" s="97">
        <f>ROUNDUP(HLOOKUP(ROUNDUP(K378,0),'배송비 조회'!A$10:U$22,7,0)*C$3,-2)</f>
        <v>9000</v>
      </c>
      <c r="U378" s="97">
        <v>0</v>
      </c>
      <c r="V378" s="97">
        <f t="shared" si="582"/>
        <v>13600</v>
      </c>
      <c r="W378" s="97">
        <f t="shared" si="491"/>
        <v>17000</v>
      </c>
      <c r="X378" s="98">
        <f t="shared" si="555"/>
        <v>47600</v>
      </c>
      <c r="Y378" s="98">
        <f t="shared" si="27"/>
        <v>51000</v>
      </c>
      <c r="Z378" s="121">
        <v>0</v>
      </c>
      <c r="AA378" s="121">
        <f t="shared" si="556"/>
        <v>1808.8</v>
      </c>
      <c r="AB378" s="121">
        <f t="shared" si="557"/>
        <v>952</v>
      </c>
      <c r="AC378" s="99">
        <f t="shared" si="8"/>
        <v>5100</v>
      </c>
      <c r="AD378" s="121">
        <f t="shared" si="558"/>
        <v>44839.199999999997</v>
      </c>
      <c r="AE378" s="99">
        <f t="shared" si="10"/>
        <v>45900</v>
      </c>
      <c r="AF378" s="121">
        <f t="shared" si="559"/>
        <v>448.392</v>
      </c>
      <c r="AG378" s="100">
        <f t="shared" si="560"/>
        <v>10390.807999999997</v>
      </c>
      <c r="AH378" s="101">
        <f t="shared" si="29"/>
        <v>11451.608</v>
      </c>
      <c r="AI378" s="102">
        <f t="shared" ref="AI378:AJ378" si="588">AG378/X378</f>
        <v>0.21829428571428566</v>
      </c>
      <c r="AJ378" s="102">
        <f t="shared" si="588"/>
        <v>0.22454133333333334</v>
      </c>
      <c r="AK378" s="103"/>
      <c r="AL378" s="104"/>
      <c r="AM378" s="17"/>
      <c r="AN378" s="17"/>
      <c r="AO378" s="17"/>
      <c r="AP378" s="17"/>
      <c r="AQ378" s="17"/>
      <c r="AR378" s="17"/>
      <c r="AS378" s="17"/>
      <c r="AT378" s="17"/>
      <c r="AU378" s="17"/>
      <c r="AV378" s="17"/>
      <c r="AW378" s="297"/>
    </row>
    <row r="379" spans="1:49" ht="13.2">
      <c r="A379" s="119">
        <f>HYPERLINK("https://smartstore.naver.com/brickstore2019/products/4682158333",AW:AW)</f>
        <v>4682158333</v>
      </c>
      <c r="B379" s="266"/>
      <c r="C379" s="117" t="s">
        <v>860</v>
      </c>
      <c r="D379" s="117"/>
      <c r="E379" s="117" t="s">
        <v>861</v>
      </c>
      <c r="F379" s="123"/>
      <c r="G379" s="124" t="str">
        <f>HYPERLINK("https://www.amazon.com/dp/B07K8CZ5WT/ref=cm_sw_r_other_apa_i_ufdJDbVSR03BX","A")</f>
        <v>A</v>
      </c>
      <c r="H379" s="125"/>
      <c r="I379" s="125"/>
      <c r="J379" s="93">
        <v>30</v>
      </c>
      <c r="K379" s="82">
        <v>1.1000000000000001</v>
      </c>
      <c r="L379" s="82">
        <v>14.4</v>
      </c>
      <c r="M379" s="82">
        <f t="shared" si="550"/>
        <v>0.49895120000000004</v>
      </c>
      <c r="N379" s="93">
        <v>0</v>
      </c>
      <c r="O379" s="93">
        <v>0</v>
      </c>
      <c r="P379" s="95">
        <f t="shared" si="551"/>
        <v>30</v>
      </c>
      <c r="Q379" s="96">
        <f t="shared" si="552"/>
        <v>37500</v>
      </c>
      <c r="R379" s="96">
        <v>0</v>
      </c>
      <c r="S379" s="97">
        <f t="shared" si="553"/>
        <v>37500</v>
      </c>
      <c r="T379" s="97">
        <f>ROUNDUP(HLOOKUP(ROUNDUP(K379,0),'배송비 조회'!A$10:U$22,7,0)*C$3,-2)</f>
        <v>11200</v>
      </c>
      <c r="U379" s="97">
        <v>0</v>
      </c>
      <c r="V379" s="97">
        <f t="shared" si="582"/>
        <v>19500</v>
      </c>
      <c r="W379" s="97">
        <f t="shared" si="491"/>
        <v>24400</v>
      </c>
      <c r="X379" s="98">
        <f t="shared" si="555"/>
        <v>68200</v>
      </c>
      <c r="Y379" s="98">
        <f t="shared" si="27"/>
        <v>73100</v>
      </c>
      <c r="Z379" s="121">
        <v>0</v>
      </c>
      <c r="AA379" s="121">
        <f t="shared" si="556"/>
        <v>2591.6</v>
      </c>
      <c r="AB379" s="121">
        <f t="shared" si="557"/>
        <v>1364</v>
      </c>
      <c r="AC379" s="99">
        <f t="shared" si="8"/>
        <v>7310</v>
      </c>
      <c r="AD379" s="121">
        <f t="shared" si="558"/>
        <v>64244.399999999994</v>
      </c>
      <c r="AE379" s="99">
        <f t="shared" si="10"/>
        <v>65790</v>
      </c>
      <c r="AF379" s="121">
        <f t="shared" si="559"/>
        <v>642.44399999999996</v>
      </c>
      <c r="AG379" s="100">
        <f t="shared" si="560"/>
        <v>14901.955999999995</v>
      </c>
      <c r="AH379" s="101">
        <f t="shared" si="29"/>
        <v>16447.556</v>
      </c>
      <c r="AI379" s="102">
        <f t="shared" ref="AI379:AJ379" si="589">AG379/X379</f>
        <v>0.21850375366568908</v>
      </c>
      <c r="AJ379" s="102">
        <f t="shared" si="589"/>
        <v>0.22500076607387143</v>
      </c>
      <c r="AK379" s="103"/>
      <c r="AL379" s="104"/>
      <c r="AM379" s="17"/>
      <c r="AN379" s="17"/>
      <c r="AO379" s="17"/>
      <c r="AP379" s="17"/>
      <c r="AQ379" s="17"/>
      <c r="AR379" s="17"/>
      <c r="AS379" s="17"/>
      <c r="AT379" s="17"/>
      <c r="AU379" s="17"/>
      <c r="AV379" s="17"/>
      <c r="AW379" s="22">
        <v>4682158333</v>
      </c>
    </row>
    <row r="380" spans="1:49" ht="13.2">
      <c r="A380" s="119">
        <f>HYPERLINK("https://smartstore.naver.com/brickstore2019/products/4682159939",AW:AW)</f>
        <v>4682159939</v>
      </c>
      <c r="B380" s="266"/>
      <c r="C380" s="117" t="s">
        <v>862</v>
      </c>
      <c r="D380" s="117"/>
      <c r="E380" s="117" t="s">
        <v>863</v>
      </c>
      <c r="F380" s="123"/>
      <c r="G380" s="124" t="str">
        <f>HYPERLINK("https://www.amazon.com/Samsonite-Vachetta-Leather-Pocket-Business/dp/B008KN0AA4?ref_=ast_sto_dp&amp;th=1","A")</f>
        <v>A</v>
      </c>
      <c r="H380" s="125"/>
      <c r="I380" s="125"/>
      <c r="J380" s="201">
        <v>143</v>
      </c>
      <c r="K380" s="82">
        <v>5</v>
      </c>
      <c r="L380" s="82">
        <f>IF(K380&gt;0,K380*16,)</f>
        <v>80</v>
      </c>
      <c r="M380" s="82">
        <f t="shared" si="550"/>
        <v>2.26796</v>
      </c>
      <c r="N380" s="93">
        <v>0</v>
      </c>
      <c r="O380" s="93">
        <v>0</v>
      </c>
      <c r="P380" s="95">
        <f t="shared" si="551"/>
        <v>143</v>
      </c>
      <c r="Q380" s="96">
        <f t="shared" si="552"/>
        <v>178750</v>
      </c>
      <c r="R380" s="96">
        <v>0</v>
      </c>
      <c r="S380" s="97">
        <f t="shared" si="553"/>
        <v>178800</v>
      </c>
      <c r="T380" s="97">
        <f>ROUNDUP(HLOOKUP(ROUNDUP(K380,0),'배송비 조회'!A$10:U$22,7,0)*C$3,-2)</f>
        <v>17800</v>
      </c>
      <c r="U380" s="97">
        <v>0</v>
      </c>
      <c r="V380" s="97">
        <f>ROUND(IF(R380&gt;0,0,(S380+T380)*0.2),-2)</f>
        <v>39300</v>
      </c>
      <c r="W380" s="97">
        <f t="shared" si="491"/>
        <v>98300</v>
      </c>
      <c r="X380" s="98">
        <f t="shared" si="555"/>
        <v>235900</v>
      </c>
      <c r="Y380" s="98">
        <f t="shared" si="27"/>
        <v>294900</v>
      </c>
      <c r="Z380" s="121">
        <v>0</v>
      </c>
      <c r="AA380" s="121">
        <f t="shared" si="556"/>
        <v>8964.1999999999989</v>
      </c>
      <c r="AB380" s="121">
        <f t="shared" si="557"/>
        <v>4718</v>
      </c>
      <c r="AC380" s="99">
        <f t="shared" si="8"/>
        <v>29490</v>
      </c>
      <c r="AD380" s="121">
        <f t="shared" si="558"/>
        <v>222217.8</v>
      </c>
      <c r="AE380" s="99">
        <f t="shared" si="10"/>
        <v>265410</v>
      </c>
      <c r="AF380" s="121">
        <f t="shared" si="559"/>
        <v>2222.1779999999999</v>
      </c>
      <c r="AG380" s="100">
        <f t="shared" si="560"/>
        <v>23445.621999999988</v>
      </c>
      <c r="AH380" s="101">
        <f t="shared" si="29"/>
        <v>66637.822</v>
      </c>
      <c r="AI380" s="102">
        <f t="shared" ref="AI380:AJ380" si="590">AG380/X380</f>
        <v>9.9387969478592575E-2</v>
      </c>
      <c r="AJ380" s="102">
        <f t="shared" si="590"/>
        <v>0.22596752119362495</v>
      </c>
      <c r="AK380" s="103"/>
      <c r="AL380" s="104"/>
      <c r="AM380" s="17"/>
      <c r="AN380" s="17"/>
      <c r="AO380" s="17"/>
      <c r="AP380" s="17"/>
      <c r="AQ380" s="17"/>
      <c r="AR380" s="17"/>
      <c r="AS380" s="17"/>
      <c r="AT380" s="17"/>
      <c r="AU380" s="17"/>
      <c r="AV380" s="17"/>
      <c r="AW380" s="22">
        <v>4682159939</v>
      </c>
    </row>
    <row r="381" spans="1:49" ht="13.2">
      <c r="A381" s="119">
        <f>HYPERLINK("https://smartstore.naver.com/brickstore2019/products/4682178335",AW:AW)</f>
        <v>4682178335</v>
      </c>
      <c r="B381" s="266"/>
      <c r="C381" s="117" t="s">
        <v>864</v>
      </c>
      <c r="D381" s="117"/>
      <c r="E381" s="117" t="s">
        <v>865</v>
      </c>
      <c r="F381" s="123"/>
      <c r="G381" s="124" t="str">
        <f>HYPERLINK("https://www.amazon.com/Maxboost-mWallet-Designed-Folio-Cover-Magnetic/dp/B07V39DQ87/ref=sr_1_9?keywords=galaxy+note+10&amp;qid=1566574124&amp;s=gateway&amp;sr=8-9#customerReviews","A")</f>
        <v>A</v>
      </c>
      <c r="H381" s="125"/>
      <c r="I381" s="125"/>
      <c r="J381" s="125">
        <v>10</v>
      </c>
      <c r="K381" s="82">
        <f t="shared" ref="K381:K393" si="591">IF(L381&gt;0,L381*0.0625,)</f>
        <v>0.09</v>
      </c>
      <c r="L381" s="82">
        <v>1.44</v>
      </c>
      <c r="M381" s="82">
        <f t="shared" si="550"/>
        <v>4.0823279999999997E-2</v>
      </c>
      <c r="N381" s="93">
        <v>0</v>
      </c>
      <c r="O381" s="93">
        <v>0</v>
      </c>
      <c r="P381" s="95">
        <f t="shared" si="551"/>
        <v>10</v>
      </c>
      <c r="Q381" s="96">
        <f t="shared" si="552"/>
        <v>12500</v>
      </c>
      <c r="R381" s="96">
        <v>0</v>
      </c>
      <c r="S381" s="97">
        <f t="shared" si="553"/>
        <v>12500</v>
      </c>
      <c r="T381" s="97">
        <f>ROUNDUP(HLOOKUP(ROUNDUP(K381,0),'배송비 조회'!A$10:U$22,7,0)*C$3,-2)</f>
        <v>9000</v>
      </c>
      <c r="U381" s="97">
        <v>0</v>
      </c>
      <c r="V381" s="97">
        <f t="shared" ref="V381:V385" si="592">ROUND(IF(R381&gt;0,0,(S381+T381)*0.6),-2)</f>
        <v>12900</v>
      </c>
      <c r="W381" s="97">
        <f t="shared" si="491"/>
        <v>10800</v>
      </c>
      <c r="X381" s="98">
        <f t="shared" si="555"/>
        <v>34400</v>
      </c>
      <c r="Y381" s="98">
        <f t="shared" si="27"/>
        <v>32300</v>
      </c>
      <c r="Z381" s="121">
        <v>0</v>
      </c>
      <c r="AA381" s="121">
        <f t="shared" si="556"/>
        <v>1307.2</v>
      </c>
      <c r="AB381" s="121">
        <f t="shared" si="557"/>
        <v>688</v>
      </c>
      <c r="AC381" s="99">
        <f t="shared" si="8"/>
        <v>3230</v>
      </c>
      <c r="AD381" s="121">
        <f t="shared" si="558"/>
        <v>32404.800000000003</v>
      </c>
      <c r="AE381" s="99">
        <f t="shared" si="10"/>
        <v>29070</v>
      </c>
      <c r="AF381" s="121">
        <f t="shared" si="559"/>
        <v>324.04800000000006</v>
      </c>
      <c r="AG381" s="100">
        <f t="shared" si="560"/>
        <v>10580.752000000004</v>
      </c>
      <c r="AH381" s="101">
        <f t="shared" si="29"/>
        <v>7245.9519999999993</v>
      </c>
      <c r="AI381" s="102">
        <f t="shared" ref="AI381:AJ381" si="593">AG381/X381</f>
        <v>0.30758000000000013</v>
      </c>
      <c r="AJ381" s="102">
        <f t="shared" si="593"/>
        <v>0.22433287925696593</v>
      </c>
      <c r="AK381" s="103"/>
      <c r="AL381" s="104"/>
      <c r="AM381" s="17"/>
      <c r="AN381" s="17"/>
      <c r="AO381" s="17"/>
      <c r="AP381" s="17"/>
      <c r="AQ381" s="17"/>
      <c r="AR381" s="17"/>
      <c r="AS381" s="17"/>
      <c r="AT381" s="17"/>
      <c r="AU381" s="17"/>
      <c r="AV381" s="17"/>
      <c r="AW381" s="22">
        <v>4682178335</v>
      </c>
    </row>
    <row r="382" spans="1:49" ht="13.2">
      <c r="A382" s="119">
        <f>HYPERLINK("https://smartstore.naver.com/brickstore2019/products/4682186344",AW:AW)</f>
        <v>4682186344</v>
      </c>
      <c r="B382" s="266"/>
      <c r="C382" s="117" t="s">
        <v>866</v>
      </c>
      <c r="D382" s="117"/>
      <c r="E382" s="117" t="s">
        <v>867</v>
      </c>
      <c r="F382" s="123"/>
      <c r="G382" s="218" t="s">
        <v>1293</v>
      </c>
      <c r="H382" s="125"/>
      <c r="I382" s="125"/>
      <c r="J382" s="125">
        <v>12</v>
      </c>
      <c r="K382" s="82">
        <f t="shared" si="591"/>
        <v>0.2</v>
      </c>
      <c r="L382" s="82">
        <v>3.2</v>
      </c>
      <c r="M382" s="82">
        <f t="shared" si="550"/>
        <v>9.0718400000000005E-2</v>
      </c>
      <c r="N382" s="93">
        <v>0</v>
      </c>
      <c r="O382" s="93">
        <v>0</v>
      </c>
      <c r="P382" s="95">
        <f t="shared" si="551"/>
        <v>12</v>
      </c>
      <c r="Q382" s="96">
        <f t="shared" si="552"/>
        <v>15000</v>
      </c>
      <c r="R382" s="96">
        <v>0</v>
      </c>
      <c r="S382" s="97">
        <f t="shared" si="553"/>
        <v>15000</v>
      </c>
      <c r="T382" s="97">
        <f>ROUNDUP(HLOOKUP(ROUNDUP(K382,0),'배송비 조회'!A$10:U$22,7,0)*C$3,-2)</f>
        <v>9000</v>
      </c>
      <c r="U382" s="97">
        <v>0</v>
      </c>
      <c r="V382" s="97">
        <f t="shared" si="592"/>
        <v>14400</v>
      </c>
      <c r="W382" s="97">
        <f t="shared" si="491"/>
        <v>12000</v>
      </c>
      <c r="X382" s="98">
        <f t="shared" si="555"/>
        <v>38400</v>
      </c>
      <c r="Y382" s="98">
        <f t="shared" si="27"/>
        <v>36000</v>
      </c>
      <c r="Z382" s="121">
        <v>0</v>
      </c>
      <c r="AA382" s="121">
        <f t="shared" si="556"/>
        <v>1459.2</v>
      </c>
      <c r="AB382" s="121">
        <f t="shared" si="557"/>
        <v>768</v>
      </c>
      <c r="AC382" s="99">
        <f t="shared" si="8"/>
        <v>3600</v>
      </c>
      <c r="AD382" s="121">
        <f t="shared" si="558"/>
        <v>36172.800000000003</v>
      </c>
      <c r="AE382" s="99">
        <f t="shared" si="10"/>
        <v>32400</v>
      </c>
      <c r="AF382" s="121">
        <f t="shared" si="559"/>
        <v>361.72800000000001</v>
      </c>
      <c r="AG382" s="100">
        <f t="shared" si="560"/>
        <v>11811.072000000004</v>
      </c>
      <c r="AH382" s="101">
        <f t="shared" si="29"/>
        <v>8038.2720000000008</v>
      </c>
      <c r="AI382" s="102">
        <f t="shared" ref="AI382:AJ382" si="594">AG382/X382</f>
        <v>0.30758000000000008</v>
      </c>
      <c r="AJ382" s="102">
        <f t="shared" si="594"/>
        <v>0.22328533333333336</v>
      </c>
      <c r="AK382" s="103"/>
      <c r="AL382" s="104"/>
      <c r="AM382" s="17"/>
      <c r="AN382" s="17"/>
      <c r="AO382" s="17"/>
      <c r="AP382" s="17"/>
      <c r="AQ382" s="17"/>
      <c r="AR382" s="17"/>
      <c r="AS382" s="17"/>
      <c r="AT382" s="17"/>
      <c r="AU382" s="17"/>
      <c r="AV382" s="17"/>
      <c r="AW382" s="22">
        <v>4682186344</v>
      </c>
    </row>
    <row r="383" spans="1:49" ht="13.2">
      <c r="A383" s="303">
        <f>HYPERLINK("https://smartstore.naver.com/brickstore2019/products/4682199660",AW:AW)</f>
        <v>4682199660</v>
      </c>
      <c r="B383" s="266"/>
      <c r="C383" s="304" t="s">
        <v>868</v>
      </c>
      <c r="D383" s="117"/>
      <c r="E383" s="304" t="s">
        <v>869</v>
      </c>
      <c r="F383" s="123" t="s">
        <v>55</v>
      </c>
      <c r="G383" s="218" t="s">
        <v>1293</v>
      </c>
      <c r="H383" s="125"/>
      <c r="I383" s="125"/>
      <c r="J383" s="125">
        <v>10</v>
      </c>
      <c r="K383" s="82">
        <f t="shared" si="591"/>
        <v>0.04</v>
      </c>
      <c r="L383" s="82">
        <v>0.64</v>
      </c>
      <c r="M383" s="82">
        <f t="shared" si="550"/>
        <v>1.8143679999999999E-2</v>
      </c>
      <c r="N383" s="93">
        <v>0</v>
      </c>
      <c r="O383" s="93">
        <v>0</v>
      </c>
      <c r="P383" s="95">
        <f t="shared" si="551"/>
        <v>10</v>
      </c>
      <c r="Q383" s="96">
        <f t="shared" si="552"/>
        <v>12500</v>
      </c>
      <c r="R383" s="96">
        <v>0</v>
      </c>
      <c r="S383" s="97">
        <f t="shared" si="553"/>
        <v>12500</v>
      </c>
      <c r="T383" s="97">
        <f>ROUNDUP(HLOOKUP(ROUNDUP(K383,0),'배송비 조회'!A$10:U$22,7,0)*C$3,-2)</f>
        <v>9000</v>
      </c>
      <c r="U383" s="97">
        <v>0</v>
      </c>
      <c r="V383" s="97">
        <f t="shared" si="592"/>
        <v>12900</v>
      </c>
      <c r="W383" s="97">
        <f t="shared" si="491"/>
        <v>10800</v>
      </c>
      <c r="X383" s="98">
        <f t="shared" si="555"/>
        <v>34400</v>
      </c>
      <c r="Y383" s="98">
        <f t="shared" si="27"/>
        <v>32300</v>
      </c>
      <c r="Z383" s="121">
        <v>0</v>
      </c>
      <c r="AA383" s="121">
        <f t="shared" si="556"/>
        <v>1307.2</v>
      </c>
      <c r="AB383" s="121">
        <f t="shared" si="557"/>
        <v>688</v>
      </c>
      <c r="AC383" s="99">
        <f t="shared" si="8"/>
        <v>3230</v>
      </c>
      <c r="AD383" s="121">
        <f t="shared" si="558"/>
        <v>32404.800000000003</v>
      </c>
      <c r="AE383" s="99">
        <f t="shared" si="10"/>
        <v>29070</v>
      </c>
      <c r="AF383" s="121">
        <f t="shared" si="559"/>
        <v>324.04800000000006</v>
      </c>
      <c r="AG383" s="100">
        <f t="shared" si="560"/>
        <v>10580.752000000004</v>
      </c>
      <c r="AH383" s="101">
        <f t="shared" si="29"/>
        <v>7245.9519999999993</v>
      </c>
      <c r="AI383" s="102">
        <f t="shared" ref="AI383:AJ383" si="595">AG383/X383</f>
        <v>0.30758000000000013</v>
      </c>
      <c r="AJ383" s="102">
        <f t="shared" si="595"/>
        <v>0.22433287925696593</v>
      </c>
      <c r="AK383" s="103"/>
      <c r="AL383" s="104"/>
      <c r="AM383" s="17"/>
      <c r="AN383" s="17"/>
      <c r="AO383" s="17"/>
      <c r="AP383" s="17"/>
      <c r="AQ383" s="17"/>
      <c r="AR383" s="17"/>
      <c r="AS383" s="17"/>
      <c r="AT383" s="17"/>
      <c r="AU383" s="17"/>
      <c r="AV383" s="17"/>
      <c r="AW383" s="296">
        <v>4682199660</v>
      </c>
    </row>
    <row r="384" spans="1:49" ht="13.2">
      <c r="A384" s="302"/>
      <c r="B384" s="266"/>
      <c r="C384" s="302"/>
      <c r="D384" s="117"/>
      <c r="E384" s="302"/>
      <c r="F384" s="123" t="s">
        <v>58</v>
      </c>
      <c r="G384" s="218" t="s">
        <v>1293</v>
      </c>
      <c r="H384" s="125"/>
      <c r="I384" s="125"/>
      <c r="J384" s="125">
        <v>10</v>
      </c>
      <c r="K384" s="82">
        <f t="shared" si="591"/>
        <v>0.04</v>
      </c>
      <c r="L384" s="82">
        <v>0.64</v>
      </c>
      <c r="M384" s="82">
        <f t="shared" si="550"/>
        <v>1.8143679999999999E-2</v>
      </c>
      <c r="N384" s="93">
        <v>0</v>
      </c>
      <c r="O384" s="93">
        <v>0</v>
      </c>
      <c r="P384" s="95">
        <f t="shared" si="551"/>
        <v>10</v>
      </c>
      <c r="Q384" s="96">
        <f t="shared" si="552"/>
        <v>12500</v>
      </c>
      <c r="R384" s="96">
        <v>0</v>
      </c>
      <c r="S384" s="97">
        <f t="shared" si="553"/>
        <v>12500</v>
      </c>
      <c r="T384" s="97">
        <f>ROUNDUP(HLOOKUP(ROUNDUP(K384,0),'배송비 조회'!A$10:U$22,7,0)*C$3,-2)</f>
        <v>9000</v>
      </c>
      <c r="U384" s="97">
        <v>0</v>
      </c>
      <c r="V384" s="97">
        <f t="shared" si="592"/>
        <v>12900</v>
      </c>
      <c r="W384" s="97">
        <f t="shared" si="491"/>
        <v>10800</v>
      </c>
      <c r="X384" s="98">
        <f t="shared" si="555"/>
        <v>34400</v>
      </c>
      <c r="Y384" s="98">
        <f t="shared" si="27"/>
        <v>32300</v>
      </c>
      <c r="Z384" s="121">
        <v>0</v>
      </c>
      <c r="AA384" s="121">
        <f t="shared" si="556"/>
        <v>1307.2</v>
      </c>
      <c r="AB384" s="121">
        <f t="shared" si="557"/>
        <v>688</v>
      </c>
      <c r="AC384" s="99">
        <f t="shared" si="8"/>
        <v>3230</v>
      </c>
      <c r="AD384" s="121">
        <f t="shared" si="558"/>
        <v>32404.800000000003</v>
      </c>
      <c r="AE384" s="99">
        <f t="shared" si="10"/>
        <v>29070</v>
      </c>
      <c r="AF384" s="121">
        <f t="shared" si="559"/>
        <v>324.04800000000006</v>
      </c>
      <c r="AG384" s="100">
        <f t="shared" si="560"/>
        <v>10580.752000000004</v>
      </c>
      <c r="AH384" s="101">
        <f t="shared" si="29"/>
        <v>7245.9519999999993</v>
      </c>
      <c r="AI384" s="102">
        <f t="shared" ref="AI384:AJ384" si="596">AG384/X384</f>
        <v>0.30758000000000013</v>
      </c>
      <c r="AJ384" s="102">
        <f t="shared" si="596"/>
        <v>0.22433287925696593</v>
      </c>
      <c r="AK384" s="103"/>
      <c r="AL384" s="104"/>
      <c r="AM384" s="17"/>
      <c r="AN384" s="17"/>
      <c r="AO384" s="17"/>
      <c r="AP384" s="17"/>
      <c r="AQ384" s="17"/>
      <c r="AR384" s="17"/>
      <c r="AS384" s="17"/>
      <c r="AT384" s="17"/>
      <c r="AU384" s="17"/>
      <c r="AV384" s="17"/>
      <c r="AW384" s="297"/>
    </row>
    <row r="385" spans="1:49" ht="13.2">
      <c r="A385" s="302"/>
      <c r="B385" s="266"/>
      <c r="C385" s="302"/>
      <c r="D385" s="117"/>
      <c r="E385" s="302"/>
      <c r="F385" s="123" t="s">
        <v>92</v>
      </c>
      <c r="G385" s="218" t="s">
        <v>1293</v>
      </c>
      <c r="H385" s="125"/>
      <c r="I385" s="125"/>
      <c r="J385" s="202">
        <v>10</v>
      </c>
      <c r="K385" s="203">
        <f t="shared" si="591"/>
        <v>0.04</v>
      </c>
      <c r="L385" s="203">
        <v>0.64</v>
      </c>
      <c r="M385" s="203">
        <f t="shared" si="550"/>
        <v>1.8143679999999999E-2</v>
      </c>
      <c r="N385" s="204">
        <v>0</v>
      </c>
      <c r="O385" s="204">
        <v>0</v>
      </c>
      <c r="P385" s="205">
        <f t="shared" si="551"/>
        <v>10</v>
      </c>
      <c r="Q385" s="206">
        <f t="shared" si="552"/>
        <v>12500</v>
      </c>
      <c r="R385" s="206">
        <v>0</v>
      </c>
      <c r="S385" s="207">
        <f t="shared" si="553"/>
        <v>12500</v>
      </c>
      <c r="T385" s="207">
        <f>ROUNDUP(HLOOKUP(ROUNDUP(K385,0),'배송비 조회'!A$10:U$22,7,0)*C$3,-2)</f>
        <v>9000</v>
      </c>
      <c r="U385" s="207">
        <v>0</v>
      </c>
      <c r="V385" s="207">
        <f t="shared" si="592"/>
        <v>12900</v>
      </c>
      <c r="W385" s="97">
        <f t="shared" si="491"/>
        <v>10800</v>
      </c>
      <c r="X385" s="208">
        <f t="shared" si="555"/>
        <v>34400</v>
      </c>
      <c r="Y385" s="98">
        <f t="shared" si="27"/>
        <v>32300</v>
      </c>
      <c r="Z385" s="209">
        <v>0</v>
      </c>
      <c r="AA385" s="209">
        <f t="shared" si="556"/>
        <v>1307.2</v>
      </c>
      <c r="AB385" s="209">
        <f t="shared" si="557"/>
        <v>688</v>
      </c>
      <c r="AC385" s="99">
        <f t="shared" si="8"/>
        <v>3230</v>
      </c>
      <c r="AD385" s="209">
        <f t="shared" si="558"/>
        <v>32404.800000000003</v>
      </c>
      <c r="AE385" s="99">
        <f t="shared" si="10"/>
        <v>29070</v>
      </c>
      <c r="AF385" s="209">
        <f t="shared" si="559"/>
        <v>324.04800000000006</v>
      </c>
      <c r="AG385" s="210">
        <f t="shared" si="560"/>
        <v>10580.752000000004</v>
      </c>
      <c r="AH385" s="101">
        <f t="shared" si="29"/>
        <v>7245.9519999999993</v>
      </c>
      <c r="AI385" s="102">
        <f t="shared" ref="AI385:AJ385" si="597">AG385/X385</f>
        <v>0.30758000000000013</v>
      </c>
      <c r="AJ385" s="102">
        <f t="shared" si="597"/>
        <v>0.22433287925696593</v>
      </c>
      <c r="AK385" s="103"/>
      <c r="AL385" s="104"/>
      <c r="AM385" s="17"/>
      <c r="AN385" s="17"/>
      <c r="AO385" s="17"/>
      <c r="AP385" s="17"/>
      <c r="AQ385" s="17"/>
      <c r="AR385" s="17"/>
      <c r="AS385" s="17"/>
      <c r="AT385" s="17"/>
      <c r="AU385" s="17"/>
      <c r="AV385" s="17"/>
      <c r="AW385" s="297"/>
    </row>
    <row r="386" spans="1:49" ht="13.2">
      <c r="A386" s="303">
        <f>HYPERLINK("https://smartstore.naver.com/brickstore2019/products/4682681962",AW:AW)</f>
        <v>4682681962</v>
      </c>
      <c r="B386" s="266"/>
      <c r="C386" s="304" t="s">
        <v>870</v>
      </c>
      <c r="D386" s="117"/>
      <c r="E386" s="304" t="s">
        <v>871</v>
      </c>
      <c r="F386" s="123" t="s">
        <v>55</v>
      </c>
      <c r="G386" s="218" t="s">
        <v>1293</v>
      </c>
      <c r="H386" s="125"/>
      <c r="I386" s="125"/>
      <c r="J386" s="202">
        <v>18</v>
      </c>
      <c r="K386" s="203">
        <f t="shared" si="591"/>
        <v>0.75</v>
      </c>
      <c r="L386" s="203">
        <v>12</v>
      </c>
      <c r="M386" s="203">
        <f t="shared" si="550"/>
        <v>0.340194</v>
      </c>
      <c r="N386" s="204">
        <v>0</v>
      </c>
      <c r="O386" s="204">
        <v>0</v>
      </c>
      <c r="P386" s="205">
        <f t="shared" si="551"/>
        <v>18</v>
      </c>
      <c r="Q386" s="206">
        <f t="shared" si="552"/>
        <v>22500</v>
      </c>
      <c r="R386" s="206">
        <v>0</v>
      </c>
      <c r="S386" s="207">
        <f t="shared" si="553"/>
        <v>22500</v>
      </c>
      <c r="T386" s="207">
        <f>ROUNDUP(HLOOKUP(ROUNDUP(K386,0),'배송비 조회'!A$10:U$22,7,0)*C$3,-2)</f>
        <v>9000</v>
      </c>
      <c r="U386" s="207">
        <v>0</v>
      </c>
      <c r="V386" s="207">
        <f t="shared" ref="V386:V393" si="598">ROUND(IF(R386&gt;0,0,(S386+T386)*0.5),-2)</f>
        <v>15800</v>
      </c>
      <c r="W386" s="97">
        <f t="shared" si="491"/>
        <v>15800</v>
      </c>
      <c r="X386" s="208">
        <f t="shared" si="555"/>
        <v>47300</v>
      </c>
      <c r="Y386" s="98">
        <f t="shared" si="27"/>
        <v>47300</v>
      </c>
      <c r="Z386" s="209">
        <v>0</v>
      </c>
      <c r="AA386" s="209">
        <f t="shared" si="556"/>
        <v>1797.3999999999999</v>
      </c>
      <c r="AB386" s="209">
        <f t="shared" si="557"/>
        <v>946</v>
      </c>
      <c r="AC386" s="99">
        <f t="shared" si="8"/>
        <v>4730</v>
      </c>
      <c r="AD386" s="209">
        <f t="shared" si="558"/>
        <v>44556.6</v>
      </c>
      <c r="AE386" s="99">
        <f t="shared" si="10"/>
        <v>42570</v>
      </c>
      <c r="AF386" s="209">
        <f t="shared" si="559"/>
        <v>445.56599999999997</v>
      </c>
      <c r="AG386" s="210">
        <f t="shared" si="560"/>
        <v>12611.034</v>
      </c>
      <c r="AH386" s="101">
        <f t="shared" si="29"/>
        <v>10624.434000000001</v>
      </c>
      <c r="AI386" s="102">
        <f t="shared" ref="AI386:AJ386" si="599">AG386/X386</f>
        <v>0.2666180549682875</v>
      </c>
      <c r="AJ386" s="102">
        <f t="shared" si="599"/>
        <v>0.22461805496828754</v>
      </c>
      <c r="AK386" s="103"/>
      <c r="AL386" s="104"/>
      <c r="AM386" s="17"/>
      <c r="AN386" s="17"/>
      <c r="AO386" s="17"/>
      <c r="AP386" s="17"/>
      <c r="AQ386" s="17"/>
      <c r="AR386" s="17"/>
      <c r="AS386" s="17"/>
      <c r="AT386" s="17"/>
      <c r="AU386" s="17"/>
      <c r="AV386" s="17"/>
      <c r="AW386" s="296">
        <v>4682681962</v>
      </c>
    </row>
    <row r="387" spans="1:49" ht="13.2">
      <c r="A387" s="302"/>
      <c r="B387" s="266"/>
      <c r="C387" s="302"/>
      <c r="D387" s="117"/>
      <c r="E387" s="302"/>
      <c r="F387" s="123" t="s">
        <v>248</v>
      </c>
      <c r="G387" s="218" t="s">
        <v>1293</v>
      </c>
      <c r="H387" s="125"/>
      <c r="I387" s="125"/>
      <c r="J387" s="202">
        <v>18</v>
      </c>
      <c r="K387" s="203">
        <f t="shared" si="591"/>
        <v>0.75</v>
      </c>
      <c r="L387" s="203">
        <v>12</v>
      </c>
      <c r="M387" s="203">
        <f t="shared" si="550"/>
        <v>0.340194</v>
      </c>
      <c r="N387" s="204">
        <v>0</v>
      </c>
      <c r="O387" s="204">
        <v>0</v>
      </c>
      <c r="P387" s="205">
        <f t="shared" si="551"/>
        <v>18</v>
      </c>
      <c r="Q387" s="206">
        <f t="shared" si="552"/>
        <v>22500</v>
      </c>
      <c r="R387" s="206">
        <v>0</v>
      </c>
      <c r="S387" s="207">
        <f t="shared" si="553"/>
        <v>22500</v>
      </c>
      <c r="T387" s="207">
        <f>ROUNDUP(HLOOKUP(ROUNDUP(K387,0),'배송비 조회'!A$10:U$22,7,0)*C$3,-2)</f>
        <v>9000</v>
      </c>
      <c r="U387" s="207">
        <v>0</v>
      </c>
      <c r="V387" s="207">
        <f t="shared" si="598"/>
        <v>15800</v>
      </c>
      <c r="W387" s="97">
        <f t="shared" si="491"/>
        <v>15800</v>
      </c>
      <c r="X387" s="208">
        <f t="shared" si="555"/>
        <v>47300</v>
      </c>
      <c r="Y387" s="98">
        <f t="shared" si="27"/>
        <v>47300</v>
      </c>
      <c r="Z387" s="209">
        <v>0</v>
      </c>
      <c r="AA387" s="209">
        <f t="shared" si="556"/>
        <v>1797.3999999999999</v>
      </c>
      <c r="AB387" s="209">
        <f t="shared" si="557"/>
        <v>946</v>
      </c>
      <c r="AC387" s="99">
        <f t="shared" si="8"/>
        <v>4730</v>
      </c>
      <c r="AD387" s="209">
        <f t="shared" si="558"/>
        <v>44556.6</v>
      </c>
      <c r="AE387" s="99">
        <f t="shared" si="10"/>
        <v>42570</v>
      </c>
      <c r="AF387" s="209">
        <f t="shared" si="559"/>
        <v>445.56599999999997</v>
      </c>
      <c r="AG387" s="210">
        <f t="shared" si="560"/>
        <v>12611.034</v>
      </c>
      <c r="AH387" s="101">
        <f t="shared" si="29"/>
        <v>10624.434000000001</v>
      </c>
      <c r="AI387" s="102">
        <f t="shared" ref="AI387:AJ387" si="600">AG387/X387</f>
        <v>0.2666180549682875</v>
      </c>
      <c r="AJ387" s="102">
        <f t="shared" si="600"/>
        <v>0.22461805496828754</v>
      </c>
      <c r="AK387" s="103"/>
      <c r="AL387" s="104"/>
      <c r="AM387" s="17"/>
      <c r="AN387" s="17"/>
      <c r="AO387" s="17"/>
      <c r="AP387" s="17"/>
      <c r="AQ387" s="17"/>
      <c r="AR387" s="17"/>
      <c r="AS387" s="17"/>
      <c r="AT387" s="17"/>
      <c r="AU387" s="17"/>
      <c r="AV387" s="17"/>
      <c r="AW387" s="297"/>
    </row>
    <row r="388" spans="1:49" ht="13.2">
      <c r="A388" s="302"/>
      <c r="B388" s="266"/>
      <c r="C388" s="302"/>
      <c r="D388" s="117"/>
      <c r="E388" s="302"/>
      <c r="F388" s="123" t="s">
        <v>593</v>
      </c>
      <c r="G388" s="218" t="s">
        <v>1293</v>
      </c>
      <c r="H388" s="125"/>
      <c r="I388" s="125"/>
      <c r="J388" s="202">
        <v>18</v>
      </c>
      <c r="K388" s="203">
        <f t="shared" si="591"/>
        <v>0.75</v>
      </c>
      <c r="L388" s="203">
        <v>12</v>
      </c>
      <c r="M388" s="203">
        <f t="shared" si="550"/>
        <v>0.340194</v>
      </c>
      <c r="N388" s="204">
        <v>0</v>
      </c>
      <c r="O388" s="204">
        <v>0</v>
      </c>
      <c r="P388" s="205">
        <f t="shared" si="551"/>
        <v>18</v>
      </c>
      <c r="Q388" s="206">
        <f t="shared" si="552"/>
        <v>22500</v>
      </c>
      <c r="R388" s="206">
        <v>0</v>
      </c>
      <c r="S388" s="207">
        <f t="shared" si="553"/>
        <v>22500</v>
      </c>
      <c r="T388" s="207">
        <f>ROUNDUP(HLOOKUP(ROUNDUP(K388,0),'배송비 조회'!A$10:U$22,7,0)*C$3,-2)</f>
        <v>9000</v>
      </c>
      <c r="U388" s="207">
        <v>0</v>
      </c>
      <c r="V388" s="207">
        <f t="shared" si="598"/>
        <v>15800</v>
      </c>
      <c r="W388" s="97">
        <f t="shared" si="491"/>
        <v>15800</v>
      </c>
      <c r="X388" s="208">
        <f t="shared" si="555"/>
        <v>47300</v>
      </c>
      <c r="Y388" s="98">
        <f t="shared" si="27"/>
        <v>47300</v>
      </c>
      <c r="Z388" s="209">
        <v>0</v>
      </c>
      <c r="AA388" s="209">
        <f t="shared" si="556"/>
        <v>1797.3999999999999</v>
      </c>
      <c r="AB388" s="209">
        <f t="shared" si="557"/>
        <v>946</v>
      </c>
      <c r="AC388" s="99">
        <f t="shared" si="8"/>
        <v>4730</v>
      </c>
      <c r="AD388" s="209">
        <f t="shared" si="558"/>
        <v>44556.6</v>
      </c>
      <c r="AE388" s="99">
        <f t="shared" si="10"/>
        <v>42570</v>
      </c>
      <c r="AF388" s="209">
        <f t="shared" si="559"/>
        <v>445.56599999999997</v>
      </c>
      <c r="AG388" s="210">
        <f t="shared" si="560"/>
        <v>12611.034</v>
      </c>
      <c r="AH388" s="101">
        <f t="shared" si="29"/>
        <v>10624.434000000001</v>
      </c>
      <c r="AI388" s="102">
        <f t="shared" ref="AI388:AJ388" si="601">AG388/X388</f>
        <v>0.2666180549682875</v>
      </c>
      <c r="AJ388" s="102">
        <f t="shared" si="601"/>
        <v>0.22461805496828754</v>
      </c>
      <c r="AK388" s="103"/>
      <c r="AL388" s="104"/>
      <c r="AM388" s="17"/>
      <c r="AN388" s="17"/>
      <c r="AO388" s="17"/>
      <c r="AP388" s="17"/>
      <c r="AQ388" s="17"/>
      <c r="AR388" s="17"/>
      <c r="AS388" s="17"/>
      <c r="AT388" s="17"/>
      <c r="AU388" s="17"/>
      <c r="AV388" s="17"/>
      <c r="AW388" s="297"/>
    </row>
    <row r="389" spans="1:49" ht="13.2">
      <c r="A389" s="302"/>
      <c r="B389" s="266"/>
      <c r="C389" s="302"/>
      <c r="D389" s="117"/>
      <c r="E389" s="302"/>
      <c r="F389" s="123" t="s">
        <v>691</v>
      </c>
      <c r="G389" s="218" t="s">
        <v>1293</v>
      </c>
      <c r="H389" s="125"/>
      <c r="I389" s="125"/>
      <c r="J389" s="202">
        <v>18</v>
      </c>
      <c r="K389" s="203">
        <f t="shared" si="591"/>
        <v>0.75</v>
      </c>
      <c r="L389" s="203">
        <v>12</v>
      </c>
      <c r="M389" s="203">
        <f t="shared" si="550"/>
        <v>0.340194</v>
      </c>
      <c r="N389" s="204">
        <v>0</v>
      </c>
      <c r="O389" s="204">
        <v>0</v>
      </c>
      <c r="P389" s="205">
        <f t="shared" si="551"/>
        <v>18</v>
      </c>
      <c r="Q389" s="206">
        <f t="shared" si="552"/>
        <v>22500</v>
      </c>
      <c r="R389" s="206">
        <v>0</v>
      </c>
      <c r="S389" s="207">
        <f t="shared" si="553"/>
        <v>22500</v>
      </c>
      <c r="T389" s="207">
        <f>ROUNDUP(HLOOKUP(ROUNDUP(K389,0),'배송비 조회'!A$10:U$22,7,0)*C$3,-2)</f>
        <v>9000</v>
      </c>
      <c r="U389" s="207">
        <v>0</v>
      </c>
      <c r="V389" s="207">
        <f t="shared" si="598"/>
        <v>15800</v>
      </c>
      <c r="W389" s="97">
        <f t="shared" si="491"/>
        <v>15800</v>
      </c>
      <c r="X389" s="208">
        <f t="shared" si="555"/>
        <v>47300</v>
      </c>
      <c r="Y389" s="98">
        <f t="shared" si="27"/>
        <v>47300</v>
      </c>
      <c r="Z389" s="209">
        <v>0</v>
      </c>
      <c r="AA389" s="209">
        <f t="shared" si="556"/>
        <v>1797.3999999999999</v>
      </c>
      <c r="AB389" s="209">
        <f t="shared" si="557"/>
        <v>946</v>
      </c>
      <c r="AC389" s="99">
        <f t="shared" si="8"/>
        <v>4730</v>
      </c>
      <c r="AD389" s="209">
        <f t="shared" si="558"/>
        <v>44556.6</v>
      </c>
      <c r="AE389" s="99">
        <f t="shared" si="10"/>
        <v>42570</v>
      </c>
      <c r="AF389" s="209">
        <f t="shared" si="559"/>
        <v>445.56599999999997</v>
      </c>
      <c r="AG389" s="210">
        <f t="shared" si="560"/>
        <v>12611.034</v>
      </c>
      <c r="AH389" s="101">
        <f t="shared" si="29"/>
        <v>10624.434000000001</v>
      </c>
      <c r="AI389" s="102">
        <f t="shared" ref="AI389:AJ389" si="602">AG389/X389</f>
        <v>0.2666180549682875</v>
      </c>
      <c r="AJ389" s="102">
        <f t="shared" si="602"/>
        <v>0.22461805496828754</v>
      </c>
      <c r="AK389" s="103"/>
      <c r="AL389" s="104"/>
      <c r="AM389" s="17"/>
      <c r="AN389" s="17"/>
      <c r="AO389" s="17"/>
      <c r="AP389" s="17"/>
      <c r="AQ389" s="17"/>
      <c r="AR389" s="17"/>
      <c r="AS389" s="17"/>
      <c r="AT389" s="17"/>
      <c r="AU389" s="17"/>
      <c r="AV389" s="17"/>
      <c r="AW389" s="297"/>
    </row>
    <row r="390" spans="1:49" ht="13.2">
      <c r="A390" s="302"/>
      <c r="B390" s="266"/>
      <c r="C390" s="302"/>
      <c r="D390" s="117"/>
      <c r="E390" s="302"/>
      <c r="F390" s="123" t="s">
        <v>872</v>
      </c>
      <c r="G390" s="218" t="s">
        <v>1293</v>
      </c>
      <c r="H390" s="125"/>
      <c r="I390" s="125"/>
      <c r="J390" s="202">
        <v>18</v>
      </c>
      <c r="K390" s="203">
        <f t="shared" si="591"/>
        <v>0.75</v>
      </c>
      <c r="L390" s="203">
        <v>12</v>
      </c>
      <c r="M390" s="203">
        <f t="shared" si="550"/>
        <v>0.340194</v>
      </c>
      <c r="N390" s="204">
        <v>0</v>
      </c>
      <c r="O390" s="204">
        <v>0</v>
      </c>
      <c r="P390" s="205">
        <f t="shared" si="551"/>
        <v>18</v>
      </c>
      <c r="Q390" s="206">
        <f t="shared" si="552"/>
        <v>22500</v>
      </c>
      <c r="R390" s="206">
        <v>0</v>
      </c>
      <c r="S390" s="207">
        <f t="shared" si="553"/>
        <v>22500</v>
      </c>
      <c r="T390" s="207">
        <f>ROUNDUP(HLOOKUP(ROUNDUP(K390,0),'배송비 조회'!A$10:U$22,7,0)*C$3,-2)</f>
        <v>9000</v>
      </c>
      <c r="U390" s="207">
        <v>0</v>
      </c>
      <c r="V390" s="207">
        <f t="shared" si="598"/>
        <v>15800</v>
      </c>
      <c r="W390" s="97">
        <f t="shared" si="491"/>
        <v>15800</v>
      </c>
      <c r="X390" s="208">
        <f t="shared" si="555"/>
        <v>47300</v>
      </c>
      <c r="Y390" s="98">
        <f t="shared" si="27"/>
        <v>47300</v>
      </c>
      <c r="Z390" s="209">
        <v>0</v>
      </c>
      <c r="AA390" s="209">
        <f t="shared" si="556"/>
        <v>1797.3999999999999</v>
      </c>
      <c r="AB390" s="209">
        <f t="shared" si="557"/>
        <v>946</v>
      </c>
      <c r="AC390" s="99">
        <f t="shared" si="8"/>
        <v>4730</v>
      </c>
      <c r="AD390" s="209">
        <f t="shared" si="558"/>
        <v>44556.6</v>
      </c>
      <c r="AE390" s="99">
        <f t="shared" si="10"/>
        <v>42570</v>
      </c>
      <c r="AF390" s="209">
        <f t="shared" si="559"/>
        <v>445.56599999999997</v>
      </c>
      <c r="AG390" s="210">
        <f t="shared" si="560"/>
        <v>12611.034</v>
      </c>
      <c r="AH390" s="101">
        <f t="shared" si="29"/>
        <v>10624.434000000001</v>
      </c>
      <c r="AI390" s="102">
        <f t="shared" ref="AI390:AJ390" si="603">AG390/X390</f>
        <v>0.2666180549682875</v>
      </c>
      <c r="AJ390" s="102">
        <f t="shared" si="603"/>
        <v>0.22461805496828754</v>
      </c>
      <c r="AK390" s="103"/>
      <c r="AL390" s="104"/>
      <c r="AM390" s="17"/>
      <c r="AN390" s="17"/>
      <c r="AO390" s="17"/>
      <c r="AP390" s="17"/>
      <c r="AQ390" s="17"/>
      <c r="AR390" s="17"/>
      <c r="AS390" s="17"/>
      <c r="AT390" s="17"/>
      <c r="AU390" s="17"/>
      <c r="AV390" s="17"/>
      <c r="AW390" s="297"/>
    </row>
    <row r="391" spans="1:49" ht="13.2">
      <c r="A391" s="302"/>
      <c r="B391" s="266"/>
      <c r="C391" s="302"/>
      <c r="D391" s="117"/>
      <c r="E391" s="302"/>
      <c r="F391" s="123" t="s">
        <v>873</v>
      </c>
      <c r="G391" s="218" t="s">
        <v>1293</v>
      </c>
      <c r="H391" s="125"/>
      <c r="I391" s="125"/>
      <c r="J391" s="202">
        <v>18</v>
      </c>
      <c r="K391" s="203">
        <f t="shared" si="591"/>
        <v>0.75</v>
      </c>
      <c r="L391" s="203">
        <v>12</v>
      </c>
      <c r="M391" s="203">
        <f t="shared" si="550"/>
        <v>0.340194</v>
      </c>
      <c r="N391" s="204">
        <v>0</v>
      </c>
      <c r="O391" s="204">
        <v>0</v>
      </c>
      <c r="P391" s="205">
        <f t="shared" si="551"/>
        <v>18</v>
      </c>
      <c r="Q391" s="206">
        <f t="shared" si="552"/>
        <v>22500</v>
      </c>
      <c r="R391" s="206">
        <v>0</v>
      </c>
      <c r="S391" s="207">
        <f t="shared" si="553"/>
        <v>22500</v>
      </c>
      <c r="T391" s="207">
        <f>ROUNDUP(HLOOKUP(ROUNDUP(K391,0),'배송비 조회'!A$10:U$22,7,0)*C$3,-2)</f>
        <v>9000</v>
      </c>
      <c r="U391" s="207">
        <v>0</v>
      </c>
      <c r="V391" s="207">
        <f t="shared" si="598"/>
        <v>15800</v>
      </c>
      <c r="W391" s="97">
        <f t="shared" si="491"/>
        <v>15800</v>
      </c>
      <c r="X391" s="208">
        <f t="shared" si="555"/>
        <v>47300</v>
      </c>
      <c r="Y391" s="98">
        <f t="shared" si="27"/>
        <v>47300</v>
      </c>
      <c r="Z391" s="209">
        <v>0</v>
      </c>
      <c r="AA391" s="209">
        <f t="shared" si="556"/>
        <v>1797.3999999999999</v>
      </c>
      <c r="AB391" s="209">
        <f t="shared" si="557"/>
        <v>946</v>
      </c>
      <c r="AC391" s="99">
        <f t="shared" si="8"/>
        <v>4730</v>
      </c>
      <c r="AD391" s="209">
        <f t="shared" si="558"/>
        <v>44556.6</v>
      </c>
      <c r="AE391" s="99">
        <f t="shared" si="10"/>
        <v>42570</v>
      </c>
      <c r="AF391" s="209">
        <f t="shared" si="559"/>
        <v>445.56599999999997</v>
      </c>
      <c r="AG391" s="210">
        <f t="shared" si="560"/>
        <v>12611.034</v>
      </c>
      <c r="AH391" s="101">
        <f t="shared" si="29"/>
        <v>10624.434000000001</v>
      </c>
      <c r="AI391" s="102">
        <f t="shared" ref="AI391:AJ391" si="604">AG391/X391</f>
        <v>0.2666180549682875</v>
      </c>
      <c r="AJ391" s="102">
        <f t="shared" si="604"/>
        <v>0.22461805496828754</v>
      </c>
      <c r="AK391" s="103"/>
      <c r="AL391" s="104"/>
      <c r="AM391" s="17"/>
      <c r="AN391" s="17"/>
      <c r="AO391" s="17"/>
      <c r="AP391" s="17"/>
      <c r="AQ391" s="17"/>
      <c r="AR391" s="17"/>
      <c r="AS391" s="17"/>
      <c r="AT391" s="17"/>
      <c r="AU391" s="17"/>
      <c r="AV391" s="17"/>
      <c r="AW391" s="297"/>
    </row>
    <row r="392" spans="1:49" ht="13.2">
      <c r="A392" s="302"/>
      <c r="B392" s="266"/>
      <c r="C392" s="302"/>
      <c r="D392" s="117"/>
      <c r="E392" s="302"/>
      <c r="F392" s="123" t="s">
        <v>874</v>
      </c>
      <c r="G392" s="218" t="s">
        <v>1293</v>
      </c>
      <c r="H392" s="125"/>
      <c r="I392" s="125"/>
      <c r="J392" s="125">
        <v>18</v>
      </c>
      <c r="K392" s="203">
        <f t="shared" si="591"/>
        <v>0.75</v>
      </c>
      <c r="L392" s="203">
        <v>12</v>
      </c>
      <c r="M392" s="203">
        <f t="shared" si="550"/>
        <v>0.340194</v>
      </c>
      <c r="N392" s="204">
        <v>0</v>
      </c>
      <c r="O392" s="204">
        <v>0</v>
      </c>
      <c r="P392" s="205">
        <f t="shared" si="551"/>
        <v>18</v>
      </c>
      <c r="Q392" s="206">
        <f t="shared" si="552"/>
        <v>22500</v>
      </c>
      <c r="R392" s="206">
        <v>0</v>
      </c>
      <c r="S392" s="207">
        <f t="shared" si="553"/>
        <v>22500</v>
      </c>
      <c r="T392" s="207">
        <f>ROUNDUP(HLOOKUP(ROUNDUP(K392,0),'배송비 조회'!A$10:U$22,7,0)*C$3,-2)</f>
        <v>9000</v>
      </c>
      <c r="U392" s="207">
        <v>0</v>
      </c>
      <c r="V392" s="207">
        <f t="shared" si="598"/>
        <v>15800</v>
      </c>
      <c r="W392" s="97">
        <f t="shared" si="491"/>
        <v>15800</v>
      </c>
      <c r="X392" s="208">
        <f t="shared" si="555"/>
        <v>47300</v>
      </c>
      <c r="Y392" s="98">
        <f t="shared" si="27"/>
        <v>47300</v>
      </c>
      <c r="Z392" s="209">
        <v>0</v>
      </c>
      <c r="AA392" s="209">
        <f t="shared" si="556"/>
        <v>1797.3999999999999</v>
      </c>
      <c r="AB392" s="209">
        <f t="shared" si="557"/>
        <v>946</v>
      </c>
      <c r="AC392" s="99">
        <f t="shared" si="8"/>
        <v>4730</v>
      </c>
      <c r="AD392" s="209">
        <f t="shared" si="558"/>
        <v>44556.6</v>
      </c>
      <c r="AE392" s="99">
        <f t="shared" si="10"/>
        <v>42570</v>
      </c>
      <c r="AF392" s="209">
        <f t="shared" si="559"/>
        <v>445.56599999999997</v>
      </c>
      <c r="AG392" s="210">
        <f t="shared" si="560"/>
        <v>12611.034</v>
      </c>
      <c r="AH392" s="101">
        <f t="shared" si="29"/>
        <v>10624.434000000001</v>
      </c>
      <c r="AI392" s="102">
        <f t="shared" ref="AI392:AJ392" si="605">AG392/X392</f>
        <v>0.2666180549682875</v>
      </c>
      <c r="AJ392" s="102">
        <f t="shared" si="605"/>
        <v>0.22461805496828754</v>
      </c>
      <c r="AK392" s="103"/>
      <c r="AL392" s="104"/>
      <c r="AM392" s="17"/>
      <c r="AN392" s="17"/>
      <c r="AO392" s="17"/>
      <c r="AP392" s="17"/>
      <c r="AQ392" s="17"/>
      <c r="AR392" s="17"/>
      <c r="AS392" s="17"/>
      <c r="AT392" s="17"/>
      <c r="AU392" s="17"/>
      <c r="AV392" s="17"/>
      <c r="AW392" s="297"/>
    </row>
    <row r="393" spans="1:49" ht="13.2">
      <c r="A393" s="302"/>
      <c r="B393" s="266"/>
      <c r="C393" s="302"/>
      <c r="D393" s="117"/>
      <c r="E393" s="302"/>
      <c r="F393" s="123" t="s">
        <v>875</v>
      </c>
      <c r="G393" s="218" t="s">
        <v>1293</v>
      </c>
      <c r="H393" s="125"/>
      <c r="I393" s="125"/>
      <c r="J393" s="125">
        <v>18</v>
      </c>
      <c r="K393" s="203">
        <f t="shared" si="591"/>
        <v>0.75</v>
      </c>
      <c r="L393" s="203">
        <v>12</v>
      </c>
      <c r="M393" s="203">
        <f t="shared" si="550"/>
        <v>0.340194</v>
      </c>
      <c r="N393" s="204">
        <v>0</v>
      </c>
      <c r="O393" s="204">
        <v>0</v>
      </c>
      <c r="P393" s="205">
        <f t="shared" si="551"/>
        <v>18</v>
      </c>
      <c r="Q393" s="206">
        <f t="shared" si="552"/>
        <v>22500</v>
      </c>
      <c r="R393" s="206">
        <v>0</v>
      </c>
      <c r="S393" s="207">
        <f t="shared" si="553"/>
        <v>22500</v>
      </c>
      <c r="T393" s="207">
        <f>ROUNDUP(HLOOKUP(ROUNDUP(K393,0),'배송비 조회'!A$10:U$22,7,0)*C$3,-2)</f>
        <v>9000</v>
      </c>
      <c r="U393" s="207">
        <v>0</v>
      </c>
      <c r="V393" s="207">
        <f t="shared" si="598"/>
        <v>15800</v>
      </c>
      <c r="W393" s="97">
        <f t="shared" si="491"/>
        <v>15800</v>
      </c>
      <c r="X393" s="208">
        <f t="shared" si="555"/>
        <v>47300</v>
      </c>
      <c r="Y393" s="98">
        <f t="shared" si="27"/>
        <v>47300</v>
      </c>
      <c r="Z393" s="209">
        <v>0</v>
      </c>
      <c r="AA393" s="209">
        <f t="shared" si="556"/>
        <v>1797.3999999999999</v>
      </c>
      <c r="AB393" s="209">
        <f t="shared" si="557"/>
        <v>946</v>
      </c>
      <c r="AC393" s="99">
        <f t="shared" si="8"/>
        <v>4730</v>
      </c>
      <c r="AD393" s="209">
        <f t="shared" si="558"/>
        <v>44556.6</v>
      </c>
      <c r="AE393" s="99">
        <f t="shared" si="10"/>
        <v>42570</v>
      </c>
      <c r="AF393" s="209">
        <f t="shared" si="559"/>
        <v>445.56599999999997</v>
      </c>
      <c r="AG393" s="210">
        <f t="shared" si="560"/>
        <v>12611.034</v>
      </c>
      <c r="AH393" s="101">
        <f t="shared" si="29"/>
        <v>10624.434000000001</v>
      </c>
      <c r="AI393" s="102">
        <f t="shared" ref="AI393:AJ393" si="606">AG393/X393</f>
        <v>0.2666180549682875</v>
      </c>
      <c r="AJ393" s="102">
        <f t="shared" si="606"/>
        <v>0.22461805496828754</v>
      </c>
      <c r="AK393" s="103"/>
      <c r="AL393" s="104"/>
      <c r="AM393" s="17"/>
      <c r="AN393" s="17"/>
      <c r="AO393" s="17"/>
      <c r="AP393" s="17"/>
      <c r="AQ393" s="17"/>
      <c r="AR393" s="17"/>
      <c r="AS393" s="17"/>
      <c r="AT393" s="17"/>
      <c r="AU393" s="17"/>
      <c r="AV393" s="17"/>
      <c r="AW393" s="297"/>
    </row>
    <row r="394" spans="1:49" ht="13.2">
      <c r="A394" s="303">
        <f>HYPERLINK("https://smartstore.naver.com/brickstore2019/products/4684251010",AW:AW)</f>
        <v>4684251010</v>
      </c>
      <c r="B394" s="266"/>
      <c r="C394" s="304" t="s">
        <v>876</v>
      </c>
      <c r="D394" s="117"/>
      <c r="E394" s="304" t="s">
        <v>877</v>
      </c>
      <c r="F394" s="123" t="s">
        <v>55</v>
      </c>
      <c r="G394" s="124" t="str">
        <f>HYPERLINK("https://www.amazon.com/Jabra-Enabled-Wireless-Earbuds-Charging/dp/B077ZGRVRX/ref=sr_1_3?keywords=jabra%2Belite%2B75t&amp;qid=1569845611&amp;s=gateway&amp;sr=8-3&amp;th=1","A")</f>
        <v>A</v>
      </c>
      <c r="H394" s="125"/>
      <c r="I394" s="125"/>
      <c r="J394" s="125">
        <v>140</v>
      </c>
      <c r="K394" s="82">
        <v>1</v>
      </c>
      <c r="L394" s="82">
        <v>11.2</v>
      </c>
      <c r="M394" s="82">
        <f t="shared" si="550"/>
        <v>0.453592</v>
      </c>
      <c r="N394" s="93">
        <v>0</v>
      </c>
      <c r="O394" s="93">
        <v>0</v>
      </c>
      <c r="P394" s="95">
        <f t="shared" si="551"/>
        <v>140</v>
      </c>
      <c r="Q394" s="96">
        <f t="shared" si="552"/>
        <v>175000</v>
      </c>
      <c r="R394" s="96">
        <v>0</v>
      </c>
      <c r="S394" s="97">
        <f t="shared" si="553"/>
        <v>175000</v>
      </c>
      <c r="T394" s="97">
        <f>ROUNDUP(HLOOKUP(ROUNDUP(K394,0),'배송비 조회'!A$10:U$22,7,0)*C$3,-2)</f>
        <v>9000</v>
      </c>
      <c r="U394" s="97">
        <v>0</v>
      </c>
      <c r="V394" s="207">
        <f t="shared" ref="V394:V398" si="607">ROUND(IF(R394&gt;0,0,(S394+T394)*0.3),-2)</f>
        <v>55200</v>
      </c>
      <c r="W394" s="97">
        <f t="shared" si="491"/>
        <v>92000</v>
      </c>
      <c r="X394" s="208">
        <f t="shared" si="555"/>
        <v>239200</v>
      </c>
      <c r="Y394" s="98">
        <f t="shared" si="27"/>
        <v>276000</v>
      </c>
      <c r="Z394" s="121">
        <v>0</v>
      </c>
      <c r="AA394" s="121">
        <f t="shared" si="556"/>
        <v>9089.6</v>
      </c>
      <c r="AB394" s="121">
        <f t="shared" si="557"/>
        <v>4784</v>
      </c>
      <c r="AC394" s="99">
        <f t="shared" si="8"/>
        <v>27600</v>
      </c>
      <c r="AD394" s="121">
        <f t="shared" si="558"/>
        <v>225326.4</v>
      </c>
      <c r="AE394" s="99">
        <f t="shared" si="10"/>
        <v>248400</v>
      </c>
      <c r="AF394" s="121">
        <f t="shared" si="559"/>
        <v>2253.2640000000001</v>
      </c>
      <c r="AG394" s="100">
        <f t="shared" si="560"/>
        <v>39073.135999999991</v>
      </c>
      <c r="AH394" s="101">
        <f t="shared" si="29"/>
        <v>62146.736000000004</v>
      </c>
      <c r="AI394" s="102">
        <f t="shared" ref="AI394:AJ394" si="608">AG394/X394</f>
        <v>0.16334923076923075</v>
      </c>
      <c r="AJ394" s="102">
        <f t="shared" si="608"/>
        <v>0.22516933333333336</v>
      </c>
      <c r="AK394" s="103"/>
      <c r="AL394" s="104"/>
      <c r="AM394" s="17"/>
      <c r="AN394" s="17"/>
      <c r="AO394" s="17"/>
      <c r="AP394" s="17"/>
      <c r="AQ394" s="17"/>
      <c r="AR394" s="17"/>
      <c r="AS394" s="17"/>
      <c r="AT394" s="17"/>
      <c r="AU394" s="17"/>
      <c r="AV394" s="17"/>
      <c r="AW394" s="296">
        <v>4684251010</v>
      </c>
    </row>
    <row r="395" spans="1:49" ht="13.2">
      <c r="A395" s="302"/>
      <c r="B395" s="266"/>
      <c r="C395" s="302"/>
      <c r="D395" s="117"/>
      <c r="E395" s="302"/>
      <c r="F395" s="123" t="s">
        <v>878</v>
      </c>
      <c r="G395" s="124" t="str">
        <f>HYPERLINK("https://www.amazon.com/Jabra-Enabled-Wireless-Earbuds-Charging/dp/B07FFD3DG5/ref=sr_1_3?keywords=jabra%2Belite%2B75t&amp;qid=1569845611&amp;s=gateway&amp;sr=8-3&amp;th=1","A")</f>
        <v>A</v>
      </c>
      <c r="H395" s="125"/>
      <c r="I395" s="125"/>
      <c r="J395" s="125">
        <v>170</v>
      </c>
      <c r="K395" s="82">
        <v>1</v>
      </c>
      <c r="L395" s="82">
        <v>11.2</v>
      </c>
      <c r="M395" s="82">
        <f t="shared" si="550"/>
        <v>0.453592</v>
      </c>
      <c r="N395" s="93">
        <v>0</v>
      </c>
      <c r="O395" s="93">
        <v>0</v>
      </c>
      <c r="P395" s="95">
        <f t="shared" si="551"/>
        <v>170</v>
      </c>
      <c r="Q395" s="96">
        <f t="shared" si="552"/>
        <v>212500</v>
      </c>
      <c r="R395" s="96">
        <v>0</v>
      </c>
      <c r="S395" s="97">
        <f t="shared" si="553"/>
        <v>212500</v>
      </c>
      <c r="T395" s="97">
        <f>ROUNDUP(HLOOKUP(ROUNDUP(K395,0),'배송비 조회'!A$10:U$22,7,0)*C$3,-2)</f>
        <v>9000</v>
      </c>
      <c r="U395" s="97">
        <v>0</v>
      </c>
      <c r="V395" s="207">
        <f t="shared" si="607"/>
        <v>66500</v>
      </c>
      <c r="W395" s="97">
        <f t="shared" si="491"/>
        <v>110800</v>
      </c>
      <c r="X395" s="208">
        <f t="shared" si="555"/>
        <v>288000</v>
      </c>
      <c r="Y395" s="98">
        <f t="shared" si="27"/>
        <v>332300</v>
      </c>
      <c r="Z395" s="121">
        <v>0</v>
      </c>
      <c r="AA395" s="121">
        <f t="shared" si="556"/>
        <v>10944</v>
      </c>
      <c r="AB395" s="121">
        <f t="shared" si="557"/>
        <v>5760</v>
      </c>
      <c r="AC395" s="99">
        <f t="shared" si="8"/>
        <v>33230</v>
      </c>
      <c r="AD395" s="121">
        <f t="shared" si="558"/>
        <v>271296</v>
      </c>
      <c r="AE395" s="99">
        <f t="shared" si="10"/>
        <v>299070</v>
      </c>
      <c r="AF395" s="121">
        <f t="shared" si="559"/>
        <v>2712.96</v>
      </c>
      <c r="AG395" s="100">
        <f t="shared" si="560"/>
        <v>47083.040000000001</v>
      </c>
      <c r="AH395" s="101">
        <f t="shared" si="29"/>
        <v>74857.039999999994</v>
      </c>
      <c r="AI395" s="102">
        <f t="shared" ref="AI395:AJ395" si="609">AG395/X395</f>
        <v>0.16348277777777778</v>
      </c>
      <c r="AJ395" s="102">
        <f t="shared" si="609"/>
        <v>0.22526945531146553</v>
      </c>
      <c r="AK395" s="103">
        <f>X395-X394</f>
        <v>48800</v>
      </c>
      <c r="AL395" s="104"/>
      <c r="AM395" s="17"/>
      <c r="AN395" s="17"/>
      <c r="AO395" s="17"/>
      <c r="AP395" s="17"/>
      <c r="AQ395" s="17"/>
      <c r="AR395" s="17"/>
      <c r="AS395" s="17"/>
      <c r="AT395" s="17"/>
      <c r="AU395" s="17"/>
      <c r="AV395" s="17"/>
      <c r="AW395" s="297"/>
    </row>
    <row r="396" spans="1:49" ht="13.2">
      <c r="A396" s="303">
        <f>HYPERLINK("https://smartstore.naver.com/brickstore2019/products/4684288085",AW:AW)</f>
        <v>4684288085</v>
      </c>
      <c r="B396" s="266"/>
      <c r="C396" s="304" t="s">
        <v>879</v>
      </c>
      <c r="D396" s="117"/>
      <c r="E396" s="304" t="s">
        <v>880</v>
      </c>
      <c r="F396" s="123" t="s">
        <v>881</v>
      </c>
      <c r="G396" s="124" t="str">
        <f>HYPERLINK("https://www.amazon.com/dp/B07H3DJXHZ/ref=twister_B07DVJQ7N4?_encoding=UTF8&amp;th=1","A")</f>
        <v>A</v>
      </c>
      <c r="H396" s="125"/>
      <c r="I396" s="125"/>
      <c r="J396" s="125">
        <v>190</v>
      </c>
      <c r="K396" s="82">
        <v>1</v>
      </c>
      <c r="L396" s="82">
        <v>11.2</v>
      </c>
      <c r="M396" s="82">
        <f t="shared" si="550"/>
        <v>0.453592</v>
      </c>
      <c r="N396" s="93">
        <v>0</v>
      </c>
      <c r="O396" s="93">
        <v>0</v>
      </c>
      <c r="P396" s="95">
        <f t="shared" si="551"/>
        <v>190</v>
      </c>
      <c r="Q396" s="96">
        <f t="shared" si="552"/>
        <v>237500</v>
      </c>
      <c r="R396" s="96">
        <v>0</v>
      </c>
      <c r="S396" s="97">
        <f t="shared" si="553"/>
        <v>237500</v>
      </c>
      <c r="T396" s="97">
        <f>ROUNDUP(HLOOKUP(ROUNDUP(K396,0),'배송비 조회'!A$10:U$22,7,0)*C$3,-2)</f>
        <v>9000</v>
      </c>
      <c r="U396" s="97">
        <v>0</v>
      </c>
      <c r="V396" s="207">
        <f t="shared" si="607"/>
        <v>74000</v>
      </c>
      <c r="W396" s="97">
        <f t="shared" si="491"/>
        <v>123300</v>
      </c>
      <c r="X396" s="208">
        <f t="shared" si="555"/>
        <v>320500</v>
      </c>
      <c r="Y396" s="98">
        <f t="shared" si="27"/>
        <v>369800</v>
      </c>
      <c r="Z396" s="121">
        <v>0</v>
      </c>
      <c r="AA396" s="121">
        <f t="shared" si="556"/>
        <v>12179</v>
      </c>
      <c r="AB396" s="121">
        <f t="shared" si="557"/>
        <v>6410</v>
      </c>
      <c r="AC396" s="99">
        <f t="shared" si="8"/>
        <v>36980</v>
      </c>
      <c r="AD396" s="121">
        <f t="shared" si="558"/>
        <v>301911</v>
      </c>
      <c r="AE396" s="99">
        <f t="shared" si="10"/>
        <v>332820</v>
      </c>
      <c r="AF396" s="121">
        <f t="shared" si="559"/>
        <v>3019.11</v>
      </c>
      <c r="AG396" s="100">
        <f t="shared" si="560"/>
        <v>52391.89</v>
      </c>
      <c r="AH396" s="101">
        <f t="shared" si="29"/>
        <v>83300.89</v>
      </c>
      <c r="AI396" s="102">
        <f t="shared" ref="AI396:AJ396" si="610">AG396/X396</f>
        <v>0.16346923556942278</v>
      </c>
      <c r="AJ396" s="102">
        <f t="shared" si="610"/>
        <v>0.22525930232558139</v>
      </c>
      <c r="AK396" s="103"/>
      <c r="AL396" s="104"/>
      <c r="AM396" s="17"/>
      <c r="AN396" s="17"/>
      <c r="AO396" s="17"/>
      <c r="AP396" s="17"/>
      <c r="AQ396" s="17"/>
      <c r="AR396" s="17"/>
      <c r="AS396" s="17"/>
      <c r="AT396" s="17"/>
      <c r="AU396" s="17"/>
      <c r="AV396" s="17"/>
      <c r="AW396" s="296">
        <v>4684288085</v>
      </c>
    </row>
    <row r="397" spans="1:49" ht="13.2">
      <c r="A397" s="302"/>
      <c r="B397" s="266"/>
      <c r="C397" s="302"/>
      <c r="D397" s="117"/>
      <c r="E397" s="302"/>
      <c r="F397" s="123" t="s">
        <v>882</v>
      </c>
      <c r="G397" s="124" t="str">
        <f>HYPERLINK("https://www.amazon.com/dp/B07BHF993Q/ref=twister_B07DVJQ7N4?_encoding=UTF8&amp;th=1","A")</f>
        <v>A</v>
      </c>
      <c r="H397" s="125"/>
      <c r="I397" s="125"/>
      <c r="J397" s="125">
        <v>185</v>
      </c>
      <c r="K397" s="82">
        <v>1</v>
      </c>
      <c r="L397" s="82">
        <v>11.2</v>
      </c>
      <c r="M397" s="82">
        <f t="shared" si="550"/>
        <v>0.453592</v>
      </c>
      <c r="N397" s="93">
        <v>0</v>
      </c>
      <c r="O397" s="93">
        <v>0</v>
      </c>
      <c r="P397" s="95">
        <f t="shared" si="551"/>
        <v>185</v>
      </c>
      <c r="Q397" s="96">
        <f t="shared" si="552"/>
        <v>231250</v>
      </c>
      <c r="R397" s="96">
        <v>0</v>
      </c>
      <c r="S397" s="97">
        <f t="shared" si="553"/>
        <v>231300</v>
      </c>
      <c r="T397" s="97">
        <f>ROUNDUP(HLOOKUP(ROUNDUP(K397,0),'배송비 조회'!A$10:U$22,7,0)*C$3,-2)</f>
        <v>9000</v>
      </c>
      <c r="U397" s="97">
        <v>0</v>
      </c>
      <c r="V397" s="207">
        <f t="shared" si="607"/>
        <v>72100</v>
      </c>
      <c r="W397" s="97">
        <f t="shared" si="491"/>
        <v>120200</v>
      </c>
      <c r="X397" s="208">
        <f t="shared" si="555"/>
        <v>312400</v>
      </c>
      <c r="Y397" s="98">
        <f t="shared" si="27"/>
        <v>360500</v>
      </c>
      <c r="Z397" s="121">
        <v>0</v>
      </c>
      <c r="AA397" s="121">
        <f t="shared" si="556"/>
        <v>11871.199999999999</v>
      </c>
      <c r="AB397" s="121">
        <f t="shared" si="557"/>
        <v>6248</v>
      </c>
      <c r="AC397" s="99">
        <f t="shared" si="8"/>
        <v>36050</v>
      </c>
      <c r="AD397" s="121">
        <f t="shared" si="558"/>
        <v>294280.8</v>
      </c>
      <c r="AE397" s="99">
        <f t="shared" si="10"/>
        <v>324450</v>
      </c>
      <c r="AF397" s="121">
        <f t="shared" si="559"/>
        <v>2942.808</v>
      </c>
      <c r="AG397" s="100">
        <f t="shared" si="560"/>
        <v>51087.991999999991</v>
      </c>
      <c r="AH397" s="101">
        <f t="shared" si="29"/>
        <v>81257.191999999995</v>
      </c>
      <c r="AI397" s="102">
        <f t="shared" ref="AI397:AJ397" si="611">AG397/X397</f>
        <v>0.16353390524967987</v>
      </c>
      <c r="AJ397" s="102">
        <f t="shared" si="611"/>
        <v>0.22540136477115116</v>
      </c>
      <c r="AK397" s="103"/>
      <c r="AL397" s="104"/>
      <c r="AM397" s="17"/>
      <c r="AN397" s="17"/>
      <c r="AO397" s="17"/>
      <c r="AP397" s="17"/>
      <c r="AQ397" s="17"/>
      <c r="AR397" s="17"/>
      <c r="AS397" s="17"/>
      <c r="AT397" s="17"/>
      <c r="AU397" s="17"/>
      <c r="AV397" s="17"/>
      <c r="AW397" s="297"/>
    </row>
    <row r="398" spans="1:49" ht="13.2">
      <c r="A398" s="302"/>
      <c r="B398" s="266"/>
      <c r="C398" s="302"/>
      <c r="D398" s="117"/>
      <c r="E398" s="302"/>
      <c r="F398" s="123" t="s">
        <v>883</v>
      </c>
      <c r="G398" s="124" t="str">
        <f>HYPERLINK("https://www.amazon.com/dp/B07G7QK8PH/ref=twister_B07DVJQ7N4?_encoding=UTF8&amp;th=1","A")</f>
        <v>A</v>
      </c>
      <c r="H398" s="125"/>
      <c r="I398" s="125"/>
      <c r="J398" s="125">
        <v>190</v>
      </c>
      <c r="K398" s="82">
        <v>1</v>
      </c>
      <c r="L398" s="82">
        <v>11.2</v>
      </c>
      <c r="M398" s="82">
        <f t="shared" si="550"/>
        <v>0.453592</v>
      </c>
      <c r="N398" s="93">
        <v>0</v>
      </c>
      <c r="O398" s="93">
        <v>0</v>
      </c>
      <c r="P398" s="95">
        <f t="shared" si="551"/>
        <v>190</v>
      </c>
      <c r="Q398" s="96">
        <f t="shared" si="552"/>
        <v>237500</v>
      </c>
      <c r="R398" s="96">
        <v>0</v>
      </c>
      <c r="S398" s="97">
        <f t="shared" si="553"/>
        <v>237500</v>
      </c>
      <c r="T398" s="97">
        <f>ROUNDUP(HLOOKUP(ROUNDUP(K398,0),'배송비 조회'!A$10:U$22,7,0)*C$3,-2)</f>
        <v>9000</v>
      </c>
      <c r="U398" s="97">
        <v>0</v>
      </c>
      <c r="V398" s="207">
        <f t="shared" si="607"/>
        <v>74000</v>
      </c>
      <c r="W398" s="97">
        <f t="shared" si="491"/>
        <v>123300</v>
      </c>
      <c r="X398" s="208">
        <f t="shared" si="555"/>
        <v>320500</v>
      </c>
      <c r="Y398" s="98">
        <f t="shared" si="27"/>
        <v>369800</v>
      </c>
      <c r="Z398" s="121">
        <v>0</v>
      </c>
      <c r="AA398" s="121">
        <f t="shared" si="556"/>
        <v>12179</v>
      </c>
      <c r="AB398" s="121">
        <f t="shared" si="557"/>
        <v>6410</v>
      </c>
      <c r="AC398" s="99">
        <f t="shared" si="8"/>
        <v>36980</v>
      </c>
      <c r="AD398" s="121">
        <f t="shared" si="558"/>
        <v>301911</v>
      </c>
      <c r="AE398" s="99">
        <f t="shared" si="10"/>
        <v>332820</v>
      </c>
      <c r="AF398" s="121">
        <f t="shared" si="559"/>
        <v>3019.11</v>
      </c>
      <c r="AG398" s="100">
        <f t="shared" si="560"/>
        <v>52391.89</v>
      </c>
      <c r="AH398" s="101">
        <f t="shared" si="29"/>
        <v>83300.89</v>
      </c>
      <c r="AI398" s="102">
        <f t="shared" ref="AI398:AJ398" si="612">AG398/X398</f>
        <v>0.16346923556942278</v>
      </c>
      <c r="AJ398" s="102">
        <f t="shared" si="612"/>
        <v>0.22525930232558139</v>
      </c>
      <c r="AK398" s="103">
        <f>X398-X397</f>
        <v>8100</v>
      </c>
      <c r="AL398" s="104"/>
      <c r="AM398" s="17"/>
      <c r="AN398" s="17"/>
      <c r="AO398" s="17"/>
      <c r="AP398" s="17"/>
      <c r="AQ398" s="17"/>
      <c r="AR398" s="17"/>
      <c r="AS398" s="17"/>
      <c r="AT398" s="17"/>
      <c r="AU398" s="17"/>
      <c r="AV398" s="17"/>
      <c r="AW398" s="297"/>
    </row>
    <row r="399" spans="1:49" ht="13.2">
      <c r="A399" s="303">
        <f>HYPERLINK("https://smartstore.naver.com/brickstore2019/products/4684311779",AW:AW)</f>
        <v>4684311779</v>
      </c>
      <c r="B399" s="266"/>
      <c r="C399" s="304" t="s">
        <v>884</v>
      </c>
      <c r="D399" s="117"/>
      <c r="E399" s="304" t="s">
        <v>885</v>
      </c>
      <c r="F399" s="123" t="s">
        <v>720</v>
      </c>
      <c r="G399" s="124" t="str">
        <f>HYPERLINK("https://www.amazon.com/dp/B07BMKYRHV/ref=cm_sw_r_cp_apa_i_lsgKDbB05JAD4?th=1","A")</f>
        <v>A</v>
      </c>
      <c r="H399" s="125"/>
      <c r="I399" s="125"/>
      <c r="J399" s="125">
        <v>125</v>
      </c>
      <c r="K399" s="82">
        <v>17.5</v>
      </c>
      <c r="L399" s="82">
        <f t="shared" ref="L399:L403" si="613">IF(K399&gt;0,K399*16,)</f>
        <v>280</v>
      </c>
      <c r="M399" s="82">
        <f t="shared" si="550"/>
        <v>7.9378599999999997</v>
      </c>
      <c r="N399" s="93">
        <v>0</v>
      </c>
      <c r="O399" s="93">
        <v>0</v>
      </c>
      <c r="P399" s="95">
        <f t="shared" si="551"/>
        <v>125</v>
      </c>
      <c r="Q399" s="96">
        <f t="shared" si="552"/>
        <v>156250</v>
      </c>
      <c r="R399" s="96">
        <v>0</v>
      </c>
      <c r="S399" s="97">
        <f t="shared" si="553"/>
        <v>156300</v>
      </c>
      <c r="T399" s="97">
        <f>ROUNDUP(HLOOKUP(ROUNDUP(K399,0),'배송비 조회'!A$10:U$22,7,0)*C$3,-2)</f>
        <v>46200</v>
      </c>
      <c r="U399" s="97">
        <v>0</v>
      </c>
      <c r="V399" s="207">
        <f t="shared" ref="V399:V400" si="614">ROUND(IF(R399&gt;0,0,(S399+T399)*0.2),-2)</f>
        <v>40500</v>
      </c>
      <c r="W399" s="97">
        <f t="shared" si="491"/>
        <v>101300</v>
      </c>
      <c r="X399" s="208">
        <f t="shared" si="555"/>
        <v>243000</v>
      </c>
      <c r="Y399" s="98">
        <f t="shared" si="27"/>
        <v>303800</v>
      </c>
      <c r="Z399" s="121">
        <v>0</v>
      </c>
      <c r="AA399" s="121">
        <f t="shared" si="556"/>
        <v>9234</v>
      </c>
      <c r="AB399" s="121">
        <f t="shared" si="557"/>
        <v>4860</v>
      </c>
      <c r="AC399" s="99">
        <f t="shared" si="8"/>
        <v>30380</v>
      </c>
      <c r="AD399" s="121">
        <f t="shared" si="558"/>
        <v>228906</v>
      </c>
      <c r="AE399" s="99">
        <f t="shared" si="10"/>
        <v>273420</v>
      </c>
      <c r="AF399" s="121">
        <f t="shared" si="559"/>
        <v>2289.06</v>
      </c>
      <c r="AG399" s="100">
        <f t="shared" si="560"/>
        <v>24166.940000000002</v>
      </c>
      <c r="AH399" s="101">
        <f t="shared" si="29"/>
        <v>68680.94</v>
      </c>
      <c r="AI399" s="102">
        <f t="shared" ref="AI399:AJ399" si="615">AG399/X399</f>
        <v>9.9452427983539107E-2</v>
      </c>
      <c r="AJ399" s="102">
        <f t="shared" si="615"/>
        <v>0.22607287689269256</v>
      </c>
      <c r="AK399" s="103"/>
      <c r="AL399" s="104"/>
      <c r="AM399" s="17"/>
      <c r="AN399" s="17"/>
      <c r="AO399" s="17"/>
      <c r="AP399" s="17"/>
      <c r="AQ399" s="17"/>
      <c r="AR399" s="17"/>
      <c r="AS399" s="17"/>
      <c r="AT399" s="17"/>
      <c r="AU399" s="17"/>
      <c r="AV399" s="17"/>
      <c r="AW399" s="296">
        <v>4684311779</v>
      </c>
    </row>
    <row r="400" spans="1:49" ht="13.2">
      <c r="A400" s="302"/>
      <c r="B400" s="266"/>
      <c r="C400" s="302"/>
      <c r="D400" s="117"/>
      <c r="E400" s="302"/>
      <c r="F400" s="123" t="s">
        <v>886</v>
      </c>
      <c r="G400" s="124" t="str">
        <f>HYPERLINK("https://www.amazon.com/dp/B07BMKYZ59/ref=cm_sw_r_cp_apa_i_lsgKDbB05JAD4?th=1","A")</f>
        <v>A</v>
      </c>
      <c r="H400" s="125"/>
      <c r="I400" s="125"/>
      <c r="J400" s="125">
        <v>150</v>
      </c>
      <c r="K400" s="82">
        <v>20</v>
      </c>
      <c r="L400" s="82">
        <f t="shared" si="613"/>
        <v>320</v>
      </c>
      <c r="M400" s="82">
        <f t="shared" si="550"/>
        <v>9.0718399999999999</v>
      </c>
      <c r="N400" s="93">
        <v>0</v>
      </c>
      <c r="O400" s="93">
        <v>0</v>
      </c>
      <c r="P400" s="95">
        <f t="shared" si="551"/>
        <v>150</v>
      </c>
      <c r="Q400" s="96">
        <f t="shared" si="552"/>
        <v>187500</v>
      </c>
      <c r="R400" s="96">
        <v>0</v>
      </c>
      <c r="S400" s="97">
        <f t="shared" si="553"/>
        <v>187500</v>
      </c>
      <c r="T400" s="97">
        <f>ROUNDUP(HLOOKUP(ROUNDUP(K400,0),'배송비 조회'!A$10:U$22,7,0)*C$3,-2)</f>
        <v>50600</v>
      </c>
      <c r="U400" s="97">
        <v>0</v>
      </c>
      <c r="V400" s="207">
        <f t="shared" si="614"/>
        <v>47600</v>
      </c>
      <c r="W400" s="97">
        <f t="shared" si="491"/>
        <v>119100</v>
      </c>
      <c r="X400" s="208">
        <f t="shared" si="555"/>
        <v>285700</v>
      </c>
      <c r="Y400" s="98">
        <f t="shared" si="27"/>
        <v>357200</v>
      </c>
      <c r="Z400" s="121">
        <v>0</v>
      </c>
      <c r="AA400" s="121">
        <f t="shared" si="556"/>
        <v>10856.6</v>
      </c>
      <c r="AB400" s="121">
        <f t="shared" si="557"/>
        <v>5714</v>
      </c>
      <c r="AC400" s="99">
        <f t="shared" si="8"/>
        <v>35720</v>
      </c>
      <c r="AD400" s="121">
        <f t="shared" si="558"/>
        <v>269129.40000000002</v>
      </c>
      <c r="AE400" s="99">
        <f t="shared" si="10"/>
        <v>321480</v>
      </c>
      <c r="AF400" s="121">
        <f t="shared" si="559"/>
        <v>2691.2940000000003</v>
      </c>
      <c r="AG400" s="100">
        <f t="shared" si="560"/>
        <v>28338.106000000029</v>
      </c>
      <c r="AH400" s="101">
        <f t="shared" si="29"/>
        <v>80688.706000000006</v>
      </c>
      <c r="AI400" s="102">
        <f t="shared" ref="AI400:AJ400" si="616">AG400/X400</f>
        <v>9.9188330416520934E-2</v>
      </c>
      <c r="AJ400" s="102">
        <f t="shared" si="616"/>
        <v>0.22589223404255321</v>
      </c>
      <c r="AK400" s="103">
        <f>X400-X399</f>
        <v>42700</v>
      </c>
      <c r="AL400" s="104"/>
      <c r="AM400" s="17"/>
      <c r="AN400" s="17"/>
      <c r="AO400" s="17"/>
      <c r="AP400" s="17"/>
      <c r="AQ400" s="17"/>
      <c r="AR400" s="17"/>
      <c r="AS400" s="17"/>
      <c r="AT400" s="17"/>
      <c r="AU400" s="17"/>
      <c r="AV400" s="17"/>
      <c r="AW400" s="297"/>
    </row>
    <row r="401" spans="1:49" ht="13.2">
      <c r="A401" s="303">
        <f>HYPERLINK("https://smartstore.naver.com/brickstore2019/products/4684341952",AW:AW)</f>
        <v>4684341952</v>
      </c>
      <c r="B401" s="266"/>
      <c r="C401" s="304" t="s">
        <v>887</v>
      </c>
      <c r="D401" s="117"/>
      <c r="E401" s="304" t="s">
        <v>888</v>
      </c>
      <c r="F401" s="123" t="s">
        <v>889</v>
      </c>
      <c r="G401" s="124" t="str">
        <f>HYPERLINK("https://www.amazon.com/Casper-Pillow-Sleeping-Standard-White/dp/B07KRKFLCT?ref_=ast_sto_dp&amp;th=1","A")</f>
        <v>A</v>
      </c>
      <c r="H401" s="125"/>
      <c r="I401" s="125"/>
      <c r="J401" s="125">
        <v>65</v>
      </c>
      <c r="K401" s="82">
        <v>5</v>
      </c>
      <c r="L401" s="82">
        <f t="shared" si="613"/>
        <v>80</v>
      </c>
      <c r="M401" s="82">
        <f t="shared" si="550"/>
        <v>2.26796</v>
      </c>
      <c r="N401" s="93">
        <v>0</v>
      </c>
      <c r="O401" s="93">
        <v>0</v>
      </c>
      <c r="P401" s="95">
        <f t="shared" si="551"/>
        <v>65</v>
      </c>
      <c r="Q401" s="96">
        <f t="shared" si="552"/>
        <v>81250</v>
      </c>
      <c r="R401" s="96">
        <v>0</v>
      </c>
      <c r="S401" s="97">
        <f t="shared" si="553"/>
        <v>81300</v>
      </c>
      <c r="T401" s="97">
        <f>ROUNDUP(HLOOKUP(ROUNDUP(K401,0),'배송비 조회'!A$10:U$22,7,0)*C$3,-2)</f>
        <v>17800</v>
      </c>
      <c r="U401" s="97">
        <v>0</v>
      </c>
      <c r="V401" s="207">
        <f t="shared" ref="V401:V410" si="617">ROUND(IF(R401&gt;0,0,(S401+T401)*0.3),-2)</f>
        <v>29700</v>
      </c>
      <c r="W401" s="97">
        <f t="shared" si="491"/>
        <v>49600</v>
      </c>
      <c r="X401" s="208">
        <f t="shared" si="555"/>
        <v>128800</v>
      </c>
      <c r="Y401" s="98">
        <f t="shared" si="27"/>
        <v>148700</v>
      </c>
      <c r="Z401" s="121">
        <v>0</v>
      </c>
      <c r="AA401" s="121">
        <f t="shared" si="556"/>
        <v>4894.3999999999996</v>
      </c>
      <c r="AB401" s="121">
        <f t="shared" si="557"/>
        <v>2576</v>
      </c>
      <c r="AC401" s="99">
        <f t="shared" si="8"/>
        <v>14870</v>
      </c>
      <c r="AD401" s="121">
        <f t="shared" si="558"/>
        <v>121329.60000000001</v>
      </c>
      <c r="AE401" s="99">
        <f t="shared" si="10"/>
        <v>133830</v>
      </c>
      <c r="AF401" s="121">
        <f t="shared" si="559"/>
        <v>1213.296</v>
      </c>
      <c r="AG401" s="100">
        <f t="shared" si="560"/>
        <v>21066.304000000004</v>
      </c>
      <c r="AH401" s="101">
        <f t="shared" si="29"/>
        <v>33566.703999999998</v>
      </c>
      <c r="AI401" s="102">
        <f t="shared" ref="AI401:AJ401" si="618">AG401/X401</f>
        <v>0.16355826086956524</v>
      </c>
      <c r="AJ401" s="102">
        <f t="shared" si="618"/>
        <v>0.22573439139206455</v>
      </c>
      <c r="AK401" s="103"/>
      <c r="AL401" s="104"/>
      <c r="AM401" s="17"/>
      <c r="AN401" s="17"/>
      <c r="AO401" s="17"/>
      <c r="AP401" s="17"/>
      <c r="AQ401" s="17"/>
      <c r="AR401" s="17"/>
      <c r="AS401" s="17"/>
      <c r="AT401" s="17"/>
      <c r="AU401" s="17"/>
      <c r="AV401" s="17"/>
      <c r="AW401" s="296">
        <v>4684341952</v>
      </c>
    </row>
    <row r="402" spans="1:49" ht="13.2">
      <c r="A402" s="302"/>
      <c r="B402" s="266"/>
      <c r="C402" s="302"/>
      <c r="D402" s="117"/>
      <c r="E402" s="302"/>
      <c r="F402" s="123" t="s">
        <v>890</v>
      </c>
      <c r="G402" s="124" t="str">
        <f>HYPERLINK("https://www.amazon.com/Casper-Pillow-Sleeping-Standard-White/dp/B07NHZGKKF?ref_=ast_sto_dp&amp;th=1","A")</f>
        <v>A</v>
      </c>
      <c r="H402" s="125"/>
      <c r="I402" s="125"/>
      <c r="J402" s="125">
        <v>85</v>
      </c>
      <c r="K402" s="82">
        <v>7</v>
      </c>
      <c r="L402" s="82">
        <f t="shared" si="613"/>
        <v>112</v>
      </c>
      <c r="M402" s="82">
        <f t="shared" si="550"/>
        <v>3.175144</v>
      </c>
      <c r="N402" s="93">
        <v>0</v>
      </c>
      <c r="O402" s="93">
        <v>0</v>
      </c>
      <c r="P402" s="95">
        <f t="shared" si="551"/>
        <v>85</v>
      </c>
      <c r="Q402" s="96">
        <f t="shared" si="552"/>
        <v>106250</v>
      </c>
      <c r="R402" s="96">
        <v>0</v>
      </c>
      <c r="S402" s="97">
        <f t="shared" si="553"/>
        <v>106300</v>
      </c>
      <c r="T402" s="97">
        <f>ROUNDUP(HLOOKUP(ROUNDUP(K402,0),'배송비 조회'!A$10:U$22,7,0)*C$3,-2)</f>
        <v>22200</v>
      </c>
      <c r="U402" s="97">
        <v>0</v>
      </c>
      <c r="V402" s="207">
        <f t="shared" si="617"/>
        <v>38600</v>
      </c>
      <c r="W402" s="97">
        <f t="shared" si="491"/>
        <v>64300</v>
      </c>
      <c r="X402" s="208">
        <f t="shared" si="555"/>
        <v>167100</v>
      </c>
      <c r="Y402" s="98">
        <f t="shared" si="27"/>
        <v>192800</v>
      </c>
      <c r="Z402" s="121">
        <v>0</v>
      </c>
      <c r="AA402" s="121">
        <f t="shared" si="556"/>
        <v>6349.8</v>
      </c>
      <c r="AB402" s="121">
        <f t="shared" si="557"/>
        <v>3342</v>
      </c>
      <c r="AC402" s="99">
        <f t="shared" si="8"/>
        <v>19280</v>
      </c>
      <c r="AD402" s="121">
        <f t="shared" si="558"/>
        <v>157408.20000000001</v>
      </c>
      <c r="AE402" s="99">
        <f t="shared" si="10"/>
        <v>173520</v>
      </c>
      <c r="AF402" s="121">
        <f t="shared" si="559"/>
        <v>1574.0820000000001</v>
      </c>
      <c r="AG402" s="100">
        <f t="shared" si="560"/>
        <v>27384.118000000009</v>
      </c>
      <c r="AH402" s="101">
        <f t="shared" si="29"/>
        <v>43495.918000000005</v>
      </c>
      <c r="AI402" s="102">
        <f t="shared" ref="AI402:AJ402" si="619">AG402/X402</f>
        <v>0.16387862357869545</v>
      </c>
      <c r="AJ402" s="102">
        <f t="shared" si="619"/>
        <v>0.22560123443983404</v>
      </c>
      <c r="AK402" s="103">
        <f>X402-X401</f>
        <v>38300</v>
      </c>
      <c r="AL402" s="104"/>
      <c r="AM402" s="17"/>
      <c r="AN402" s="17"/>
      <c r="AO402" s="17"/>
      <c r="AP402" s="17"/>
      <c r="AQ402" s="17"/>
      <c r="AR402" s="17"/>
      <c r="AS402" s="17"/>
      <c r="AT402" s="17"/>
      <c r="AU402" s="17"/>
      <c r="AV402" s="17"/>
      <c r="AW402" s="297"/>
    </row>
    <row r="403" spans="1:49" ht="13.2">
      <c r="A403" s="119">
        <f>HYPERLINK("https://smartstore.naver.com/brickstore2019/products/4684353859",AW:AW)</f>
        <v>4684353859</v>
      </c>
      <c r="B403" s="266"/>
      <c r="C403" s="117" t="s">
        <v>891</v>
      </c>
      <c r="D403" s="117"/>
      <c r="E403" s="117" t="s">
        <v>892</v>
      </c>
      <c r="F403" s="123"/>
      <c r="G403" s="124" t="str">
        <f>HYPERLINK("https://www.amazon.com/dp/B00063RXQK/ref=cm_sw_r_cp_apa_i_wLfKDbN4ZB75Y","A")</f>
        <v>A</v>
      </c>
      <c r="H403" s="125"/>
      <c r="I403" s="125"/>
      <c r="J403" s="125">
        <v>50</v>
      </c>
      <c r="K403" s="82">
        <v>13</v>
      </c>
      <c r="L403" s="82">
        <f t="shared" si="613"/>
        <v>208</v>
      </c>
      <c r="M403" s="82">
        <f t="shared" si="550"/>
        <v>5.8966960000000004</v>
      </c>
      <c r="N403" s="93">
        <v>0</v>
      </c>
      <c r="O403" s="93">
        <v>0</v>
      </c>
      <c r="P403" s="95">
        <f t="shared" si="551"/>
        <v>50</v>
      </c>
      <c r="Q403" s="96">
        <f t="shared" si="552"/>
        <v>62500</v>
      </c>
      <c r="R403" s="96">
        <v>0</v>
      </c>
      <c r="S403" s="97">
        <f t="shared" si="553"/>
        <v>62500</v>
      </c>
      <c r="T403" s="97">
        <f>ROUNDUP(HLOOKUP(ROUNDUP(K403,0),'배송비 조회'!A$10:U$22,7,0)*C$3,-2)</f>
        <v>35300</v>
      </c>
      <c r="U403" s="97">
        <v>0</v>
      </c>
      <c r="V403" s="207">
        <f t="shared" si="617"/>
        <v>29300</v>
      </c>
      <c r="W403" s="97">
        <f t="shared" si="491"/>
        <v>48900</v>
      </c>
      <c r="X403" s="208">
        <f t="shared" si="555"/>
        <v>127100</v>
      </c>
      <c r="Y403" s="98">
        <f t="shared" si="27"/>
        <v>146700</v>
      </c>
      <c r="Z403" s="121">
        <v>0</v>
      </c>
      <c r="AA403" s="121">
        <f t="shared" si="556"/>
        <v>4829.8</v>
      </c>
      <c r="AB403" s="121">
        <f t="shared" si="557"/>
        <v>2542</v>
      </c>
      <c r="AC403" s="99">
        <f t="shared" si="8"/>
        <v>14670</v>
      </c>
      <c r="AD403" s="121">
        <f t="shared" si="558"/>
        <v>119728.2</v>
      </c>
      <c r="AE403" s="99">
        <f t="shared" si="10"/>
        <v>132030</v>
      </c>
      <c r="AF403" s="121">
        <f t="shared" si="559"/>
        <v>1197.2819999999999</v>
      </c>
      <c r="AG403" s="100">
        <f t="shared" si="560"/>
        <v>20730.917999999998</v>
      </c>
      <c r="AH403" s="101">
        <f t="shared" si="29"/>
        <v>33032.717999999993</v>
      </c>
      <c r="AI403" s="102">
        <f t="shared" ref="AI403:AJ403" si="620">AG403/X403</f>
        <v>0.16310714398111723</v>
      </c>
      <c r="AJ403" s="102">
        <f t="shared" si="620"/>
        <v>0.22517190184049074</v>
      </c>
      <c r="AK403" s="103"/>
      <c r="AL403" s="104"/>
      <c r="AM403" s="17"/>
      <c r="AN403" s="17"/>
      <c r="AO403" s="17"/>
      <c r="AP403" s="17"/>
      <c r="AQ403" s="17"/>
      <c r="AR403" s="17"/>
      <c r="AS403" s="17"/>
      <c r="AT403" s="17"/>
      <c r="AU403" s="17"/>
      <c r="AV403" s="17"/>
      <c r="AW403" s="22">
        <v>4684353859</v>
      </c>
    </row>
    <row r="404" spans="1:49" ht="13.2">
      <c r="A404" s="303">
        <f>HYPERLINK("https://smartstore.naver.com/brickstore2019/products/4684369901",AW:AW)</f>
        <v>4684369901</v>
      </c>
      <c r="B404" s="266"/>
      <c r="C404" s="304" t="s">
        <v>893</v>
      </c>
      <c r="D404" s="117"/>
      <c r="E404" s="304" t="s">
        <v>894</v>
      </c>
      <c r="F404" s="123" t="s">
        <v>895</v>
      </c>
      <c r="G404" s="124" t="str">
        <f>HYPERLINK("https://www.amazon.com/dp/B07G9YJ8GD/ref=cm_sw_r_cp_apa_i_68fKDbEPCM79E?th=1","A")</f>
        <v>A</v>
      </c>
      <c r="H404" s="125"/>
      <c r="I404" s="125"/>
      <c r="J404" s="125">
        <v>44</v>
      </c>
      <c r="K404" s="82">
        <f t="shared" ref="K404:K410" si="621">IF(L404&gt;0,L404*0.0625,)</f>
        <v>0.5</v>
      </c>
      <c r="L404" s="82">
        <v>8</v>
      </c>
      <c r="M404" s="82">
        <f t="shared" si="550"/>
        <v>0.226796</v>
      </c>
      <c r="N404" s="93">
        <v>0</v>
      </c>
      <c r="O404" s="93">
        <v>0</v>
      </c>
      <c r="P404" s="95">
        <f t="shared" si="551"/>
        <v>44</v>
      </c>
      <c r="Q404" s="96">
        <f t="shared" si="552"/>
        <v>55000</v>
      </c>
      <c r="R404" s="96">
        <v>0</v>
      </c>
      <c r="S404" s="97">
        <f t="shared" si="553"/>
        <v>55000</v>
      </c>
      <c r="T404" s="97">
        <f>ROUNDUP(HLOOKUP(ROUNDUP(K404,0),'배송비 조회'!A$10:U$22,7,0)*C$3,-2)</f>
        <v>9000</v>
      </c>
      <c r="U404" s="97">
        <v>0</v>
      </c>
      <c r="V404" s="207">
        <f t="shared" si="617"/>
        <v>19200</v>
      </c>
      <c r="W404" s="97">
        <f t="shared" si="491"/>
        <v>32000</v>
      </c>
      <c r="X404" s="208">
        <f t="shared" si="555"/>
        <v>83200</v>
      </c>
      <c r="Y404" s="98">
        <f t="shared" si="27"/>
        <v>96000</v>
      </c>
      <c r="Z404" s="121">
        <v>0</v>
      </c>
      <c r="AA404" s="121">
        <f t="shared" si="556"/>
        <v>3161.6</v>
      </c>
      <c r="AB404" s="121">
        <f t="shared" si="557"/>
        <v>1664</v>
      </c>
      <c r="AC404" s="99">
        <f t="shared" si="8"/>
        <v>9600</v>
      </c>
      <c r="AD404" s="121">
        <f t="shared" si="558"/>
        <v>78374.399999999994</v>
      </c>
      <c r="AE404" s="99">
        <f t="shared" si="10"/>
        <v>86400</v>
      </c>
      <c r="AF404" s="121">
        <f t="shared" si="559"/>
        <v>783.74399999999991</v>
      </c>
      <c r="AG404" s="100">
        <f t="shared" si="560"/>
        <v>13590.655999999995</v>
      </c>
      <c r="AH404" s="101">
        <f t="shared" si="29"/>
        <v>21616.256000000001</v>
      </c>
      <c r="AI404" s="102">
        <f t="shared" ref="AI404:AJ404" si="622">AG404/X404</f>
        <v>0.16334923076923072</v>
      </c>
      <c r="AJ404" s="102">
        <f t="shared" si="622"/>
        <v>0.22516933333333333</v>
      </c>
      <c r="AK404" s="103"/>
      <c r="AL404" s="104"/>
      <c r="AM404" s="17"/>
      <c r="AN404" s="17"/>
      <c r="AO404" s="17"/>
      <c r="AP404" s="17"/>
      <c r="AQ404" s="17"/>
      <c r="AR404" s="17"/>
      <c r="AS404" s="17"/>
      <c r="AT404" s="17"/>
      <c r="AU404" s="17"/>
      <c r="AV404" s="17"/>
      <c r="AW404" s="296">
        <v>4684369901</v>
      </c>
    </row>
    <row r="405" spans="1:49" ht="13.2">
      <c r="A405" s="302"/>
      <c r="B405" s="266"/>
      <c r="C405" s="302"/>
      <c r="D405" s="117"/>
      <c r="E405" s="302"/>
      <c r="F405" s="123" t="s">
        <v>98</v>
      </c>
      <c r="G405" s="124" t="str">
        <f>HYPERLINK("https://www.amazon.com/dp/B07JWC9G6X/ref=cm_sw_r_cp_apa_i_68fKDbEPCM79E?th=1","A")</f>
        <v>A</v>
      </c>
      <c r="H405" s="125"/>
      <c r="I405" s="125"/>
      <c r="J405" s="125">
        <v>44</v>
      </c>
      <c r="K405" s="82">
        <f t="shared" si="621"/>
        <v>0.5</v>
      </c>
      <c r="L405" s="82">
        <v>8</v>
      </c>
      <c r="M405" s="82">
        <f t="shared" si="550"/>
        <v>0.226796</v>
      </c>
      <c r="N405" s="93">
        <v>0</v>
      </c>
      <c r="O405" s="93">
        <v>0</v>
      </c>
      <c r="P405" s="95">
        <f t="shared" si="551"/>
        <v>44</v>
      </c>
      <c r="Q405" s="96">
        <f t="shared" si="552"/>
        <v>55000</v>
      </c>
      <c r="R405" s="96">
        <v>0</v>
      </c>
      <c r="S405" s="97">
        <f t="shared" si="553"/>
        <v>55000</v>
      </c>
      <c r="T405" s="97">
        <f>ROUNDUP(HLOOKUP(ROUNDUP(K405,0),'배송비 조회'!A$10:U$22,7,0)*C$3,-2)</f>
        <v>9000</v>
      </c>
      <c r="U405" s="97">
        <v>0</v>
      </c>
      <c r="V405" s="207">
        <f t="shared" si="617"/>
        <v>19200</v>
      </c>
      <c r="W405" s="97">
        <f t="shared" si="491"/>
        <v>32000</v>
      </c>
      <c r="X405" s="208">
        <f t="shared" si="555"/>
        <v>83200</v>
      </c>
      <c r="Y405" s="98">
        <f t="shared" si="27"/>
        <v>96000</v>
      </c>
      <c r="Z405" s="121">
        <v>0</v>
      </c>
      <c r="AA405" s="121">
        <f t="shared" si="556"/>
        <v>3161.6</v>
      </c>
      <c r="AB405" s="121">
        <f t="shared" si="557"/>
        <v>1664</v>
      </c>
      <c r="AC405" s="99">
        <f t="shared" si="8"/>
        <v>9600</v>
      </c>
      <c r="AD405" s="121">
        <f t="shared" si="558"/>
        <v>78374.399999999994</v>
      </c>
      <c r="AE405" s="99">
        <f t="shared" si="10"/>
        <v>86400</v>
      </c>
      <c r="AF405" s="121">
        <f t="shared" si="559"/>
        <v>783.74399999999991</v>
      </c>
      <c r="AG405" s="100">
        <f t="shared" si="560"/>
        <v>13590.655999999995</v>
      </c>
      <c r="AH405" s="101">
        <f t="shared" si="29"/>
        <v>21616.256000000001</v>
      </c>
      <c r="AI405" s="102">
        <f t="shared" ref="AI405:AJ405" si="623">AG405/X405</f>
        <v>0.16334923076923072</v>
      </c>
      <c r="AJ405" s="102">
        <f t="shared" si="623"/>
        <v>0.22516933333333333</v>
      </c>
      <c r="AK405" s="103"/>
      <c r="AL405" s="104"/>
      <c r="AM405" s="17"/>
      <c r="AN405" s="17"/>
      <c r="AO405" s="17"/>
      <c r="AP405" s="17"/>
      <c r="AQ405" s="17"/>
      <c r="AR405" s="17"/>
      <c r="AS405" s="17"/>
      <c r="AT405" s="17"/>
      <c r="AU405" s="17"/>
      <c r="AV405" s="17"/>
      <c r="AW405" s="297"/>
    </row>
    <row r="406" spans="1:49" ht="13.2">
      <c r="A406" s="303">
        <f>HYPERLINK("https://smartstore.naver.com/brickstore2019/products/4685215187",AW:AW)</f>
        <v>4685215187</v>
      </c>
      <c r="B406" s="266"/>
      <c r="C406" s="304" t="s">
        <v>896</v>
      </c>
      <c r="D406" s="117"/>
      <c r="E406" s="304" t="s">
        <v>897</v>
      </c>
      <c r="F406" s="123" t="s">
        <v>55</v>
      </c>
      <c r="G406" s="124" t="str">
        <f>HYPERLINK("https://www.amazon.com/TOZO-Bluetooth-Wireless-Headphones-Waterproof/dp/B07J2Z5DBM?ref_=ast_sto_dp&amp;th=1","A")</f>
        <v>A</v>
      </c>
      <c r="H406" s="125"/>
      <c r="I406" s="125"/>
      <c r="J406" s="125">
        <v>50</v>
      </c>
      <c r="K406" s="82">
        <f t="shared" si="621"/>
        <v>0.41249999999999998</v>
      </c>
      <c r="L406" s="82">
        <v>6.6</v>
      </c>
      <c r="M406" s="82">
        <f t="shared" si="550"/>
        <v>0.18710669999999999</v>
      </c>
      <c r="N406" s="93">
        <v>0</v>
      </c>
      <c r="O406" s="93">
        <v>0</v>
      </c>
      <c r="P406" s="95">
        <f t="shared" si="551"/>
        <v>50</v>
      </c>
      <c r="Q406" s="96">
        <f t="shared" si="552"/>
        <v>62500</v>
      </c>
      <c r="R406" s="96">
        <v>0</v>
      </c>
      <c r="S406" s="97">
        <f t="shared" si="553"/>
        <v>62500</v>
      </c>
      <c r="T406" s="97">
        <f>ROUNDUP(HLOOKUP(ROUNDUP(K406,0),'배송비 조회'!A$10:U$22,7,0)*C$3,-2)</f>
        <v>9000</v>
      </c>
      <c r="U406" s="97">
        <v>0</v>
      </c>
      <c r="V406" s="207">
        <f t="shared" si="617"/>
        <v>21500</v>
      </c>
      <c r="W406" s="97">
        <f t="shared" si="491"/>
        <v>35800</v>
      </c>
      <c r="X406" s="208">
        <f t="shared" si="555"/>
        <v>93000</v>
      </c>
      <c r="Y406" s="98">
        <f t="shared" si="27"/>
        <v>107300</v>
      </c>
      <c r="Z406" s="121">
        <v>0</v>
      </c>
      <c r="AA406" s="121">
        <f t="shared" si="556"/>
        <v>3534</v>
      </c>
      <c r="AB406" s="121">
        <f t="shared" si="557"/>
        <v>1860</v>
      </c>
      <c r="AC406" s="99">
        <f t="shared" si="8"/>
        <v>10730</v>
      </c>
      <c r="AD406" s="121">
        <f t="shared" si="558"/>
        <v>87606</v>
      </c>
      <c r="AE406" s="99">
        <f t="shared" si="10"/>
        <v>96570</v>
      </c>
      <c r="AF406" s="121">
        <f t="shared" si="559"/>
        <v>876.06000000000006</v>
      </c>
      <c r="AG406" s="100">
        <f t="shared" si="560"/>
        <v>15229.939999999999</v>
      </c>
      <c r="AH406" s="101">
        <f t="shared" si="29"/>
        <v>24193.940000000002</v>
      </c>
      <c r="AI406" s="102">
        <f t="shared" ref="AI406:AJ406" si="624">AG406/X406</f>
        <v>0.16376279569892471</v>
      </c>
      <c r="AJ406" s="102">
        <f t="shared" si="624"/>
        <v>0.22547940354147253</v>
      </c>
      <c r="AK406" s="103"/>
      <c r="AL406" s="104"/>
      <c r="AM406" s="17"/>
      <c r="AN406" s="17"/>
      <c r="AO406" s="17"/>
      <c r="AP406" s="17"/>
      <c r="AQ406" s="17"/>
      <c r="AR406" s="17"/>
      <c r="AS406" s="17"/>
      <c r="AT406" s="17"/>
      <c r="AU406" s="17"/>
      <c r="AV406" s="17"/>
      <c r="AW406" s="296">
        <v>4685215187</v>
      </c>
    </row>
    <row r="407" spans="1:49" ht="13.2">
      <c r="A407" s="302"/>
      <c r="B407" s="266"/>
      <c r="C407" s="302"/>
      <c r="D407" s="117"/>
      <c r="E407" s="302"/>
      <c r="F407" s="123" t="s">
        <v>58</v>
      </c>
      <c r="G407" s="124" t="str">
        <f>HYPERLINK("https://www.amazon.com/TOZO-Bluetooth-Wireless-Headphones-Waterproof/dp/B07VT7DD48?ref_=ast_sto_dp&amp;th=1","A")</f>
        <v>A</v>
      </c>
      <c r="H407" s="125"/>
      <c r="I407" s="125"/>
      <c r="J407" s="125">
        <v>50</v>
      </c>
      <c r="K407" s="82">
        <f t="shared" si="621"/>
        <v>0.41249999999999998</v>
      </c>
      <c r="L407" s="82">
        <v>6.6</v>
      </c>
      <c r="M407" s="82">
        <f t="shared" si="550"/>
        <v>0.18710669999999999</v>
      </c>
      <c r="N407" s="93">
        <v>0</v>
      </c>
      <c r="O407" s="93">
        <v>0</v>
      </c>
      <c r="P407" s="95">
        <f t="shared" si="551"/>
        <v>50</v>
      </c>
      <c r="Q407" s="96">
        <f t="shared" si="552"/>
        <v>62500</v>
      </c>
      <c r="R407" s="96">
        <v>0</v>
      </c>
      <c r="S407" s="97">
        <f t="shared" si="553"/>
        <v>62500</v>
      </c>
      <c r="T407" s="97">
        <f>ROUNDUP(HLOOKUP(ROUNDUP(K407,0),'배송비 조회'!A$10:U$22,7,0)*C$3,-2)</f>
        <v>9000</v>
      </c>
      <c r="U407" s="97">
        <v>0</v>
      </c>
      <c r="V407" s="207">
        <f t="shared" si="617"/>
        <v>21500</v>
      </c>
      <c r="W407" s="97">
        <f t="shared" si="491"/>
        <v>35800</v>
      </c>
      <c r="X407" s="208">
        <f t="shared" si="555"/>
        <v>93000</v>
      </c>
      <c r="Y407" s="98">
        <f t="shared" si="27"/>
        <v>107300</v>
      </c>
      <c r="Z407" s="121">
        <v>0</v>
      </c>
      <c r="AA407" s="121">
        <f t="shared" si="556"/>
        <v>3534</v>
      </c>
      <c r="AB407" s="121">
        <f t="shared" si="557"/>
        <v>1860</v>
      </c>
      <c r="AC407" s="99">
        <f t="shared" si="8"/>
        <v>10730</v>
      </c>
      <c r="AD407" s="121">
        <f t="shared" si="558"/>
        <v>87606</v>
      </c>
      <c r="AE407" s="99">
        <f t="shared" si="10"/>
        <v>96570</v>
      </c>
      <c r="AF407" s="121">
        <f t="shared" si="559"/>
        <v>876.06000000000006</v>
      </c>
      <c r="AG407" s="100">
        <f t="shared" si="560"/>
        <v>15229.939999999999</v>
      </c>
      <c r="AH407" s="101">
        <f t="shared" si="29"/>
        <v>24193.940000000002</v>
      </c>
      <c r="AI407" s="102">
        <f t="shared" ref="AI407:AJ407" si="625">AG407/X407</f>
        <v>0.16376279569892471</v>
      </c>
      <c r="AJ407" s="102">
        <f t="shared" si="625"/>
        <v>0.22547940354147253</v>
      </c>
      <c r="AK407" s="103"/>
      <c r="AL407" s="104"/>
      <c r="AM407" s="17"/>
      <c r="AN407" s="17"/>
      <c r="AO407" s="17"/>
      <c r="AP407" s="17"/>
      <c r="AQ407" s="17"/>
      <c r="AR407" s="17"/>
      <c r="AS407" s="17"/>
      <c r="AT407" s="17"/>
      <c r="AU407" s="17"/>
      <c r="AV407" s="17"/>
      <c r="AW407" s="297"/>
    </row>
    <row r="408" spans="1:49" ht="13.2">
      <c r="A408" s="302"/>
      <c r="B408" s="266"/>
      <c r="C408" s="302"/>
      <c r="D408" s="117"/>
      <c r="E408" s="302"/>
      <c r="F408" s="123" t="s">
        <v>248</v>
      </c>
      <c r="G408" s="124" t="str">
        <f>HYPERLINK("https://www.amazon.com/TOZO-Bluetooth-Wireless-Headphones-Waterproof/dp/B07VSGLBLZ?ref_=ast_sto_dp&amp;th=1","A")</f>
        <v>A</v>
      </c>
      <c r="H408" s="125"/>
      <c r="I408" s="125"/>
      <c r="J408" s="125">
        <v>50</v>
      </c>
      <c r="K408" s="82">
        <f t="shared" si="621"/>
        <v>0.41249999999999998</v>
      </c>
      <c r="L408" s="82">
        <v>6.6</v>
      </c>
      <c r="M408" s="82">
        <f t="shared" si="550"/>
        <v>0.18710669999999999</v>
      </c>
      <c r="N408" s="93">
        <v>0</v>
      </c>
      <c r="O408" s="93">
        <v>0</v>
      </c>
      <c r="P408" s="95">
        <f t="shared" si="551"/>
        <v>50</v>
      </c>
      <c r="Q408" s="96">
        <f t="shared" si="552"/>
        <v>62500</v>
      </c>
      <c r="R408" s="96">
        <v>0</v>
      </c>
      <c r="S408" s="97">
        <f t="shared" si="553"/>
        <v>62500</v>
      </c>
      <c r="T408" s="97">
        <f>ROUNDUP(HLOOKUP(ROUNDUP(K408,0),'배송비 조회'!A$10:U$22,7,0)*C$3,-2)</f>
        <v>9000</v>
      </c>
      <c r="U408" s="97">
        <v>0</v>
      </c>
      <c r="V408" s="207">
        <f t="shared" si="617"/>
        <v>21500</v>
      </c>
      <c r="W408" s="97">
        <f t="shared" si="491"/>
        <v>35800</v>
      </c>
      <c r="X408" s="208">
        <f t="shared" si="555"/>
        <v>93000</v>
      </c>
      <c r="Y408" s="98">
        <f t="shared" si="27"/>
        <v>107300</v>
      </c>
      <c r="Z408" s="121">
        <v>0</v>
      </c>
      <c r="AA408" s="121">
        <f t="shared" si="556"/>
        <v>3534</v>
      </c>
      <c r="AB408" s="121">
        <f t="shared" si="557"/>
        <v>1860</v>
      </c>
      <c r="AC408" s="99">
        <f t="shared" si="8"/>
        <v>10730</v>
      </c>
      <c r="AD408" s="121">
        <f t="shared" si="558"/>
        <v>87606</v>
      </c>
      <c r="AE408" s="99">
        <f t="shared" si="10"/>
        <v>96570</v>
      </c>
      <c r="AF408" s="121">
        <f t="shared" si="559"/>
        <v>876.06000000000006</v>
      </c>
      <c r="AG408" s="100">
        <f t="shared" si="560"/>
        <v>15229.939999999999</v>
      </c>
      <c r="AH408" s="101">
        <f t="shared" si="29"/>
        <v>24193.940000000002</v>
      </c>
      <c r="AI408" s="102">
        <f t="shared" ref="AI408:AJ408" si="626">AG408/X408</f>
        <v>0.16376279569892471</v>
      </c>
      <c r="AJ408" s="102">
        <f t="shared" si="626"/>
        <v>0.22547940354147253</v>
      </c>
      <c r="AK408" s="103"/>
      <c r="AL408" s="104"/>
      <c r="AM408" s="17"/>
      <c r="AN408" s="17"/>
      <c r="AO408" s="17"/>
      <c r="AP408" s="17"/>
      <c r="AQ408" s="17"/>
      <c r="AR408" s="17"/>
      <c r="AS408" s="17"/>
      <c r="AT408" s="17"/>
      <c r="AU408" s="17"/>
      <c r="AV408" s="17"/>
      <c r="AW408" s="297"/>
    </row>
    <row r="409" spans="1:49" ht="13.2">
      <c r="A409" s="302"/>
      <c r="B409" s="266"/>
      <c r="C409" s="302"/>
      <c r="D409" s="117"/>
      <c r="E409" s="302"/>
      <c r="F409" s="123" t="s">
        <v>98</v>
      </c>
      <c r="G409" s="124" t="str">
        <f>HYPERLINK("https://www.amazon.com/TOZO-Bluetooth-Wireless-Headphones-Waterproof/dp/B07RP6NF5J?ref_=ast_sto_dp&amp;th=1","A")</f>
        <v>A</v>
      </c>
      <c r="H409" s="125"/>
      <c r="I409" s="125"/>
      <c r="J409" s="125">
        <v>50</v>
      </c>
      <c r="K409" s="82">
        <f t="shared" si="621"/>
        <v>0.41249999999999998</v>
      </c>
      <c r="L409" s="82">
        <v>6.6</v>
      </c>
      <c r="M409" s="82">
        <f t="shared" si="550"/>
        <v>0.18710669999999999</v>
      </c>
      <c r="N409" s="93">
        <v>0</v>
      </c>
      <c r="O409" s="93">
        <v>0</v>
      </c>
      <c r="P409" s="95">
        <f t="shared" si="551"/>
        <v>50</v>
      </c>
      <c r="Q409" s="96">
        <f t="shared" si="552"/>
        <v>62500</v>
      </c>
      <c r="R409" s="96">
        <v>0</v>
      </c>
      <c r="S409" s="97">
        <f t="shared" si="553"/>
        <v>62500</v>
      </c>
      <c r="T409" s="97">
        <f>ROUNDUP(HLOOKUP(ROUNDUP(K409,0),'배송비 조회'!A$10:U$22,7,0)*C$3,-2)</f>
        <v>9000</v>
      </c>
      <c r="U409" s="97">
        <v>0</v>
      </c>
      <c r="V409" s="207">
        <f t="shared" si="617"/>
        <v>21500</v>
      </c>
      <c r="W409" s="97">
        <f t="shared" si="491"/>
        <v>35800</v>
      </c>
      <c r="X409" s="208">
        <f t="shared" si="555"/>
        <v>93000</v>
      </c>
      <c r="Y409" s="98">
        <f t="shared" si="27"/>
        <v>107300</v>
      </c>
      <c r="Z409" s="121">
        <v>0</v>
      </c>
      <c r="AA409" s="121">
        <f t="shared" si="556"/>
        <v>3534</v>
      </c>
      <c r="AB409" s="121">
        <f t="shared" si="557"/>
        <v>1860</v>
      </c>
      <c r="AC409" s="99">
        <f t="shared" si="8"/>
        <v>10730</v>
      </c>
      <c r="AD409" s="121">
        <f t="shared" si="558"/>
        <v>87606</v>
      </c>
      <c r="AE409" s="99">
        <f t="shared" si="10"/>
        <v>96570</v>
      </c>
      <c r="AF409" s="121">
        <f t="shared" si="559"/>
        <v>876.06000000000006</v>
      </c>
      <c r="AG409" s="100">
        <f t="shared" si="560"/>
        <v>15229.939999999999</v>
      </c>
      <c r="AH409" s="101">
        <f t="shared" si="29"/>
        <v>24193.940000000002</v>
      </c>
      <c r="AI409" s="102">
        <f t="shared" ref="AI409:AJ409" si="627">AG409/X409</f>
        <v>0.16376279569892471</v>
      </c>
      <c r="AJ409" s="102">
        <f t="shared" si="627"/>
        <v>0.22547940354147253</v>
      </c>
      <c r="AK409" s="103"/>
      <c r="AL409" s="104"/>
      <c r="AM409" s="17"/>
      <c r="AN409" s="17"/>
      <c r="AO409" s="17"/>
      <c r="AP409" s="17"/>
      <c r="AQ409" s="17"/>
      <c r="AR409" s="17"/>
      <c r="AS409" s="17"/>
      <c r="AT409" s="17"/>
      <c r="AU409" s="17"/>
      <c r="AV409" s="17"/>
      <c r="AW409" s="297"/>
    </row>
    <row r="410" spans="1:49" ht="13.2">
      <c r="A410" s="302"/>
      <c r="B410" s="266"/>
      <c r="C410" s="302"/>
      <c r="D410" s="117"/>
      <c r="E410" s="302"/>
      <c r="F410" s="123" t="s">
        <v>898</v>
      </c>
      <c r="G410" s="124" t="str">
        <f>HYPERLINK("https://www.amazon.com/TOZO-Bluetooth-Wireless-Headphones-Waterproof/dp/B07VQ82393?ref_=ast_sto_dp&amp;th=1","A")</f>
        <v>A</v>
      </c>
      <c r="H410" s="125"/>
      <c r="I410" s="125"/>
      <c r="J410" s="125">
        <v>50</v>
      </c>
      <c r="K410" s="82">
        <f t="shared" si="621"/>
        <v>0.41249999999999998</v>
      </c>
      <c r="L410" s="82">
        <v>6.6</v>
      </c>
      <c r="M410" s="82">
        <f t="shared" si="550"/>
        <v>0.18710669999999999</v>
      </c>
      <c r="N410" s="93">
        <v>0</v>
      </c>
      <c r="O410" s="93">
        <v>0</v>
      </c>
      <c r="P410" s="95">
        <f t="shared" si="551"/>
        <v>50</v>
      </c>
      <c r="Q410" s="96">
        <f t="shared" si="552"/>
        <v>62500</v>
      </c>
      <c r="R410" s="96">
        <v>0</v>
      </c>
      <c r="S410" s="97">
        <f t="shared" si="553"/>
        <v>62500</v>
      </c>
      <c r="T410" s="97">
        <f>ROUNDUP(HLOOKUP(ROUNDUP(K410,0),'배송비 조회'!A$10:U$22,7,0)*C$3,-2)</f>
        <v>9000</v>
      </c>
      <c r="U410" s="97">
        <v>0</v>
      </c>
      <c r="V410" s="207">
        <f t="shared" si="617"/>
        <v>21500</v>
      </c>
      <c r="W410" s="97">
        <f t="shared" si="491"/>
        <v>35800</v>
      </c>
      <c r="X410" s="208">
        <f t="shared" si="555"/>
        <v>93000</v>
      </c>
      <c r="Y410" s="98">
        <f t="shared" si="27"/>
        <v>107300</v>
      </c>
      <c r="Z410" s="121">
        <v>0</v>
      </c>
      <c r="AA410" s="121">
        <f t="shared" si="556"/>
        <v>3534</v>
      </c>
      <c r="AB410" s="121">
        <f t="shared" si="557"/>
        <v>1860</v>
      </c>
      <c r="AC410" s="99">
        <f t="shared" si="8"/>
        <v>10730</v>
      </c>
      <c r="AD410" s="121">
        <f t="shared" si="558"/>
        <v>87606</v>
      </c>
      <c r="AE410" s="99">
        <f t="shared" si="10"/>
        <v>96570</v>
      </c>
      <c r="AF410" s="121">
        <f t="shared" si="559"/>
        <v>876.06000000000006</v>
      </c>
      <c r="AG410" s="100">
        <f t="shared" si="560"/>
        <v>15229.939999999999</v>
      </c>
      <c r="AH410" s="101">
        <f t="shared" si="29"/>
        <v>24193.940000000002</v>
      </c>
      <c r="AI410" s="102">
        <f t="shared" ref="AI410:AJ410" si="628">AG410/X410</f>
        <v>0.16376279569892471</v>
      </c>
      <c r="AJ410" s="102">
        <f t="shared" si="628"/>
        <v>0.22547940354147253</v>
      </c>
      <c r="AK410" s="103"/>
      <c r="AL410" s="104"/>
      <c r="AM410" s="17"/>
      <c r="AN410" s="17"/>
      <c r="AO410" s="17"/>
      <c r="AP410" s="17"/>
      <c r="AQ410" s="17"/>
      <c r="AR410" s="17"/>
      <c r="AS410" s="17"/>
      <c r="AT410" s="17"/>
      <c r="AU410" s="17"/>
      <c r="AV410" s="17"/>
      <c r="AW410" s="297"/>
    </row>
    <row r="411" spans="1:49" ht="13.2">
      <c r="A411" s="119">
        <f>HYPERLINK("https://smartstore.naver.com/brickstore2019/products/4685207116",AW:AW)</f>
        <v>4685207116</v>
      </c>
      <c r="B411" s="266"/>
      <c r="C411" s="117" t="s">
        <v>899</v>
      </c>
      <c r="D411" s="117"/>
      <c r="E411" s="117" t="s">
        <v>900</v>
      </c>
      <c r="F411" s="123"/>
      <c r="G411" s="124" t="str">
        <f>HYPERLINK("https://www.amazon.com/CORSAIR-ST100-Premium-Headset-Surround/dp/B074ZQJW9R/ref=as_li_ss_tl?keywords=Corsair&amp;qid=1569378343&amp;s=gateway&amp;sr=8-5&amp;linkCode=sl1&amp;tag=sj0876-20&amp;linkId=728c1704e8f6c54871cb55d7e85cd11b&amp;language=ko_KR","A")</f>
        <v>A</v>
      </c>
      <c r="H411" s="125"/>
      <c r="I411" s="125"/>
      <c r="J411" s="93">
        <v>68</v>
      </c>
      <c r="K411" s="82">
        <v>2.5</v>
      </c>
      <c r="L411" s="82">
        <f>IF(K411&gt;0,K411*16,)</f>
        <v>40</v>
      </c>
      <c r="M411" s="82">
        <f t="shared" si="550"/>
        <v>1.13398</v>
      </c>
      <c r="N411" s="93">
        <v>0</v>
      </c>
      <c r="O411" s="93">
        <v>0</v>
      </c>
      <c r="P411" s="95">
        <f t="shared" si="551"/>
        <v>68</v>
      </c>
      <c r="Q411" s="96">
        <f t="shared" si="552"/>
        <v>85000</v>
      </c>
      <c r="R411" s="96">
        <v>0</v>
      </c>
      <c r="S411" s="97">
        <f t="shared" si="553"/>
        <v>85000</v>
      </c>
      <c r="T411" s="97">
        <f>ROUNDUP(HLOOKUP(ROUNDUP(K411,0),'배송비 조회'!A$10:U$22,7,0)*C$3,-2)</f>
        <v>13400</v>
      </c>
      <c r="U411" s="97">
        <v>0</v>
      </c>
      <c r="V411" s="207">
        <f>ROUND(IF(R411&gt;0,0,(S411+T411)*0.2),-2)</f>
        <v>19700</v>
      </c>
      <c r="W411" s="97">
        <f t="shared" si="491"/>
        <v>49200</v>
      </c>
      <c r="X411" s="208">
        <f t="shared" si="555"/>
        <v>118100</v>
      </c>
      <c r="Y411" s="98">
        <f t="shared" si="27"/>
        <v>147600</v>
      </c>
      <c r="Z411" s="121">
        <v>0</v>
      </c>
      <c r="AA411" s="121">
        <f t="shared" si="556"/>
        <v>4487.8</v>
      </c>
      <c r="AB411" s="121">
        <f t="shared" si="557"/>
        <v>2362</v>
      </c>
      <c r="AC411" s="99">
        <f t="shared" si="8"/>
        <v>14760</v>
      </c>
      <c r="AD411" s="121">
        <f t="shared" si="558"/>
        <v>111250.2</v>
      </c>
      <c r="AE411" s="99">
        <f t="shared" si="10"/>
        <v>132840</v>
      </c>
      <c r="AF411" s="121">
        <f t="shared" si="559"/>
        <v>1112.502</v>
      </c>
      <c r="AG411" s="100">
        <f t="shared" si="560"/>
        <v>11737.697999999997</v>
      </c>
      <c r="AH411" s="101">
        <f t="shared" si="29"/>
        <v>33327.498</v>
      </c>
      <c r="AI411" s="102">
        <f t="shared" ref="AI411:AJ411" si="629">AG411/X411</f>
        <v>9.9387790008467369E-2</v>
      </c>
      <c r="AJ411" s="102">
        <f t="shared" si="629"/>
        <v>0.22579605691056912</v>
      </c>
      <c r="AK411" s="103"/>
      <c r="AL411" s="104"/>
      <c r="AM411" s="17"/>
      <c r="AN411" s="17"/>
      <c r="AO411" s="17"/>
      <c r="AP411" s="17"/>
      <c r="AQ411" s="17"/>
      <c r="AR411" s="17"/>
      <c r="AS411" s="17"/>
      <c r="AT411" s="17"/>
      <c r="AU411" s="17"/>
      <c r="AV411" s="17"/>
      <c r="AW411" s="22">
        <v>4685207116</v>
      </c>
    </row>
    <row r="412" spans="1:49" ht="13.2">
      <c r="A412" s="347">
        <f>HYPERLINK("https://smartstore.naver.com/brickstore2019/products/4685260309",AW:AW)</f>
        <v>4685260309</v>
      </c>
      <c r="B412" s="271"/>
      <c r="C412" s="342" t="s">
        <v>901</v>
      </c>
      <c r="D412" s="160"/>
      <c r="E412" s="342" t="s">
        <v>902</v>
      </c>
      <c r="F412" s="123" t="s">
        <v>55</v>
      </c>
      <c r="G412" s="124" t="str">
        <f>HYPERLINK("https://www.amazon.com/Progressive-Multifocus-Computer-Multifocal-Eyeglasses/dp/B07WNLFSW1/ref=sr_1_1?keywords=multi-focus%2Beyeglasses&amp;qid=1569916860&amp;refinements=p_72%3A2661618011&amp;rnid=2661617011&amp;s=gateway&amp;sr=8-1&amp;th=1","A")</f>
        <v>A</v>
      </c>
      <c r="H412" s="125"/>
      <c r="I412" s="125"/>
      <c r="J412" s="125">
        <v>22</v>
      </c>
      <c r="K412" s="82">
        <f t="shared" ref="K412:K416" si="630">IF(L412&gt;0,L412*0.0625,)</f>
        <v>0.3125</v>
      </c>
      <c r="L412" s="82">
        <v>5</v>
      </c>
      <c r="M412" s="82">
        <f t="shared" si="550"/>
        <v>0.1417475</v>
      </c>
      <c r="N412" s="93">
        <v>0</v>
      </c>
      <c r="O412" s="93">
        <v>0</v>
      </c>
      <c r="P412" s="95">
        <f t="shared" si="551"/>
        <v>22</v>
      </c>
      <c r="Q412" s="96">
        <f t="shared" si="552"/>
        <v>27500</v>
      </c>
      <c r="R412" s="96">
        <v>0</v>
      </c>
      <c r="S412" s="97">
        <f t="shared" si="553"/>
        <v>27500</v>
      </c>
      <c r="T412" s="97">
        <f>ROUNDUP(HLOOKUP(ROUNDUP(K412,0),'배송비 조회'!A$10:U$22,7,0)*C$3,-2)</f>
        <v>9000</v>
      </c>
      <c r="U412" s="97">
        <v>0</v>
      </c>
      <c r="V412" s="207">
        <f t="shared" ref="V412:V416" si="631">ROUND(IF(R412&gt;0,0,(S412+T412)*0.5),-2)</f>
        <v>18300</v>
      </c>
      <c r="W412" s="97">
        <f t="shared" si="491"/>
        <v>18300</v>
      </c>
      <c r="X412" s="208">
        <f t="shared" si="555"/>
        <v>54800</v>
      </c>
      <c r="Y412" s="98">
        <f t="shared" si="27"/>
        <v>54800</v>
      </c>
      <c r="Z412" s="121">
        <v>0</v>
      </c>
      <c r="AA412" s="121">
        <f t="shared" si="556"/>
        <v>2082.4</v>
      </c>
      <c r="AB412" s="121">
        <f t="shared" si="557"/>
        <v>1096</v>
      </c>
      <c r="AC412" s="99">
        <f t="shared" si="8"/>
        <v>5480</v>
      </c>
      <c r="AD412" s="121">
        <f t="shared" si="558"/>
        <v>51621.599999999999</v>
      </c>
      <c r="AE412" s="99">
        <f t="shared" si="10"/>
        <v>49320</v>
      </c>
      <c r="AF412" s="121">
        <f t="shared" si="559"/>
        <v>516.21600000000001</v>
      </c>
      <c r="AG412" s="100">
        <f t="shared" si="560"/>
        <v>14605.383999999998</v>
      </c>
      <c r="AH412" s="101">
        <f t="shared" si="29"/>
        <v>12303.784</v>
      </c>
      <c r="AI412" s="102">
        <f t="shared" ref="AI412:AJ412" si="632">AG412/X412</f>
        <v>0.26652160583941603</v>
      </c>
      <c r="AJ412" s="102">
        <f t="shared" si="632"/>
        <v>0.22452160583941605</v>
      </c>
      <c r="AK412" s="103"/>
      <c r="AL412" s="104"/>
      <c r="AM412" s="17"/>
      <c r="AN412" s="17"/>
      <c r="AO412" s="17"/>
      <c r="AP412" s="17"/>
      <c r="AQ412" s="17"/>
      <c r="AR412" s="17"/>
      <c r="AS412" s="17"/>
      <c r="AT412" s="17"/>
      <c r="AU412" s="17"/>
      <c r="AV412" s="17"/>
      <c r="AW412" s="296">
        <v>4685260309</v>
      </c>
    </row>
    <row r="413" spans="1:49" ht="13.2">
      <c r="A413" s="302"/>
      <c r="B413" s="271"/>
      <c r="C413" s="302"/>
      <c r="D413" s="160"/>
      <c r="E413" s="302"/>
      <c r="F413" s="123" t="s">
        <v>690</v>
      </c>
      <c r="G413" s="124" t="str">
        <f>HYPERLINK("https://www.amazon.com/Progressive-Multifocus-Computer-Multifocal-Eyeglasses/dp/B07WRH6DDJ/ref=sr_1_1?keywords=multi-focus%2Beyeglasses&amp;qid=1569916860&amp;refinements=p_72%3A2661618011&amp;rnid=2661617011&amp;s=gateway&amp;sr=8-1&amp;th=1","A")</f>
        <v>A</v>
      </c>
      <c r="H413" s="125"/>
      <c r="I413" s="125"/>
      <c r="J413" s="125">
        <v>22</v>
      </c>
      <c r="K413" s="82">
        <f t="shared" si="630"/>
        <v>0.3125</v>
      </c>
      <c r="L413" s="82">
        <v>5</v>
      </c>
      <c r="M413" s="82">
        <f t="shared" si="550"/>
        <v>0.1417475</v>
      </c>
      <c r="N413" s="93">
        <v>0</v>
      </c>
      <c r="O413" s="93">
        <v>0</v>
      </c>
      <c r="P413" s="95">
        <f t="shared" si="551"/>
        <v>22</v>
      </c>
      <c r="Q413" s="96">
        <f t="shared" si="552"/>
        <v>27500</v>
      </c>
      <c r="R413" s="96">
        <v>0</v>
      </c>
      <c r="S413" s="97">
        <f t="shared" si="553"/>
        <v>27500</v>
      </c>
      <c r="T413" s="97">
        <f>ROUNDUP(HLOOKUP(ROUNDUP(K413,0),'배송비 조회'!A$10:U$22,7,0)*C$3,-2)</f>
        <v>9000</v>
      </c>
      <c r="U413" s="97">
        <v>0</v>
      </c>
      <c r="V413" s="207">
        <f t="shared" si="631"/>
        <v>18300</v>
      </c>
      <c r="W413" s="97">
        <f t="shared" si="491"/>
        <v>18300</v>
      </c>
      <c r="X413" s="208">
        <f t="shared" si="555"/>
        <v>54800</v>
      </c>
      <c r="Y413" s="98">
        <f t="shared" si="27"/>
        <v>54800</v>
      </c>
      <c r="Z413" s="121">
        <v>0</v>
      </c>
      <c r="AA413" s="121">
        <f t="shared" si="556"/>
        <v>2082.4</v>
      </c>
      <c r="AB413" s="121">
        <f t="shared" si="557"/>
        <v>1096</v>
      </c>
      <c r="AC413" s="99">
        <f t="shared" si="8"/>
        <v>5480</v>
      </c>
      <c r="AD413" s="121">
        <f t="shared" si="558"/>
        <v>51621.599999999999</v>
      </c>
      <c r="AE413" s="99">
        <f t="shared" si="10"/>
        <v>49320</v>
      </c>
      <c r="AF413" s="121">
        <f t="shared" si="559"/>
        <v>516.21600000000001</v>
      </c>
      <c r="AG413" s="100">
        <f t="shared" si="560"/>
        <v>14605.383999999998</v>
      </c>
      <c r="AH413" s="101">
        <f t="shared" si="29"/>
        <v>12303.784</v>
      </c>
      <c r="AI413" s="102">
        <f t="shared" ref="AI413:AJ413" si="633">AG413/X413</f>
        <v>0.26652160583941603</v>
      </c>
      <c r="AJ413" s="102">
        <f t="shared" si="633"/>
        <v>0.22452160583941605</v>
      </c>
      <c r="AK413" s="103"/>
      <c r="AL413" s="104"/>
      <c r="AM413" s="17"/>
      <c r="AN413" s="17"/>
      <c r="AO413" s="17"/>
      <c r="AP413" s="17"/>
      <c r="AQ413" s="17"/>
      <c r="AR413" s="17"/>
      <c r="AS413" s="17"/>
      <c r="AT413" s="17"/>
      <c r="AU413" s="17"/>
      <c r="AV413" s="17"/>
      <c r="AW413" s="297"/>
    </row>
    <row r="414" spans="1:49" ht="13.2">
      <c r="A414" s="303">
        <f>HYPERLINK("https://smartstore.naver.com/brickstore2019/products/4685240947",AW:AW)</f>
        <v>4685240947</v>
      </c>
      <c r="B414" s="266"/>
      <c r="C414" s="304" t="s">
        <v>903</v>
      </c>
      <c r="D414" s="117"/>
      <c r="E414" s="304" t="s">
        <v>904</v>
      </c>
      <c r="F414" s="123" t="s">
        <v>55</v>
      </c>
      <c r="G414" s="124" t="str">
        <f>HYPERLINK("https://www.amazon.com/gp/product/B007MASKF8/ref=s9_acsd_top_hd_bw_bD8RUrj_c_x_w?pf_rd_m=ATVPDKIKX0DER&amp;pf_rd_s=merchandised-search-19&amp;pf_rd_r=PKN2AMB5JC1Z5Q7Q49HT&amp;pf_rd_t=101&amp;pf_rd_p=b4123ca8-00d5-4b45-8b3c-d7822c2d2a10&amp;pf_rd_i=12034491011","A")</f>
        <v>A</v>
      </c>
      <c r="H414" s="125"/>
      <c r="I414" s="125"/>
      <c r="J414" s="125">
        <v>19</v>
      </c>
      <c r="K414" s="82">
        <f t="shared" si="630"/>
        <v>0.18</v>
      </c>
      <c r="L414" s="82">
        <v>2.88</v>
      </c>
      <c r="M414" s="82">
        <f t="shared" si="550"/>
        <v>8.1646559999999993E-2</v>
      </c>
      <c r="N414" s="93">
        <v>0</v>
      </c>
      <c r="O414" s="93">
        <v>0</v>
      </c>
      <c r="P414" s="95">
        <f t="shared" si="551"/>
        <v>19</v>
      </c>
      <c r="Q414" s="96">
        <f t="shared" si="552"/>
        <v>23750</v>
      </c>
      <c r="R414" s="96">
        <v>0</v>
      </c>
      <c r="S414" s="97">
        <f t="shared" si="553"/>
        <v>23800</v>
      </c>
      <c r="T414" s="97">
        <f>ROUNDUP(HLOOKUP(ROUNDUP(K414,0),'배송비 조회'!A$10:U$22,7,0)*C$3,-2)</f>
        <v>9000</v>
      </c>
      <c r="U414" s="97">
        <v>0</v>
      </c>
      <c r="V414" s="207">
        <f t="shared" si="631"/>
        <v>16400</v>
      </c>
      <c r="W414" s="97">
        <f t="shared" si="491"/>
        <v>16400</v>
      </c>
      <c r="X414" s="208">
        <f t="shared" si="555"/>
        <v>49200</v>
      </c>
      <c r="Y414" s="98">
        <f t="shared" si="27"/>
        <v>49200</v>
      </c>
      <c r="Z414" s="121">
        <v>0</v>
      </c>
      <c r="AA414" s="121">
        <f t="shared" si="556"/>
        <v>1869.6</v>
      </c>
      <c r="AB414" s="121">
        <f t="shared" si="557"/>
        <v>984</v>
      </c>
      <c r="AC414" s="99">
        <f t="shared" si="8"/>
        <v>4920</v>
      </c>
      <c r="AD414" s="121">
        <f t="shared" si="558"/>
        <v>46346.400000000001</v>
      </c>
      <c r="AE414" s="99">
        <f t="shared" si="10"/>
        <v>44280</v>
      </c>
      <c r="AF414" s="121">
        <f t="shared" si="559"/>
        <v>463.464</v>
      </c>
      <c r="AG414" s="100">
        <f t="shared" si="560"/>
        <v>13132.936000000002</v>
      </c>
      <c r="AH414" s="101">
        <f t="shared" si="29"/>
        <v>11066.536</v>
      </c>
      <c r="AI414" s="102">
        <f t="shared" ref="AI414:AJ414" si="634">AG414/X414</f>
        <v>0.26692959349593498</v>
      </c>
      <c r="AJ414" s="102">
        <f t="shared" si="634"/>
        <v>0.22492959349593497</v>
      </c>
      <c r="AK414" s="103"/>
      <c r="AL414" s="104"/>
      <c r="AM414" s="17"/>
      <c r="AN414" s="17"/>
      <c r="AO414" s="17"/>
      <c r="AP414" s="17"/>
      <c r="AQ414" s="17"/>
      <c r="AR414" s="17"/>
      <c r="AS414" s="17"/>
      <c r="AT414" s="17"/>
      <c r="AU414" s="17"/>
      <c r="AV414" s="17"/>
      <c r="AW414" s="296">
        <v>4685240947</v>
      </c>
    </row>
    <row r="415" spans="1:49" ht="13.2">
      <c r="A415" s="302"/>
      <c r="B415" s="266"/>
      <c r="C415" s="302"/>
      <c r="D415" s="117"/>
      <c r="E415" s="302"/>
      <c r="F415" s="123" t="s">
        <v>92</v>
      </c>
      <c r="G415" s="124" t="str">
        <f>HYPERLINK("https://www.amazon.com/gp/product/B000I7GRUM/ref=s9_acsd_top_hd_bw_bD8RUrj_c_x_w?pf_rd_m=ATVPDKIKX0DER&amp;pf_rd_s=merchandised-search-19&amp;pf_rd_r=PKN2AMB5JC1Z5Q7Q49HT&amp;pf_rd_t=101&amp;pf_rd_p=b4123ca8-00d5-4b45-8b3c-d7822c2d2a10&amp;pf_rd_i=12034491011&amp;th=1","A")</f>
        <v>A</v>
      </c>
      <c r="H415" s="125"/>
      <c r="I415" s="125"/>
      <c r="J415" s="125">
        <v>28</v>
      </c>
      <c r="K415" s="82">
        <f t="shared" si="630"/>
        <v>0.18</v>
      </c>
      <c r="L415" s="82">
        <v>2.88</v>
      </c>
      <c r="M415" s="82">
        <f t="shared" si="550"/>
        <v>8.1646559999999993E-2</v>
      </c>
      <c r="N415" s="93">
        <v>0</v>
      </c>
      <c r="O415" s="93">
        <v>0</v>
      </c>
      <c r="P415" s="95">
        <f t="shared" si="551"/>
        <v>28</v>
      </c>
      <c r="Q415" s="96">
        <f t="shared" si="552"/>
        <v>35000</v>
      </c>
      <c r="R415" s="96">
        <v>0</v>
      </c>
      <c r="S415" s="97">
        <f t="shared" si="553"/>
        <v>35000</v>
      </c>
      <c r="T415" s="97">
        <f>ROUNDUP(HLOOKUP(ROUNDUP(K415,0),'배송비 조회'!A$10:U$22,7,0)*C$3,-2)</f>
        <v>9000</v>
      </c>
      <c r="U415" s="97">
        <v>0</v>
      </c>
      <c r="V415" s="207">
        <f t="shared" si="631"/>
        <v>22000</v>
      </c>
      <c r="W415" s="97">
        <f t="shared" si="491"/>
        <v>22000</v>
      </c>
      <c r="X415" s="208">
        <f t="shared" si="555"/>
        <v>66000</v>
      </c>
      <c r="Y415" s="98">
        <f t="shared" si="27"/>
        <v>66000</v>
      </c>
      <c r="Z415" s="121">
        <v>0</v>
      </c>
      <c r="AA415" s="121">
        <f t="shared" si="556"/>
        <v>2508</v>
      </c>
      <c r="AB415" s="121">
        <f t="shared" si="557"/>
        <v>1320</v>
      </c>
      <c r="AC415" s="99">
        <f t="shared" si="8"/>
        <v>6600</v>
      </c>
      <c r="AD415" s="121">
        <f t="shared" si="558"/>
        <v>62172</v>
      </c>
      <c r="AE415" s="99">
        <f t="shared" si="10"/>
        <v>59400</v>
      </c>
      <c r="AF415" s="121">
        <f t="shared" si="559"/>
        <v>621.72</v>
      </c>
      <c r="AG415" s="100">
        <f t="shared" si="560"/>
        <v>17550.28</v>
      </c>
      <c r="AH415" s="101">
        <f t="shared" si="29"/>
        <v>14778.279999999999</v>
      </c>
      <c r="AI415" s="102">
        <f t="shared" ref="AI415:AJ415" si="635">AG415/X415</f>
        <v>0.26591333333333333</v>
      </c>
      <c r="AJ415" s="102">
        <f t="shared" si="635"/>
        <v>0.22391333333333333</v>
      </c>
      <c r="AK415" s="103">
        <f>X415-X414</f>
        <v>16800</v>
      </c>
      <c r="AL415" s="104"/>
      <c r="AM415" s="17"/>
      <c r="AN415" s="17"/>
      <c r="AO415" s="17"/>
      <c r="AP415" s="17"/>
      <c r="AQ415" s="17"/>
      <c r="AR415" s="17"/>
      <c r="AS415" s="17"/>
      <c r="AT415" s="17"/>
      <c r="AU415" s="17"/>
      <c r="AV415" s="17"/>
      <c r="AW415" s="297"/>
    </row>
    <row r="416" spans="1:49" ht="13.2">
      <c r="A416" s="302"/>
      <c r="B416" s="266"/>
      <c r="C416" s="302"/>
      <c r="D416" s="117"/>
      <c r="E416" s="302"/>
      <c r="F416" s="123" t="s">
        <v>98</v>
      </c>
      <c r="G416" s="124" t="str">
        <f>HYPERLINK("https://www.amazon.com/gp/product/B001UK1BM0/ref=s9_acsd_top_hd_bw_bD8RUrj_c_x_w?pf_rd_m=ATVPDKIKX0DER&amp;pf_rd_s=merchandised-search-19&amp;pf_rd_r=PKN2AMB5JC1Z5Q7Q49HT&amp;pf_rd_t=101&amp;pf_rd_p=b4123ca8-00d5-4b45-8b3c-d7822c2d2a10&amp;pf_rd_i=12034491011&amp;th=1","A")</f>
        <v>A</v>
      </c>
      <c r="H416" s="125"/>
      <c r="I416" s="125"/>
      <c r="J416" s="125">
        <v>19</v>
      </c>
      <c r="K416" s="82">
        <f t="shared" si="630"/>
        <v>0.18</v>
      </c>
      <c r="L416" s="82">
        <v>2.88</v>
      </c>
      <c r="M416" s="82">
        <f t="shared" si="550"/>
        <v>8.1646559999999993E-2</v>
      </c>
      <c r="N416" s="93">
        <v>0</v>
      </c>
      <c r="O416" s="93">
        <v>0</v>
      </c>
      <c r="P416" s="95">
        <f t="shared" si="551"/>
        <v>19</v>
      </c>
      <c r="Q416" s="96">
        <f t="shared" si="552"/>
        <v>23750</v>
      </c>
      <c r="R416" s="96">
        <v>0</v>
      </c>
      <c r="S416" s="97">
        <f t="shared" si="553"/>
        <v>23800</v>
      </c>
      <c r="T416" s="97">
        <f>ROUNDUP(HLOOKUP(ROUNDUP(K416,0),'배송비 조회'!A$10:U$22,7,0)*C$3,-2)</f>
        <v>9000</v>
      </c>
      <c r="U416" s="97">
        <v>0</v>
      </c>
      <c r="V416" s="207">
        <f t="shared" si="631"/>
        <v>16400</v>
      </c>
      <c r="W416" s="97">
        <f t="shared" si="491"/>
        <v>16400</v>
      </c>
      <c r="X416" s="208">
        <f t="shared" si="555"/>
        <v>49200</v>
      </c>
      <c r="Y416" s="98">
        <f t="shared" si="27"/>
        <v>49200</v>
      </c>
      <c r="Z416" s="121">
        <v>0</v>
      </c>
      <c r="AA416" s="121">
        <f t="shared" si="556"/>
        <v>1869.6</v>
      </c>
      <c r="AB416" s="121">
        <f t="shared" si="557"/>
        <v>984</v>
      </c>
      <c r="AC416" s="99">
        <f t="shared" si="8"/>
        <v>4920</v>
      </c>
      <c r="AD416" s="121">
        <f t="shared" si="558"/>
        <v>46346.400000000001</v>
      </c>
      <c r="AE416" s="99">
        <f t="shared" si="10"/>
        <v>44280</v>
      </c>
      <c r="AF416" s="121">
        <f t="shared" si="559"/>
        <v>463.464</v>
      </c>
      <c r="AG416" s="100">
        <f t="shared" si="560"/>
        <v>13132.936000000002</v>
      </c>
      <c r="AH416" s="101">
        <f t="shared" si="29"/>
        <v>11066.536</v>
      </c>
      <c r="AI416" s="102">
        <f t="shared" ref="AI416:AJ416" si="636">AG416/X416</f>
        <v>0.26692959349593498</v>
      </c>
      <c r="AJ416" s="102">
        <f t="shared" si="636"/>
        <v>0.22492959349593497</v>
      </c>
      <c r="AK416" s="103"/>
      <c r="AL416" s="104"/>
      <c r="AM416" s="17"/>
      <c r="AN416" s="17"/>
      <c r="AO416" s="17"/>
      <c r="AP416" s="17"/>
      <c r="AQ416" s="17"/>
      <c r="AR416" s="17"/>
      <c r="AS416" s="17"/>
      <c r="AT416" s="17"/>
      <c r="AU416" s="17"/>
      <c r="AV416" s="17"/>
      <c r="AW416" s="297"/>
    </row>
    <row r="417" spans="1:49" ht="13.2">
      <c r="A417" s="119">
        <f>HYPERLINK("https://smartstore.naver.com/brickstore2019/products/4685277297",AW:AW)</f>
        <v>4685277297</v>
      </c>
      <c r="B417" s="266"/>
      <c r="C417" s="117" t="s">
        <v>905</v>
      </c>
      <c r="D417" s="117"/>
      <c r="E417" s="117" t="s">
        <v>906</v>
      </c>
      <c r="F417" s="123"/>
      <c r="G417" s="124" t="str">
        <f>HYPERLINK("https://www.amazon.com/Jodi-Consumer-Hearing-Vacuum-Cleaner/dp/B007ORQ01K/ref=sr_1_1?keywords=jodivac&amp;qid=1569918585&amp;s=gateway&amp;sr=8-1","A")</f>
        <v>A</v>
      </c>
      <c r="H417" s="125"/>
      <c r="I417" s="125"/>
      <c r="J417" s="125">
        <v>94</v>
      </c>
      <c r="K417" s="82">
        <v>2</v>
      </c>
      <c r="L417" s="82">
        <f>IF(K417&gt;0,K417*16,)</f>
        <v>32</v>
      </c>
      <c r="M417" s="82">
        <f t="shared" si="550"/>
        <v>0.90718399999999999</v>
      </c>
      <c r="N417" s="93">
        <v>0</v>
      </c>
      <c r="O417" s="93">
        <v>0</v>
      </c>
      <c r="P417" s="95">
        <f t="shared" si="551"/>
        <v>94</v>
      </c>
      <c r="Q417" s="96">
        <f t="shared" si="552"/>
        <v>117500</v>
      </c>
      <c r="R417" s="96">
        <v>0</v>
      </c>
      <c r="S417" s="97">
        <f t="shared" si="553"/>
        <v>117500</v>
      </c>
      <c r="T417" s="97">
        <f>ROUNDUP(HLOOKUP(ROUNDUP(K417,0),'배송비 조회'!A$10:U$22,7,0)*C$3,-2)</f>
        <v>11200</v>
      </c>
      <c r="U417" s="97">
        <v>0</v>
      </c>
      <c r="V417" s="207">
        <f t="shared" ref="V417:V423" si="637">ROUND(IF(R417&gt;0,0,(S417+T417)*0.3),-2)</f>
        <v>38600</v>
      </c>
      <c r="W417" s="97">
        <f t="shared" si="491"/>
        <v>64400</v>
      </c>
      <c r="X417" s="208">
        <f t="shared" si="555"/>
        <v>167300</v>
      </c>
      <c r="Y417" s="98">
        <f t="shared" si="27"/>
        <v>193100</v>
      </c>
      <c r="Z417" s="121">
        <v>0</v>
      </c>
      <c r="AA417" s="121">
        <f t="shared" si="556"/>
        <v>6357.4</v>
      </c>
      <c r="AB417" s="121">
        <f t="shared" si="557"/>
        <v>3346</v>
      </c>
      <c r="AC417" s="99">
        <f t="shared" si="8"/>
        <v>19310</v>
      </c>
      <c r="AD417" s="121">
        <f t="shared" si="558"/>
        <v>157596.6</v>
      </c>
      <c r="AE417" s="99">
        <f t="shared" si="10"/>
        <v>173790</v>
      </c>
      <c r="AF417" s="121">
        <f t="shared" si="559"/>
        <v>1575.9660000000001</v>
      </c>
      <c r="AG417" s="100">
        <f t="shared" si="560"/>
        <v>27320.634000000005</v>
      </c>
      <c r="AH417" s="101">
        <f t="shared" si="29"/>
        <v>43514.034</v>
      </c>
      <c r="AI417" s="102">
        <f t="shared" ref="AI417:AJ417" si="638">AG417/X417</f>
        <v>0.16330325164375376</v>
      </c>
      <c r="AJ417" s="102">
        <f t="shared" si="638"/>
        <v>0.22534455722423616</v>
      </c>
      <c r="AK417" s="103"/>
      <c r="AL417" s="104"/>
      <c r="AM417" s="17"/>
      <c r="AN417" s="17"/>
      <c r="AO417" s="17"/>
      <c r="AP417" s="17"/>
      <c r="AQ417" s="17"/>
      <c r="AR417" s="17"/>
      <c r="AS417" s="17"/>
      <c r="AT417" s="17"/>
      <c r="AU417" s="17"/>
      <c r="AV417" s="17"/>
      <c r="AW417" s="22">
        <v>4685277297</v>
      </c>
    </row>
    <row r="418" spans="1:49" ht="13.2">
      <c r="A418" s="119">
        <f>HYPERLINK("https://smartstore.naver.com/brickstore2019/products/4685297191",AW:AW)</f>
        <v>4685297191</v>
      </c>
      <c r="B418" s="266"/>
      <c r="C418" s="117" t="s">
        <v>907</v>
      </c>
      <c r="D418" s="117"/>
      <c r="E418" s="117" t="s">
        <v>908</v>
      </c>
      <c r="F418" s="123"/>
      <c r="G418" s="124" t="str">
        <f>HYPERLINK("https://www.amazon.com/99-Series-2-5-Balanced-Cable/dp/B07FQ2BCK5","A")</f>
        <v>A</v>
      </c>
      <c r="H418" s="125"/>
      <c r="I418" s="125"/>
      <c r="J418" s="93">
        <v>50</v>
      </c>
      <c r="K418" s="82">
        <f t="shared" ref="K418:K424" si="639">IF(L418&gt;0,L418*0.0625,)</f>
        <v>0.125</v>
      </c>
      <c r="L418" s="82">
        <v>2</v>
      </c>
      <c r="M418" s="82">
        <f t="shared" si="550"/>
        <v>5.6698999999999999E-2</v>
      </c>
      <c r="N418" s="93">
        <v>0</v>
      </c>
      <c r="O418" s="93">
        <v>0</v>
      </c>
      <c r="P418" s="95">
        <f t="shared" si="551"/>
        <v>50</v>
      </c>
      <c r="Q418" s="96">
        <f t="shared" si="552"/>
        <v>62500</v>
      </c>
      <c r="R418" s="96">
        <v>0</v>
      </c>
      <c r="S418" s="97">
        <f t="shared" si="553"/>
        <v>62500</v>
      </c>
      <c r="T418" s="97">
        <f>ROUNDUP(HLOOKUP(ROUNDUP(K418,0),'배송비 조회'!A$10:U$22,7,0)*C$3,-2)</f>
        <v>9000</v>
      </c>
      <c r="U418" s="97">
        <v>0</v>
      </c>
      <c r="V418" s="207">
        <f t="shared" si="637"/>
        <v>21500</v>
      </c>
      <c r="W418" s="97">
        <f t="shared" si="491"/>
        <v>35800</v>
      </c>
      <c r="X418" s="208">
        <f t="shared" si="555"/>
        <v>93000</v>
      </c>
      <c r="Y418" s="98">
        <f t="shared" si="27"/>
        <v>107300</v>
      </c>
      <c r="Z418" s="121">
        <v>0</v>
      </c>
      <c r="AA418" s="121">
        <f t="shared" si="556"/>
        <v>3534</v>
      </c>
      <c r="AB418" s="121">
        <f t="shared" si="557"/>
        <v>1860</v>
      </c>
      <c r="AC418" s="99">
        <f t="shared" si="8"/>
        <v>10730</v>
      </c>
      <c r="AD418" s="121">
        <f t="shared" si="558"/>
        <v>87606</v>
      </c>
      <c r="AE418" s="99">
        <f t="shared" si="10"/>
        <v>96570</v>
      </c>
      <c r="AF418" s="121">
        <f t="shared" si="559"/>
        <v>876.06000000000006</v>
      </c>
      <c r="AG418" s="100">
        <f t="shared" si="560"/>
        <v>15229.939999999999</v>
      </c>
      <c r="AH418" s="101">
        <f t="shared" si="29"/>
        <v>24193.940000000002</v>
      </c>
      <c r="AI418" s="102">
        <f t="shared" ref="AI418:AJ418" si="640">AG418/X418</f>
        <v>0.16376279569892471</v>
      </c>
      <c r="AJ418" s="102">
        <f t="shared" si="640"/>
        <v>0.22547940354147253</v>
      </c>
      <c r="AK418" s="103"/>
      <c r="AL418" s="104"/>
      <c r="AM418" s="17"/>
      <c r="AN418" s="17"/>
      <c r="AO418" s="17"/>
      <c r="AP418" s="17"/>
      <c r="AQ418" s="17"/>
      <c r="AR418" s="17"/>
      <c r="AS418" s="17"/>
      <c r="AT418" s="17"/>
      <c r="AU418" s="17"/>
      <c r="AV418" s="17"/>
      <c r="AW418" s="22">
        <v>4685297191</v>
      </c>
    </row>
    <row r="419" spans="1:49" ht="13.2">
      <c r="A419" s="303">
        <f>HYPERLINK("https://smartstore.naver.com/brickstore2019/products/4685309861",AW:AW)</f>
        <v>4685309861</v>
      </c>
      <c r="B419" s="266"/>
      <c r="C419" s="304" t="s">
        <v>909</v>
      </c>
      <c r="D419" s="117"/>
      <c r="E419" s="304" t="s">
        <v>910</v>
      </c>
      <c r="F419" s="123" t="s">
        <v>55</v>
      </c>
      <c r="G419" s="124" t="str">
        <f>HYPERLINK("https://www.amazon.com/Plantronics-BackBeat-Sweatproof-Waterproof-Headphones/dp/B07FTK45WT/ref=sr_1_3?keywords=Plantronics%2BBackBeat%2BFit%2B3100%2BTrue%2BWireless%2BSports%2BEarbuds&amp;qid=1569917428&amp;s=gateway&amp;sr=8-3&amp;th=1","A")</f>
        <v>A</v>
      </c>
      <c r="H419" s="125"/>
      <c r="I419" s="125"/>
      <c r="J419" s="93">
        <v>110</v>
      </c>
      <c r="K419" s="82">
        <f t="shared" si="639"/>
        <v>0.7</v>
      </c>
      <c r="L419" s="82">
        <v>11.2</v>
      </c>
      <c r="M419" s="82">
        <f t="shared" si="550"/>
        <v>0.31751439999999997</v>
      </c>
      <c r="N419" s="93">
        <v>0</v>
      </c>
      <c r="O419" s="93">
        <v>0</v>
      </c>
      <c r="P419" s="95">
        <f t="shared" si="551"/>
        <v>110</v>
      </c>
      <c r="Q419" s="96">
        <f t="shared" si="552"/>
        <v>137500</v>
      </c>
      <c r="R419" s="96">
        <v>0</v>
      </c>
      <c r="S419" s="97">
        <f t="shared" si="553"/>
        <v>137500</v>
      </c>
      <c r="T419" s="97">
        <f>ROUNDUP(HLOOKUP(ROUNDUP(K419,0),'배송비 조회'!A$10:U$22,7,0)*C$3,-2)</f>
        <v>9000</v>
      </c>
      <c r="U419" s="97">
        <v>0</v>
      </c>
      <c r="V419" s="207">
        <f t="shared" si="637"/>
        <v>44000</v>
      </c>
      <c r="W419" s="97">
        <f t="shared" si="491"/>
        <v>73300</v>
      </c>
      <c r="X419" s="208">
        <f t="shared" si="555"/>
        <v>190500</v>
      </c>
      <c r="Y419" s="98">
        <f t="shared" si="27"/>
        <v>219800</v>
      </c>
      <c r="Z419" s="121">
        <v>0</v>
      </c>
      <c r="AA419" s="121">
        <f t="shared" si="556"/>
        <v>7239</v>
      </c>
      <c r="AB419" s="121">
        <f t="shared" si="557"/>
        <v>3810</v>
      </c>
      <c r="AC419" s="99">
        <f t="shared" si="8"/>
        <v>21980</v>
      </c>
      <c r="AD419" s="121">
        <f t="shared" si="558"/>
        <v>179451</v>
      </c>
      <c r="AE419" s="99">
        <f t="shared" si="10"/>
        <v>197820</v>
      </c>
      <c r="AF419" s="121">
        <f t="shared" si="559"/>
        <v>1794.51</v>
      </c>
      <c r="AG419" s="100">
        <f t="shared" si="560"/>
        <v>31156.489999999998</v>
      </c>
      <c r="AH419" s="101">
        <f t="shared" si="29"/>
        <v>49525.49</v>
      </c>
      <c r="AI419" s="102">
        <f t="shared" ref="AI419:AJ419" si="641">AG419/X419</f>
        <v>0.16355112860892387</v>
      </c>
      <c r="AJ419" s="102">
        <f t="shared" si="641"/>
        <v>0.22532070063694268</v>
      </c>
      <c r="AK419" s="103"/>
      <c r="AL419" s="104"/>
      <c r="AM419" s="17"/>
      <c r="AN419" s="17"/>
      <c r="AO419" s="17"/>
      <c r="AP419" s="17"/>
      <c r="AQ419" s="17"/>
      <c r="AR419" s="17"/>
      <c r="AS419" s="17"/>
      <c r="AT419" s="17"/>
      <c r="AU419" s="17"/>
      <c r="AV419" s="17"/>
      <c r="AW419" s="296">
        <v>4685309861</v>
      </c>
    </row>
    <row r="420" spans="1:49" ht="13.2">
      <c r="A420" s="302"/>
      <c r="B420" s="266"/>
      <c r="C420" s="302"/>
      <c r="D420" s="117"/>
      <c r="E420" s="302"/>
      <c r="F420" s="123" t="s">
        <v>248</v>
      </c>
      <c r="G420" s="124" t="str">
        <f>HYPERLINK("https://www.amazon.com/Plantronics-BackBeat-Sweatproof-Waterproof-Headphones/dp/B07FTYGFR2/ref=sr_1_3?keywords=Plantronics%2BBackBeat%2BFit%2B3100%2BTrue%2BWireless%2BSports%2BEarbuds&amp;qid=1569917428&amp;s=gateway&amp;sr=8-3&amp;th=1","A")</f>
        <v>A</v>
      </c>
      <c r="H420" s="125"/>
      <c r="I420" s="125"/>
      <c r="J420" s="93">
        <v>110</v>
      </c>
      <c r="K420" s="82">
        <f t="shared" si="639"/>
        <v>0.7</v>
      </c>
      <c r="L420" s="82">
        <v>11.2</v>
      </c>
      <c r="M420" s="82">
        <f t="shared" si="550"/>
        <v>0.31751439999999997</v>
      </c>
      <c r="N420" s="93">
        <v>0</v>
      </c>
      <c r="O420" s="93">
        <v>0</v>
      </c>
      <c r="P420" s="95">
        <f t="shared" si="551"/>
        <v>110</v>
      </c>
      <c r="Q420" s="96">
        <f t="shared" si="552"/>
        <v>137500</v>
      </c>
      <c r="R420" s="96">
        <v>0</v>
      </c>
      <c r="S420" s="97">
        <f t="shared" si="553"/>
        <v>137500</v>
      </c>
      <c r="T420" s="97">
        <f>ROUNDUP(HLOOKUP(ROUNDUP(K420,0),'배송비 조회'!A$10:U$22,7,0)*C$3,-2)</f>
        <v>9000</v>
      </c>
      <c r="U420" s="97">
        <v>0</v>
      </c>
      <c r="V420" s="207">
        <f t="shared" si="637"/>
        <v>44000</v>
      </c>
      <c r="W420" s="97">
        <f t="shared" si="491"/>
        <v>73300</v>
      </c>
      <c r="X420" s="208">
        <f t="shared" si="555"/>
        <v>190500</v>
      </c>
      <c r="Y420" s="98">
        <f t="shared" si="27"/>
        <v>219800</v>
      </c>
      <c r="Z420" s="121">
        <v>0</v>
      </c>
      <c r="AA420" s="121">
        <f t="shared" si="556"/>
        <v>7239</v>
      </c>
      <c r="AB420" s="121">
        <f t="shared" si="557"/>
        <v>3810</v>
      </c>
      <c r="AC420" s="99">
        <f t="shared" si="8"/>
        <v>21980</v>
      </c>
      <c r="AD420" s="121">
        <f t="shared" si="558"/>
        <v>179451</v>
      </c>
      <c r="AE420" s="99">
        <f t="shared" si="10"/>
        <v>197820</v>
      </c>
      <c r="AF420" s="121">
        <f t="shared" si="559"/>
        <v>1794.51</v>
      </c>
      <c r="AG420" s="100">
        <f t="shared" si="560"/>
        <v>31156.489999999998</v>
      </c>
      <c r="AH420" s="101">
        <f t="shared" si="29"/>
        <v>49525.49</v>
      </c>
      <c r="AI420" s="102">
        <f t="shared" ref="AI420:AJ420" si="642">AG420/X420</f>
        <v>0.16355112860892387</v>
      </c>
      <c r="AJ420" s="102">
        <f t="shared" si="642"/>
        <v>0.22532070063694268</v>
      </c>
      <c r="AK420" s="103">
        <f>X420-X419</f>
        <v>0</v>
      </c>
      <c r="AL420" s="104"/>
      <c r="AM420" s="17"/>
      <c r="AN420" s="17"/>
      <c r="AO420" s="17"/>
      <c r="AP420" s="17"/>
      <c r="AQ420" s="17"/>
      <c r="AR420" s="17"/>
      <c r="AS420" s="17"/>
      <c r="AT420" s="17"/>
      <c r="AU420" s="17"/>
      <c r="AV420" s="17"/>
      <c r="AW420" s="297"/>
    </row>
    <row r="421" spans="1:49" ht="13.2">
      <c r="A421" s="303">
        <f>HYPERLINK("https://smartstore.naver.com/brickstore2019/products/4685310847",AW:AW)</f>
        <v>4685310847</v>
      </c>
      <c r="B421" s="266"/>
      <c r="C421" s="304" t="s">
        <v>911</v>
      </c>
      <c r="D421" s="117"/>
      <c r="E421" s="304" t="s">
        <v>912</v>
      </c>
      <c r="F421" s="123" t="s">
        <v>55</v>
      </c>
      <c r="G421" s="218" t="s">
        <v>1293</v>
      </c>
      <c r="H421" s="125"/>
      <c r="I421" s="125"/>
      <c r="J421" s="93">
        <v>40</v>
      </c>
      <c r="K421" s="82">
        <f t="shared" si="639"/>
        <v>0.3125</v>
      </c>
      <c r="L421" s="82">
        <v>5</v>
      </c>
      <c r="M421" s="82">
        <f t="shared" si="550"/>
        <v>0.1417475</v>
      </c>
      <c r="N421" s="93">
        <v>0</v>
      </c>
      <c r="O421" s="93">
        <v>0</v>
      </c>
      <c r="P421" s="95">
        <f t="shared" si="551"/>
        <v>40</v>
      </c>
      <c r="Q421" s="96">
        <f t="shared" si="552"/>
        <v>50000</v>
      </c>
      <c r="R421" s="96">
        <v>0</v>
      </c>
      <c r="S421" s="97">
        <f t="shared" si="553"/>
        <v>50000</v>
      </c>
      <c r="T421" s="97">
        <f>ROUNDUP(HLOOKUP(ROUNDUP(K421,0),'배송비 조회'!A$10:U$22,7,0)*C$3,-2)</f>
        <v>9000</v>
      </c>
      <c r="U421" s="97">
        <v>0</v>
      </c>
      <c r="V421" s="207">
        <f t="shared" si="637"/>
        <v>17700</v>
      </c>
      <c r="W421" s="97">
        <f t="shared" si="491"/>
        <v>29500</v>
      </c>
      <c r="X421" s="208">
        <f t="shared" si="555"/>
        <v>76700</v>
      </c>
      <c r="Y421" s="98">
        <f t="shared" si="27"/>
        <v>88500</v>
      </c>
      <c r="Z421" s="121">
        <v>0</v>
      </c>
      <c r="AA421" s="121">
        <f t="shared" si="556"/>
        <v>2914.6</v>
      </c>
      <c r="AB421" s="121">
        <f t="shared" si="557"/>
        <v>1534</v>
      </c>
      <c r="AC421" s="99">
        <f t="shared" si="8"/>
        <v>8850</v>
      </c>
      <c r="AD421" s="121">
        <f t="shared" si="558"/>
        <v>72251.399999999994</v>
      </c>
      <c r="AE421" s="99">
        <f t="shared" si="10"/>
        <v>79650</v>
      </c>
      <c r="AF421" s="121">
        <f t="shared" si="559"/>
        <v>722.51400000000001</v>
      </c>
      <c r="AG421" s="100">
        <f t="shared" si="560"/>
        <v>12528.885999999995</v>
      </c>
      <c r="AH421" s="101">
        <f t="shared" si="29"/>
        <v>19927.486000000001</v>
      </c>
      <c r="AI421" s="102">
        <f t="shared" ref="AI421:AJ421" si="643">AG421/X421</f>
        <v>0.16334923076923069</v>
      </c>
      <c r="AJ421" s="102">
        <f t="shared" si="643"/>
        <v>0.22516933333333333</v>
      </c>
      <c r="AK421" s="103"/>
      <c r="AL421" s="104"/>
      <c r="AM421" s="17"/>
      <c r="AN421" s="17"/>
      <c r="AO421" s="17"/>
      <c r="AP421" s="17"/>
      <c r="AQ421" s="17"/>
      <c r="AR421" s="17"/>
      <c r="AS421" s="17"/>
      <c r="AT421" s="17"/>
      <c r="AU421" s="17"/>
      <c r="AV421" s="17"/>
      <c r="AW421" s="296">
        <v>4685310847</v>
      </c>
    </row>
    <row r="422" spans="1:49" ht="13.2">
      <c r="A422" s="302"/>
      <c r="B422" s="266"/>
      <c r="C422" s="302"/>
      <c r="D422" s="117"/>
      <c r="E422" s="302"/>
      <c r="F422" s="123" t="s">
        <v>58</v>
      </c>
      <c r="G422" s="218" t="s">
        <v>1293</v>
      </c>
      <c r="H422" s="125"/>
      <c r="I422" s="125"/>
      <c r="J422" s="93">
        <v>40</v>
      </c>
      <c r="K422" s="82">
        <f t="shared" si="639"/>
        <v>0.3125</v>
      </c>
      <c r="L422" s="82">
        <v>5</v>
      </c>
      <c r="M422" s="82">
        <f t="shared" si="550"/>
        <v>0.1417475</v>
      </c>
      <c r="N422" s="93">
        <v>0</v>
      </c>
      <c r="O422" s="93">
        <v>0</v>
      </c>
      <c r="P422" s="95">
        <f t="shared" si="551"/>
        <v>40</v>
      </c>
      <c r="Q422" s="96">
        <f t="shared" si="552"/>
        <v>50000</v>
      </c>
      <c r="R422" s="96">
        <v>0</v>
      </c>
      <c r="S422" s="97">
        <f t="shared" si="553"/>
        <v>50000</v>
      </c>
      <c r="T422" s="97">
        <f>ROUNDUP(HLOOKUP(ROUNDUP(K422,0),'배송비 조회'!A$10:U$22,7,0)*C$3,-2)</f>
        <v>9000</v>
      </c>
      <c r="U422" s="97">
        <v>0</v>
      </c>
      <c r="V422" s="207">
        <f t="shared" si="637"/>
        <v>17700</v>
      </c>
      <c r="W422" s="97">
        <f t="shared" si="491"/>
        <v>29500</v>
      </c>
      <c r="X422" s="208">
        <f t="shared" si="555"/>
        <v>76700</v>
      </c>
      <c r="Y422" s="98">
        <f t="shared" si="27"/>
        <v>88500</v>
      </c>
      <c r="Z422" s="121">
        <v>0</v>
      </c>
      <c r="AA422" s="121">
        <f t="shared" si="556"/>
        <v>2914.6</v>
      </c>
      <c r="AB422" s="121">
        <f t="shared" si="557"/>
        <v>1534</v>
      </c>
      <c r="AC422" s="99">
        <f t="shared" si="8"/>
        <v>8850</v>
      </c>
      <c r="AD422" s="121">
        <f t="shared" si="558"/>
        <v>72251.399999999994</v>
      </c>
      <c r="AE422" s="99">
        <f t="shared" si="10"/>
        <v>79650</v>
      </c>
      <c r="AF422" s="121">
        <f t="shared" si="559"/>
        <v>722.51400000000001</v>
      </c>
      <c r="AG422" s="100">
        <f t="shared" si="560"/>
        <v>12528.885999999995</v>
      </c>
      <c r="AH422" s="101">
        <f t="shared" si="29"/>
        <v>19927.486000000001</v>
      </c>
      <c r="AI422" s="102">
        <f t="shared" ref="AI422:AJ422" si="644">AG422/X422</f>
        <v>0.16334923076923069</v>
      </c>
      <c r="AJ422" s="102">
        <f t="shared" si="644"/>
        <v>0.22516933333333333</v>
      </c>
      <c r="AK422" s="103"/>
      <c r="AL422" s="104"/>
      <c r="AM422" s="17"/>
      <c r="AN422" s="17"/>
      <c r="AO422" s="17"/>
      <c r="AP422" s="17"/>
      <c r="AQ422" s="17"/>
      <c r="AR422" s="17"/>
      <c r="AS422" s="17"/>
      <c r="AT422" s="17"/>
      <c r="AU422" s="17"/>
      <c r="AV422" s="17"/>
      <c r="AW422" s="297"/>
    </row>
    <row r="423" spans="1:49" ht="13.2">
      <c r="A423" s="302"/>
      <c r="B423" s="266"/>
      <c r="C423" s="302"/>
      <c r="D423" s="117"/>
      <c r="E423" s="302"/>
      <c r="F423" s="123" t="s">
        <v>92</v>
      </c>
      <c r="G423" s="218" t="s">
        <v>1293</v>
      </c>
      <c r="H423" s="125"/>
      <c r="I423" s="125"/>
      <c r="J423" s="93">
        <v>40</v>
      </c>
      <c r="K423" s="82">
        <f t="shared" si="639"/>
        <v>0.3125</v>
      </c>
      <c r="L423" s="82">
        <v>5</v>
      </c>
      <c r="M423" s="82">
        <f t="shared" si="550"/>
        <v>0.1417475</v>
      </c>
      <c r="N423" s="93">
        <v>0</v>
      </c>
      <c r="O423" s="93">
        <v>0</v>
      </c>
      <c r="P423" s="95">
        <f t="shared" si="551"/>
        <v>40</v>
      </c>
      <c r="Q423" s="96">
        <f t="shared" ref="Q423:Q486" si="645">P423*C$3</f>
        <v>50000</v>
      </c>
      <c r="R423" s="96">
        <v>0</v>
      </c>
      <c r="S423" s="97">
        <f t="shared" si="553"/>
        <v>50000</v>
      </c>
      <c r="T423" s="97">
        <f>ROUNDUP(HLOOKUP(ROUNDUP(K423,0),'배송비 조회'!A$10:U$22,7,0)*C$3,-2)</f>
        <v>9000</v>
      </c>
      <c r="U423" s="97">
        <v>0</v>
      </c>
      <c r="V423" s="207">
        <f t="shared" si="637"/>
        <v>17700</v>
      </c>
      <c r="W423" s="97">
        <f t="shared" si="491"/>
        <v>29500</v>
      </c>
      <c r="X423" s="208">
        <f t="shared" si="555"/>
        <v>76700</v>
      </c>
      <c r="Y423" s="98">
        <f t="shared" si="27"/>
        <v>88500</v>
      </c>
      <c r="Z423" s="121">
        <v>0</v>
      </c>
      <c r="AA423" s="121">
        <f t="shared" si="556"/>
        <v>2914.6</v>
      </c>
      <c r="AB423" s="121">
        <f t="shared" si="557"/>
        <v>1534</v>
      </c>
      <c r="AC423" s="99">
        <f t="shared" si="8"/>
        <v>8850</v>
      </c>
      <c r="AD423" s="121">
        <f t="shared" si="558"/>
        <v>72251.399999999994</v>
      </c>
      <c r="AE423" s="99">
        <f t="shared" si="10"/>
        <v>79650</v>
      </c>
      <c r="AF423" s="121">
        <f t="shared" si="559"/>
        <v>722.51400000000001</v>
      </c>
      <c r="AG423" s="100">
        <f t="shared" si="560"/>
        <v>12528.885999999995</v>
      </c>
      <c r="AH423" s="101">
        <f t="shared" si="29"/>
        <v>19927.486000000001</v>
      </c>
      <c r="AI423" s="102">
        <f t="shared" ref="AI423:AJ423" si="646">AG423/X423</f>
        <v>0.16334923076923069</v>
      </c>
      <c r="AJ423" s="102">
        <f t="shared" si="646"/>
        <v>0.22516933333333333</v>
      </c>
      <c r="AK423" s="103"/>
      <c r="AL423" s="104"/>
      <c r="AM423" s="17"/>
      <c r="AN423" s="17"/>
      <c r="AO423" s="17"/>
      <c r="AP423" s="17"/>
      <c r="AQ423" s="17"/>
      <c r="AR423" s="17"/>
      <c r="AS423" s="17"/>
      <c r="AT423" s="17"/>
      <c r="AU423" s="17"/>
      <c r="AV423" s="17"/>
      <c r="AW423" s="297"/>
    </row>
    <row r="424" spans="1:49" ht="13.2">
      <c r="A424" s="119">
        <f>HYPERLINK("https://smartstore.naver.com/brickstore2019/products/4686444780",AW:AW)</f>
        <v>4686444780</v>
      </c>
      <c r="B424" s="266"/>
      <c r="C424" s="117" t="s">
        <v>913</v>
      </c>
      <c r="D424" s="117"/>
      <c r="E424" s="117" t="s">
        <v>914</v>
      </c>
      <c r="F424" s="123"/>
      <c r="G424" s="124" t="str">
        <f>HYPERLINK("https://www.amazon.com/dp/B00NUSPQIK/ref=cm_sw_r_cp_apa_i_1jiLDbF2RY7R5","A")</f>
        <v>A</v>
      </c>
      <c r="H424" s="125"/>
      <c r="I424" s="125"/>
      <c r="J424" s="93">
        <v>110</v>
      </c>
      <c r="K424" s="82">
        <f t="shared" si="639"/>
        <v>0.375</v>
      </c>
      <c r="L424" s="82">
        <v>6</v>
      </c>
      <c r="M424" s="82">
        <f t="shared" si="550"/>
        <v>0.170097</v>
      </c>
      <c r="N424" s="93">
        <v>0</v>
      </c>
      <c r="O424" s="93">
        <v>0</v>
      </c>
      <c r="P424" s="95">
        <f t="shared" si="551"/>
        <v>110</v>
      </c>
      <c r="Q424" s="96">
        <f t="shared" si="645"/>
        <v>137500</v>
      </c>
      <c r="R424" s="96">
        <v>0</v>
      </c>
      <c r="S424" s="97">
        <f t="shared" si="553"/>
        <v>137500</v>
      </c>
      <c r="T424" s="97">
        <f>ROUNDUP(HLOOKUP(ROUNDUP(K424,0),'배송비 조회'!A$10:U$22,7,0)*C$3,-2)</f>
        <v>9000</v>
      </c>
      <c r="U424" s="97">
        <v>0</v>
      </c>
      <c r="V424" s="207">
        <f t="shared" ref="V424:V426" si="647">ROUND(IF(R424&gt;0,0,(S424+T424)*0.2),-2)</f>
        <v>29300</v>
      </c>
      <c r="W424" s="97">
        <f t="shared" si="491"/>
        <v>73300</v>
      </c>
      <c r="X424" s="208">
        <f t="shared" si="555"/>
        <v>175800</v>
      </c>
      <c r="Y424" s="98">
        <f t="shared" si="27"/>
        <v>219800</v>
      </c>
      <c r="Z424" s="121">
        <v>0</v>
      </c>
      <c r="AA424" s="121">
        <f t="shared" si="556"/>
        <v>6680.4</v>
      </c>
      <c r="AB424" s="121">
        <f t="shared" si="557"/>
        <v>3516</v>
      </c>
      <c r="AC424" s="99">
        <f t="shared" si="8"/>
        <v>21980</v>
      </c>
      <c r="AD424" s="121">
        <f t="shared" si="558"/>
        <v>165603.6</v>
      </c>
      <c r="AE424" s="99">
        <f t="shared" si="10"/>
        <v>197820</v>
      </c>
      <c r="AF424" s="121">
        <f t="shared" si="559"/>
        <v>1656.0360000000001</v>
      </c>
      <c r="AG424" s="100">
        <f t="shared" si="560"/>
        <v>17447.564000000006</v>
      </c>
      <c r="AH424" s="101">
        <f t="shared" si="29"/>
        <v>49663.964</v>
      </c>
      <c r="AI424" s="102">
        <f t="shared" ref="AI424:AJ424" si="648">AG424/X424</f>
        <v>9.9246666666666705E-2</v>
      </c>
      <c r="AJ424" s="102">
        <f t="shared" si="648"/>
        <v>0.22595070063694267</v>
      </c>
      <c r="AK424" s="103">
        <f>X424-50000</f>
        <v>125800</v>
      </c>
      <c r="AL424" s="104"/>
      <c r="AM424" s="17"/>
      <c r="AN424" s="17"/>
      <c r="AO424" s="17"/>
      <c r="AP424" s="17"/>
      <c r="AQ424" s="17"/>
      <c r="AR424" s="17"/>
      <c r="AS424" s="17"/>
      <c r="AT424" s="17"/>
      <c r="AU424" s="17"/>
      <c r="AV424" s="17"/>
      <c r="AW424" s="22">
        <v>4686444780</v>
      </c>
    </row>
    <row r="425" spans="1:49" ht="13.2">
      <c r="A425" s="303">
        <f>HYPERLINK("https://smartstore.naver.com/brickstore2019/products/4686457958",AW:AW)</f>
        <v>4686457958</v>
      </c>
      <c r="B425" s="266"/>
      <c r="C425" s="304" t="s">
        <v>915</v>
      </c>
      <c r="D425" s="117"/>
      <c r="E425" s="304" t="s">
        <v>916</v>
      </c>
      <c r="F425" s="123" t="s">
        <v>55</v>
      </c>
      <c r="G425" s="124" t="str">
        <f>HYPERLINK("https://www.amazon.com/dp/B07NNF7WH1/ref=cm_sw_r_cp_apa_i_KShLDb6JVF9XZ?th=1","A")</f>
        <v>A</v>
      </c>
      <c r="H425" s="125"/>
      <c r="I425" s="125"/>
      <c r="J425" s="125">
        <v>100</v>
      </c>
      <c r="K425" s="82">
        <v>2</v>
      </c>
      <c r="L425" s="82">
        <f t="shared" ref="L425:L426" si="649">IF(K425&gt;0,K425*16,)</f>
        <v>32</v>
      </c>
      <c r="M425" s="82">
        <f t="shared" si="550"/>
        <v>0.90718399999999999</v>
      </c>
      <c r="N425" s="93">
        <v>0</v>
      </c>
      <c r="O425" s="93">
        <v>0</v>
      </c>
      <c r="P425" s="95">
        <f t="shared" si="551"/>
        <v>100</v>
      </c>
      <c r="Q425" s="96">
        <f t="shared" si="645"/>
        <v>125000</v>
      </c>
      <c r="R425" s="96">
        <v>0</v>
      </c>
      <c r="S425" s="97">
        <f t="shared" si="553"/>
        <v>125000</v>
      </c>
      <c r="T425" s="97">
        <f>ROUNDUP(HLOOKUP(ROUNDUP(K425,0),'배송비 조회'!A$10:U$22,7,0)*C$3,-2)</f>
        <v>11200</v>
      </c>
      <c r="U425" s="97">
        <v>0</v>
      </c>
      <c r="V425" s="207">
        <f t="shared" si="647"/>
        <v>27200</v>
      </c>
      <c r="W425" s="97">
        <f t="shared" si="491"/>
        <v>68100</v>
      </c>
      <c r="X425" s="208">
        <f t="shared" si="555"/>
        <v>163400</v>
      </c>
      <c r="Y425" s="98">
        <f t="shared" si="27"/>
        <v>204300</v>
      </c>
      <c r="Z425" s="121">
        <v>0</v>
      </c>
      <c r="AA425" s="121">
        <f t="shared" si="556"/>
        <v>6209.2</v>
      </c>
      <c r="AB425" s="121">
        <f t="shared" si="557"/>
        <v>3268</v>
      </c>
      <c r="AC425" s="99">
        <f t="shared" si="8"/>
        <v>20430</v>
      </c>
      <c r="AD425" s="121">
        <f t="shared" si="558"/>
        <v>153922.79999999999</v>
      </c>
      <c r="AE425" s="99">
        <f t="shared" si="10"/>
        <v>183870</v>
      </c>
      <c r="AF425" s="121">
        <f t="shared" si="559"/>
        <v>1539.2279999999998</v>
      </c>
      <c r="AG425" s="100">
        <f t="shared" si="560"/>
        <v>16183.571999999989</v>
      </c>
      <c r="AH425" s="101">
        <f t="shared" si="29"/>
        <v>46130.771999999997</v>
      </c>
      <c r="AI425" s="102">
        <f t="shared" ref="AI425:AJ425" si="650">AG425/X425</f>
        <v>9.9042668298653547E-2</v>
      </c>
      <c r="AJ425" s="102">
        <f t="shared" si="650"/>
        <v>0.2257991776798825</v>
      </c>
      <c r="AK425" s="103"/>
      <c r="AL425" s="104"/>
      <c r="AM425" s="17"/>
      <c r="AN425" s="17"/>
      <c r="AO425" s="17"/>
      <c r="AP425" s="17"/>
      <c r="AQ425" s="17"/>
      <c r="AR425" s="17"/>
      <c r="AS425" s="17"/>
      <c r="AT425" s="17"/>
      <c r="AU425" s="17"/>
      <c r="AV425" s="17"/>
      <c r="AW425" s="296">
        <v>4686457958</v>
      </c>
    </row>
    <row r="426" spans="1:49" ht="13.2">
      <c r="A426" s="302"/>
      <c r="B426" s="266"/>
      <c r="C426" s="302"/>
      <c r="D426" s="117"/>
      <c r="E426" s="302"/>
      <c r="F426" s="123" t="s">
        <v>98</v>
      </c>
      <c r="G426" s="124" t="str">
        <f>HYPERLINK("https://www.amazon.com/dp/B07NNR1JH5/ref=cm_sw_r_cp_apa_i_KShLDb6JVF9XZ?th=1","A")</f>
        <v>A</v>
      </c>
      <c r="H426" s="125"/>
      <c r="I426" s="125"/>
      <c r="J426" s="125">
        <v>100</v>
      </c>
      <c r="K426" s="82">
        <v>2</v>
      </c>
      <c r="L426" s="82">
        <f t="shared" si="649"/>
        <v>32</v>
      </c>
      <c r="M426" s="82">
        <f t="shared" si="550"/>
        <v>0.90718399999999999</v>
      </c>
      <c r="N426" s="93">
        <v>0</v>
      </c>
      <c r="O426" s="93">
        <v>0</v>
      </c>
      <c r="P426" s="95">
        <f t="shared" si="551"/>
        <v>100</v>
      </c>
      <c r="Q426" s="96">
        <f t="shared" si="645"/>
        <v>125000</v>
      </c>
      <c r="R426" s="96">
        <v>0</v>
      </c>
      <c r="S426" s="97">
        <f t="shared" si="553"/>
        <v>125000</v>
      </c>
      <c r="T426" s="97">
        <f>ROUNDUP(HLOOKUP(ROUNDUP(K426,0),'배송비 조회'!A$10:U$22,7,0)*C$3,-2)</f>
        <v>11200</v>
      </c>
      <c r="U426" s="97">
        <v>0</v>
      </c>
      <c r="V426" s="207">
        <f t="shared" si="647"/>
        <v>27200</v>
      </c>
      <c r="W426" s="97">
        <f t="shared" si="491"/>
        <v>68100</v>
      </c>
      <c r="X426" s="208">
        <f t="shared" si="555"/>
        <v>163400</v>
      </c>
      <c r="Y426" s="98">
        <f t="shared" si="27"/>
        <v>204300</v>
      </c>
      <c r="Z426" s="121">
        <v>0</v>
      </c>
      <c r="AA426" s="121">
        <f t="shared" si="556"/>
        <v>6209.2</v>
      </c>
      <c r="AB426" s="121">
        <f t="shared" si="557"/>
        <v>3268</v>
      </c>
      <c r="AC426" s="99">
        <f t="shared" si="8"/>
        <v>20430</v>
      </c>
      <c r="AD426" s="121">
        <f t="shared" si="558"/>
        <v>153922.79999999999</v>
      </c>
      <c r="AE426" s="99">
        <f t="shared" si="10"/>
        <v>183870</v>
      </c>
      <c r="AF426" s="121">
        <f t="shared" si="559"/>
        <v>1539.2279999999998</v>
      </c>
      <c r="AG426" s="100">
        <f t="shared" si="560"/>
        <v>16183.571999999989</v>
      </c>
      <c r="AH426" s="101">
        <f t="shared" si="29"/>
        <v>46130.771999999997</v>
      </c>
      <c r="AI426" s="102">
        <f t="shared" ref="AI426:AJ426" si="651">AG426/X426</f>
        <v>9.9042668298653547E-2</v>
      </c>
      <c r="AJ426" s="102">
        <f t="shared" si="651"/>
        <v>0.2257991776798825</v>
      </c>
      <c r="AK426" s="103"/>
      <c r="AL426" s="104"/>
      <c r="AM426" s="17"/>
      <c r="AN426" s="17"/>
      <c r="AO426" s="17"/>
      <c r="AP426" s="17"/>
      <c r="AQ426" s="17"/>
      <c r="AR426" s="17"/>
      <c r="AS426" s="17"/>
      <c r="AT426" s="17"/>
      <c r="AU426" s="17"/>
      <c r="AV426" s="17"/>
      <c r="AW426" s="297"/>
    </row>
    <row r="427" spans="1:49" ht="13.2">
      <c r="A427" s="303">
        <f>HYPERLINK("https://smartstore.naver.com/brickstore2019/products/4686475163",AW:AW)</f>
        <v>4686475163</v>
      </c>
      <c r="B427" s="266"/>
      <c r="C427" s="304" t="s">
        <v>917</v>
      </c>
      <c r="D427" s="117"/>
      <c r="E427" s="304" t="s">
        <v>918</v>
      </c>
      <c r="F427" s="123" t="s">
        <v>98</v>
      </c>
      <c r="G427" s="124" t="str">
        <f>HYPERLINK("https://www.amazon.com/dp/B07P5D2TH8/ref=psdc_3767531_t1_B07RQS3T45?th=1","A")</f>
        <v>A</v>
      </c>
      <c r="H427" s="125"/>
      <c r="I427" s="125"/>
      <c r="J427" s="125">
        <v>100</v>
      </c>
      <c r="K427" s="82">
        <f t="shared" ref="K427:K432" si="652">IF(L427&gt;0,L427*0.0625,)</f>
        <v>1</v>
      </c>
      <c r="L427" s="82">
        <v>16</v>
      </c>
      <c r="M427" s="82">
        <f t="shared" si="550"/>
        <v>0.453592</v>
      </c>
      <c r="N427" s="93">
        <v>0</v>
      </c>
      <c r="O427" s="93">
        <v>0</v>
      </c>
      <c r="P427" s="95">
        <f t="shared" si="551"/>
        <v>100</v>
      </c>
      <c r="Q427" s="96">
        <f t="shared" si="645"/>
        <v>125000</v>
      </c>
      <c r="R427" s="96">
        <v>0</v>
      </c>
      <c r="S427" s="97">
        <f t="shared" si="553"/>
        <v>125000</v>
      </c>
      <c r="T427" s="97">
        <f>ROUNDUP(HLOOKUP(ROUNDUP(K427,0),'배송비 조회'!A$10:U$22,7,0)*C$3,-2)</f>
        <v>9000</v>
      </c>
      <c r="U427" s="97">
        <v>0</v>
      </c>
      <c r="V427" s="207">
        <f t="shared" ref="V427:V428" si="653">ROUND(IF(R427&gt;0,0,(S427+T427)*0.3),-2)</f>
        <v>40200</v>
      </c>
      <c r="W427" s="97">
        <f t="shared" si="491"/>
        <v>67000</v>
      </c>
      <c r="X427" s="208">
        <f t="shared" si="555"/>
        <v>174200</v>
      </c>
      <c r="Y427" s="98">
        <f t="shared" si="27"/>
        <v>201000</v>
      </c>
      <c r="Z427" s="121">
        <v>0</v>
      </c>
      <c r="AA427" s="121">
        <f t="shared" si="556"/>
        <v>6619.5999999999995</v>
      </c>
      <c r="AB427" s="121">
        <f t="shared" si="557"/>
        <v>3484</v>
      </c>
      <c r="AC427" s="99">
        <f t="shared" si="8"/>
        <v>20100</v>
      </c>
      <c r="AD427" s="121">
        <f t="shared" si="558"/>
        <v>164096.4</v>
      </c>
      <c r="AE427" s="99">
        <f t="shared" si="10"/>
        <v>180900</v>
      </c>
      <c r="AF427" s="121">
        <f t="shared" si="559"/>
        <v>1640.9639999999999</v>
      </c>
      <c r="AG427" s="100">
        <f t="shared" si="560"/>
        <v>28455.435999999994</v>
      </c>
      <c r="AH427" s="101">
        <f t="shared" si="29"/>
        <v>45259.036</v>
      </c>
      <c r="AI427" s="102">
        <f t="shared" ref="AI427:AJ427" si="654">AG427/X427</f>
        <v>0.16334923076923075</v>
      </c>
      <c r="AJ427" s="102">
        <f t="shared" si="654"/>
        <v>0.22516933333333333</v>
      </c>
      <c r="AK427" s="103"/>
      <c r="AL427" s="104"/>
      <c r="AM427" s="17"/>
      <c r="AN427" s="17"/>
      <c r="AO427" s="17"/>
      <c r="AP427" s="17"/>
      <c r="AQ427" s="17"/>
      <c r="AR427" s="17"/>
      <c r="AS427" s="17"/>
      <c r="AT427" s="17"/>
      <c r="AU427" s="17"/>
      <c r="AV427" s="17"/>
      <c r="AW427" s="296">
        <v>4686475163</v>
      </c>
    </row>
    <row r="428" spans="1:49" ht="13.2">
      <c r="A428" s="302"/>
      <c r="B428" s="266"/>
      <c r="C428" s="302"/>
      <c r="D428" s="117"/>
      <c r="E428" s="302"/>
      <c r="F428" s="123" t="s">
        <v>92</v>
      </c>
      <c r="G428" s="124" t="str">
        <f>HYPERLINK("https://www.amazon.com/dp/B07P1QLP6V/ref=psdc_3767531_t1_B07RQS3T45?th=1","A")</f>
        <v>A</v>
      </c>
      <c r="H428" s="125"/>
      <c r="I428" s="125"/>
      <c r="J428" s="125">
        <v>130</v>
      </c>
      <c r="K428" s="82">
        <f t="shared" si="652"/>
        <v>1</v>
      </c>
      <c r="L428" s="82">
        <v>16</v>
      </c>
      <c r="M428" s="82">
        <f t="shared" si="550"/>
        <v>0.453592</v>
      </c>
      <c r="N428" s="93">
        <v>0</v>
      </c>
      <c r="O428" s="93">
        <v>0</v>
      </c>
      <c r="P428" s="95">
        <f t="shared" si="551"/>
        <v>130</v>
      </c>
      <c r="Q428" s="96">
        <f t="shared" si="645"/>
        <v>162500</v>
      </c>
      <c r="R428" s="96">
        <v>0</v>
      </c>
      <c r="S428" s="97">
        <f t="shared" si="553"/>
        <v>162500</v>
      </c>
      <c r="T428" s="97">
        <f>ROUNDUP(HLOOKUP(ROUNDUP(K428,0),'배송비 조회'!A$10:U$22,7,0)*C$3,-2)</f>
        <v>9000</v>
      </c>
      <c r="U428" s="97">
        <v>0</v>
      </c>
      <c r="V428" s="207">
        <f t="shared" si="653"/>
        <v>51500</v>
      </c>
      <c r="W428" s="97">
        <f t="shared" si="491"/>
        <v>85800</v>
      </c>
      <c r="X428" s="208">
        <f t="shared" si="555"/>
        <v>223000</v>
      </c>
      <c r="Y428" s="98">
        <f t="shared" si="27"/>
        <v>257300</v>
      </c>
      <c r="Z428" s="121">
        <v>0</v>
      </c>
      <c r="AA428" s="121">
        <f t="shared" si="556"/>
        <v>8474</v>
      </c>
      <c r="AB428" s="121">
        <f t="shared" si="557"/>
        <v>4460</v>
      </c>
      <c r="AC428" s="99">
        <f t="shared" si="8"/>
        <v>25730</v>
      </c>
      <c r="AD428" s="121">
        <f t="shared" si="558"/>
        <v>210066</v>
      </c>
      <c r="AE428" s="99">
        <f t="shared" si="10"/>
        <v>231570</v>
      </c>
      <c r="AF428" s="121">
        <f t="shared" si="559"/>
        <v>2100.66</v>
      </c>
      <c r="AG428" s="100">
        <f t="shared" si="560"/>
        <v>36465.339999999997</v>
      </c>
      <c r="AH428" s="101">
        <f t="shared" si="29"/>
        <v>57969.34</v>
      </c>
      <c r="AI428" s="102">
        <f t="shared" ref="AI428:AJ428" si="655">AG428/X428</f>
        <v>0.16352170403587443</v>
      </c>
      <c r="AJ428" s="102">
        <f t="shared" si="655"/>
        <v>0.225298639720171</v>
      </c>
      <c r="AK428" s="103">
        <f>X428-X427</f>
        <v>48800</v>
      </c>
      <c r="AL428" s="104"/>
      <c r="AM428" s="17"/>
      <c r="AN428" s="17"/>
      <c r="AO428" s="17"/>
      <c r="AP428" s="17"/>
      <c r="AQ428" s="17"/>
      <c r="AR428" s="17"/>
      <c r="AS428" s="17"/>
      <c r="AT428" s="17"/>
      <c r="AU428" s="17"/>
      <c r="AV428" s="17"/>
      <c r="AW428" s="297"/>
    </row>
    <row r="429" spans="1:49" ht="13.2">
      <c r="A429" s="303">
        <f>HYPERLINK("https://smartstore.naver.com/brickstore2019/products/4686586404",AW:AW)</f>
        <v>4686586404</v>
      </c>
      <c r="B429" s="338" t="s">
        <v>1294</v>
      </c>
      <c r="C429" s="304" t="s">
        <v>919</v>
      </c>
      <c r="D429" s="304" t="s">
        <v>920</v>
      </c>
      <c r="E429" s="304" t="s">
        <v>921</v>
      </c>
      <c r="F429" s="123" t="s">
        <v>922</v>
      </c>
      <c r="G429" s="218" t="s">
        <v>1293</v>
      </c>
      <c r="H429" s="125"/>
      <c r="I429" s="125"/>
      <c r="J429" s="201">
        <v>25</v>
      </c>
      <c r="K429" s="82">
        <f t="shared" si="652"/>
        <v>0.9375</v>
      </c>
      <c r="L429" s="82">
        <v>15</v>
      </c>
      <c r="M429" s="82">
        <f t="shared" si="550"/>
        <v>0.42524249999999997</v>
      </c>
      <c r="N429" s="93">
        <v>0</v>
      </c>
      <c r="O429" s="93">
        <v>0</v>
      </c>
      <c r="P429" s="95">
        <f t="shared" si="551"/>
        <v>25</v>
      </c>
      <c r="Q429" s="96">
        <f t="shared" si="645"/>
        <v>31250</v>
      </c>
      <c r="R429" s="96">
        <v>0</v>
      </c>
      <c r="S429" s="97">
        <f t="shared" si="553"/>
        <v>31300</v>
      </c>
      <c r="T429" s="97">
        <f>ROUNDUP(HLOOKUP(ROUNDUP(K429,0),'배송비 조회'!A$10:U$22,7,0)*C$3,-2)</f>
        <v>9000</v>
      </c>
      <c r="U429" s="97">
        <v>0</v>
      </c>
      <c r="V429" s="207">
        <f>ROUND(IF(R429&gt;0,0,(S429+T429)*0.4),-2)</f>
        <v>16100</v>
      </c>
      <c r="W429" s="97">
        <f t="shared" si="491"/>
        <v>20200</v>
      </c>
      <c r="X429" s="208">
        <f t="shared" si="555"/>
        <v>56400</v>
      </c>
      <c r="Y429" s="98">
        <f t="shared" si="27"/>
        <v>60500</v>
      </c>
      <c r="Z429" s="121">
        <v>0</v>
      </c>
      <c r="AA429" s="121">
        <f t="shared" si="556"/>
        <v>2143.1999999999998</v>
      </c>
      <c r="AB429" s="121">
        <f t="shared" si="557"/>
        <v>1128</v>
      </c>
      <c r="AC429" s="99">
        <f t="shared" si="8"/>
        <v>6050</v>
      </c>
      <c r="AD429" s="121">
        <f t="shared" si="558"/>
        <v>53128.800000000003</v>
      </c>
      <c r="AE429" s="99">
        <f t="shared" si="10"/>
        <v>54450</v>
      </c>
      <c r="AF429" s="121">
        <f t="shared" si="559"/>
        <v>531.28800000000001</v>
      </c>
      <c r="AG429" s="100">
        <f t="shared" si="560"/>
        <v>12347.512000000002</v>
      </c>
      <c r="AH429" s="101">
        <f t="shared" si="29"/>
        <v>13668.712</v>
      </c>
      <c r="AI429" s="102">
        <f t="shared" ref="AI429:AJ429" si="656">AG429/X429</f>
        <v>0.21892751773049648</v>
      </c>
      <c r="AJ429" s="102">
        <f t="shared" si="656"/>
        <v>0.22592912396694215</v>
      </c>
      <c r="AK429" s="103"/>
      <c r="AL429" s="104"/>
      <c r="AM429" s="17"/>
      <c r="AN429" s="17"/>
      <c r="AO429" s="17"/>
      <c r="AP429" s="17"/>
      <c r="AQ429" s="17"/>
      <c r="AR429" s="17"/>
      <c r="AS429" s="17"/>
      <c r="AT429" s="17"/>
      <c r="AU429" s="17"/>
      <c r="AV429" s="17"/>
      <c r="AW429" s="296">
        <v>4686586404</v>
      </c>
    </row>
    <row r="430" spans="1:49" ht="13.2">
      <c r="A430" s="302"/>
      <c r="B430" s="306"/>
      <c r="C430" s="302"/>
      <c r="D430" s="302"/>
      <c r="E430" s="302"/>
      <c r="F430" s="123" t="s">
        <v>746</v>
      </c>
      <c r="G430" s="218" t="s">
        <v>1293</v>
      </c>
      <c r="H430" s="125"/>
      <c r="I430" s="125"/>
      <c r="J430" s="93">
        <v>40</v>
      </c>
      <c r="K430" s="82">
        <f t="shared" si="652"/>
        <v>0.9375</v>
      </c>
      <c r="L430" s="82">
        <v>15</v>
      </c>
      <c r="M430" s="82">
        <f t="shared" si="550"/>
        <v>0.42524249999999997</v>
      </c>
      <c r="N430" s="93">
        <v>0</v>
      </c>
      <c r="O430" s="93">
        <v>0</v>
      </c>
      <c r="P430" s="95">
        <f t="shared" si="551"/>
        <v>40</v>
      </c>
      <c r="Q430" s="96">
        <f t="shared" si="645"/>
        <v>50000</v>
      </c>
      <c r="R430" s="96">
        <v>0</v>
      </c>
      <c r="S430" s="97">
        <f t="shared" si="553"/>
        <v>50000</v>
      </c>
      <c r="T430" s="97">
        <f>ROUNDUP(HLOOKUP(ROUNDUP(K430,0),'배송비 조회'!A$10:U$22,7,0)*C$3,-2)</f>
        <v>9000</v>
      </c>
      <c r="U430" s="97">
        <v>0</v>
      </c>
      <c r="V430" s="207">
        <f t="shared" ref="V430:V447" si="657">ROUND(IF(R430&gt;0,0,(S430+T430)*0.3),-2)</f>
        <v>17700</v>
      </c>
      <c r="W430" s="97">
        <f t="shared" si="491"/>
        <v>29500</v>
      </c>
      <c r="X430" s="208">
        <f t="shared" si="555"/>
        <v>76700</v>
      </c>
      <c r="Y430" s="98">
        <f t="shared" si="27"/>
        <v>88500</v>
      </c>
      <c r="Z430" s="121">
        <v>0</v>
      </c>
      <c r="AA430" s="121">
        <f t="shared" si="556"/>
        <v>2914.6</v>
      </c>
      <c r="AB430" s="121">
        <f t="shared" si="557"/>
        <v>1534</v>
      </c>
      <c r="AC430" s="99">
        <f t="shared" si="8"/>
        <v>8850</v>
      </c>
      <c r="AD430" s="121">
        <f t="shared" si="558"/>
        <v>72251.399999999994</v>
      </c>
      <c r="AE430" s="99">
        <f t="shared" si="10"/>
        <v>79650</v>
      </c>
      <c r="AF430" s="121">
        <f t="shared" si="559"/>
        <v>722.51400000000001</v>
      </c>
      <c r="AG430" s="100">
        <f t="shared" si="560"/>
        <v>12528.885999999995</v>
      </c>
      <c r="AH430" s="101">
        <f t="shared" si="29"/>
        <v>19927.486000000001</v>
      </c>
      <c r="AI430" s="102">
        <f t="shared" ref="AI430:AJ430" si="658">AG430/X430</f>
        <v>0.16334923076923069</v>
      </c>
      <c r="AJ430" s="102">
        <f t="shared" si="658"/>
        <v>0.22516933333333333</v>
      </c>
      <c r="AK430" s="103"/>
      <c r="AL430" s="104"/>
      <c r="AM430" s="17"/>
      <c r="AN430" s="17"/>
      <c r="AO430" s="17"/>
      <c r="AP430" s="17"/>
      <c r="AQ430" s="17"/>
      <c r="AR430" s="17"/>
      <c r="AS430" s="17"/>
      <c r="AT430" s="17"/>
      <c r="AU430" s="17"/>
      <c r="AV430" s="17"/>
      <c r="AW430" s="297"/>
    </row>
    <row r="431" spans="1:49" ht="13.2">
      <c r="A431" s="302"/>
      <c r="B431" s="306"/>
      <c r="C431" s="302"/>
      <c r="D431" s="302"/>
      <c r="E431" s="302"/>
      <c r="F431" s="123" t="s">
        <v>923</v>
      </c>
      <c r="G431" s="218" t="s">
        <v>1293</v>
      </c>
      <c r="H431" s="125"/>
      <c r="I431" s="125"/>
      <c r="J431" s="125">
        <v>40</v>
      </c>
      <c r="K431" s="82">
        <f t="shared" si="652"/>
        <v>0.9375</v>
      </c>
      <c r="L431" s="82">
        <v>15</v>
      </c>
      <c r="M431" s="82">
        <f t="shared" si="550"/>
        <v>0.42524249999999997</v>
      </c>
      <c r="N431" s="93">
        <v>0</v>
      </c>
      <c r="O431" s="93">
        <v>0</v>
      </c>
      <c r="P431" s="95">
        <f t="shared" si="551"/>
        <v>40</v>
      </c>
      <c r="Q431" s="96">
        <f t="shared" si="645"/>
        <v>50000</v>
      </c>
      <c r="R431" s="96">
        <v>0</v>
      </c>
      <c r="S431" s="97">
        <f t="shared" si="553"/>
        <v>50000</v>
      </c>
      <c r="T431" s="97">
        <f>ROUNDUP(HLOOKUP(ROUNDUP(K431,0),'배송비 조회'!A$10:U$22,7,0)*C$3,-2)</f>
        <v>9000</v>
      </c>
      <c r="U431" s="97">
        <v>0</v>
      </c>
      <c r="V431" s="207">
        <f t="shared" si="657"/>
        <v>17700</v>
      </c>
      <c r="W431" s="97">
        <f t="shared" si="491"/>
        <v>29500</v>
      </c>
      <c r="X431" s="208">
        <f t="shared" si="555"/>
        <v>76700</v>
      </c>
      <c r="Y431" s="98">
        <f t="shared" si="27"/>
        <v>88500</v>
      </c>
      <c r="Z431" s="121">
        <v>0</v>
      </c>
      <c r="AA431" s="121">
        <f t="shared" si="556"/>
        <v>2914.6</v>
      </c>
      <c r="AB431" s="121">
        <f t="shared" si="557"/>
        <v>1534</v>
      </c>
      <c r="AC431" s="99">
        <f t="shared" si="8"/>
        <v>8850</v>
      </c>
      <c r="AD431" s="121">
        <f t="shared" si="558"/>
        <v>72251.399999999994</v>
      </c>
      <c r="AE431" s="99">
        <f t="shared" si="10"/>
        <v>79650</v>
      </c>
      <c r="AF431" s="121">
        <f t="shared" si="559"/>
        <v>722.51400000000001</v>
      </c>
      <c r="AG431" s="100">
        <f t="shared" si="560"/>
        <v>12528.885999999995</v>
      </c>
      <c r="AH431" s="101">
        <f t="shared" si="29"/>
        <v>19927.486000000001</v>
      </c>
      <c r="AI431" s="102">
        <f t="shared" ref="AI431:AJ431" si="659">AG431/X431</f>
        <v>0.16334923076923069</v>
      </c>
      <c r="AJ431" s="102">
        <f t="shared" si="659"/>
        <v>0.22516933333333333</v>
      </c>
      <c r="AK431" s="103">
        <f>X431-X429</f>
        <v>20300</v>
      </c>
      <c r="AL431" s="104"/>
      <c r="AM431" s="17"/>
      <c r="AN431" s="17"/>
      <c r="AO431" s="17"/>
      <c r="AP431" s="17"/>
      <c r="AQ431" s="17"/>
      <c r="AR431" s="17"/>
      <c r="AS431" s="17"/>
      <c r="AT431" s="17"/>
      <c r="AU431" s="17"/>
      <c r="AV431" s="17"/>
      <c r="AW431" s="297"/>
    </row>
    <row r="432" spans="1:49" ht="13.2">
      <c r="A432" s="302"/>
      <c r="B432" s="306"/>
      <c r="C432" s="302"/>
      <c r="D432" s="302"/>
      <c r="E432" s="302"/>
      <c r="F432" s="123" t="s">
        <v>749</v>
      </c>
      <c r="G432" s="218" t="s">
        <v>1293</v>
      </c>
      <c r="H432" s="125"/>
      <c r="I432" s="125"/>
      <c r="J432" s="125">
        <v>40</v>
      </c>
      <c r="K432" s="82">
        <f t="shared" si="652"/>
        <v>0.9375</v>
      </c>
      <c r="L432" s="82">
        <v>15</v>
      </c>
      <c r="M432" s="82">
        <f t="shared" si="550"/>
        <v>0.42524249999999997</v>
      </c>
      <c r="N432" s="93">
        <v>0</v>
      </c>
      <c r="O432" s="93">
        <v>0</v>
      </c>
      <c r="P432" s="95">
        <f t="shared" si="551"/>
        <v>40</v>
      </c>
      <c r="Q432" s="96">
        <f t="shared" si="645"/>
        <v>50000</v>
      </c>
      <c r="R432" s="96">
        <v>0</v>
      </c>
      <c r="S432" s="97">
        <f t="shared" si="553"/>
        <v>50000</v>
      </c>
      <c r="T432" s="97">
        <f>ROUNDUP(HLOOKUP(ROUNDUP(K432,0),'배송비 조회'!A$10:U$22,7,0)*C$3,-2)</f>
        <v>9000</v>
      </c>
      <c r="U432" s="97">
        <v>0</v>
      </c>
      <c r="V432" s="207">
        <f t="shared" si="657"/>
        <v>17700</v>
      </c>
      <c r="W432" s="97">
        <f t="shared" si="491"/>
        <v>29500</v>
      </c>
      <c r="X432" s="208">
        <f t="shared" si="555"/>
        <v>76700</v>
      </c>
      <c r="Y432" s="98">
        <f t="shared" si="27"/>
        <v>88500</v>
      </c>
      <c r="Z432" s="121">
        <v>0</v>
      </c>
      <c r="AA432" s="121">
        <f t="shared" si="556"/>
        <v>2914.6</v>
      </c>
      <c r="AB432" s="121">
        <f t="shared" si="557"/>
        <v>1534</v>
      </c>
      <c r="AC432" s="99">
        <f t="shared" si="8"/>
        <v>8850</v>
      </c>
      <c r="AD432" s="121">
        <f t="shared" si="558"/>
        <v>72251.399999999994</v>
      </c>
      <c r="AE432" s="99">
        <f t="shared" si="10"/>
        <v>79650</v>
      </c>
      <c r="AF432" s="121">
        <f t="shared" si="559"/>
        <v>722.51400000000001</v>
      </c>
      <c r="AG432" s="100">
        <f t="shared" si="560"/>
        <v>12528.885999999995</v>
      </c>
      <c r="AH432" s="101">
        <f t="shared" si="29"/>
        <v>19927.486000000001</v>
      </c>
      <c r="AI432" s="102">
        <f t="shared" ref="AI432:AJ432" si="660">AG432/X432</f>
        <v>0.16334923076923069</v>
      </c>
      <c r="AJ432" s="102">
        <f t="shared" si="660"/>
        <v>0.22516933333333333</v>
      </c>
      <c r="AK432" s="135"/>
      <c r="AL432" s="104"/>
      <c r="AM432" s="17"/>
      <c r="AN432" s="17"/>
      <c r="AO432" s="17"/>
      <c r="AP432" s="17"/>
      <c r="AQ432" s="17"/>
      <c r="AR432" s="17"/>
      <c r="AS432" s="17"/>
      <c r="AT432" s="17"/>
      <c r="AU432" s="17"/>
      <c r="AV432" s="17"/>
      <c r="AW432" s="297"/>
    </row>
    <row r="433" spans="1:49" ht="13.2">
      <c r="A433" s="119">
        <f>HYPERLINK("https://smartstore.naver.com/brickstore2019/products/4686898692",AW:AW)</f>
        <v>4686898692</v>
      </c>
      <c r="B433" s="266"/>
      <c r="C433" s="117" t="s">
        <v>924</v>
      </c>
      <c r="D433" s="117"/>
      <c r="E433" s="117" t="s">
        <v>925</v>
      </c>
      <c r="F433" s="123"/>
      <c r="G433" s="218" t="s">
        <v>1293</v>
      </c>
      <c r="H433" s="125"/>
      <c r="I433" s="125"/>
      <c r="J433" s="125">
        <v>99.95</v>
      </c>
      <c r="K433" s="82">
        <v>3.2</v>
      </c>
      <c r="L433" s="82">
        <f t="shared" ref="L433:L446" si="661">IF(K433&gt;0,K433*16,)</f>
        <v>51.2</v>
      </c>
      <c r="M433" s="82">
        <f t="shared" si="550"/>
        <v>1.4514944000000001</v>
      </c>
      <c r="N433" s="93">
        <v>0</v>
      </c>
      <c r="O433" s="93">
        <v>0</v>
      </c>
      <c r="P433" s="95">
        <f t="shared" si="551"/>
        <v>99.95</v>
      </c>
      <c r="Q433" s="96">
        <f t="shared" si="645"/>
        <v>124937.5</v>
      </c>
      <c r="R433" s="96">
        <v>0</v>
      </c>
      <c r="S433" s="97">
        <f t="shared" si="553"/>
        <v>124900</v>
      </c>
      <c r="T433" s="97">
        <f>ROUNDUP(HLOOKUP(ROUNDUP(K433,0),'배송비 조회'!A$10:U$22,7,0)*C$3,-2)</f>
        <v>15600</v>
      </c>
      <c r="U433" s="97">
        <v>0</v>
      </c>
      <c r="V433" s="207">
        <f t="shared" si="657"/>
        <v>42200</v>
      </c>
      <c r="W433" s="97">
        <f t="shared" si="491"/>
        <v>70300</v>
      </c>
      <c r="X433" s="208">
        <f t="shared" si="555"/>
        <v>182700</v>
      </c>
      <c r="Y433" s="98">
        <f t="shared" si="27"/>
        <v>210800</v>
      </c>
      <c r="Z433" s="121">
        <v>0</v>
      </c>
      <c r="AA433" s="121">
        <f t="shared" si="556"/>
        <v>6942.5999999999995</v>
      </c>
      <c r="AB433" s="121">
        <f t="shared" si="557"/>
        <v>3654</v>
      </c>
      <c r="AC433" s="99">
        <f t="shared" si="8"/>
        <v>21080</v>
      </c>
      <c r="AD433" s="121">
        <f t="shared" si="558"/>
        <v>172103.4</v>
      </c>
      <c r="AE433" s="99">
        <f t="shared" si="10"/>
        <v>189720</v>
      </c>
      <c r="AF433" s="121">
        <f t="shared" si="559"/>
        <v>1721.0339999999999</v>
      </c>
      <c r="AG433" s="100">
        <f t="shared" si="560"/>
        <v>29844.865999999995</v>
      </c>
      <c r="AH433" s="101">
        <f t="shared" si="29"/>
        <v>47461.466</v>
      </c>
      <c r="AI433" s="102">
        <f t="shared" ref="AI433:AJ433" si="662">AG433/X433</f>
        <v>0.16335449370552815</v>
      </c>
      <c r="AJ433" s="102">
        <f t="shared" si="662"/>
        <v>0.22514926944971536</v>
      </c>
      <c r="AK433" s="103"/>
      <c r="AL433" s="104"/>
      <c r="AM433" s="17"/>
      <c r="AN433" s="17"/>
      <c r="AO433" s="17"/>
      <c r="AP433" s="17"/>
      <c r="AQ433" s="17"/>
      <c r="AR433" s="17"/>
      <c r="AS433" s="17"/>
      <c r="AT433" s="17"/>
      <c r="AU433" s="17"/>
      <c r="AV433" s="17"/>
      <c r="AW433" s="22">
        <v>4686898692</v>
      </c>
    </row>
    <row r="434" spans="1:49" ht="13.2">
      <c r="A434" s="303">
        <f>HYPERLINK("https://smartstore.naver.com/brickstore2019/products/4686924301",AW:AW)</f>
        <v>4686924301</v>
      </c>
      <c r="B434" s="266"/>
      <c r="C434" s="304" t="s">
        <v>926</v>
      </c>
      <c r="D434" s="117"/>
      <c r="E434" s="304" t="s">
        <v>927</v>
      </c>
      <c r="F434" s="123" t="s">
        <v>55</v>
      </c>
      <c r="G434" s="124" t="str">
        <f>HYPERLINK("https://www.amazon.com/Wilson-Womens-Fold-Backpack-Black/dp/B07HNP1VQH/ref=sr_1_3?keywords=Wilson%2BWomen%27s%2BFold%2BOver%2BBackpack%2BBag%2BBlack&amp;qid=1569990421&amp;s=gateway&amp;sr=8-3&amp;th=1","A")</f>
        <v>A</v>
      </c>
      <c r="H434" s="125"/>
      <c r="I434" s="125"/>
      <c r="J434" s="125">
        <v>89</v>
      </c>
      <c r="K434" s="82">
        <v>2</v>
      </c>
      <c r="L434" s="82">
        <f t="shared" si="661"/>
        <v>32</v>
      </c>
      <c r="M434" s="82">
        <f t="shared" si="550"/>
        <v>0.90718399999999999</v>
      </c>
      <c r="N434" s="93">
        <v>0</v>
      </c>
      <c r="O434" s="93">
        <v>0</v>
      </c>
      <c r="P434" s="95">
        <f t="shared" si="551"/>
        <v>89</v>
      </c>
      <c r="Q434" s="96">
        <f t="shared" si="645"/>
        <v>111250</v>
      </c>
      <c r="R434" s="96">
        <v>0</v>
      </c>
      <c r="S434" s="97">
        <f t="shared" si="553"/>
        <v>111300</v>
      </c>
      <c r="T434" s="97">
        <f>ROUNDUP(HLOOKUP(ROUNDUP(K434,0),'배송비 조회'!A$10:U$22,7,0)*C$3,-2)</f>
        <v>11200</v>
      </c>
      <c r="U434" s="97">
        <v>0</v>
      </c>
      <c r="V434" s="207">
        <f t="shared" si="657"/>
        <v>36800</v>
      </c>
      <c r="W434" s="97">
        <f t="shared" si="491"/>
        <v>61300</v>
      </c>
      <c r="X434" s="208">
        <f t="shared" si="555"/>
        <v>159300</v>
      </c>
      <c r="Y434" s="98">
        <f t="shared" si="27"/>
        <v>183800</v>
      </c>
      <c r="Z434" s="121">
        <v>0</v>
      </c>
      <c r="AA434" s="121">
        <f t="shared" si="556"/>
        <v>6053.4</v>
      </c>
      <c r="AB434" s="121">
        <f t="shared" si="557"/>
        <v>3186</v>
      </c>
      <c r="AC434" s="99">
        <f t="shared" si="8"/>
        <v>18380</v>
      </c>
      <c r="AD434" s="121">
        <f t="shared" si="558"/>
        <v>150060.6</v>
      </c>
      <c r="AE434" s="99">
        <f t="shared" si="10"/>
        <v>165420</v>
      </c>
      <c r="AF434" s="121">
        <f t="shared" si="559"/>
        <v>1500.606</v>
      </c>
      <c r="AG434" s="100">
        <f t="shared" si="560"/>
        <v>26109.994000000006</v>
      </c>
      <c r="AH434" s="101">
        <f t="shared" si="29"/>
        <v>41469.394</v>
      </c>
      <c r="AI434" s="102">
        <f t="shared" ref="AI434:AJ434" si="663">AG434/X434</f>
        <v>0.16390454488386696</v>
      </c>
      <c r="AJ434" s="102">
        <f t="shared" si="663"/>
        <v>0.22562238302502721</v>
      </c>
      <c r="AK434" s="103"/>
      <c r="AL434" s="104"/>
      <c r="AM434" s="17"/>
      <c r="AN434" s="17"/>
      <c r="AO434" s="17"/>
      <c r="AP434" s="17"/>
      <c r="AQ434" s="17"/>
      <c r="AR434" s="17"/>
      <c r="AS434" s="17"/>
      <c r="AT434" s="17"/>
      <c r="AU434" s="17"/>
      <c r="AV434" s="17"/>
      <c r="AW434" s="296">
        <v>4686924301</v>
      </c>
    </row>
    <row r="435" spans="1:49" ht="13.2">
      <c r="A435" s="302"/>
      <c r="B435" s="266"/>
      <c r="C435" s="302"/>
      <c r="D435" s="117"/>
      <c r="E435" s="302"/>
      <c r="F435" s="123" t="s">
        <v>53</v>
      </c>
      <c r="G435" s="124" t="str">
        <f>HYPERLINK("https://www.amazon.com/Wilson-Womens-Fold-Backpack-Black/dp/B07HNNY1N6/ref=sr_1_3?keywords=Wilson%2BWomen%27s%2BFold%2BOver%2BBackpack%2BBag%2BBlack&amp;qid=1569990421&amp;s=gateway&amp;sr=8-3&amp;th=1","A")</f>
        <v>A</v>
      </c>
      <c r="H435" s="125"/>
      <c r="I435" s="125"/>
      <c r="J435" s="125">
        <v>85</v>
      </c>
      <c r="K435" s="82">
        <v>2</v>
      </c>
      <c r="L435" s="82">
        <f t="shared" si="661"/>
        <v>32</v>
      </c>
      <c r="M435" s="82">
        <f t="shared" si="550"/>
        <v>0.90718399999999999</v>
      </c>
      <c r="N435" s="93">
        <v>0</v>
      </c>
      <c r="O435" s="93">
        <v>0</v>
      </c>
      <c r="P435" s="95">
        <f t="shared" si="551"/>
        <v>85</v>
      </c>
      <c r="Q435" s="96">
        <f t="shared" si="645"/>
        <v>106250</v>
      </c>
      <c r="R435" s="96">
        <v>0</v>
      </c>
      <c r="S435" s="97">
        <f t="shared" si="553"/>
        <v>106300</v>
      </c>
      <c r="T435" s="97">
        <f>ROUNDUP(HLOOKUP(ROUNDUP(K435,0),'배송비 조회'!A$10:U$22,7,0)*C$3,-2)</f>
        <v>11200</v>
      </c>
      <c r="U435" s="97">
        <v>0</v>
      </c>
      <c r="V435" s="207">
        <f t="shared" si="657"/>
        <v>35300</v>
      </c>
      <c r="W435" s="97">
        <f t="shared" si="491"/>
        <v>58800</v>
      </c>
      <c r="X435" s="208">
        <f t="shared" si="555"/>
        <v>152800</v>
      </c>
      <c r="Y435" s="98">
        <f t="shared" si="27"/>
        <v>176300</v>
      </c>
      <c r="Z435" s="121">
        <v>0</v>
      </c>
      <c r="AA435" s="121">
        <f t="shared" si="556"/>
        <v>5806.4</v>
      </c>
      <c r="AB435" s="121">
        <f t="shared" si="557"/>
        <v>3056</v>
      </c>
      <c r="AC435" s="99">
        <f t="shared" si="8"/>
        <v>17630</v>
      </c>
      <c r="AD435" s="121">
        <f t="shared" si="558"/>
        <v>143937.60000000001</v>
      </c>
      <c r="AE435" s="99">
        <f t="shared" si="10"/>
        <v>158670</v>
      </c>
      <c r="AF435" s="121">
        <f t="shared" si="559"/>
        <v>1439.376</v>
      </c>
      <c r="AG435" s="100">
        <f t="shared" si="560"/>
        <v>25048.224000000009</v>
      </c>
      <c r="AH435" s="101">
        <f t="shared" si="29"/>
        <v>39780.624000000003</v>
      </c>
      <c r="AI435" s="102">
        <f t="shared" ref="AI435:AJ435" si="664">AG435/X435</f>
        <v>0.16392816753926709</v>
      </c>
      <c r="AJ435" s="102">
        <f t="shared" si="664"/>
        <v>0.22564165626772548</v>
      </c>
      <c r="AK435" s="103"/>
      <c r="AL435" s="104"/>
      <c r="AM435" s="17"/>
      <c r="AN435" s="17"/>
      <c r="AO435" s="17"/>
      <c r="AP435" s="17"/>
      <c r="AQ435" s="17"/>
      <c r="AR435" s="17"/>
      <c r="AS435" s="17"/>
      <c r="AT435" s="17"/>
      <c r="AU435" s="17"/>
      <c r="AV435" s="17"/>
      <c r="AW435" s="297"/>
    </row>
    <row r="436" spans="1:49" ht="13.2">
      <c r="A436" s="302"/>
      <c r="B436" s="266"/>
      <c r="C436" s="302"/>
      <c r="D436" s="117"/>
      <c r="E436" s="302"/>
      <c r="F436" s="123" t="s">
        <v>126</v>
      </c>
      <c r="G436" s="124" t="str">
        <f>HYPERLINK("https://www.amazon.com/Wilson-Womens-Fold-Backpack-Black/dp/B07HNNXF35/ref=sr_1_3?keywords=Wilson%2BWomen%27s%2BFold%2BOver%2BBackpack%2BBag%2BBlack&amp;qid=1569990421&amp;s=gateway&amp;sr=8-3&amp;th=1","A")</f>
        <v>A</v>
      </c>
      <c r="H436" s="125"/>
      <c r="I436" s="125"/>
      <c r="J436" s="93">
        <v>87</v>
      </c>
      <c r="K436" s="82">
        <v>2</v>
      </c>
      <c r="L436" s="82">
        <f t="shared" si="661"/>
        <v>32</v>
      </c>
      <c r="M436" s="82">
        <f t="shared" si="550"/>
        <v>0.90718399999999999</v>
      </c>
      <c r="N436" s="93">
        <v>0</v>
      </c>
      <c r="O436" s="93">
        <v>0</v>
      </c>
      <c r="P436" s="95">
        <f t="shared" si="551"/>
        <v>87</v>
      </c>
      <c r="Q436" s="96">
        <f t="shared" si="645"/>
        <v>108750</v>
      </c>
      <c r="R436" s="96">
        <v>0</v>
      </c>
      <c r="S436" s="97">
        <f t="shared" si="553"/>
        <v>108800</v>
      </c>
      <c r="T436" s="97">
        <f>ROUNDUP(HLOOKUP(ROUNDUP(K436,0),'배송비 조회'!A$10:U$22,7,0)*C$3,-2)</f>
        <v>11200</v>
      </c>
      <c r="U436" s="97">
        <v>0</v>
      </c>
      <c r="V436" s="207">
        <f t="shared" si="657"/>
        <v>36000</v>
      </c>
      <c r="W436" s="97">
        <f t="shared" si="491"/>
        <v>60000</v>
      </c>
      <c r="X436" s="208">
        <f t="shared" si="555"/>
        <v>156000</v>
      </c>
      <c r="Y436" s="98">
        <f t="shared" si="27"/>
        <v>180000</v>
      </c>
      <c r="Z436" s="121">
        <v>0</v>
      </c>
      <c r="AA436" s="121">
        <f t="shared" si="556"/>
        <v>5928</v>
      </c>
      <c r="AB436" s="121">
        <f t="shared" si="557"/>
        <v>3120</v>
      </c>
      <c r="AC436" s="99">
        <f t="shared" si="8"/>
        <v>18000</v>
      </c>
      <c r="AD436" s="121">
        <f t="shared" si="558"/>
        <v>146952</v>
      </c>
      <c r="AE436" s="99">
        <f t="shared" si="10"/>
        <v>162000</v>
      </c>
      <c r="AF436" s="121">
        <f t="shared" si="559"/>
        <v>1469.52</v>
      </c>
      <c r="AG436" s="100">
        <f t="shared" si="560"/>
        <v>25532.480000000003</v>
      </c>
      <c r="AH436" s="101">
        <f t="shared" si="29"/>
        <v>40580.480000000003</v>
      </c>
      <c r="AI436" s="102">
        <f t="shared" ref="AI436:AJ436" si="665">AG436/X436</f>
        <v>0.16366974358974362</v>
      </c>
      <c r="AJ436" s="102">
        <f t="shared" si="665"/>
        <v>0.22544711111111113</v>
      </c>
      <c r="AK436" s="103"/>
      <c r="AL436" s="104"/>
      <c r="AM436" s="17"/>
      <c r="AN436" s="17"/>
      <c r="AO436" s="17"/>
      <c r="AP436" s="17"/>
      <c r="AQ436" s="17"/>
      <c r="AR436" s="17"/>
      <c r="AS436" s="17"/>
      <c r="AT436" s="17"/>
      <c r="AU436" s="17"/>
      <c r="AV436" s="17"/>
      <c r="AW436" s="297"/>
    </row>
    <row r="437" spans="1:49" ht="13.2">
      <c r="A437" s="119">
        <f>HYPERLINK("https://smartstore.naver.com/brickstore2019/products/4686972733",AW:AW)</f>
        <v>4686972733</v>
      </c>
      <c r="B437" s="266"/>
      <c r="C437" s="117" t="s">
        <v>928</v>
      </c>
      <c r="D437" s="117"/>
      <c r="E437" s="117" t="s">
        <v>929</v>
      </c>
      <c r="F437" s="123"/>
      <c r="G437" s="124" t="str">
        <f>HYPERLINK("https://www.amazon.com/DUNLOP-2019-Performance-Backpack-Black/dp/B07PZ4NS1L/ref=sr_1_2?keywords=Dunlop+tennis&amp;qid=1569990769&amp;refinements=p_89%3ADunlop%7CDunlop+Sports%2Cp_72%3A2661618011&amp;rnid=2661617011&amp;s=gateway&amp;sr=8-2","A")</f>
        <v>A</v>
      </c>
      <c r="H437" s="125"/>
      <c r="I437" s="125"/>
      <c r="J437" s="93">
        <v>70</v>
      </c>
      <c r="K437" s="82">
        <v>2</v>
      </c>
      <c r="L437" s="82">
        <f t="shared" si="661"/>
        <v>32</v>
      </c>
      <c r="M437" s="82">
        <f t="shared" si="550"/>
        <v>0.90718399999999999</v>
      </c>
      <c r="N437" s="93">
        <v>0</v>
      </c>
      <c r="O437" s="93">
        <v>0</v>
      </c>
      <c r="P437" s="95">
        <f t="shared" si="551"/>
        <v>70</v>
      </c>
      <c r="Q437" s="96">
        <f t="shared" si="645"/>
        <v>87500</v>
      </c>
      <c r="R437" s="96">
        <v>0</v>
      </c>
      <c r="S437" s="97">
        <f t="shared" si="553"/>
        <v>87500</v>
      </c>
      <c r="T437" s="97">
        <f>ROUNDUP(HLOOKUP(ROUNDUP(K437,0),'배송비 조회'!A$10:U$22,7,0)*C$3,-2)</f>
        <v>11200</v>
      </c>
      <c r="U437" s="97">
        <v>0</v>
      </c>
      <c r="V437" s="207">
        <f t="shared" si="657"/>
        <v>29600</v>
      </c>
      <c r="W437" s="97">
        <f t="shared" si="491"/>
        <v>49400</v>
      </c>
      <c r="X437" s="208">
        <f t="shared" si="555"/>
        <v>128300</v>
      </c>
      <c r="Y437" s="98">
        <f t="shared" si="27"/>
        <v>148100</v>
      </c>
      <c r="Z437" s="121">
        <v>0</v>
      </c>
      <c r="AA437" s="121">
        <f t="shared" si="556"/>
        <v>4875.3999999999996</v>
      </c>
      <c r="AB437" s="121">
        <f t="shared" si="557"/>
        <v>2566</v>
      </c>
      <c r="AC437" s="99">
        <f t="shared" si="8"/>
        <v>14810</v>
      </c>
      <c r="AD437" s="121">
        <f t="shared" si="558"/>
        <v>120858.6</v>
      </c>
      <c r="AE437" s="99">
        <f t="shared" si="10"/>
        <v>133290</v>
      </c>
      <c r="AF437" s="121">
        <f t="shared" si="559"/>
        <v>1208.586</v>
      </c>
      <c r="AG437" s="100">
        <f t="shared" si="560"/>
        <v>20950.014000000006</v>
      </c>
      <c r="AH437" s="101">
        <f t="shared" si="29"/>
        <v>33381.413999999997</v>
      </c>
      <c r="AI437" s="102">
        <f t="shared" ref="AI437:AJ437" si="666">AG437/X437</f>
        <v>0.16328927513639913</v>
      </c>
      <c r="AJ437" s="102">
        <f t="shared" si="666"/>
        <v>0.22539779878460497</v>
      </c>
      <c r="AK437" s="103"/>
      <c r="AL437" s="104"/>
      <c r="AM437" s="17"/>
      <c r="AN437" s="17"/>
      <c r="AO437" s="17"/>
      <c r="AP437" s="17"/>
      <c r="AQ437" s="17"/>
      <c r="AR437" s="17"/>
      <c r="AS437" s="17"/>
      <c r="AT437" s="17"/>
      <c r="AU437" s="17"/>
      <c r="AV437" s="17"/>
      <c r="AW437" s="22">
        <v>4686972733</v>
      </c>
    </row>
    <row r="438" spans="1:49" ht="13.2">
      <c r="A438" s="303">
        <f>HYPERLINK("https://smartstore.naver.com/brickstore2019/products/4687003736",AW:AW)</f>
        <v>4687003736</v>
      </c>
      <c r="B438" s="266"/>
      <c r="C438" s="304" t="s">
        <v>930</v>
      </c>
      <c r="D438" s="117"/>
      <c r="E438" s="304" t="s">
        <v>931</v>
      </c>
      <c r="F438" s="123" t="s">
        <v>699</v>
      </c>
      <c r="G438" s="124" t="str">
        <f>HYPERLINK("https://www.amazon.com/HEAD-Tennis-Racquet-Squash-Racket/dp/B07PXM69MW/ref=sr_1_1?keywords=head%2Btennis%2Bbag&amp;qid=1569992370&amp;refinements=p_72%3A2661618011&amp;rnid=2661617011&amp;s=gateway&amp;sr=8-1&amp;th=1","A")</f>
        <v>A</v>
      </c>
      <c r="H438" s="125"/>
      <c r="I438" s="125"/>
      <c r="J438" s="93">
        <v>45</v>
      </c>
      <c r="K438" s="82">
        <v>3.5</v>
      </c>
      <c r="L438" s="82">
        <f t="shared" si="661"/>
        <v>56</v>
      </c>
      <c r="M438" s="82">
        <f t="shared" si="550"/>
        <v>1.587572</v>
      </c>
      <c r="N438" s="93">
        <v>0</v>
      </c>
      <c r="O438" s="93">
        <v>0</v>
      </c>
      <c r="P438" s="95">
        <f t="shared" si="551"/>
        <v>45</v>
      </c>
      <c r="Q438" s="96">
        <f t="shared" si="645"/>
        <v>56250</v>
      </c>
      <c r="R438" s="96">
        <v>0</v>
      </c>
      <c r="S438" s="97">
        <f t="shared" si="553"/>
        <v>56300</v>
      </c>
      <c r="T438" s="97">
        <f>ROUNDUP(HLOOKUP(ROUNDUP(K438,0),'배송비 조회'!A$10:U$22,7,0)*C$3,-2)</f>
        <v>15600</v>
      </c>
      <c r="U438" s="97">
        <v>0</v>
      </c>
      <c r="V438" s="207">
        <f t="shared" si="657"/>
        <v>21600</v>
      </c>
      <c r="W438" s="97">
        <f t="shared" si="491"/>
        <v>36000</v>
      </c>
      <c r="X438" s="208">
        <f t="shared" si="555"/>
        <v>93500</v>
      </c>
      <c r="Y438" s="98">
        <f t="shared" si="27"/>
        <v>107900</v>
      </c>
      <c r="Z438" s="121">
        <v>0</v>
      </c>
      <c r="AA438" s="121">
        <f t="shared" si="556"/>
        <v>3553</v>
      </c>
      <c r="AB438" s="121">
        <f t="shared" si="557"/>
        <v>1870</v>
      </c>
      <c r="AC438" s="99">
        <f t="shared" si="8"/>
        <v>10790</v>
      </c>
      <c r="AD438" s="121">
        <f t="shared" si="558"/>
        <v>88077</v>
      </c>
      <c r="AE438" s="99">
        <f t="shared" si="10"/>
        <v>97110</v>
      </c>
      <c r="AF438" s="121">
        <f t="shared" si="559"/>
        <v>880.77</v>
      </c>
      <c r="AG438" s="100">
        <f t="shared" si="560"/>
        <v>15346.23</v>
      </c>
      <c r="AH438" s="101">
        <f t="shared" si="29"/>
        <v>24379.230000000003</v>
      </c>
      <c r="AI438" s="102">
        <f t="shared" ref="AI438:AJ438" si="667">AG438/X438</f>
        <v>0.16413080213903744</v>
      </c>
      <c r="AJ438" s="102">
        <f t="shared" si="667"/>
        <v>0.22594281742354033</v>
      </c>
      <c r="AK438" s="103">
        <f>X438-X439</f>
        <v>8200</v>
      </c>
      <c r="AL438" s="104"/>
      <c r="AM438" s="17"/>
      <c r="AN438" s="17"/>
      <c r="AO438" s="17"/>
      <c r="AP438" s="17"/>
      <c r="AQ438" s="17"/>
      <c r="AR438" s="17"/>
      <c r="AS438" s="17"/>
      <c r="AT438" s="17"/>
      <c r="AU438" s="17"/>
      <c r="AV438" s="17"/>
      <c r="AW438" s="296">
        <v>4687003736</v>
      </c>
    </row>
    <row r="439" spans="1:49" ht="13.2">
      <c r="A439" s="302"/>
      <c r="B439" s="266"/>
      <c r="C439" s="302"/>
      <c r="D439" s="117"/>
      <c r="E439" s="302"/>
      <c r="F439" s="123" t="s">
        <v>932</v>
      </c>
      <c r="G439" s="124" t="str">
        <f>HYPERLINK("https://www.amazon.com/HEAD-Tennis-Racquet-Squash-Racket/dp/B07JJVGWRK/ref=sr_1_1?keywords=head%2Btennis%2Bbag&amp;qid=1569992370&amp;refinements=p_72%3A2661618011&amp;rnid=2661617011&amp;s=gateway&amp;sr=8-1&amp;th=1","A")</f>
        <v>A</v>
      </c>
      <c r="H439" s="125"/>
      <c r="I439" s="125"/>
      <c r="J439" s="93">
        <v>40</v>
      </c>
      <c r="K439" s="82">
        <v>3.5</v>
      </c>
      <c r="L439" s="82">
        <f t="shared" si="661"/>
        <v>56</v>
      </c>
      <c r="M439" s="82">
        <f t="shared" si="550"/>
        <v>1.587572</v>
      </c>
      <c r="N439" s="93">
        <v>0</v>
      </c>
      <c r="O439" s="93">
        <v>0</v>
      </c>
      <c r="P439" s="95">
        <f t="shared" si="551"/>
        <v>40</v>
      </c>
      <c r="Q439" s="96">
        <f t="shared" si="645"/>
        <v>50000</v>
      </c>
      <c r="R439" s="96">
        <v>0</v>
      </c>
      <c r="S439" s="97">
        <f t="shared" si="553"/>
        <v>50000</v>
      </c>
      <c r="T439" s="97">
        <f>ROUNDUP(HLOOKUP(ROUNDUP(K439,0),'배송비 조회'!A$10:U$22,7,0)*C$3,-2)</f>
        <v>15600</v>
      </c>
      <c r="U439" s="97">
        <v>0</v>
      </c>
      <c r="V439" s="207">
        <f t="shared" si="657"/>
        <v>19700</v>
      </c>
      <c r="W439" s="97">
        <f t="shared" si="491"/>
        <v>32800</v>
      </c>
      <c r="X439" s="208">
        <f t="shared" si="555"/>
        <v>85300</v>
      </c>
      <c r="Y439" s="98">
        <f t="shared" si="27"/>
        <v>98400</v>
      </c>
      <c r="Z439" s="121">
        <v>0</v>
      </c>
      <c r="AA439" s="121">
        <f t="shared" si="556"/>
        <v>3241.4</v>
      </c>
      <c r="AB439" s="121">
        <f t="shared" si="557"/>
        <v>1706</v>
      </c>
      <c r="AC439" s="99">
        <f t="shared" si="8"/>
        <v>9840</v>
      </c>
      <c r="AD439" s="121">
        <f t="shared" si="558"/>
        <v>80352.600000000006</v>
      </c>
      <c r="AE439" s="99">
        <f t="shared" si="10"/>
        <v>88560</v>
      </c>
      <c r="AF439" s="121">
        <f t="shared" si="559"/>
        <v>803.52600000000007</v>
      </c>
      <c r="AG439" s="100">
        <f t="shared" si="560"/>
        <v>13949.074000000004</v>
      </c>
      <c r="AH439" s="101">
        <f t="shared" si="29"/>
        <v>22156.474000000002</v>
      </c>
      <c r="AI439" s="102">
        <f t="shared" ref="AI439:AJ439" si="668">AG439/X439</f>
        <v>0.16352958968347014</v>
      </c>
      <c r="AJ439" s="102">
        <f t="shared" si="668"/>
        <v>0.22516741869918702</v>
      </c>
      <c r="AK439" s="103"/>
      <c r="AL439" s="104"/>
      <c r="AM439" s="17"/>
      <c r="AN439" s="17"/>
      <c r="AO439" s="17"/>
      <c r="AP439" s="17"/>
      <c r="AQ439" s="17"/>
      <c r="AR439" s="17"/>
      <c r="AS439" s="17"/>
      <c r="AT439" s="17"/>
      <c r="AU439" s="17"/>
      <c r="AV439" s="17"/>
      <c r="AW439" s="297"/>
    </row>
    <row r="440" spans="1:49" ht="13.2">
      <c r="A440" s="302"/>
      <c r="B440" s="266"/>
      <c r="C440" s="302"/>
      <c r="D440" s="117"/>
      <c r="E440" s="302"/>
      <c r="F440" s="123" t="s">
        <v>933</v>
      </c>
      <c r="G440" s="124" t="str">
        <f>HYPERLINK("https://www.amazon.com/HEAD-Tennis-Racquet-Squash-Racket/dp/B07RMZGGRS/ref=sr_1_1?keywords=head%2Btennis%2Bbag&amp;qid=1569992370&amp;refinements=p_72%3A2661618011&amp;rnid=2661617011&amp;s=gateway&amp;sr=8-1&amp;th=1","A")</f>
        <v>A</v>
      </c>
      <c r="H440" s="125"/>
      <c r="I440" s="125"/>
      <c r="J440" s="93">
        <v>40</v>
      </c>
      <c r="K440" s="82">
        <v>3.5</v>
      </c>
      <c r="L440" s="82">
        <f t="shared" si="661"/>
        <v>56</v>
      </c>
      <c r="M440" s="82">
        <f t="shared" si="550"/>
        <v>1.587572</v>
      </c>
      <c r="N440" s="93">
        <v>0</v>
      </c>
      <c r="O440" s="93">
        <v>0</v>
      </c>
      <c r="P440" s="95">
        <f t="shared" si="551"/>
        <v>40</v>
      </c>
      <c r="Q440" s="96">
        <f t="shared" si="645"/>
        <v>50000</v>
      </c>
      <c r="R440" s="96">
        <v>0</v>
      </c>
      <c r="S440" s="97">
        <f t="shared" si="553"/>
        <v>50000</v>
      </c>
      <c r="T440" s="97">
        <f>ROUNDUP(HLOOKUP(ROUNDUP(K440,0),'배송비 조회'!A$10:U$22,7,0)*C$3,-2)</f>
        <v>15600</v>
      </c>
      <c r="U440" s="97">
        <v>0</v>
      </c>
      <c r="V440" s="207">
        <f t="shared" si="657"/>
        <v>19700</v>
      </c>
      <c r="W440" s="97">
        <f t="shared" si="491"/>
        <v>32800</v>
      </c>
      <c r="X440" s="208">
        <f t="shared" si="555"/>
        <v>85300</v>
      </c>
      <c r="Y440" s="98">
        <f t="shared" si="27"/>
        <v>98400</v>
      </c>
      <c r="Z440" s="121">
        <v>0</v>
      </c>
      <c r="AA440" s="121">
        <f t="shared" si="556"/>
        <v>3241.4</v>
      </c>
      <c r="AB440" s="121">
        <f t="shared" si="557"/>
        <v>1706</v>
      </c>
      <c r="AC440" s="99">
        <f t="shared" si="8"/>
        <v>9840</v>
      </c>
      <c r="AD440" s="121">
        <f t="shared" si="558"/>
        <v>80352.600000000006</v>
      </c>
      <c r="AE440" s="99">
        <f t="shared" si="10"/>
        <v>88560</v>
      </c>
      <c r="AF440" s="121">
        <f t="shared" si="559"/>
        <v>803.52600000000007</v>
      </c>
      <c r="AG440" s="100">
        <f t="shared" si="560"/>
        <v>13949.074000000004</v>
      </c>
      <c r="AH440" s="101">
        <f t="shared" si="29"/>
        <v>22156.474000000002</v>
      </c>
      <c r="AI440" s="102">
        <f t="shared" ref="AI440:AJ440" si="669">AG440/X440</f>
        <v>0.16352958968347014</v>
      </c>
      <c r="AJ440" s="102">
        <f t="shared" si="669"/>
        <v>0.22516741869918702</v>
      </c>
      <c r="AK440" s="103"/>
      <c r="AL440" s="104"/>
      <c r="AM440" s="17"/>
      <c r="AN440" s="17"/>
      <c r="AO440" s="17"/>
      <c r="AP440" s="17"/>
      <c r="AQ440" s="17"/>
      <c r="AR440" s="17"/>
      <c r="AS440" s="17"/>
      <c r="AT440" s="17"/>
      <c r="AU440" s="17"/>
      <c r="AV440" s="17"/>
      <c r="AW440" s="297"/>
    </row>
    <row r="441" spans="1:49" ht="13.2">
      <c r="A441" s="303">
        <f>HYPERLINK("https://smartstore.naver.com/brickstore2019/products/4687018721",AW:AW)</f>
        <v>4687018721</v>
      </c>
      <c r="B441" s="266"/>
      <c r="C441" s="304" t="s">
        <v>934</v>
      </c>
      <c r="D441" s="117"/>
      <c r="E441" s="304" t="s">
        <v>927</v>
      </c>
      <c r="F441" s="123" t="s">
        <v>55</v>
      </c>
      <c r="G441" s="124" t="str">
        <f>HYPERLINK("https://www.amazon.com/Wilson-Womens-Fold-Backpack-Black/dp/B07HNN7J5T/ref=sr_1_3?keywords=Wilson%2BWomen%27s%2BFold%2BOver%2BBackpack%2BBag%2BBlack&amp;qid=1569990421&amp;s=gateway&amp;sr=8-3&amp;th=1","A")</f>
        <v>A</v>
      </c>
      <c r="H441" s="125"/>
      <c r="I441" s="125"/>
      <c r="J441" s="93">
        <v>82</v>
      </c>
      <c r="K441" s="82">
        <v>1.5</v>
      </c>
      <c r="L441" s="82">
        <f t="shared" si="661"/>
        <v>24</v>
      </c>
      <c r="M441" s="82">
        <f t="shared" si="550"/>
        <v>0.68038799999999999</v>
      </c>
      <c r="N441" s="93">
        <v>0</v>
      </c>
      <c r="O441" s="93">
        <v>0</v>
      </c>
      <c r="P441" s="95">
        <f t="shared" si="551"/>
        <v>82</v>
      </c>
      <c r="Q441" s="96">
        <f t="shared" si="645"/>
        <v>102500</v>
      </c>
      <c r="R441" s="96">
        <v>0</v>
      </c>
      <c r="S441" s="97">
        <f t="shared" si="553"/>
        <v>102500</v>
      </c>
      <c r="T441" s="97">
        <f>ROUNDUP(HLOOKUP(ROUNDUP(K441,0),'배송비 조회'!A$10:U$22,7,0)*C$3,-2)</f>
        <v>11200</v>
      </c>
      <c r="U441" s="97">
        <v>0</v>
      </c>
      <c r="V441" s="207">
        <f t="shared" si="657"/>
        <v>34100</v>
      </c>
      <c r="W441" s="97">
        <f t="shared" si="491"/>
        <v>56900</v>
      </c>
      <c r="X441" s="208">
        <f t="shared" si="555"/>
        <v>147800</v>
      </c>
      <c r="Y441" s="98">
        <f t="shared" si="27"/>
        <v>170600</v>
      </c>
      <c r="Z441" s="121">
        <v>0</v>
      </c>
      <c r="AA441" s="121">
        <f t="shared" si="556"/>
        <v>5616.4</v>
      </c>
      <c r="AB441" s="121">
        <f t="shared" si="557"/>
        <v>2956</v>
      </c>
      <c r="AC441" s="99">
        <f t="shared" si="8"/>
        <v>17060</v>
      </c>
      <c r="AD441" s="121">
        <f t="shared" si="558"/>
        <v>139227.6</v>
      </c>
      <c r="AE441" s="99">
        <f t="shared" si="10"/>
        <v>153540</v>
      </c>
      <c r="AF441" s="121">
        <f t="shared" si="559"/>
        <v>1392.2760000000001</v>
      </c>
      <c r="AG441" s="100">
        <f t="shared" si="560"/>
        <v>24135.324000000008</v>
      </c>
      <c r="AH441" s="101">
        <f t="shared" si="29"/>
        <v>38447.724000000002</v>
      </c>
      <c r="AI441" s="102">
        <f t="shared" ref="AI441:AJ441" si="670">AG441/X441</f>
        <v>0.16329718538565635</v>
      </c>
      <c r="AJ441" s="102">
        <f t="shared" si="670"/>
        <v>0.22536766705744432</v>
      </c>
      <c r="AK441" s="103"/>
      <c r="AL441" s="104"/>
      <c r="AM441" s="17"/>
      <c r="AN441" s="17"/>
      <c r="AO441" s="17"/>
      <c r="AP441" s="17"/>
      <c r="AQ441" s="17"/>
      <c r="AR441" s="17"/>
      <c r="AS441" s="17"/>
      <c r="AT441" s="17"/>
      <c r="AU441" s="17"/>
      <c r="AV441" s="17"/>
      <c r="AW441" s="296">
        <v>4687018721</v>
      </c>
    </row>
    <row r="442" spans="1:49" ht="13.2">
      <c r="A442" s="302"/>
      <c r="B442" s="266"/>
      <c r="C442" s="302"/>
      <c r="D442" s="117"/>
      <c r="E442" s="302"/>
      <c r="F442" s="123" t="s">
        <v>53</v>
      </c>
      <c r="G442" s="124" t="str">
        <f>HYPERLINK("https://www.amazon.com/Wilson-Womens-Fold-Backpack-Black/dp/B07HN9LMLG/ref=sr_1_3?keywords=Wilson%2BWomen%27s%2BFold%2BOver%2BBackpack%2BBag%2BBlack&amp;qid=1569990421&amp;s=gateway&amp;sr=8-3&amp;th=1","A")</f>
        <v>A</v>
      </c>
      <c r="H442" s="125"/>
      <c r="I442" s="125"/>
      <c r="J442" s="93">
        <v>80</v>
      </c>
      <c r="K442" s="82">
        <v>1.5</v>
      </c>
      <c r="L442" s="82">
        <f t="shared" si="661"/>
        <v>24</v>
      </c>
      <c r="M442" s="82">
        <f t="shared" si="550"/>
        <v>0.68038799999999999</v>
      </c>
      <c r="N442" s="93">
        <v>0</v>
      </c>
      <c r="O442" s="93">
        <v>0</v>
      </c>
      <c r="P442" s="95">
        <f t="shared" si="551"/>
        <v>80</v>
      </c>
      <c r="Q442" s="96">
        <f t="shared" si="645"/>
        <v>100000</v>
      </c>
      <c r="R442" s="96">
        <v>0</v>
      </c>
      <c r="S442" s="97">
        <f t="shared" si="553"/>
        <v>100000</v>
      </c>
      <c r="T442" s="97">
        <f>ROUNDUP(HLOOKUP(ROUNDUP(K442,0),'배송비 조회'!A$10:U$22,7,0)*C$3,-2)</f>
        <v>11200</v>
      </c>
      <c r="U442" s="97">
        <v>0</v>
      </c>
      <c r="V442" s="207">
        <f t="shared" si="657"/>
        <v>33400</v>
      </c>
      <c r="W442" s="97">
        <f t="shared" si="491"/>
        <v>55600</v>
      </c>
      <c r="X442" s="208">
        <f t="shared" si="555"/>
        <v>144600</v>
      </c>
      <c r="Y442" s="98">
        <f t="shared" si="27"/>
        <v>166800</v>
      </c>
      <c r="Z442" s="121">
        <v>0</v>
      </c>
      <c r="AA442" s="121">
        <f t="shared" si="556"/>
        <v>5494.8</v>
      </c>
      <c r="AB442" s="121">
        <f t="shared" si="557"/>
        <v>2892</v>
      </c>
      <c r="AC442" s="99">
        <f t="shared" si="8"/>
        <v>16680</v>
      </c>
      <c r="AD442" s="121">
        <f t="shared" si="558"/>
        <v>136213.20000000001</v>
      </c>
      <c r="AE442" s="99">
        <f t="shared" si="10"/>
        <v>150120</v>
      </c>
      <c r="AF442" s="121">
        <f t="shared" si="559"/>
        <v>1362.1320000000001</v>
      </c>
      <c r="AG442" s="100">
        <f t="shared" si="560"/>
        <v>23651.068000000014</v>
      </c>
      <c r="AH442" s="101">
        <f t="shared" si="29"/>
        <v>37557.868000000002</v>
      </c>
      <c r="AI442" s="102">
        <f t="shared" ref="AI442:AJ442" si="671">AG442/X442</f>
        <v>0.16356201936376219</v>
      </c>
      <c r="AJ442" s="102">
        <f t="shared" si="671"/>
        <v>0.2251670743405276</v>
      </c>
      <c r="AK442" s="103"/>
      <c r="AL442" s="104"/>
      <c r="AM442" s="17"/>
      <c r="AN442" s="17"/>
      <c r="AO442" s="17"/>
      <c r="AP442" s="17"/>
      <c r="AQ442" s="17"/>
      <c r="AR442" s="17"/>
      <c r="AS442" s="17"/>
      <c r="AT442" s="17"/>
      <c r="AU442" s="17"/>
      <c r="AV442" s="17"/>
      <c r="AW442" s="297"/>
    </row>
    <row r="443" spans="1:49" ht="13.2">
      <c r="A443" s="302"/>
      <c r="B443" s="266"/>
      <c r="C443" s="302"/>
      <c r="D443" s="117"/>
      <c r="E443" s="302"/>
      <c r="F443" s="123" t="s">
        <v>126</v>
      </c>
      <c r="G443" s="124" t="str">
        <f>HYPERLINK("https://www.amazon.com/Wilson-Womens-Fold-Backpack-Black/dp/B07HNGGT13/ref=sr_1_3?keywords=Wilson%2BWomen%27s%2BFold%2BOver%2BBackpack%2BBag%2BBlack&amp;qid=1569990421&amp;s=gateway&amp;sr=8-3&amp;th=1","A")</f>
        <v>A</v>
      </c>
      <c r="H443" s="125"/>
      <c r="I443" s="125"/>
      <c r="J443" s="93">
        <v>80</v>
      </c>
      <c r="K443" s="82">
        <v>1.5</v>
      </c>
      <c r="L443" s="82">
        <f t="shared" si="661"/>
        <v>24</v>
      </c>
      <c r="M443" s="82">
        <f t="shared" si="550"/>
        <v>0.68038799999999999</v>
      </c>
      <c r="N443" s="93">
        <v>0</v>
      </c>
      <c r="O443" s="93">
        <v>0</v>
      </c>
      <c r="P443" s="95">
        <f t="shared" si="551"/>
        <v>80</v>
      </c>
      <c r="Q443" s="96">
        <f t="shared" si="645"/>
        <v>100000</v>
      </c>
      <c r="R443" s="96">
        <v>0</v>
      </c>
      <c r="S443" s="97">
        <f t="shared" si="553"/>
        <v>100000</v>
      </c>
      <c r="T443" s="97">
        <f>ROUNDUP(HLOOKUP(ROUNDUP(K443,0),'배송비 조회'!A$10:U$22,7,0)*C$3,-2)</f>
        <v>11200</v>
      </c>
      <c r="U443" s="97">
        <v>0</v>
      </c>
      <c r="V443" s="207">
        <f t="shared" si="657"/>
        <v>33400</v>
      </c>
      <c r="W443" s="97">
        <f t="shared" si="491"/>
        <v>55600</v>
      </c>
      <c r="X443" s="208">
        <f t="shared" si="555"/>
        <v>144600</v>
      </c>
      <c r="Y443" s="98">
        <f t="shared" si="27"/>
        <v>166800</v>
      </c>
      <c r="Z443" s="121">
        <v>0</v>
      </c>
      <c r="AA443" s="121">
        <f t="shared" si="556"/>
        <v>5494.8</v>
      </c>
      <c r="AB443" s="121">
        <f t="shared" si="557"/>
        <v>2892</v>
      </c>
      <c r="AC443" s="99">
        <f t="shared" si="8"/>
        <v>16680</v>
      </c>
      <c r="AD443" s="121">
        <f t="shared" si="558"/>
        <v>136213.20000000001</v>
      </c>
      <c r="AE443" s="99">
        <f t="shared" si="10"/>
        <v>150120</v>
      </c>
      <c r="AF443" s="121">
        <f t="shared" si="559"/>
        <v>1362.1320000000001</v>
      </c>
      <c r="AG443" s="100">
        <f t="shared" si="560"/>
        <v>23651.068000000014</v>
      </c>
      <c r="AH443" s="101">
        <f t="shared" si="29"/>
        <v>37557.868000000002</v>
      </c>
      <c r="AI443" s="102">
        <f t="shared" ref="AI443:AJ443" si="672">AG443/X443</f>
        <v>0.16356201936376219</v>
      </c>
      <c r="AJ443" s="102">
        <f t="shared" si="672"/>
        <v>0.2251670743405276</v>
      </c>
      <c r="AK443" s="103"/>
      <c r="AL443" s="104"/>
      <c r="AM443" s="17"/>
      <c r="AN443" s="17"/>
      <c r="AO443" s="17"/>
      <c r="AP443" s="17"/>
      <c r="AQ443" s="17"/>
      <c r="AR443" s="17"/>
      <c r="AS443" s="17"/>
      <c r="AT443" s="17"/>
      <c r="AU443" s="17"/>
      <c r="AV443" s="17"/>
      <c r="AW443" s="297"/>
    </row>
    <row r="444" spans="1:49" ht="13.2">
      <c r="A444" s="303">
        <f>HYPERLINK("https://smartstore.naver.com/brickstore2019/products/4687199192",AW:AW)</f>
        <v>4687199192</v>
      </c>
      <c r="B444" s="266"/>
      <c r="C444" s="304" t="s">
        <v>935</v>
      </c>
      <c r="D444" s="117"/>
      <c r="E444" s="304" t="s">
        <v>927</v>
      </c>
      <c r="F444" s="123" t="s">
        <v>55</v>
      </c>
      <c r="G444" s="124" t="str">
        <f>HYPERLINK("https://www.amazon.com/Wilson-Womens-Fold-Backpack-Black/dp/B07HNJYT67/ref=sr_1_3?keywords=Wilson%2BWomen%27s%2BFold%2BOver%2BBackpack%2BBag%2BBlack&amp;qid=1569990421&amp;s=gateway&amp;sr=8-3&amp;th=1","A")</f>
        <v>A</v>
      </c>
      <c r="H444" s="125"/>
      <c r="I444" s="125"/>
      <c r="J444" s="93">
        <v>82</v>
      </c>
      <c r="K444" s="82">
        <v>1.6</v>
      </c>
      <c r="L444" s="82">
        <f t="shared" si="661"/>
        <v>25.6</v>
      </c>
      <c r="M444" s="82">
        <f t="shared" si="550"/>
        <v>0.72574720000000004</v>
      </c>
      <c r="N444" s="93">
        <v>0</v>
      </c>
      <c r="O444" s="93">
        <v>0</v>
      </c>
      <c r="P444" s="95">
        <f t="shared" si="551"/>
        <v>82</v>
      </c>
      <c r="Q444" s="96">
        <f t="shared" si="645"/>
        <v>102500</v>
      </c>
      <c r="R444" s="96">
        <v>0</v>
      </c>
      <c r="S444" s="97">
        <f t="shared" si="553"/>
        <v>102500</v>
      </c>
      <c r="T444" s="97">
        <f>ROUNDUP(HLOOKUP(ROUNDUP(K444,0),'배송비 조회'!A$10:U$22,7,0)*C$3,-2)</f>
        <v>11200</v>
      </c>
      <c r="U444" s="97">
        <v>0</v>
      </c>
      <c r="V444" s="207">
        <f t="shared" si="657"/>
        <v>34100</v>
      </c>
      <c r="W444" s="97">
        <f t="shared" si="491"/>
        <v>56900</v>
      </c>
      <c r="X444" s="208">
        <f t="shared" si="555"/>
        <v>147800</v>
      </c>
      <c r="Y444" s="98">
        <f t="shared" si="27"/>
        <v>170600</v>
      </c>
      <c r="Z444" s="121">
        <v>0</v>
      </c>
      <c r="AA444" s="121">
        <f t="shared" si="556"/>
        <v>5616.4</v>
      </c>
      <c r="AB444" s="121">
        <f t="shared" si="557"/>
        <v>2956</v>
      </c>
      <c r="AC444" s="99">
        <f t="shared" si="8"/>
        <v>17060</v>
      </c>
      <c r="AD444" s="121">
        <f t="shared" si="558"/>
        <v>139227.6</v>
      </c>
      <c r="AE444" s="99">
        <f t="shared" si="10"/>
        <v>153540</v>
      </c>
      <c r="AF444" s="121">
        <f t="shared" si="559"/>
        <v>1392.2760000000001</v>
      </c>
      <c r="AG444" s="100">
        <f t="shared" si="560"/>
        <v>24135.324000000008</v>
      </c>
      <c r="AH444" s="101">
        <f t="shared" si="29"/>
        <v>38447.724000000002</v>
      </c>
      <c r="AI444" s="102">
        <f t="shared" ref="AI444:AJ444" si="673">AG444/X444</f>
        <v>0.16329718538565635</v>
      </c>
      <c r="AJ444" s="102">
        <f t="shared" si="673"/>
        <v>0.22536766705744432</v>
      </c>
      <c r="AK444" s="103"/>
      <c r="AL444" s="104"/>
      <c r="AM444" s="17"/>
      <c r="AN444" s="17"/>
      <c r="AO444" s="17"/>
      <c r="AP444" s="17"/>
      <c r="AQ444" s="17"/>
      <c r="AR444" s="17"/>
      <c r="AS444" s="17"/>
      <c r="AT444" s="17"/>
      <c r="AU444" s="17"/>
      <c r="AV444" s="17"/>
      <c r="AW444" s="296">
        <v>4687199192</v>
      </c>
    </row>
    <row r="445" spans="1:49" ht="13.2">
      <c r="A445" s="302"/>
      <c r="B445" s="266"/>
      <c r="C445" s="302"/>
      <c r="D445" s="117"/>
      <c r="E445" s="302"/>
      <c r="F445" s="123" t="s">
        <v>53</v>
      </c>
      <c r="G445" s="124" t="str">
        <f>HYPERLINK("https://www.amazon.com/Wilson-Womens-Fold-Backpack-Black/dp/B07HNDXLCQ/ref=sr_1_3?keywords=Wilson%2BWomen%27s%2BFold%2BOver%2BBackpack%2BBag%2BBlack&amp;qid=1569990421&amp;s=gateway&amp;sr=8-3&amp;th=1","A")</f>
        <v>A</v>
      </c>
      <c r="H445" s="125"/>
      <c r="I445" s="125"/>
      <c r="J445" s="93">
        <v>80</v>
      </c>
      <c r="K445" s="82">
        <v>1.6</v>
      </c>
      <c r="L445" s="82">
        <f t="shared" si="661"/>
        <v>25.6</v>
      </c>
      <c r="M445" s="82">
        <f t="shared" si="550"/>
        <v>0.72574720000000004</v>
      </c>
      <c r="N445" s="93">
        <v>0</v>
      </c>
      <c r="O445" s="93">
        <v>0</v>
      </c>
      <c r="P445" s="95">
        <f t="shared" si="551"/>
        <v>80</v>
      </c>
      <c r="Q445" s="96">
        <f t="shared" si="645"/>
        <v>100000</v>
      </c>
      <c r="R445" s="96">
        <v>0</v>
      </c>
      <c r="S445" s="97">
        <f t="shared" si="553"/>
        <v>100000</v>
      </c>
      <c r="T445" s="97">
        <f>ROUNDUP(HLOOKUP(ROUNDUP(K445,0),'배송비 조회'!A$10:U$22,7,0)*C$3,-2)</f>
        <v>11200</v>
      </c>
      <c r="U445" s="97">
        <v>0</v>
      </c>
      <c r="V445" s="207">
        <f t="shared" si="657"/>
        <v>33400</v>
      </c>
      <c r="W445" s="97">
        <f t="shared" si="491"/>
        <v>55600</v>
      </c>
      <c r="X445" s="208">
        <f t="shared" si="555"/>
        <v>144600</v>
      </c>
      <c r="Y445" s="98">
        <f t="shared" si="27"/>
        <v>166800</v>
      </c>
      <c r="Z445" s="121">
        <v>0</v>
      </c>
      <c r="AA445" s="121">
        <f t="shared" si="556"/>
        <v>5494.8</v>
      </c>
      <c r="AB445" s="121">
        <f t="shared" si="557"/>
        <v>2892</v>
      </c>
      <c r="AC445" s="99">
        <f t="shared" si="8"/>
        <v>16680</v>
      </c>
      <c r="AD445" s="121">
        <f t="shared" si="558"/>
        <v>136213.20000000001</v>
      </c>
      <c r="AE445" s="99">
        <f t="shared" si="10"/>
        <v>150120</v>
      </c>
      <c r="AF445" s="121">
        <f t="shared" si="559"/>
        <v>1362.1320000000001</v>
      </c>
      <c r="AG445" s="100">
        <f t="shared" si="560"/>
        <v>23651.068000000014</v>
      </c>
      <c r="AH445" s="101">
        <f t="shared" si="29"/>
        <v>37557.868000000002</v>
      </c>
      <c r="AI445" s="102">
        <f t="shared" ref="AI445:AJ445" si="674">AG445/X445</f>
        <v>0.16356201936376219</v>
      </c>
      <c r="AJ445" s="102">
        <f t="shared" si="674"/>
        <v>0.2251670743405276</v>
      </c>
      <c r="AK445" s="103"/>
      <c r="AL445" s="104"/>
      <c r="AM445" s="17"/>
      <c r="AN445" s="17"/>
      <c r="AO445" s="17"/>
      <c r="AP445" s="17"/>
      <c r="AQ445" s="17"/>
      <c r="AR445" s="17"/>
      <c r="AS445" s="17"/>
      <c r="AT445" s="17"/>
      <c r="AU445" s="17"/>
      <c r="AV445" s="17"/>
      <c r="AW445" s="297"/>
    </row>
    <row r="446" spans="1:49" ht="13.2">
      <c r="A446" s="302"/>
      <c r="B446" s="266"/>
      <c r="C446" s="302"/>
      <c r="D446" s="117"/>
      <c r="E446" s="302"/>
      <c r="F446" s="123" t="s">
        <v>126</v>
      </c>
      <c r="G446" s="124" t="str">
        <f>HYPERLINK("https://www.amazon.com/Wilson-Womens-Fold-Backpack-Black/dp/B07HNNR1H5/ref=sr_1_3?keywords=Wilson%2BWomen%27s%2BFold%2BOver%2BBackpack%2BBag%2BBlack&amp;qid=1569990421&amp;s=gateway&amp;sr=8-3&amp;th=1","A")</f>
        <v>A</v>
      </c>
      <c r="H446" s="125"/>
      <c r="I446" s="125"/>
      <c r="J446" s="93">
        <v>80</v>
      </c>
      <c r="K446" s="82">
        <v>1.6</v>
      </c>
      <c r="L446" s="82">
        <f t="shared" si="661"/>
        <v>25.6</v>
      </c>
      <c r="M446" s="82">
        <f t="shared" si="550"/>
        <v>0.72574720000000004</v>
      </c>
      <c r="N446" s="93">
        <v>0</v>
      </c>
      <c r="O446" s="93">
        <v>0</v>
      </c>
      <c r="P446" s="95">
        <f t="shared" si="551"/>
        <v>80</v>
      </c>
      <c r="Q446" s="96">
        <f t="shared" si="645"/>
        <v>100000</v>
      </c>
      <c r="R446" s="96">
        <v>0</v>
      </c>
      <c r="S446" s="97">
        <f t="shared" si="553"/>
        <v>100000</v>
      </c>
      <c r="T446" s="97">
        <f>ROUNDUP(HLOOKUP(ROUNDUP(K446,0),'배송비 조회'!A$10:U$22,7,0)*C$3,-2)</f>
        <v>11200</v>
      </c>
      <c r="U446" s="97">
        <v>0</v>
      </c>
      <c r="V446" s="207">
        <f t="shared" si="657"/>
        <v>33400</v>
      </c>
      <c r="W446" s="97">
        <f t="shared" si="491"/>
        <v>55600</v>
      </c>
      <c r="X446" s="208">
        <f t="shared" si="555"/>
        <v>144600</v>
      </c>
      <c r="Y446" s="98">
        <f t="shared" si="27"/>
        <v>166800</v>
      </c>
      <c r="Z446" s="121">
        <v>0</v>
      </c>
      <c r="AA446" s="121">
        <f t="shared" si="556"/>
        <v>5494.8</v>
      </c>
      <c r="AB446" s="121">
        <f t="shared" si="557"/>
        <v>2892</v>
      </c>
      <c r="AC446" s="99">
        <f t="shared" si="8"/>
        <v>16680</v>
      </c>
      <c r="AD446" s="121">
        <f t="shared" si="558"/>
        <v>136213.20000000001</v>
      </c>
      <c r="AE446" s="99">
        <f t="shared" si="10"/>
        <v>150120</v>
      </c>
      <c r="AF446" s="121">
        <f t="shared" si="559"/>
        <v>1362.1320000000001</v>
      </c>
      <c r="AG446" s="100">
        <f t="shared" si="560"/>
        <v>23651.068000000014</v>
      </c>
      <c r="AH446" s="101">
        <f t="shared" si="29"/>
        <v>37557.868000000002</v>
      </c>
      <c r="AI446" s="102">
        <f t="shared" ref="AI446:AJ446" si="675">AG446/X446</f>
        <v>0.16356201936376219</v>
      </c>
      <c r="AJ446" s="102">
        <f t="shared" si="675"/>
        <v>0.2251670743405276</v>
      </c>
      <c r="AK446" s="103">
        <f>X444-X445</f>
        <v>3200</v>
      </c>
      <c r="AL446" s="104"/>
      <c r="AM446" s="17"/>
      <c r="AN446" s="17"/>
      <c r="AO446" s="17"/>
      <c r="AP446" s="17"/>
      <c r="AQ446" s="17"/>
      <c r="AR446" s="17"/>
      <c r="AS446" s="17"/>
      <c r="AT446" s="17"/>
      <c r="AU446" s="17"/>
      <c r="AV446" s="17"/>
      <c r="AW446" s="297"/>
    </row>
    <row r="447" spans="1:49" ht="13.2">
      <c r="A447" s="119">
        <f>HYPERLINK("https://smartstore.naver.com/brickstore2019/products/4687276843",AW:AW)</f>
        <v>4687276843</v>
      </c>
      <c r="B447" s="266"/>
      <c r="C447" s="117" t="s">
        <v>936</v>
      </c>
      <c r="D447" s="117"/>
      <c r="E447" s="117" t="s">
        <v>937</v>
      </c>
      <c r="F447" s="123"/>
      <c r="G447" s="124" t="str">
        <f>HYPERLINK("https://www.amazon.com/New-High-Resolution-Ear-Distinctive-line/dp/B07VB2Q8S9?ref_=ast_sto_dp&amp;th=1","A")</f>
        <v>A</v>
      </c>
      <c r="H447" s="125"/>
      <c r="I447" s="125"/>
      <c r="J447" s="93">
        <v>75</v>
      </c>
      <c r="K447" s="82">
        <f>IF(L447&gt;0,L447*0.0625,)</f>
        <v>0.3125</v>
      </c>
      <c r="L447" s="82">
        <v>5</v>
      </c>
      <c r="M447" s="82">
        <f t="shared" si="550"/>
        <v>0.1417475</v>
      </c>
      <c r="N447" s="93">
        <v>0</v>
      </c>
      <c r="O447" s="93">
        <v>0</v>
      </c>
      <c r="P447" s="95">
        <f t="shared" si="551"/>
        <v>75</v>
      </c>
      <c r="Q447" s="96">
        <f t="shared" si="645"/>
        <v>93750</v>
      </c>
      <c r="R447" s="96">
        <v>0</v>
      </c>
      <c r="S447" s="97">
        <f t="shared" si="553"/>
        <v>93800</v>
      </c>
      <c r="T447" s="97">
        <f>ROUNDUP(HLOOKUP(ROUNDUP(K447,0),'배송비 조회'!A$10:U$22,7,0)*C$3,-2)</f>
        <v>9000</v>
      </c>
      <c r="U447" s="97">
        <v>0</v>
      </c>
      <c r="V447" s="207">
        <f t="shared" si="657"/>
        <v>30800</v>
      </c>
      <c r="W447" s="97">
        <f t="shared" si="491"/>
        <v>51400</v>
      </c>
      <c r="X447" s="208">
        <f t="shared" si="555"/>
        <v>133600</v>
      </c>
      <c r="Y447" s="98">
        <f t="shared" si="27"/>
        <v>154200</v>
      </c>
      <c r="Z447" s="121">
        <v>0</v>
      </c>
      <c r="AA447" s="121">
        <f t="shared" si="556"/>
        <v>5076.8</v>
      </c>
      <c r="AB447" s="121">
        <f t="shared" si="557"/>
        <v>2672</v>
      </c>
      <c r="AC447" s="99">
        <f t="shared" si="8"/>
        <v>15420</v>
      </c>
      <c r="AD447" s="121">
        <f t="shared" si="558"/>
        <v>125851.2</v>
      </c>
      <c r="AE447" s="99">
        <f t="shared" si="10"/>
        <v>138780</v>
      </c>
      <c r="AF447" s="121">
        <f t="shared" si="559"/>
        <v>1258.5119999999999</v>
      </c>
      <c r="AG447" s="100">
        <f t="shared" si="560"/>
        <v>21842.687999999998</v>
      </c>
      <c r="AH447" s="101">
        <f t="shared" si="29"/>
        <v>34771.487999999998</v>
      </c>
      <c r="AI447" s="102">
        <f t="shared" ref="AI447:AJ447" si="676">AG447/X447</f>
        <v>0.16349317365269458</v>
      </c>
      <c r="AJ447" s="102">
        <f t="shared" si="676"/>
        <v>0.22549603112840466</v>
      </c>
      <c r="AK447" s="103"/>
      <c r="AL447" s="104"/>
      <c r="AM447" s="17"/>
      <c r="AN447" s="17"/>
      <c r="AO447" s="17"/>
      <c r="AP447" s="17"/>
      <c r="AQ447" s="17"/>
      <c r="AR447" s="17"/>
      <c r="AS447" s="17"/>
      <c r="AT447" s="17"/>
      <c r="AU447" s="17"/>
      <c r="AV447" s="17"/>
      <c r="AW447" s="22">
        <v>4687276843</v>
      </c>
    </row>
    <row r="448" spans="1:49" ht="13.2">
      <c r="A448" s="119">
        <f>HYPERLINK("https://smartstore.naver.com/brickstore2019/products/4687850150",AW:AW)</f>
        <v>4687850150</v>
      </c>
      <c r="B448" s="266"/>
      <c r="C448" s="117" t="s">
        <v>938</v>
      </c>
      <c r="D448" s="117"/>
      <c r="E448" s="117" t="s">
        <v>939</v>
      </c>
      <c r="F448" s="123"/>
      <c r="G448" s="124" t="str">
        <f>HYPERLINK("https://www.amazon.com/Logitech-Advanced-Wireless-Keyboard-Creative/dp/B0768LTVCQ/ref=sr_1_6?keywords=mx+keys&amp;qid=1570160032&amp;sr=8-6","A")</f>
        <v>A</v>
      </c>
      <c r="H448" s="125"/>
      <c r="I448" s="125"/>
      <c r="J448" s="93">
        <v>169.99</v>
      </c>
      <c r="K448" s="82">
        <v>3.5</v>
      </c>
      <c r="L448" s="82">
        <f t="shared" ref="L448:L449" si="677">IF(K448&gt;0,K448*16,)</f>
        <v>56</v>
      </c>
      <c r="M448" s="82">
        <f t="shared" si="550"/>
        <v>1.587572</v>
      </c>
      <c r="N448" s="93">
        <v>0</v>
      </c>
      <c r="O448" s="93">
        <v>0</v>
      </c>
      <c r="P448" s="95">
        <f t="shared" si="551"/>
        <v>169.99</v>
      </c>
      <c r="Q448" s="96">
        <f t="shared" si="645"/>
        <v>212487.5</v>
      </c>
      <c r="R448" s="96">
        <v>0</v>
      </c>
      <c r="S448" s="97">
        <f t="shared" si="553"/>
        <v>212500</v>
      </c>
      <c r="T448" s="97">
        <f>ROUNDUP(HLOOKUP(ROUNDUP(K448,0),'배송비 조회'!A$10:U$22,7,0)*C$3,-2)</f>
        <v>15600</v>
      </c>
      <c r="U448" s="97">
        <v>0</v>
      </c>
      <c r="V448" s="207">
        <f>ROUND(IF(R448&gt;0,0,(S448+T448)*0.2),-2)</f>
        <v>45600</v>
      </c>
      <c r="W448" s="97">
        <f t="shared" si="491"/>
        <v>114100</v>
      </c>
      <c r="X448" s="208">
        <f t="shared" si="555"/>
        <v>273700</v>
      </c>
      <c r="Y448" s="98">
        <f t="shared" si="27"/>
        <v>342200</v>
      </c>
      <c r="Z448" s="121">
        <v>0</v>
      </c>
      <c r="AA448" s="121">
        <f t="shared" si="556"/>
        <v>10400.6</v>
      </c>
      <c r="AB448" s="121">
        <f t="shared" si="557"/>
        <v>5474</v>
      </c>
      <c r="AC448" s="99">
        <f t="shared" si="8"/>
        <v>34220</v>
      </c>
      <c r="AD448" s="121">
        <f t="shared" si="558"/>
        <v>257825.40000000002</v>
      </c>
      <c r="AE448" s="99">
        <f t="shared" si="10"/>
        <v>307980</v>
      </c>
      <c r="AF448" s="121">
        <f t="shared" si="559"/>
        <v>2578.2540000000004</v>
      </c>
      <c r="AG448" s="100">
        <f t="shared" si="560"/>
        <v>27159.646000000022</v>
      </c>
      <c r="AH448" s="101">
        <f t="shared" si="29"/>
        <v>77314.245999999999</v>
      </c>
      <c r="AI448" s="102">
        <f t="shared" ref="AI448:AJ448" si="678">AG448/X448</f>
        <v>9.9231443185970117E-2</v>
      </c>
      <c r="AJ448" s="102">
        <f t="shared" si="678"/>
        <v>0.22593292226767972</v>
      </c>
      <c r="AK448" s="103"/>
      <c r="AL448" s="104"/>
      <c r="AM448" s="17"/>
      <c r="AN448" s="17"/>
      <c r="AO448" s="17"/>
      <c r="AP448" s="17"/>
      <c r="AQ448" s="17"/>
      <c r="AR448" s="17"/>
      <c r="AS448" s="17"/>
      <c r="AT448" s="17"/>
      <c r="AU448" s="17"/>
      <c r="AV448" s="17"/>
      <c r="AW448" s="22">
        <v>4687850150</v>
      </c>
    </row>
    <row r="449" spans="1:49" ht="13.2">
      <c r="A449" s="119">
        <f>HYPERLINK("https://smartstore.naver.com/brickstore2019/products/4688810881",AW:AW)</f>
        <v>4688810881</v>
      </c>
      <c r="B449" s="266"/>
      <c r="C449" s="117" t="s">
        <v>940</v>
      </c>
      <c r="D449" s="117"/>
      <c r="E449" s="117" t="s">
        <v>941</v>
      </c>
      <c r="F449" s="123"/>
      <c r="G449" s="124" t="str">
        <f>HYPERLINK("https://www.amazon.com/Logitech-iPad-Slim-Folio-generation/dp/B07F2NTH91?ref_=ast_sto_dp&amp;th=1","A")</f>
        <v>A</v>
      </c>
      <c r="H449" s="125"/>
      <c r="I449" s="125"/>
      <c r="J449" s="125">
        <v>80</v>
      </c>
      <c r="K449" s="82">
        <v>1.5</v>
      </c>
      <c r="L449" s="82">
        <f t="shared" si="677"/>
        <v>24</v>
      </c>
      <c r="M449" s="82">
        <f t="shared" si="550"/>
        <v>0.68038799999999999</v>
      </c>
      <c r="N449" s="93">
        <v>0</v>
      </c>
      <c r="O449" s="93">
        <v>0</v>
      </c>
      <c r="P449" s="95">
        <f t="shared" si="551"/>
        <v>80</v>
      </c>
      <c r="Q449" s="96">
        <f t="shared" si="645"/>
        <v>100000</v>
      </c>
      <c r="R449" s="96">
        <v>0</v>
      </c>
      <c r="S449" s="97">
        <f t="shared" si="553"/>
        <v>100000</v>
      </c>
      <c r="T449" s="97">
        <f>ROUNDUP(HLOOKUP(ROUNDUP(K449,0),'배송비 조회'!A$10:U$22,7,0)*C$3,-2)</f>
        <v>11200</v>
      </c>
      <c r="U449" s="97">
        <v>0</v>
      </c>
      <c r="V449" s="97">
        <f>ROUND(IF(R449&gt;0,0,(S449+T449)*0.3),-2)</f>
        <v>33400</v>
      </c>
      <c r="W449" s="97">
        <f t="shared" si="491"/>
        <v>55600</v>
      </c>
      <c r="X449" s="98">
        <f t="shared" si="555"/>
        <v>144600</v>
      </c>
      <c r="Y449" s="98">
        <f t="shared" si="27"/>
        <v>166800</v>
      </c>
      <c r="Z449" s="121">
        <v>0</v>
      </c>
      <c r="AA449" s="121">
        <f t="shared" si="556"/>
        <v>5494.8</v>
      </c>
      <c r="AB449" s="121">
        <f t="shared" si="557"/>
        <v>2892</v>
      </c>
      <c r="AC449" s="99">
        <f t="shared" si="8"/>
        <v>16680</v>
      </c>
      <c r="AD449" s="121">
        <f t="shared" si="558"/>
        <v>136213.20000000001</v>
      </c>
      <c r="AE449" s="99">
        <f t="shared" si="10"/>
        <v>150120</v>
      </c>
      <c r="AF449" s="121">
        <f t="shared" si="559"/>
        <v>1362.1320000000001</v>
      </c>
      <c r="AG449" s="100">
        <f t="shared" si="560"/>
        <v>23651.068000000014</v>
      </c>
      <c r="AH449" s="101">
        <f t="shared" si="29"/>
        <v>37557.868000000002</v>
      </c>
      <c r="AI449" s="102">
        <f t="shared" ref="AI449:AJ449" si="679">AG449/X449</f>
        <v>0.16356201936376219</v>
      </c>
      <c r="AJ449" s="102">
        <f t="shared" si="679"/>
        <v>0.2251670743405276</v>
      </c>
      <c r="AK449" s="103"/>
      <c r="AL449" s="104"/>
      <c r="AM449" s="17"/>
      <c r="AN449" s="17"/>
      <c r="AO449" s="17"/>
      <c r="AP449" s="17"/>
      <c r="AQ449" s="17"/>
      <c r="AR449" s="17"/>
      <c r="AS449" s="17"/>
      <c r="AT449" s="17"/>
      <c r="AU449" s="17"/>
      <c r="AV449" s="17"/>
      <c r="AW449" s="22">
        <v>4688810881</v>
      </c>
    </row>
    <row r="450" spans="1:49" ht="13.2">
      <c r="A450" s="119">
        <f>HYPERLINK("https://smartstore.naver.com/brickstore2019/products/4689156217",AW:AW)</f>
        <v>4689156217</v>
      </c>
      <c r="B450" s="266"/>
      <c r="C450" s="117" t="s">
        <v>942</v>
      </c>
      <c r="D450" s="117"/>
      <c r="E450" s="117" t="s">
        <v>943</v>
      </c>
      <c r="F450" s="123"/>
      <c r="G450" s="124" t="str">
        <f>HYPERLINK("https://www.amazon.com/FiiO-Q1-Mark-II-Amplifier/dp/B0757MH46M?ref_=ast_sto_dp","A")</f>
        <v>A</v>
      </c>
      <c r="H450" s="125"/>
      <c r="I450" s="125"/>
      <c r="J450" s="125">
        <v>100</v>
      </c>
      <c r="K450" s="82">
        <f t="shared" ref="K450:K455" si="680">IF(L450&gt;0,L450*0.0625,)</f>
        <v>0.625</v>
      </c>
      <c r="L450" s="82">
        <v>10</v>
      </c>
      <c r="M450" s="82">
        <f t="shared" si="550"/>
        <v>0.283495</v>
      </c>
      <c r="N450" s="93">
        <v>0</v>
      </c>
      <c r="O450" s="93">
        <v>0</v>
      </c>
      <c r="P450" s="95">
        <f t="shared" si="551"/>
        <v>100</v>
      </c>
      <c r="Q450" s="96">
        <f t="shared" si="645"/>
        <v>125000</v>
      </c>
      <c r="R450" s="96">
        <v>0</v>
      </c>
      <c r="S450" s="97">
        <f t="shared" si="553"/>
        <v>125000</v>
      </c>
      <c r="T450" s="97">
        <f>ROUNDUP(HLOOKUP(ROUNDUP(K450,0),'배송비 조회'!A$10:U$22,7,0)*C$3,-2)</f>
        <v>9000</v>
      </c>
      <c r="U450" s="97">
        <v>0</v>
      </c>
      <c r="V450" s="97">
        <f t="shared" ref="V450:V451" si="681">ROUND(IF(R450&gt;0,0,(S450+T450)*0.2),-2)</f>
        <v>26800</v>
      </c>
      <c r="W450" s="97">
        <f t="shared" si="491"/>
        <v>67000</v>
      </c>
      <c r="X450" s="98">
        <f t="shared" si="555"/>
        <v>160800</v>
      </c>
      <c r="Y450" s="98">
        <f t="shared" si="27"/>
        <v>201000</v>
      </c>
      <c r="Z450" s="121">
        <v>0</v>
      </c>
      <c r="AA450" s="121">
        <f t="shared" si="556"/>
        <v>6110.4</v>
      </c>
      <c r="AB450" s="121">
        <f t="shared" si="557"/>
        <v>3216</v>
      </c>
      <c r="AC450" s="99">
        <f t="shared" si="8"/>
        <v>20100</v>
      </c>
      <c r="AD450" s="121">
        <f t="shared" si="558"/>
        <v>151473.60000000001</v>
      </c>
      <c r="AE450" s="99">
        <f t="shared" si="10"/>
        <v>180900</v>
      </c>
      <c r="AF450" s="121">
        <f t="shared" si="559"/>
        <v>1514.7360000000001</v>
      </c>
      <c r="AG450" s="100">
        <f t="shared" si="560"/>
        <v>15958.864000000005</v>
      </c>
      <c r="AH450" s="101">
        <f t="shared" si="29"/>
        <v>45385.264000000003</v>
      </c>
      <c r="AI450" s="102">
        <f t="shared" ref="AI450:AJ450" si="682">AG450/X450</f>
        <v>9.9246666666666691E-2</v>
      </c>
      <c r="AJ450" s="102">
        <f t="shared" si="682"/>
        <v>0.22579733333333335</v>
      </c>
      <c r="AK450" s="103"/>
      <c r="AL450" s="104"/>
      <c r="AM450" s="17"/>
      <c r="AN450" s="17"/>
      <c r="AO450" s="17"/>
      <c r="AP450" s="17"/>
      <c r="AQ450" s="17"/>
      <c r="AR450" s="17"/>
      <c r="AS450" s="17"/>
      <c r="AT450" s="17"/>
      <c r="AU450" s="17"/>
      <c r="AV450" s="17"/>
      <c r="AW450" s="22">
        <v>4689156217</v>
      </c>
    </row>
    <row r="451" spans="1:49" ht="13.2">
      <c r="A451" s="119">
        <f>HYPERLINK("https://smartstore.naver.com/brickstore2019/products/4689164572",AW:AW)</f>
        <v>4689164572</v>
      </c>
      <c r="B451" s="266"/>
      <c r="C451" s="117" t="s">
        <v>944</v>
      </c>
      <c r="D451" s="117"/>
      <c r="E451" s="117" t="s">
        <v>945</v>
      </c>
      <c r="F451" s="123"/>
      <c r="G451" s="124" t="str">
        <f>HYPERLINK("https://www.amazon.com/FiiO-Headphone-Amplifier-Computer-Balanced/dp/B07KR3RF4H?ref_=ast_sto_dp&amp;th=1","A")</f>
        <v>A</v>
      </c>
      <c r="H451" s="125"/>
      <c r="I451" s="125"/>
      <c r="J451" s="125">
        <v>110</v>
      </c>
      <c r="K451" s="82">
        <f t="shared" si="680"/>
        <v>0.375</v>
      </c>
      <c r="L451" s="82">
        <v>6</v>
      </c>
      <c r="M451" s="82">
        <f t="shared" si="550"/>
        <v>0.170097</v>
      </c>
      <c r="N451" s="93">
        <v>0</v>
      </c>
      <c r="O451" s="93">
        <v>0</v>
      </c>
      <c r="P451" s="95">
        <f t="shared" si="551"/>
        <v>110</v>
      </c>
      <c r="Q451" s="96">
        <f t="shared" si="645"/>
        <v>137500</v>
      </c>
      <c r="R451" s="96">
        <v>0</v>
      </c>
      <c r="S451" s="97">
        <f t="shared" si="553"/>
        <v>137500</v>
      </c>
      <c r="T451" s="97">
        <f>ROUNDUP(HLOOKUP(ROUNDUP(K451,0),'배송비 조회'!A$10:U$22,7,0)*C$3,-2)</f>
        <v>9000</v>
      </c>
      <c r="U451" s="97">
        <v>0</v>
      </c>
      <c r="V451" s="97">
        <f t="shared" si="681"/>
        <v>29300</v>
      </c>
      <c r="W451" s="97">
        <f t="shared" si="491"/>
        <v>73300</v>
      </c>
      <c r="X451" s="98">
        <f t="shared" si="555"/>
        <v>175800</v>
      </c>
      <c r="Y451" s="98">
        <f t="shared" si="27"/>
        <v>219800</v>
      </c>
      <c r="Z451" s="121">
        <v>0</v>
      </c>
      <c r="AA451" s="121">
        <f t="shared" si="556"/>
        <v>6680.4</v>
      </c>
      <c r="AB451" s="121">
        <f t="shared" si="557"/>
        <v>3516</v>
      </c>
      <c r="AC451" s="99">
        <f t="shared" si="8"/>
        <v>21980</v>
      </c>
      <c r="AD451" s="121">
        <f t="shared" si="558"/>
        <v>165603.6</v>
      </c>
      <c r="AE451" s="99">
        <f t="shared" si="10"/>
        <v>197820</v>
      </c>
      <c r="AF451" s="121">
        <f t="shared" si="559"/>
        <v>1656.0360000000001</v>
      </c>
      <c r="AG451" s="100">
        <f t="shared" si="560"/>
        <v>17447.564000000006</v>
      </c>
      <c r="AH451" s="101">
        <f t="shared" si="29"/>
        <v>49663.964</v>
      </c>
      <c r="AI451" s="102">
        <f t="shared" ref="AI451:AJ451" si="683">AG451/X451</f>
        <v>9.9246666666666705E-2</v>
      </c>
      <c r="AJ451" s="102">
        <f t="shared" si="683"/>
        <v>0.22595070063694267</v>
      </c>
      <c r="AK451" s="103"/>
      <c r="AL451" s="104"/>
      <c r="AM451" s="17"/>
      <c r="AN451" s="17"/>
      <c r="AO451" s="17"/>
      <c r="AP451" s="17"/>
      <c r="AQ451" s="17"/>
      <c r="AR451" s="17"/>
      <c r="AS451" s="17"/>
      <c r="AT451" s="17"/>
      <c r="AU451" s="17"/>
      <c r="AV451" s="17"/>
      <c r="AW451" s="22">
        <v>4689164572</v>
      </c>
    </row>
    <row r="452" spans="1:49" ht="13.2">
      <c r="A452" s="303">
        <f>HYPERLINK("https://smartstore.naver.com/brickstore2019/products/4691044625",AW:AW)</f>
        <v>4691044625</v>
      </c>
      <c r="B452" s="338" t="str">
        <f>HYPERLINK("https://www.coupang.com/vp/products/330186026?vendorItemId=5527064798","330186026")</f>
        <v>330186026</v>
      </c>
      <c r="C452" s="339" t="s">
        <v>946</v>
      </c>
      <c r="D452" s="339" t="s">
        <v>947</v>
      </c>
      <c r="E452" s="304" t="s">
        <v>948</v>
      </c>
      <c r="F452" s="123" t="s">
        <v>949</v>
      </c>
      <c r="G452" s="124" t="str">
        <f>HYPERLINK("https://www.amazon.com/dp/B07BB4FFY7/ref=cm_sw_r_cp_apa_i_LDgMDbABT0AG8","A")</f>
        <v>A</v>
      </c>
      <c r="H452" s="125"/>
      <c r="I452" s="125"/>
      <c r="J452" s="125">
        <v>100</v>
      </c>
      <c r="K452" s="82">
        <f t="shared" si="680"/>
        <v>0.625</v>
      </c>
      <c r="L452" s="82">
        <v>10</v>
      </c>
      <c r="M452" s="82">
        <f t="shared" si="550"/>
        <v>0.283495</v>
      </c>
      <c r="N452" s="93">
        <v>0</v>
      </c>
      <c r="O452" s="93">
        <v>0</v>
      </c>
      <c r="P452" s="95">
        <f t="shared" si="551"/>
        <v>100</v>
      </c>
      <c r="Q452" s="96">
        <f t="shared" si="645"/>
        <v>125000</v>
      </c>
      <c r="R452" s="96">
        <v>0</v>
      </c>
      <c r="S452" s="97">
        <f t="shared" si="553"/>
        <v>125000</v>
      </c>
      <c r="T452" s="97">
        <f>ROUNDUP(HLOOKUP(ROUNDUP(K452,0),'배송비 조회'!A$10:U$22,7,0)*C$3,-2)</f>
        <v>9000</v>
      </c>
      <c r="U452" s="97">
        <v>0</v>
      </c>
      <c r="V452" s="97">
        <f>ROUND(IF(R452&gt;0,0,(S452+T452)*0.3),-2)</f>
        <v>40200</v>
      </c>
      <c r="W452" s="97">
        <f>ROUND(IF(R452&gt;0,0,(S452+T452)*0.4),-2)</f>
        <v>53600</v>
      </c>
      <c r="X452" s="98">
        <f t="shared" si="555"/>
        <v>174200</v>
      </c>
      <c r="Y452" s="98">
        <f t="shared" si="27"/>
        <v>187600</v>
      </c>
      <c r="Z452" s="121">
        <v>0</v>
      </c>
      <c r="AA452" s="121">
        <f t="shared" si="556"/>
        <v>6619.5999999999995</v>
      </c>
      <c r="AB452" s="121">
        <f t="shared" si="557"/>
        <v>3484</v>
      </c>
      <c r="AC452" s="99">
        <f t="shared" si="8"/>
        <v>18760</v>
      </c>
      <c r="AD452" s="121">
        <f t="shared" si="558"/>
        <v>164096.4</v>
      </c>
      <c r="AE452" s="99">
        <f t="shared" si="10"/>
        <v>168840</v>
      </c>
      <c r="AF452" s="121">
        <f t="shared" si="559"/>
        <v>1640.9639999999999</v>
      </c>
      <c r="AG452" s="100">
        <f t="shared" si="560"/>
        <v>28455.435999999994</v>
      </c>
      <c r="AH452" s="101">
        <f t="shared" si="29"/>
        <v>33199.036</v>
      </c>
      <c r="AI452" s="102">
        <f t="shared" ref="AI452:AJ452" si="684">AG452/X452</f>
        <v>0.16334923076923075</v>
      </c>
      <c r="AJ452" s="102">
        <f t="shared" si="684"/>
        <v>0.17696714285714285</v>
      </c>
      <c r="AK452" s="103"/>
      <c r="AL452" s="104"/>
      <c r="AM452" s="17"/>
      <c r="AN452" s="17"/>
      <c r="AO452" s="17"/>
      <c r="AP452" s="17"/>
      <c r="AQ452" s="17"/>
      <c r="AR452" s="17"/>
      <c r="AS452" s="17"/>
      <c r="AT452" s="17"/>
      <c r="AU452" s="17"/>
      <c r="AV452" s="17"/>
      <c r="AW452" s="296">
        <v>4691044625</v>
      </c>
    </row>
    <row r="453" spans="1:49" ht="13.2">
      <c r="A453" s="302"/>
      <c r="B453" s="306"/>
      <c r="C453" s="302"/>
      <c r="D453" s="302"/>
      <c r="E453" s="302"/>
      <c r="F453" s="123" t="s">
        <v>950</v>
      </c>
      <c r="G453" s="218" t="s">
        <v>1293</v>
      </c>
      <c r="H453" s="125"/>
      <c r="I453" s="125"/>
      <c r="J453" s="125">
        <v>150</v>
      </c>
      <c r="K453" s="82">
        <f t="shared" si="680"/>
        <v>0.625</v>
      </c>
      <c r="L453" s="82">
        <v>10</v>
      </c>
      <c r="M453" s="82">
        <f t="shared" si="550"/>
        <v>0.283495</v>
      </c>
      <c r="N453" s="93">
        <v>0</v>
      </c>
      <c r="O453" s="93">
        <v>0</v>
      </c>
      <c r="P453" s="95">
        <f t="shared" si="551"/>
        <v>150</v>
      </c>
      <c r="Q453" s="96">
        <f t="shared" si="645"/>
        <v>187500</v>
      </c>
      <c r="R453" s="96">
        <v>0</v>
      </c>
      <c r="S453" s="97">
        <f t="shared" si="553"/>
        <v>187500</v>
      </c>
      <c r="T453" s="97">
        <f>ROUNDUP(HLOOKUP(ROUNDUP(K453,0),'배송비 조회'!A$10:U$22,7,0)*C$3,-2)</f>
        <v>9000</v>
      </c>
      <c r="U453" s="97">
        <v>0</v>
      </c>
      <c r="V453" s="97">
        <f t="shared" ref="V453:V461" si="685">ROUND(IF(R453&gt;0,0,(S453+T453)*0.2),-2)</f>
        <v>39300</v>
      </c>
      <c r="W453" s="97">
        <f>ROUND(IF(R453&gt;0,0,(S453+T453)*0.3),-2)</f>
        <v>59000</v>
      </c>
      <c r="X453" s="98">
        <f t="shared" si="555"/>
        <v>235800</v>
      </c>
      <c r="Y453" s="98">
        <f t="shared" si="27"/>
        <v>255500</v>
      </c>
      <c r="Z453" s="121">
        <v>0</v>
      </c>
      <c r="AA453" s="121">
        <f t="shared" si="556"/>
        <v>8960.4</v>
      </c>
      <c r="AB453" s="121">
        <f t="shared" si="557"/>
        <v>4716</v>
      </c>
      <c r="AC453" s="99">
        <f t="shared" si="8"/>
        <v>25550</v>
      </c>
      <c r="AD453" s="121">
        <f t="shared" si="558"/>
        <v>222123.6</v>
      </c>
      <c r="AE453" s="99">
        <f t="shared" si="10"/>
        <v>229950</v>
      </c>
      <c r="AF453" s="121">
        <f t="shared" si="559"/>
        <v>2221.2360000000003</v>
      </c>
      <c r="AG453" s="100">
        <f t="shared" si="560"/>
        <v>23402.364000000005</v>
      </c>
      <c r="AH453" s="101">
        <f t="shared" si="29"/>
        <v>31228.764000000003</v>
      </c>
      <c r="AI453" s="102">
        <f t="shared" ref="AI453:AJ453" si="686">AG453/X453</f>
        <v>9.9246666666666691E-2</v>
      </c>
      <c r="AJ453" s="102">
        <f t="shared" si="686"/>
        <v>0.12222608219178083</v>
      </c>
      <c r="AK453" s="103">
        <f>X453-X452</f>
        <v>61600</v>
      </c>
      <c r="AL453" s="104"/>
      <c r="AM453" s="17"/>
      <c r="AN453" s="17"/>
      <c r="AO453" s="17"/>
      <c r="AP453" s="17"/>
      <c r="AQ453" s="17"/>
      <c r="AR453" s="17"/>
      <c r="AS453" s="17"/>
      <c r="AT453" s="17"/>
      <c r="AU453" s="17"/>
      <c r="AV453" s="17"/>
      <c r="AW453" s="297"/>
    </row>
    <row r="454" spans="1:49" ht="13.2">
      <c r="A454" s="119">
        <f>HYPERLINK("https://smartstore.naver.com/brickstore2019/products/4691059782",AW:AW)</f>
        <v>4691059782</v>
      </c>
      <c r="B454" s="266"/>
      <c r="C454" s="117" t="s">
        <v>951</v>
      </c>
      <c r="D454" s="117"/>
      <c r="E454" s="117" t="s">
        <v>952</v>
      </c>
      <c r="F454" s="123"/>
      <c r="G454" s="124" t="str">
        <f>HYPERLINK("https://www.amazon.com/Rode-Wireless-Go-Microphone-Transmitter/dp/B07QGGBNMN/ref=sr_1_3?keywords=Rode+Lavalier&amp;qid=1570284793&amp;refinements=p_89%3ARode&amp;rnid=2528832011&amp;sr=8-3","A")</f>
        <v>A</v>
      </c>
      <c r="H454" s="125"/>
      <c r="I454" s="125"/>
      <c r="J454" s="125">
        <v>200</v>
      </c>
      <c r="K454" s="82">
        <f t="shared" si="680"/>
        <v>0.625</v>
      </c>
      <c r="L454" s="82">
        <v>10</v>
      </c>
      <c r="M454" s="82">
        <f t="shared" si="550"/>
        <v>0.283495</v>
      </c>
      <c r="N454" s="93">
        <v>0</v>
      </c>
      <c r="O454" s="93">
        <v>0</v>
      </c>
      <c r="P454" s="95">
        <f t="shared" si="551"/>
        <v>200</v>
      </c>
      <c r="Q454" s="96">
        <f t="shared" si="645"/>
        <v>250000</v>
      </c>
      <c r="R454" s="96">
        <v>0</v>
      </c>
      <c r="S454" s="97">
        <f t="shared" si="553"/>
        <v>250000</v>
      </c>
      <c r="T454" s="97">
        <f>ROUNDUP(HLOOKUP(ROUNDUP(K454,0),'배송비 조회'!A$10:U$22,7,0)*C$3,-2)</f>
        <v>9000</v>
      </c>
      <c r="U454" s="97">
        <v>0</v>
      </c>
      <c r="V454" s="97">
        <f t="shared" si="685"/>
        <v>51800</v>
      </c>
      <c r="W454" s="97">
        <f t="shared" ref="W454:W483" si="687">ROUND(IF(R454&gt;0,0,(S454+T454)*0.5),-2)</f>
        <v>129500</v>
      </c>
      <c r="X454" s="98">
        <f t="shared" si="555"/>
        <v>310800</v>
      </c>
      <c r="Y454" s="98">
        <f t="shared" si="27"/>
        <v>388500</v>
      </c>
      <c r="Z454" s="121">
        <v>0</v>
      </c>
      <c r="AA454" s="121">
        <f t="shared" si="556"/>
        <v>11810.4</v>
      </c>
      <c r="AB454" s="121">
        <f t="shared" si="557"/>
        <v>6216</v>
      </c>
      <c r="AC454" s="99">
        <f t="shared" si="8"/>
        <v>38850</v>
      </c>
      <c r="AD454" s="121">
        <f t="shared" si="558"/>
        <v>292773.59999999998</v>
      </c>
      <c r="AE454" s="99">
        <f t="shared" si="10"/>
        <v>349650</v>
      </c>
      <c r="AF454" s="121">
        <f t="shared" si="559"/>
        <v>2927.7359999999999</v>
      </c>
      <c r="AG454" s="100">
        <f t="shared" si="560"/>
        <v>30845.86399999998</v>
      </c>
      <c r="AH454" s="101">
        <f t="shared" si="29"/>
        <v>87722.263999999996</v>
      </c>
      <c r="AI454" s="102">
        <f t="shared" ref="AI454:AJ454" si="688">AG454/X454</f>
        <v>9.9246666666666594E-2</v>
      </c>
      <c r="AJ454" s="102">
        <f t="shared" si="688"/>
        <v>0.22579733333333332</v>
      </c>
      <c r="AK454" s="103"/>
      <c r="AL454" s="104"/>
      <c r="AM454" s="17"/>
      <c r="AN454" s="17"/>
      <c r="AO454" s="17"/>
      <c r="AP454" s="17"/>
      <c r="AQ454" s="17"/>
      <c r="AR454" s="17"/>
      <c r="AS454" s="17"/>
      <c r="AT454" s="17"/>
      <c r="AU454" s="17"/>
      <c r="AV454" s="17"/>
      <c r="AW454" s="22">
        <v>4691059782</v>
      </c>
    </row>
    <row r="455" spans="1:49" ht="13.2">
      <c r="A455" s="119">
        <f>HYPERLINK("https://smartstore.naver.com/brickstore2019/products/4691107375",AW:AW)</f>
        <v>4691107375</v>
      </c>
      <c r="B455" s="266"/>
      <c r="C455" s="117" t="s">
        <v>953</v>
      </c>
      <c r="D455" s="117"/>
      <c r="E455" s="117" t="s">
        <v>954</v>
      </c>
      <c r="F455" s="123"/>
      <c r="G455" s="218" t="s">
        <v>1293</v>
      </c>
      <c r="H455" s="125"/>
      <c r="I455" s="125"/>
      <c r="J455" s="125">
        <v>150</v>
      </c>
      <c r="K455" s="82">
        <f t="shared" si="680"/>
        <v>0.625</v>
      </c>
      <c r="L455" s="82">
        <v>10</v>
      </c>
      <c r="M455" s="82">
        <f t="shared" si="550"/>
        <v>0.283495</v>
      </c>
      <c r="N455" s="93">
        <v>0</v>
      </c>
      <c r="O455" s="93">
        <v>0</v>
      </c>
      <c r="P455" s="95">
        <f t="shared" si="551"/>
        <v>150</v>
      </c>
      <c r="Q455" s="96">
        <f t="shared" si="645"/>
        <v>187500</v>
      </c>
      <c r="R455" s="96">
        <v>0</v>
      </c>
      <c r="S455" s="97">
        <f t="shared" si="553"/>
        <v>187500</v>
      </c>
      <c r="T455" s="97">
        <f>ROUNDUP(HLOOKUP(ROUNDUP(K455,0),'배송비 조회'!A$10:U$22,7,0)*C$3,-2)</f>
        <v>9000</v>
      </c>
      <c r="U455" s="97">
        <v>0</v>
      </c>
      <c r="V455" s="97">
        <f t="shared" si="685"/>
        <v>39300</v>
      </c>
      <c r="W455" s="97">
        <f t="shared" si="687"/>
        <v>98300</v>
      </c>
      <c r="X455" s="98">
        <f t="shared" si="555"/>
        <v>235800</v>
      </c>
      <c r="Y455" s="98">
        <f t="shared" si="27"/>
        <v>294800</v>
      </c>
      <c r="Z455" s="121">
        <v>0</v>
      </c>
      <c r="AA455" s="121">
        <f t="shared" si="556"/>
        <v>8960.4</v>
      </c>
      <c r="AB455" s="121">
        <f t="shared" si="557"/>
        <v>4716</v>
      </c>
      <c r="AC455" s="99">
        <f t="shared" si="8"/>
        <v>29480</v>
      </c>
      <c r="AD455" s="121">
        <f t="shared" si="558"/>
        <v>222123.6</v>
      </c>
      <c r="AE455" s="99">
        <f t="shared" si="10"/>
        <v>265320</v>
      </c>
      <c r="AF455" s="121">
        <f t="shared" si="559"/>
        <v>2221.2360000000003</v>
      </c>
      <c r="AG455" s="100">
        <f t="shared" si="560"/>
        <v>23402.364000000005</v>
      </c>
      <c r="AH455" s="101">
        <f t="shared" si="29"/>
        <v>66598.763999999996</v>
      </c>
      <c r="AI455" s="102">
        <f t="shared" ref="AI455:AJ455" si="689">AG455/X455</f>
        <v>9.9246666666666691E-2</v>
      </c>
      <c r="AJ455" s="102">
        <f t="shared" si="689"/>
        <v>0.22591168249660787</v>
      </c>
      <c r="AK455" s="103"/>
      <c r="AL455" s="104"/>
      <c r="AM455" s="17"/>
      <c r="AN455" s="17"/>
      <c r="AO455" s="17"/>
      <c r="AP455" s="17"/>
      <c r="AQ455" s="17"/>
      <c r="AR455" s="17"/>
      <c r="AS455" s="17"/>
      <c r="AT455" s="17"/>
      <c r="AU455" s="17"/>
      <c r="AV455" s="17"/>
      <c r="AW455" s="22">
        <v>4691107375</v>
      </c>
    </row>
    <row r="456" spans="1:49" ht="13.2">
      <c r="A456" s="119">
        <f>HYPERLINK("https://smartstore.naver.com/brickstore2019/products/4691109269",AW:AW)</f>
        <v>4691109269</v>
      </c>
      <c r="B456" s="266"/>
      <c r="C456" s="117" t="s">
        <v>955</v>
      </c>
      <c r="D456" s="117"/>
      <c r="E456" s="117" t="s">
        <v>956</v>
      </c>
      <c r="F456" s="123"/>
      <c r="G456" s="124" t="str">
        <f>HYPERLINK("https://www.amazon.com/gp/product/B07PGR9C8H/ref=ox_sc_act_title_1?smid=A1L9D0A8YQ4I2J&amp;psc=1","A")</f>
        <v>A</v>
      </c>
      <c r="H456" s="124" t="str">
        <f>HYPERLINK("https://www.logitech.com/en-us/product/slim-folio-pro","L")</f>
        <v>L</v>
      </c>
      <c r="I456" s="124"/>
      <c r="J456" s="125">
        <v>130</v>
      </c>
      <c r="K456" s="82">
        <v>1.85</v>
      </c>
      <c r="L456" s="82">
        <f t="shared" ref="L456:L467" si="690">IF(K456&gt;0,K456*16,)</f>
        <v>29.6</v>
      </c>
      <c r="M456" s="82">
        <f t="shared" si="550"/>
        <v>0.83914520000000004</v>
      </c>
      <c r="N456" s="93">
        <v>0</v>
      </c>
      <c r="O456" s="93">
        <v>0</v>
      </c>
      <c r="P456" s="95">
        <f t="shared" si="551"/>
        <v>130</v>
      </c>
      <c r="Q456" s="96">
        <f t="shared" si="645"/>
        <v>162500</v>
      </c>
      <c r="R456" s="96">
        <v>0</v>
      </c>
      <c r="S456" s="97">
        <f t="shared" si="553"/>
        <v>162500</v>
      </c>
      <c r="T456" s="97">
        <f>ROUNDUP(HLOOKUP(ROUNDUP(K456,0),'배송비 조회'!A$10:U$22,7,0)*C$3,-2)</f>
        <v>11200</v>
      </c>
      <c r="U456" s="97">
        <v>0</v>
      </c>
      <c r="V456" s="97">
        <f t="shared" si="685"/>
        <v>34700</v>
      </c>
      <c r="W456" s="97">
        <f t="shared" si="687"/>
        <v>86900</v>
      </c>
      <c r="X456" s="98">
        <f t="shared" si="555"/>
        <v>208400</v>
      </c>
      <c r="Y456" s="98">
        <f t="shared" si="27"/>
        <v>260600</v>
      </c>
      <c r="Z456" s="121">
        <v>0</v>
      </c>
      <c r="AA456" s="121">
        <f t="shared" si="556"/>
        <v>7919.2</v>
      </c>
      <c r="AB456" s="121">
        <f t="shared" si="557"/>
        <v>4168</v>
      </c>
      <c r="AC456" s="99">
        <f t="shared" si="8"/>
        <v>26060</v>
      </c>
      <c r="AD456" s="121">
        <f t="shared" si="558"/>
        <v>196312.8</v>
      </c>
      <c r="AE456" s="99">
        <f t="shared" si="10"/>
        <v>234540</v>
      </c>
      <c r="AF456" s="121">
        <f t="shared" si="559"/>
        <v>1963.1279999999999</v>
      </c>
      <c r="AG456" s="100">
        <f t="shared" si="560"/>
        <v>20649.671999999988</v>
      </c>
      <c r="AH456" s="101">
        <f t="shared" si="29"/>
        <v>58876.872000000003</v>
      </c>
      <c r="AI456" s="102">
        <f t="shared" ref="AI456:AJ456" si="691">AG456/X456</f>
        <v>9.9086717850287845E-2</v>
      </c>
      <c r="AJ456" s="102">
        <f t="shared" si="691"/>
        <v>0.22592813507290868</v>
      </c>
      <c r="AK456" s="103"/>
      <c r="AL456" s="104"/>
      <c r="AM456" s="17"/>
      <c r="AN456" s="17"/>
      <c r="AO456" s="17"/>
      <c r="AP456" s="17"/>
      <c r="AQ456" s="17"/>
      <c r="AR456" s="17"/>
      <c r="AS456" s="17"/>
      <c r="AT456" s="17"/>
      <c r="AU456" s="17"/>
      <c r="AV456" s="17"/>
      <c r="AW456" s="22">
        <v>4691109269</v>
      </c>
    </row>
    <row r="457" spans="1:49" ht="13.2">
      <c r="A457" s="303">
        <f>HYPERLINK("https://smartstore.naver.com/brickstore2019/products/4691126621",AW:AW)</f>
        <v>4691126621</v>
      </c>
      <c r="B457" s="266"/>
      <c r="C457" s="304" t="s">
        <v>957</v>
      </c>
      <c r="D457" s="117"/>
      <c r="E457" s="304" t="s">
        <v>958</v>
      </c>
      <c r="F457" s="123" t="s">
        <v>612</v>
      </c>
      <c r="G457" s="218" t="s">
        <v>1293</v>
      </c>
      <c r="H457" s="125"/>
      <c r="I457" s="125"/>
      <c r="J457" s="93">
        <v>140</v>
      </c>
      <c r="K457" s="82">
        <v>3.5</v>
      </c>
      <c r="L457" s="82">
        <f t="shared" si="690"/>
        <v>56</v>
      </c>
      <c r="M457" s="82">
        <f t="shared" si="550"/>
        <v>1.587572</v>
      </c>
      <c r="N457" s="93">
        <v>0</v>
      </c>
      <c r="O457" s="93">
        <v>0</v>
      </c>
      <c r="P457" s="95">
        <f t="shared" si="551"/>
        <v>140</v>
      </c>
      <c r="Q457" s="96">
        <f t="shared" si="645"/>
        <v>175000</v>
      </c>
      <c r="R457" s="96">
        <v>0</v>
      </c>
      <c r="S457" s="97">
        <f t="shared" si="553"/>
        <v>175000</v>
      </c>
      <c r="T457" s="97">
        <f>ROUNDUP(HLOOKUP(ROUNDUP(K457,0),'배송비 조회'!A$10:U$22,7,0)*C$3,-2)</f>
        <v>15600</v>
      </c>
      <c r="U457" s="97">
        <v>0</v>
      </c>
      <c r="V457" s="97">
        <f t="shared" si="685"/>
        <v>38100</v>
      </c>
      <c r="W457" s="97">
        <f t="shared" si="687"/>
        <v>95300</v>
      </c>
      <c r="X457" s="98">
        <f t="shared" si="555"/>
        <v>228700</v>
      </c>
      <c r="Y457" s="98">
        <f t="shared" si="27"/>
        <v>285900</v>
      </c>
      <c r="Z457" s="121">
        <v>0</v>
      </c>
      <c r="AA457" s="121">
        <f t="shared" si="556"/>
        <v>8690.6</v>
      </c>
      <c r="AB457" s="121">
        <f t="shared" si="557"/>
        <v>4574</v>
      </c>
      <c r="AC457" s="99">
        <f t="shared" si="8"/>
        <v>28590</v>
      </c>
      <c r="AD457" s="121">
        <f t="shared" si="558"/>
        <v>215435.4</v>
      </c>
      <c r="AE457" s="99">
        <f t="shared" si="10"/>
        <v>257310</v>
      </c>
      <c r="AF457" s="121">
        <f t="shared" si="559"/>
        <v>2154.3539999999998</v>
      </c>
      <c r="AG457" s="100">
        <f t="shared" si="560"/>
        <v>22681.045999999995</v>
      </c>
      <c r="AH457" s="101">
        <f t="shared" si="29"/>
        <v>64555.645999999993</v>
      </c>
      <c r="AI457" s="102">
        <f t="shared" ref="AI457:AJ457" si="692">AG457/X457</f>
        <v>9.9173790992566666E-2</v>
      </c>
      <c r="AJ457" s="102">
        <f t="shared" si="692"/>
        <v>0.22579799230500172</v>
      </c>
      <c r="AK457" s="103"/>
      <c r="AL457" s="104"/>
      <c r="AM457" s="17"/>
      <c r="AN457" s="17"/>
      <c r="AO457" s="17"/>
      <c r="AP457" s="17"/>
      <c r="AQ457" s="17"/>
      <c r="AR457" s="17"/>
      <c r="AS457" s="17"/>
      <c r="AT457" s="17"/>
      <c r="AU457" s="17"/>
      <c r="AV457" s="17"/>
      <c r="AW457" s="296">
        <v>4691126621</v>
      </c>
    </row>
    <row r="458" spans="1:49" ht="13.2">
      <c r="A458" s="302"/>
      <c r="B458" s="266"/>
      <c r="C458" s="302"/>
      <c r="D458" s="117"/>
      <c r="E458" s="302"/>
      <c r="F458" s="123" t="s">
        <v>959</v>
      </c>
      <c r="G458" s="218" t="s">
        <v>1293</v>
      </c>
      <c r="H458" s="125"/>
      <c r="I458" s="125"/>
      <c r="J458" s="93">
        <v>140</v>
      </c>
      <c r="K458" s="82">
        <v>3.5</v>
      </c>
      <c r="L458" s="82">
        <f t="shared" si="690"/>
        <v>56</v>
      </c>
      <c r="M458" s="82">
        <f t="shared" si="550"/>
        <v>1.587572</v>
      </c>
      <c r="N458" s="93">
        <v>0</v>
      </c>
      <c r="O458" s="93">
        <v>0</v>
      </c>
      <c r="P458" s="95">
        <f t="shared" si="551"/>
        <v>140</v>
      </c>
      <c r="Q458" s="96">
        <f t="shared" si="645"/>
        <v>175000</v>
      </c>
      <c r="R458" s="96">
        <v>0</v>
      </c>
      <c r="S458" s="97">
        <f t="shared" si="553"/>
        <v>175000</v>
      </c>
      <c r="T458" s="97">
        <f>ROUNDUP(HLOOKUP(ROUNDUP(K458,0),'배송비 조회'!A$10:U$22,7,0)*C$3,-2)</f>
        <v>15600</v>
      </c>
      <c r="U458" s="97">
        <v>0</v>
      </c>
      <c r="V458" s="97">
        <f t="shared" si="685"/>
        <v>38100</v>
      </c>
      <c r="W458" s="97">
        <f t="shared" si="687"/>
        <v>95300</v>
      </c>
      <c r="X458" s="98">
        <f t="shared" si="555"/>
        <v>228700</v>
      </c>
      <c r="Y458" s="98">
        <f t="shared" si="27"/>
        <v>285900</v>
      </c>
      <c r="Z458" s="121">
        <v>0</v>
      </c>
      <c r="AA458" s="121">
        <f t="shared" si="556"/>
        <v>8690.6</v>
      </c>
      <c r="AB458" s="121">
        <f t="shared" si="557"/>
        <v>4574</v>
      </c>
      <c r="AC458" s="99">
        <f t="shared" si="8"/>
        <v>28590</v>
      </c>
      <c r="AD458" s="121">
        <f t="shared" si="558"/>
        <v>215435.4</v>
      </c>
      <c r="AE458" s="99">
        <f t="shared" si="10"/>
        <v>257310</v>
      </c>
      <c r="AF458" s="121">
        <f t="shared" si="559"/>
        <v>2154.3539999999998</v>
      </c>
      <c r="AG458" s="100">
        <f t="shared" si="560"/>
        <v>22681.045999999995</v>
      </c>
      <c r="AH458" s="101">
        <f t="shared" si="29"/>
        <v>64555.645999999993</v>
      </c>
      <c r="AI458" s="102">
        <f t="shared" ref="AI458:AJ458" si="693">AG458/X458</f>
        <v>9.9173790992566666E-2</v>
      </c>
      <c r="AJ458" s="102">
        <f t="shared" si="693"/>
        <v>0.22579799230500172</v>
      </c>
      <c r="AK458" s="103"/>
      <c r="AL458" s="104"/>
      <c r="AM458" s="17"/>
      <c r="AN458" s="17"/>
      <c r="AO458" s="17"/>
      <c r="AP458" s="17"/>
      <c r="AQ458" s="17"/>
      <c r="AR458" s="17"/>
      <c r="AS458" s="17"/>
      <c r="AT458" s="17"/>
      <c r="AU458" s="17"/>
      <c r="AV458" s="17"/>
      <c r="AW458" s="297"/>
    </row>
    <row r="459" spans="1:49" ht="13.2">
      <c r="A459" s="346">
        <f>HYPERLINK("https://smartstore.naver.com/brickstore2019/products/4692115862",AW:AW)</f>
        <v>4692115862</v>
      </c>
      <c r="B459" s="286"/>
      <c r="C459" s="340" t="s">
        <v>960</v>
      </c>
      <c r="D459" s="287"/>
      <c r="E459" s="340" t="s">
        <v>961</v>
      </c>
      <c r="F459" s="288" t="s">
        <v>612</v>
      </c>
      <c r="G459" s="289" t="str">
        <f>HYPERLINK("https://www.amazon.com/Brydge-Keyboard-11-0-inch-Generation-Bluetooth/dp/B07MTSF94C?ref_=ast_sto_dp&amp;th=1","A")</f>
        <v>A</v>
      </c>
      <c r="H459" s="359" t="s">
        <v>1295</v>
      </c>
      <c r="I459" s="294"/>
      <c r="J459" s="290">
        <v>150</v>
      </c>
      <c r="K459" s="291">
        <v>3</v>
      </c>
      <c r="L459" s="291">
        <f t="shared" si="690"/>
        <v>48</v>
      </c>
      <c r="M459" s="291">
        <f t="shared" si="550"/>
        <v>1.360776</v>
      </c>
      <c r="N459" s="290">
        <v>0</v>
      </c>
      <c r="O459" s="290">
        <v>0</v>
      </c>
      <c r="P459" s="292">
        <f t="shared" si="551"/>
        <v>150</v>
      </c>
      <c r="Q459" s="96">
        <f t="shared" si="645"/>
        <v>187500</v>
      </c>
      <c r="R459" s="96">
        <v>0</v>
      </c>
      <c r="S459" s="97">
        <f t="shared" si="553"/>
        <v>187500</v>
      </c>
      <c r="T459" s="97">
        <f>ROUNDUP(HLOOKUP(ROUNDUP(K459,0),'배송비 조회'!A$10:U$22,7,0)*C$3,-2)</f>
        <v>13400</v>
      </c>
      <c r="U459" s="97">
        <v>0</v>
      </c>
      <c r="V459" s="97">
        <f t="shared" si="685"/>
        <v>40200</v>
      </c>
      <c r="W459" s="97">
        <f t="shared" si="687"/>
        <v>100500</v>
      </c>
      <c r="X459" s="98">
        <f t="shared" si="555"/>
        <v>241100</v>
      </c>
      <c r="Y459" s="98">
        <f t="shared" si="27"/>
        <v>301400</v>
      </c>
      <c r="Z459" s="121">
        <v>0</v>
      </c>
      <c r="AA459" s="121">
        <f t="shared" si="556"/>
        <v>9161.7999999999993</v>
      </c>
      <c r="AB459" s="121">
        <f t="shared" si="557"/>
        <v>4822</v>
      </c>
      <c r="AC459" s="99">
        <f t="shared" si="8"/>
        <v>30140</v>
      </c>
      <c r="AD459" s="121">
        <f t="shared" si="558"/>
        <v>227116.2</v>
      </c>
      <c r="AE459" s="99">
        <f t="shared" si="10"/>
        <v>271260</v>
      </c>
      <c r="AF459" s="121">
        <f t="shared" si="559"/>
        <v>2271.1620000000003</v>
      </c>
      <c r="AG459" s="100">
        <f t="shared" si="560"/>
        <v>23945.038000000015</v>
      </c>
      <c r="AH459" s="101">
        <f t="shared" si="29"/>
        <v>68088.838000000003</v>
      </c>
      <c r="AI459" s="102">
        <f t="shared" ref="AI459:AJ459" si="694">AG459/X459</f>
        <v>9.9315794276233993E-2</v>
      </c>
      <c r="AJ459" s="102">
        <f t="shared" si="694"/>
        <v>0.22590855341738555</v>
      </c>
      <c r="AK459" s="103"/>
      <c r="AL459" s="104"/>
      <c r="AM459" s="17"/>
      <c r="AN459" s="17"/>
      <c r="AO459" s="17"/>
      <c r="AP459" s="17"/>
      <c r="AQ459" s="17"/>
      <c r="AR459" s="17"/>
      <c r="AS459" s="17"/>
      <c r="AT459" s="17"/>
      <c r="AU459" s="17"/>
      <c r="AV459" s="17"/>
      <c r="AW459" s="296">
        <v>4692115862</v>
      </c>
    </row>
    <row r="460" spans="1:49" ht="13.2">
      <c r="A460" s="341"/>
      <c r="B460" s="286"/>
      <c r="C460" s="341"/>
      <c r="D460" s="287"/>
      <c r="E460" s="341"/>
      <c r="F460" s="288" t="s">
        <v>959</v>
      </c>
      <c r="G460" s="293" t="str">
        <f>HYPERLINK("https://www.amazon.com/Brydge-Keyboard-11-0-inch-Generation-Bluetooth/dp/B07MTV3T7T?ref_=ast_sto_dp&amp;th=1","A")</f>
        <v>A</v>
      </c>
      <c r="H460" s="360"/>
      <c r="I460" s="295"/>
      <c r="J460" s="290">
        <v>150</v>
      </c>
      <c r="K460" s="291">
        <v>3</v>
      </c>
      <c r="L460" s="291">
        <f t="shared" si="690"/>
        <v>48</v>
      </c>
      <c r="M460" s="291">
        <f t="shared" si="550"/>
        <v>1.360776</v>
      </c>
      <c r="N460" s="290">
        <v>0</v>
      </c>
      <c r="O460" s="290">
        <v>0</v>
      </c>
      <c r="P460" s="292">
        <f t="shared" si="551"/>
        <v>150</v>
      </c>
      <c r="Q460" s="96">
        <f t="shared" si="645"/>
        <v>187500</v>
      </c>
      <c r="R460" s="96">
        <v>0</v>
      </c>
      <c r="S460" s="97">
        <f t="shared" si="553"/>
        <v>187500</v>
      </c>
      <c r="T460" s="97">
        <f>ROUNDUP(HLOOKUP(ROUNDUP(K460,0),'배송비 조회'!A$10:U$22,7,0)*C$3,-2)</f>
        <v>13400</v>
      </c>
      <c r="U460" s="97">
        <v>0</v>
      </c>
      <c r="V460" s="97">
        <f t="shared" si="685"/>
        <v>40200</v>
      </c>
      <c r="W460" s="97">
        <f t="shared" si="687"/>
        <v>100500</v>
      </c>
      <c r="X460" s="98">
        <f t="shared" si="555"/>
        <v>241100</v>
      </c>
      <c r="Y460" s="98">
        <f t="shared" si="27"/>
        <v>301400</v>
      </c>
      <c r="Z460" s="121">
        <v>0</v>
      </c>
      <c r="AA460" s="121">
        <f t="shared" si="556"/>
        <v>9161.7999999999993</v>
      </c>
      <c r="AB460" s="121">
        <f t="shared" si="557"/>
        <v>4822</v>
      </c>
      <c r="AC460" s="99">
        <f t="shared" si="8"/>
        <v>30140</v>
      </c>
      <c r="AD460" s="121">
        <f t="shared" si="558"/>
        <v>227116.2</v>
      </c>
      <c r="AE460" s="99">
        <f t="shared" si="10"/>
        <v>271260</v>
      </c>
      <c r="AF460" s="121">
        <f t="shared" si="559"/>
        <v>2271.1620000000003</v>
      </c>
      <c r="AG460" s="100">
        <f t="shared" si="560"/>
        <v>23945.038000000015</v>
      </c>
      <c r="AH460" s="101">
        <f t="shared" si="29"/>
        <v>68088.838000000003</v>
      </c>
      <c r="AI460" s="102">
        <f t="shared" ref="AI460:AJ460" si="695">AG460/X460</f>
        <v>9.9315794276233993E-2</v>
      </c>
      <c r="AJ460" s="102">
        <f t="shared" si="695"/>
        <v>0.22590855341738555</v>
      </c>
      <c r="AK460" s="103"/>
      <c r="AL460" s="104"/>
      <c r="AM460" s="17"/>
      <c r="AN460" s="17"/>
      <c r="AO460" s="17"/>
      <c r="AP460" s="17"/>
      <c r="AQ460" s="17"/>
      <c r="AR460" s="17"/>
      <c r="AS460" s="17"/>
      <c r="AT460" s="17"/>
      <c r="AU460" s="17"/>
      <c r="AV460" s="17"/>
      <c r="AW460" s="297"/>
    </row>
    <row r="461" spans="1:49" ht="13.2">
      <c r="A461" s="119">
        <f>HYPERLINK("https://smartstore.naver.com/brickstore2019/products/4691125928",AW:AW)</f>
        <v>4691125928</v>
      </c>
      <c r="B461" s="266"/>
      <c r="C461" s="117" t="s">
        <v>962</v>
      </c>
      <c r="D461" s="117"/>
      <c r="E461" s="117" t="s">
        <v>963</v>
      </c>
      <c r="F461" s="123"/>
      <c r="G461" s="124" t="str">
        <f>HYPERLINK("https://www.amazon.com/gp/product/B07PHVY3XM/ref=ox_sc_mini_detail?ie=UTF8&amp;psc=1&amp;smid=A2KN9K54F1HXTQ","A")</f>
        <v>A</v>
      </c>
      <c r="H461" s="124" t="str">
        <f>HYPERLINK("https://www.logitech.com/en-us/product/slim-folio-pro","L")</f>
        <v>L</v>
      </c>
      <c r="I461" s="124"/>
      <c r="J461" s="125">
        <v>140</v>
      </c>
      <c r="K461" s="82">
        <v>2.1</v>
      </c>
      <c r="L461" s="82">
        <f t="shared" si="690"/>
        <v>33.6</v>
      </c>
      <c r="M461" s="82">
        <f t="shared" si="550"/>
        <v>0.95254320000000003</v>
      </c>
      <c r="N461" s="93">
        <v>0</v>
      </c>
      <c r="O461" s="93">
        <v>0</v>
      </c>
      <c r="P461" s="95">
        <f t="shared" si="551"/>
        <v>140</v>
      </c>
      <c r="Q461" s="96">
        <f t="shared" si="645"/>
        <v>175000</v>
      </c>
      <c r="R461" s="96">
        <v>0</v>
      </c>
      <c r="S461" s="97">
        <f t="shared" si="553"/>
        <v>175000</v>
      </c>
      <c r="T461" s="97">
        <f>ROUNDUP(HLOOKUP(ROUNDUP(K461,0),'배송비 조회'!A$10:U$22,7,0)*C$3,-2)</f>
        <v>13400</v>
      </c>
      <c r="U461" s="97">
        <v>0</v>
      </c>
      <c r="V461" s="97">
        <f t="shared" si="685"/>
        <v>37700</v>
      </c>
      <c r="W461" s="97">
        <f t="shared" si="687"/>
        <v>94200</v>
      </c>
      <c r="X461" s="98">
        <f t="shared" si="555"/>
        <v>226100</v>
      </c>
      <c r="Y461" s="98">
        <f t="shared" si="27"/>
        <v>282600</v>
      </c>
      <c r="Z461" s="121">
        <v>0</v>
      </c>
      <c r="AA461" s="121">
        <f t="shared" si="556"/>
        <v>8591.7999999999993</v>
      </c>
      <c r="AB461" s="121">
        <f t="shared" si="557"/>
        <v>4522</v>
      </c>
      <c r="AC461" s="99">
        <f t="shared" si="8"/>
        <v>28260</v>
      </c>
      <c r="AD461" s="121">
        <f t="shared" si="558"/>
        <v>212986.2</v>
      </c>
      <c r="AE461" s="99">
        <f t="shared" si="10"/>
        <v>254340</v>
      </c>
      <c r="AF461" s="121">
        <f t="shared" si="559"/>
        <v>2129.8620000000001</v>
      </c>
      <c r="AG461" s="100">
        <f t="shared" si="560"/>
        <v>22456.338000000011</v>
      </c>
      <c r="AH461" s="101">
        <f t="shared" si="29"/>
        <v>63810.138000000006</v>
      </c>
      <c r="AI461" s="102">
        <f t="shared" ref="AI461:AJ461" si="696">AG461/X461</f>
        <v>9.9320380362671434E-2</v>
      </c>
      <c r="AJ461" s="102">
        <f t="shared" si="696"/>
        <v>0.2257966666666667</v>
      </c>
      <c r="AK461" s="103"/>
      <c r="AL461" s="104"/>
      <c r="AM461" s="17"/>
      <c r="AN461" s="17"/>
      <c r="AO461" s="17"/>
      <c r="AP461" s="17"/>
      <c r="AQ461" s="17"/>
      <c r="AR461" s="17"/>
      <c r="AS461" s="17"/>
      <c r="AT461" s="17"/>
      <c r="AU461" s="17"/>
      <c r="AV461" s="17"/>
      <c r="AW461" s="22">
        <v>4691125928</v>
      </c>
    </row>
    <row r="462" spans="1:49" ht="13.2">
      <c r="A462" s="303">
        <f>HYPERLINK("https://smartstore.naver.com/brickstore2019/products/4692157468",AW:AW)</f>
        <v>4692157468</v>
      </c>
      <c r="B462" s="266"/>
      <c r="C462" s="304" t="s">
        <v>964</v>
      </c>
      <c r="D462" s="117"/>
      <c r="E462" s="304" t="s">
        <v>965</v>
      </c>
      <c r="F462" s="123" t="s">
        <v>966</v>
      </c>
      <c r="G462" s="124" t="str">
        <f>HYPERLINK("https://www.amazon.com/Markryden-Backpack-Business-Charging-Water-Resistant/dp/B07W6DQDZ1/ref=sr_1_11?dchild=1&amp;keywords=markryden&amp;m=A1IURDUXV2M5RT&amp;psc=1&amp;qid=1570526267&amp;refinements=p_6%3AA1IURDUXV2M5RT&amp;rnid=2661622011&amp;s=apparel&amp;sr=1-11","A")</f>
        <v>A</v>
      </c>
      <c r="H462" s="125"/>
      <c r="I462" s="125"/>
      <c r="J462" s="201">
        <v>47</v>
      </c>
      <c r="K462" s="82">
        <v>2.5</v>
      </c>
      <c r="L462" s="82">
        <f t="shared" si="690"/>
        <v>40</v>
      </c>
      <c r="M462" s="82">
        <f t="shared" si="550"/>
        <v>1.13398</v>
      </c>
      <c r="N462" s="93">
        <v>0</v>
      </c>
      <c r="O462" s="93">
        <v>0</v>
      </c>
      <c r="P462" s="95">
        <f t="shared" si="551"/>
        <v>47</v>
      </c>
      <c r="Q462" s="96">
        <f t="shared" si="645"/>
        <v>58750</v>
      </c>
      <c r="R462" s="96">
        <v>0</v>
      </c>
      <c r="S462" s="97">
        <f t="shared" si="553"/>
        <v>58800</v>
      </c>
      <c r="T462" s="97">
        <f>ROUNDUP(HLOOKUP(ROUNDUP(K462,0),'배송비 조회'!A$10:U$22,7,0)*C$3,-2)</f>
        <v>13400</v>
      </c>
      <c r="U462" s="97">
        <v>0</v>
      </c>
      <c r="V462" s="97">
        <f t="shared" ref="V462:V469" si="697">ROUND(IF(R462&gt;0,0,(S462+T462)*0.3),-2)</f>
        <v>21700</v>
      </c>
      <c r="W462" s="97">
        <f t="shared" si="687"/>
        <v>36100</v>
      </c>
      <c r="X462" s="98">
        <f t="shared" si="555"/>
        <v>93900</v>
      </c>
      <c r="Y462" s="98">
        <f t="shared" si="27"/>
        <v>108300</v>
      </c>
      <c r="Z462" s="121">
        <v>0</v>
      </c>
      <c r="AA462" s="121">
        <f t="shared" si="556"/>
        <v>3568.2</v>
      </c>
      <c r="AB462" s="121">
        <f t="shared" si="557"/>
        <v>1878</v>
      </c>
      <c r="AC462" s="99">
        <f t="shared" si="8"/>
        <v>10830</v>
      </c>
      <c r="AD462" s="121">
        <f t="shared" si="558"/>
        <v>88453.8</v>
      </c>
      <c r="AE462" s="99">
        <f t="shared" si="10"/>
        <v>97470</v>
      </c>
      <c r="AF462" s="121">
        <f t="shared" si="559"/>
        <v>884.53800000000001</v>
      </c>
      <c r="AG462" s="100">
        <f t="shared" si="560"/>
        <v>15419.262000000002</v>
      </c>
      <c r="AH462" s="101">
        <f t="shared" si="29"/>
        <v>24435.462</v>
      </c>
      <c r="AI462" s="102">
        <f t="shared" ref="AI462:AJ462" si="698">AG462/X462</f>
        <v>0.16420939297124604</v>
      </c>
      <c r="AJ462" s="102">
        <f t="shared" si="698"/>
        <v>0.22562753462603877</v>
      </c>
      <c r="AK462" s="103"/>
      <c r="AL462" s="104"/>
      <c r="AM462" s="17"/>
      <c r="AN462" s="17"/>
      <c r="AO462" s="17"/>
      <c r="AP462" s="17"/>
      <c r="AQ462" s="17"/>
      <c r="AR462" s="17"/>
      <c r="AS462" s="17"/>
      <c r="AT462" s="17"/>
      <c r="AU462" s="17"/>
      <c r="AV462" s="17"/>
      <c r="AW462" s="296">
        <v>4692157468</v>
      </c>
    </row>
    <row r="463" spans="1:49" ht="13.2">
      <c r="A463" s="302"/>
      <c r="B463" s="266"/>
      <c r="C463" s="302"/>
      <c r="D463" s="117"/>
      <c r="E463" s="302"/>
      <c r="F463" s="123" t="s">
        <v>967</v>
      </c>
      <c r="G463" s="124" t="str">
        <f>HYPERLINK("https://www.amazon.com/Markryden-Backpack-Business-Charging-Water-Resistant/dp/B07WLCHCFX/ref=sr_1_11?dchild=1&amp;keywords=markryden&amp;m=A1IURDUXV2M5RT&amp;qid=1570526267&amp;refinements=p_6%3AA1IURDUXV2M5RT&amp;rnid=2661622011&amp;s=apparel&amp;sr=1-11&amp;th=1","A")</f>
        <v>A</v>
      </c>
      <c r="H463" s="125"/>
      <c r="I463" s="125"/>
      <c r="J463" s="201">
        <v>46</v>
      </c>
      <c r="K463" s="82">
        <v>2.5</v>
      </c>
      <c r="L463" s="82">
        <f t="shared" si="690"/>
        <v>40</v>
      </c>
      <c r="M463" s="82">
        <f t="shared" si="550"/>
        <v>1.13398</v>
      </c>
      <c r="N463" s="93">
        <v>0</v>
      </c>
      <c r="O463" s="93">
        <v>0</v>
      </c>
      <c r="P463" s="95">
        <f t="shared" si="551"/>
        <v>46</v>
      </c>
      <c r="Q463" s="96">
        <f t="shared" si="645"/>
        <v>57500</v>
      </c>
      <c r="R463" s="96">
        <v>0</v>
      </c>
      <c r="S463" s="97">
        <f t="shared" si="553"/>
        <v>57500</v>
      </c>
      <c r="T463" s="97">
        <f>ROUNDUP(HLOOKUP(ROUNDUP(K463,0),'배송비 조회'!A$10:U$22,7,0)*C$3,-2)</f>
        <v>13400</v>
      </c>
      <c r="U463" s="97">
        <v>0</v>
      </c>
      <c r="V463" s="97">
        <f t="shared" si="697"/>
        <v>21300</v>
      </c>
      <c r="W463" s="97">
        <f t="shared" si="687"/>
        <v>35500</v>
      </c>
      <c r="X463" s="98">
        <f t="shared" si="555"/>
        <v>92200</v>
      </c>
      <c r="Y463" s="98">
        <f t="shared" si="27"/>
        <v>106400</v>
      </c>
      <c r="Z463" s="121">
        <v>0</v>
      </c>
      <c r="AA463" s="121">
        <f t="shared" si="556"/>
        <v>3503.6</v>
      </c>
      <c r="AB463" s="121">
        <f t="shared" si="557"/>
        <v>1844</v>
      </c>
      <c r="AC463" s="99">
        <f t="shared" si="8"/>
        <v>10640</v>
      </c>
      <c r="AD463" s="121">
        <f t="shared" si="558"/>
        <v>86852.4</v>
      </c>
      <c r="AE463" s="99">
        <f t="shared" si="10"/>
        <v>95760</v>
      </c>
      <c r="AF463" s="121">
        <f t="shared" si="559"/>
        <v>868.524</v>
      </c>
      <c r="AG463" s="100">
        <f t="shared" si="560"/>
        <v>15083.875999999993</v>
      </c>
      <c r="AH463" s="101">
        <f t="shared" si="29"/>
        <v>23991.476000000002</v>
      </c>
      <c r="AI463" s="102">
        <f t="shared" ref="AI463:AJ463" si="699">AG463/X463</f>
        <v>0.16359952277657258</v>
      </c>
      <c r="AJ463" s="102">
        <f t="shared" si="699"/>
        <v>0.22548379699248122</v>
      </c>
      <c r="AK463" s="103">
        <f>X463-X462</f>
        <v>-1700</v>
      </c>
      <c r="AL463" s="104"/>
      <c r="AM463" s="17"/>
      <c r="AN463" s="17"/>
      <c r="AO463" s="17"/>
      <c r="AP463" s="17"/>
      <c r="AQ463" s="17"/>
      <c r="AR463" s="17"/>
      <c r="AS463" s="17"/>
      <c r="AT463" s="17"/>
      <c r="AU463" s="17"/>
      <c r="AV463" s="17"/>
      <c r="AW463" s="297"/>
    </row>
    <row r="464" spans="1:49" ht="13.2">
      <c r="A464" s="303">
        <f>HYPERLINK("https://smartstore.naver.com/brickstore2019/products/4692187196",AW:AW)</f>
        <v>4692187196</v>
      </c>
      <c r="B464" s="266"/>
      <c r="C464" s="304" t="s">
        <v>968</v>
      </c>
      <c r="D464" s="117"/>
      <c r="E464" s="304" t="s">
        <v>969</v>
      </c>
      <c r="F464" s="123" t="s">
        <v>55</v>
      </c>
      <c r="G464" s="124" t="str">
        <f>HYPERLINK("https://www.amazon.com/Markryden-Laptop-Backpack-Business-Charging/dp/B07PMR1TG6/ref=sr_1_10?dchild=1&amp;keywords=markryden&amp;m=A1IURDUXV2M5RT&amp;qid=1570526267&amp;refinements=p_6%3AA1IURDUXV2M5RT&amp;rnid=2661622011&amp;s=apparel&amp;sr=1-10&amp;th=1","A")</f>
        <v>A</v>
      </c>
      <c r="H464" s="125"/>
      <c r="I464" s="125"/>
      <c r="J464" s="125">
        <v>43</v>
      </c>
      <c r="K464" s="82">
        <v>2</v>
      </c>
      <c r="L464" s="82">
        <f t="shared" si="690"/>
        <v>32</v>
      </c>
      <c r="M464" s="82">
        <f t="shared" si="550"/>
        <v>0.90718399999999999</v>
      </c>
      <c r="N464" s="93">
        <v>0</v>
      </c>
      <c r="O464" s="93">
        <v>0</v>
      </c>
      <c r="P464" s="95">
        <f t="shared" si="551"/>
        <v>43</v>
      </c>
      <c r="Q464" s="96">
        <f t="shared" si="645"/>
        <v>53750</v>
      </c>
      <c r="R464" s="96">
        <v>0</v>
      </c>
      <c r="S464" s="97">
        <f t="shared" si="553"/>
        <v>53800</v>
      </c>
      <c r="T464" s="97">
        <f>ROUNDUP(HLOOKUP(ROUNDUP(K464,0),'배송비 조회'!A$10:U$22,7,0)*C$3,-2)</f>
        <v>11200</v>
      </c>
      <c r="U464" s="97">
        <v>0</v>
      </c>
      <c r="V464" s="97">
        <f t="shared" si="697"/>
        <v>19500</v>
      </c>
      <c r="W464" s="97">
        <f t="shared" si="687"/>
        <v>32500</v>
      </c>
      <c r="X464" s="98">
        <f t="shared" si="555"/>
        <v>84500</v>
      </c>
      <c r="Y464" s="98">
        <f t="shared" si="27"/>
        <v>97500</v>
      </c>
      <c r="Z464" s="121">
        <v>0</v>
      </c>
      <c r="AA464" s="121">
        <f t="shared" si="556"/>
        <v>3211</v>
      </c>
      <c r="AB464" s="121">
        <f t="shared" si="557"/>
        <v>1690</v>
      </c>
      <c r="AC464" s="99">
        <f t="shared" si="8"/>
        <v>9750</v>
      </c>
      <c r="AD464" s="121">
        <f t="shared" si="558"/>
        <v>79599</v>
      </c>
      <c r="AE464" s="99">
        <f t="shared" si="10"/>
        <v>87750</v>
      </c>
      <c r="AF464" s="121">
        <f t="shared" si="559"/>
        <v>795.99</v>
      </c>
      <c r="AG464" s="100">
        <f t="shared" si="560"/>
        <v>13853.009999999998</v>
      </c>
      <c r="AH464" s="101">
        <f t="shared" si="29"/>
        <v>22004.010000000002</v>
      </c>
      <c r="AI464" s="102">
        <f t="shared" ref="AI464:AJ464" si="700">AG464/X464</f>
        <v>0.16394094674556212</v>
      </c>
      <c r="AJ464" s="102">
        <f t="shared" si="700"/>
        <v>0.22568215384615387</v>
      </c>
      <c r="AK464" s="103"/>
      <c r="AL464" s="104"/>
      <c r="AM464" s="17"/>
      <c r="AN464" s="17"/>
      <c r="AO464" s="17"/>
      <c r="AP464" s="17"/>
      <c r="AQ464" s="17"/>
      <c r="AR464" s="17"/>
      <c r="AS464" s="17"/>
      <c r="AT464" s="17"/>
      <c r="AU464" s="17"/>
      <c r="AV464" s="17"/>
      <c r="AW464" s="296">
        <v>4692187196</v>
      </c>
    </row>
    <row r="465" spans="1:49" ht="13.2">
      <c r="A465" s="302"/>
      <c r="B465" s="266"/>
      <c r="C465" s="302"/>
      <c r="D465" s="117"/>
      <c r="E465" s="302"/>
      <c r="F465" s="123" t="s">
        <v>248</v>
      </c>
      <c r="G465" s="124" t="str">
        <f>HYPERLINK("https://www.amazon.com/Markryden-Laptop-Backpack-Business-Charging/dp/B07PPSW9MZ/ref=sr_1_10?dchild=1&amp;keywords=markryden&amp;m=A1IURDUXV2M5RT&amp;qid=1570526267&amp;refinements=p_6%3AA1IURDUXV2M5RT&amp;rnid=2661622011&amp;s=apparel&amp;sr=1-10&amp;th=1","A")</f>
        <v>A</v>
      </c>
      <c r="H465" s="125"/>
      <c r="I465" s="125"/>
      <c r="J465" s="125">
        <v>43</v>
      </c>
      <c r="K465" s="82">
        <v>2</v>
      </c>
      <c r="L465" s="82">
        <f t="shared" si="690"/>
        <v>32</v>
      </c>
      <c r="M465" s="82">
        <f t="shared" si="550"/>
        <v>0.90718399999999999</v>
      </c>
      <c r="N465" s="93">
        <v>0</v>
      </c>
      <c r="O465" s="93">
        <v>0</v>
      </c>
      <c r="P465" s="95">
        <f t="shared" si="551"/>
        <v>43</v>
      </c>
      <c r="Q465" s="96">
        <f t="shared" si="645"/>
        <v>53750</v>
      </c>
      <c r="R465" s="96">
        <v>0</v>
      </c>
      <c r="S465" s="97">
        <f t="shared" si="553"/>
        <v>53800</v>
      </c>
      <c r="T465" s="97">
        <f>ROUNDUP(HLOOKUP(ROUNDUP(K465,0),'배송비 조회'!A$10:U$22,7,0)*C$3,-2)</f>
        <v>11200</v>
      </c>
      <c r="U465" s="97">
        <v>0</v>
      </c>
      <c r="V465" s="97">
        <f t="shared" si="697"/>
        <v>19500</v>
      </c>
      <c r="W465" s="97">
        <f t="shared" si="687"/>
        <v>32500</v>
      </c>
      <c r="X465" s="98">
        <f t="shared" si="555"/>
        <v>84500</v>
      </c>
      <c r="Y465" s="98">
        <f t="shared" si="27"/>
        <v>97500</v>
      </c>
      <c r="Z465" s="121">
        <v>0</v>
      </c>
      <c r="AA465" s="121">
        <f t="shared" si="556"/>
        <v>3211</v>
      </c>
      <c r="AB465" s="121">
        <f t="shared" si="557"/>
        <v>1690</v>
      </c>
      <c r="AC465" s="99">
        <f t="shared" si="8"/>
        <v>9750</v>
      </c>
      <c r="AD465" s="121">
        <f t="shared" si="558"/>
        <v>79599</v>
      </c>
      <c r="AE465" s="99">
        <f t="shared" si="10"/>
        <v>87750</v>
      </c>
      <c r="AF465" s="121">
        <f t="shared" si="559"/>
        <v>795.99</v>
      </c>
      <c r="AG465" s="100">
        <f t="shared" si="560"/>
        <v>13853.009999999998</v>
      </c>
      <c r="AH465" s="101">
        <f t="shared" si="29"/>
        <v>22004.010000000002</v>
      </c>
      <c r="AI465" s="102">
        <f t="shared" ref="AI465:AJ465" si="701">AG465/X465</f>
        <v>0.16394094674556212</v>
      </c>
      <c r="AJ465" s="102">
        <f t="shared" si="701"/>
        <v>0.22568215384615387</v>
      </c>
      <c r="AK465" s="103"/>
      <c r="AL465" s="104"/>
      <c r="AM465" s="17"/>
      <c r="AN465" s="17"/>
      <c r="AO465" s="17"/>
      <c r="AP465" s="17"/>
      <c r="AQ465" s="17"/>
      <c r="AR465" s="17"/>
      <c r="AS465" s="17"/>
      <c r="AT465" s="17"/>
      <c r="AU465" s="17"/>
      <c r="AV465" s="17"/>
      <c r="AW465" s="297"/>
    </row>
    <row r="466" spans="1:49" ht="13.2">
      <c r="A466" s="119">
        <f>HYPERLINK("https://smartstore.naver.com/brickstore2019/products/4692210449",AW:AW)</f>
        <v>4692210449</v>
      </c>
      <c r="B466" s="266"/>
      <c r="C466" s="117" t="s">
        <v>970</v>
      </c>
      <c r="D466" s="117"/>
      <c r="E466" s="117" t="s">
        <v>971</v>
      </c>
      <c r="F466" s="123"/>
      <c r="G466" s="218" t="s">
        <v>1293</v>
      </c>
      <c r="H466" s="125"/>
      <c r="I466" s="125"/>
      <c r="J466" s="93">
        <v>50</v>
      </c>
      <c r="K466" s="82">
        <v>6</v>
      </c>
      <c r="L466" s="82">
        <f t="shared" si="690"/>
        <v>96</v>
      </c>
      <c r="M466" s="82">
        <f t="shared" si="550"/>
        <v>2.721552</v>
      </c>
      <c r="N466" s="93">
        <v>0</v>
      </c>
      <c r="O466" s="93">
        <v>0</v>
      </c>
      <c r="P466" s="95">
        <f t="shared" si="551"/>
        <v>50</v>
      </c>
      <c r="Q466" s="96">
        <f t="shared" si="645"/>
        <v>62500</v>
      </c>
      <c r="R466" s="96">
        <v>0</v>
      </c>
      <c r="S466" s="97">
        <f t="shared" si="553"/>
        <v>62500</v>
      </c>
      <c r="T466" s="97">
        <f>ROUNDUP(HLOOKUP(ROUNDUP(K466,0),'배송비 조회'!A$10:U$22,7,0)*C$3,-2)</f>
        <v>20000</v>
      </c>
      <c r="U466" s="97">
        <v>0</v>
      </c>
      <c r="V466" s="97">
        <f t="shared" si="697"/>
        <v>24800</v>
      </c>
      <c r="W466" s="97">
        <f t="shared" si="687"/>
        <v>41300</v>
      </c>
      <c r="X466" s="98">
        <f t="shared" si="555"/>
        <v>107300</v>
      </c>
      <c r="Y466" s="98">
        <f t="shared" si="27"/>
        <v>123800</v>
      </c>
      <c r="Z466" s="121">
        <v>0</v>
      </c>
      <c r="AA466" s="121">
        <f t="shared" si="556"/>
        <v>4077.4</v>
      </c>
      <c r="AB466" s="121">
        <f t="shared" si="557"/>
        <v>2146</v>
      </c>
      <c r="AC466" s="99">
        <f t="shared" si="8"/>
        <v>12380</v>
      </c>
      <c r="AD466" s="121">
        <f t="shared" si="558"/>
        <v>101076.6</v>
      </c>
      <c r="AE466" s="99">
        <f t="shared" si="10"/>
        <v>111420</v>
      </c>
      <c r="AF466" s="121">
        <f t="shared" si="559"/>
        <v>1010.7660000000001</v>
      </c>
      <c r="AG466" s="100">
        <f t="shared" si="560"/>
        <v>17565.834000000003</v>
      </c>
      <c r="AH466" s="101">
        <f t="shared" si="29"/>
        <v>27909.233999999997</v>
      </c>
      <c r="AI466" s="102">
        <f t="shared" ref="AI466:AJ466" si="702">AG466/X466</f>
        <v>0.1637076794035415</v>
      </c>
      <c r="AJ466" s="102">
        <f t="shared" si="702"/>
        <v>0.22543807754442646</v>
      </c>
      <c r="AK466" s="103"/>
      <c r="AL466" s="104"/>
      <c r="AM466" s="17"/>
      <c r="AN466" s="17"/>
      <c r="AO466" s="17"/>
      <c r="AP466" s="17"/>
      <c r="AQ466" s="17"/>
      <c r="AR466" s="17"/>
      <c r="AS466" s="17"/>
      <c r="AT466" s="17"/>
      <c r="AU466" s="17"/>
      <c r="AV466" s="17"/>
      <c r="AW466" s="22">
        <v>4692210449</v>
      </c>
    </row>
    <row r="467" spans="1:49" ht="13.2">
      <c r="A467" s="119">
        <f>HYPERLINK("https://smartstore.naver.com/brickstore2019/products/4692392619",AW:AW)</f>
        <v>4692392619</v>
      </c>
      <c r="B467" s="266"/>
      <c r="C467" s="117" t="s">
        <v>972</v>
      </c>
      <c r="D467" s="117"/>
      <c r="E467" s="117" t="s">
        <v>973</v>
      </c>
      <c r="F467" s="123"/>
      <c r="G467" s="124" t="str">
        <f>HYPERLINK("https://www.amazon.com/Computer-LOFTer-Adjustable-Brightness-Temperature/dp/B07TCYBQGK/ref=sr_1_1?keywords=LOFTer+Screen+Light+Bar&amp;qid=1570422821&amp;sr=8-1","A")</f>
        <v>A</v>
      </c>
      <c r="H467" s="125"/>
      <c r="I467" s="125"/>
      <c r="J467" s="125">
        <v>40</v>
      </c>
      <c r="K467" s="82">
        <v>1.5</v>
      </c>
      <c r="L467" s="82">
        <f t="shared" si="690"/>
        <v>24</v>
      </c>
      <c r="M467" s="82">
        <f t="shared" si="550"/>
        <v>0.68038799999999999</v>
      </c>
      <c r="N467" s="93">
        <v>0</v>
      </c>
      <c r="O467" s="93">
        <v>0</v>
      </c>
      <c r="P467" s="95">
        <f t="shared" si="551"/>
        <v>40</v>
      </c>
      <c r="Q467" s="96">
        <f t="shared" si="645"/>
        <v>50000</v>
      </c>
      <c r="R467" s="96">
        <v>0</v>
      </c>
      <c r="S467" s="97">
        <f t="shared" si="553"/>
        <v>50000</v>
      </c>
      <c r="T467" s="97">
        <f>ROUNDUP(HLOOKUP(ROUNDUP(K467,0),'배송비 조회'!A$10:U$22,7,0)*C$3,-2)</f>
        <v>11200</v>
      </c>
      <c r="U467" s="97">
        <v>0</v>
      </c>
      <c r="V467" s="97">
        <f t="shared" si="697"/>
        <v>18400</v>
      </c>
      <c r="W467" s="97">
        <f t="shared" si="687"/>
        <v>30600</v>
      </c>
      <c r="X467" s="98">
        <f t="shared" si="555"/>
        <v>79600</v>
      </c>
      <c r="Y467" s="98">
        <f t="shared" si="27"/>
        <v>91800</v>
      </c>
      <c r="Z467" s="121">
        <v>0</v>
      </c>
      <c r="AA467" s="121">
        <f t="shared" si="556"/>
        <v>3024.7999999999997</v>
      </c>
      <c r="AB467" s="121">
        <f t="shared" si="557"/>
        <v>1592</v>
      </c>
      <c r="AC467" s="99">
        <f t="shared" si="8"/>
        <v>9180</v>
      </c>
      <c r="AD467" s="121">
        <f t="shared" si="558"/>
        <v>74983.199999999997</v>
      </c>
      <c r="AE467" s="99">
        <f t="shared" si="10"/>
        <v>82620</v>
      </c>
      <c r="AF467" s="121">
        <f t="shared" si="559"/>
        <v>749.83199999999999</v>
      </c>
      <c r="AG467" s="100">
        <f t="shared" si="560"/>
        <v>13033.367999999999</v>
      </c>
      <c r="AH467" s="101">
        <f t="shared" si="29"/>
        <v>20670.168000000001</v>
      </c>
      <c r="AI467" s="102">
        <f t="shared" ref="AI467:AJ467" si="703">AG467/X467</f>
        <v>0.16373577889447236</v>
      </c>
      <c r="AJ467" s="102">
        <f t="shared" si="703"/>
        <v>0.22516522875816994</v>
      </c>
      <c r="AK467" s="103"/>
      <c r="AL467" s="104"/>
      <c r="AM467" s="17"/>
      <c r="AN467" s="17"/>
      <c r="AO467" s="17"/>
      <c r="AP467" s="17"/>
      <c r="AQ467" s="17"/>
      <c r="AR467" s="17"/>
      <c r="AS467" s="17"/>
      <c r="AT467" s="17"/>
      <c r="AU467" s="17"/>
      <c r="AV467" s="17"/>
      <c r="AW467" s="22">
        <v>4692392619</v>
      </c>
    </row>
    <row r="468" spans="1:49" ht="13.2">
      <c r="A468" s="303">
        <f>HYPERLINK("https://smartstore.naver.com/brickstore2019/products/4692738755",AW:AW)</f>
        <v>4692738755</v>
      </c>
      <c r="B468" s="266"/>
      <c r="C468" s="304" t="s">
        <v>974</v>
      </c>
      <c r="D468" s="117"/>
      <c r="E468" s="304" t="s">
        <v>975</v>
      </c>
      <c r="F468" s="123" t="s">
        <v>976</v>
      </c>
      <c r="G468" s="124" t="str">
        <f>HYPERLINK("https://www.amazon.com/Logitech-Master-Advanced-Wireless-Mouse/dp/B07S395RWD/ref=sr_1_12?keywords=logitech&amp;qid=1570271226&amp;sr=8-12&amp;th=1","A")</f>
        <v>A</v>
      </c>
      <c r="H468" s="124" t="str">
        <f>HYPERLINK("https://www.logitech.com/en-us/product/mx-master-3#section-product-hero","L")</f>
        <v>L</v>
      </c>
      <c r="I468" s="124"/>
      <c r="J468" s="125">
        <v>100</v>
      </c>
      <c r="K468" s="82">
        <f t="shared" ref="K468:K469" si="704">IF(L468&gt;0,L468*0.0625,)</f>
        <v>0.71250000000000002</v>
      </c>
      <c r="L468" s="82">
        <v>11.4</v>
      </c>
      <c r="M468" s="82">
        <f t="shared" si="550"/>
        <v>0.32318429999999998</v>
      </c>
      <c r="N468" s="93">
        <v>0</v>
      </c>
      <c r="O468" s="93">
        <v>0</v>
      </c>
      <c r="P468" s="95">
        <f t="shared" si="551"/>
        <v>100</v>
      </c>
      <c r="Q468" s="96">
        <f t="shared" si="645"/>
        <v>125000</v>
      </c>
      <c r="R468" s="96">
        <v>0</v>
      </c>
      <c r="S468" s="97">
        <f t="shared" si="553"/>
        <v>125000</v>
      </c>
      <c r="T468" s="97">
        <f>ROUNDUP(HLOOKUP(ROUNDUP(K468,0),'배송비 조회'!A$10:U$22,7,0)*C$3,-2)</f>
        <v>9000</v>
      </c>
      <c r="U468" s="97">
        <v>0</v>
      </c>
      <c r="V468" s="97">
        <f t="shared" si="697"/>
        <v>40200</v>
      </c>
      <c r="W468" s="97">
        <f t="shared" si="687"/>
        <v>67000</v>
      </c>
      <c r="X468" s="98">
        <f t="shared" si="555"/>
        <v>174200</v>
      </c>
      <c r="Y468" s="98">
        <f t="shared" si="27"/>
        <v>201000</v>
      </c>
      <c r="Z468" s="121">
        <v>0</v>
      </c>
      <c r="AA468" s="121">
        <f t="shared" si="556"/>
        <v>6619.5999999999995</v>
      </c>
      <c r="AB468" s="121">
        <f t="shared" si="557"/>
        <v>3484</v>
      </c>
      <c r="AC468" s="99">
        <f t="shared" si="8"/>
        <v>20100</v>
      </c>
      <c r="AD468" s="121">
        <f t="shared" si="558"/>
        <v>164096.4</v>
      </c>
      <c r="AE468" s="99">
        <f t="shared" si="10"/>
        <v>180900</v>
      </c>
      <c r="AF468" s="121">
        <f t="shared" si="559"/>
        <v>1640.9639999999999</v>
      </c>
      <c r="AG468" s="100">
        <f t="shared" si="560"/>
        <v>28455.435999999994</v>
      </c>
      <c r="AH468" s="101">
        <f t="shared" si="29"/>
        <v>45259.036</v>
      </c>
      <c r="AI468" s="102">
        <f t="shared" ref="AI468:AJ468" si="705">AG468/X468</f>
        <v>0.16334923076923075</v>
      </c>
      <c r="AJ468" s="102">
        <f t="shared" si="705"/>
        <v>0.22516933333333333</v>
      </c>
      <c r="AK468" s="103"/>
      <c r="AL468" s="104"/>
      <c r="AM468" s="17"/>
      <c r="AN468" s="17"/>
      <c r="AO468" s="17"/>
      <c r="AP468" s="17"/>
      <c r="AQ468" s="17"/>
      <c r="AR468" s="17"/>
      <c r="AS468" s="17"/>
      <c r="AT468" s="17"/>
      <c r="AU468" s="17"/>
      <c r="AV468" s="17"/>
      <c r="AW468" s="296">
        <v>4692738755</v>
      </c>
    </row>
    <row r="469" spans="1:49" ht="13.2">
      <c r="A469" s="302"/>
      <c r="B469" s="266"/>
      <c r="C469" s="302"/>
      <c r="D469" s="117"/>
      <c r="E469" s="302"/>
      <c r="F469" s="123" t="s">
        <v>977</v>
      </c>
      <c r="G469" s="124" t="str">
        <f>HYPERLINK("https://www.amazon.com/Logitech-Master-Advanced-Wireless-Mouse/dp/B07S5HZB69/ref=sr_1_12?keywords=logitech&amp;qid=1570271226&amp;sr=8-12&amp;th=1","A")</f>
        <v>A</v>
      </c>
      <c r="H469" s="125"/>
      <c r="I469" s="125"/>
      <c r="J469" s="125">
        <v>100</v>
      </c>
      <c r="K469" s="82">
        <f t="shared" si="704"/>
        <v>0.71250000000000002</v>
      </c>
      <c r="L469" s="82">
        <v>11.4</v>
      </c>
      <c r="M469" s="82">
        <f t="shared" si="550"/>
        <v>0.32318429999999998</v>
      </c>
      <c r="N469" s="93">
        <v>0</v>
      </c>
      <c r="O469" s="93">
        <v>0</v>
      </c>
      <c r="P469" s="95">
        <f t="shared" si="551"/>
        <v>100</v>
      </c>
      <c r="Q469" s="96">
        <f t="shared" si="645"/>
        <v>125000</v>
      </c>
      <c r="R469" s="96">
        <v>0</v>
      </c>
      <c r="S469" s="97">
        <f t="shared" si="553"/>
        <v>125000</v>
      </c>
      <c r="T469" s="97">
        <f>ROUNDUP(HLOOKUP(ROUNDUP(K469,0),'배송비 조회'!A$10:U$22,7,0)*C$3,-2)</f>
        <v>9000</v>
      </c>
      <c r="U469" s="97">
        <v>0</v>
      </c>
      <c r="V469" s="97">
        <f t="shared" si="697"/>
        <v>40200</v>
      </c>
      <c r="W469" s="97">
        <f t="shared" si="687"/>
        <v>67000</v>
      </c>
      <c r="X469" s="98">
        <f t="shared" si="555"/>
        <v>174200</v>
      </c>
      <c r="Y469" s="98">
        <f t="shared" si="27"/>
        <v>201000</v>
      </c>
      <c r="Z469" s="121">
        <v>0</v>
      </c>
      <c r="AA469" s="121">
        <f t="shared" si="556"/>
        <v>6619.5999999999995</v>
      </c>
      <c r="AB469" s="121">
        <f t="shared" si="557"/>
        <v>3484</v>
      </c>
      <c r="AC469" s="99">
        <f t="shared" si="8"/>
        <v>20100</v>
      </c>
      <c r="AD469" s="121">
        <f t="shared" si="558"/>
        <v>164096.4</v>
      </c>
      <c r="AE469" s="99">
        <f t="shared" si="10"/>
        <v>180900</v>
      </c>
      <c r="AF469" s="121">
        <f t="shared" si="559"/>
        <v>1640.9639999999999</v>
      </c>
      <c r="AG469" s="100">
        <f t="shared" si="560"/>
        <v>28455.435999999994</v>
      </c>
      <c r="AH469" s="101">
        <f t="shared" si="29"/>
        <v>45259.036</v>
      </c>
      <c r="AI469" s="102">
        <f t="shared" ref="AI469:AJ469" si="706">AG469/X469</f>
        <v>0.16334923076923075</v>
      </c>
      <c r="AJ469" s="102">
        <f t="shared" si="706"/>
        <v>0.22516933333333333</v>
      </c>
      <c r="AK469" s="103"/>
      <c r="AL469" s="104"/>
      <c r="AM469" s="17"/>
      <c r="AN469" s="17"/>
      <c r="AO469" s="17"/>
      <c r="AP469" s="17"/>
      <c r="AQ469" s="17"/>
      <c r="AR469" s="17"/>
      <c r="AS469" s="17"/>
      <c r="AT469" s="17"/>
      <c r="AU469" s="17"/>
      <c r="AV469" s="17"/>
      <c r="AW469" s="297"/>
    </row>
    <row r="470" spans="1:49" ht="13.2">
      <c r="A470" s="119">
        <f>HYPERLINK("https://smartstore.naver.com/brickstore2019/products/4692928608",AW:AW)</f>
        <v>4692928608</v>
      </c>
      <c r="B470" s="264"/>
      <c r="C470" s="117" t="s">
        <v>978</v>
      </c>
      <c r="D470" s="117"/>
      <c r="E470" s="117" t="s">
        <v>979</v>
      </c>
      <c r="F470" s="123"/>
      <c r="G470" s="124" t="str">
        <f>HYPERLINK("https://www.amazon.com/gp/product/B0748KDJPS/ref=as_li_ss_tl?&amp;ascsub&amp;smid=ATVPDKIKX0DER&amp;psc=1&amp;linkCode=sl1&amp;tag=sj0876-20&amp;linkId=ef904c35647c8950e867a05b419ab3fc&amp;language=en_US#customerReviews","A")</f>
        <v>A</v>
      </c>
      <c r="H470" s="125"/>
      <c r="I470" s="125"/>
      <c r="J470" s="201">
        <v>300</v>
      </c>
      <c r="K470" s="82">
        <v>2</v>
      </c>
      <c r="L470" s="82">
        <f t="shared" ref="L470:L475" si="707">IF(K470&gt;0,K470*16,)</f>
        <v>32</v>
      </c>
      <c r="M470" s="82">
        <f t="shared" si="550"/>
        <v>0.90718399999999999</v>
      </c>
      <c r="N470" s="93">
        <v>0</v>
      </c>
      <c r="O470" s="93">
        <v>0</v>
      </c>
      <c r="P470" s="95">
        <f t="shared" si="551"/>
        <v>300</v>
      </c>
      <c r="Q470" s="96">
        <f t="shared" si="645"/>
        <v>375000</v>
      </c>
      <c r="R470" s="96">
        <v>0</v>
      </c>
      <c r="S470" s="97">
        <f t="shared" si="553"/>
        <v>375000</v>
      </c>
      <c r="T470" s="97">
        <f>ROUNDUP(HLOOKUP(ROUNDUP(K470,0),'배송비 조회'!A$10:U$22,7,0)*C$3,-2)</f>
        <v>11200</v>
      </c>
      <c r="U470" s="97">
        <v>0</v>
      </c>
      <c r="V470" s="97">
        <f>ROUND(IF(R470&gt;0,0,(S470+T470)*0.2),-2)</f>
        <v>77200</v>
      </c>
      <c r="W470" s="97">
        <f t="shared" si="687"/>
        <v>193100</v>
      </c>
      <c r="X470" s="98">
        <f t="shared" si="555"/>
        <v>463400</v>
      </c>
      <c r="Y470" s="98">
        <f t="shared" si="27"/>
        <v>579300</v>
      </c>
      <c r="Z470" s="121">
        <v>0</v>
      </c>
      <c r="AA470" s="121">
        <f t="shared" si="556"/>
        <v>17609.2</v>
      </c>
      <c r="AB470" s="121">
        <f t="shared" si="557"/>
        <v>9268</v>
      </c>
      <c r="AC470" s="99">
        <f t="shared" si="8"/>
        <v>57930</v>
      </c>
      <c r="AD470" s="121">
        <f t="shared" si="558"/>
        <v>436522.8</v>
      </c>
      <c r="AE470" s="99">
        <f t="shared" si="10"/>
        <v>521370</v>
      </c>
      <c r="AF470" s="121">
        <f t="shared" si="559"/>
        <v>4365.2280000000001</v>
      </c>
      <c r="AG470" s="100">
        <f t="shared" si="560"/>
        <v>45957.571999999986</v>
      </c>
      <c r="AH470" s="101">
        <f t="shared" si="29"/>
        <v>130804.772</v>
      </c>
      <c r="AI470" s="102">
        <f t="shared" ref="AI470:AJ470" si="708">AG470/X470</f>
        <v>9.9174734570565359E-2</v>
      </c>
      <c r="AJ470" s="102">
        <f t="shared" si="708"/>
        <v>0.22579798377351976</v>
      </c>
      <c r="AK470" s="103"/>
      <c r="AL470" s="104"/>
      <c r="AM470" s="17"/>
      <c r="AN470" s="17"/>
      <c r="AO470" s="17"/>
      <c r="AP470" s="17"/>
      <c r="AQ470" s="17"/>
      <c r="AR470" s="17"/>
      <c r="AS470" s="17"/>
      <c r="AT470" s="17"/>
      <c r="AU470" s="17"/>
      <c r="AV470" s="17"/>
      <c r="AW470" s="37">
        <v>4692928608</v>
      </c>
    </row>
    <row r="471" spans="1:49" ht="13.2">
      <c r="A471" s="303">
        <f>HYPERLINK("https://smartstore.naver.com/brickstore2019/products/4692954093",AW:AW)</f>
        <v>4692954093</v>
      </c>
      <c r="B471" s="266"/>
      <c r="C471" s="304" t="s">
        <v>980</v>
      </c>
      <c r="D471" s="117"/>
      <c r="E471" s="304" t="s">
        <v>981</v>
      </c>
      <c r="F471" s="123" t="s">
        <v>242</v>
      </c>
      <c r="G471" s="218" t="s">
        <v>1293</v>
      </c>
      <c r="H471" s="125"/>
      <c r="I471" s="125"/>
      <c r="J471" s="93">
        <v>52</v>
      </c>
      <c r="K471" s="82">
        <v>3</v>
      </c>
      <c r="L471" s="82">
        <f t="shared" si="707"/>
        <v>48</v>
      </c>
      <c r="M471" s="82">
        <f t="shared" si="550"/>
        <v>1.360776</v>
      </c>
      <c r="N471" s="93">
        <v>0</v>
      </c>
      <c r="O471" s="93">
        <v>0</v>
      </c>
      <c r="P471" s="95">
        <f t="shared" si="551"/>
        <v>52</v>
      </c>
      <c r="Q471" s="96">
        <f t="shared" si="645"/>
        <v>65000</v>
      </c>
      <c r="R471" s="96">
        <v>0</v>
      </c>
      <c r="S471" s="97">
        <f t="shared" si="553"/>
        <v>65000</v>
      </c>
      <c r="T471" s="97">
        <f>ROUNDUP(HLOOKUP(ROUNDUP(K471,0),'배송비 조회'!A$10:U$22,7,0)*C$3,-2)</f>
        <v>13400</v>
      </c>
      <c r="U471" s="97">
        <v>0</v>
      </c>
      <c r="V471" s="97">
        <f t="shared" ref="V471:V474" si="709">ROUND(IF(R471&gt;0,0,(S471+T471)*0.3),-2)</f>
        <v>23500</v>
      </c>
      <c r="W471" s="97">
        <f t="shared" si="687"/>
        <v>39200</v>
      </c>
      <c r="X471" s="98">
        <f t="shared" si="555"/>
        <v>101900</v>
      </c>
      <c r="Y471" s="98">
        <f t="shared" si="27"/>
        <v>117600</v>
      </c>
      <c r="Z471" s="121">
        <v>0</v>
      </c>
      <c r="AA471" s="121">
        <f t="shared" si="556"/>
        <v>3872.2</v>
      </c>
      <c r="AB471" s="121">
        <f t="shared" si="557"/>
        <v>2038</v>
      </c>
      <c r="AC471" s="99">
        <f t="shared" si="8"/>
        <v>11760</v>
      </c>
      <c r="AD471" s="121">
        <f t="shared" si="558"/>
        <v>95989.8</v>
      </c>
      <c r="AE471" s="99">
        <f t="shared" si="10"/>
        <v>105840</v>
      </c>
      <c r="AF471" s="121">
        <f t="shared" si="559"/>
        <v>959.89800000000002</v>
      </c>
      <c r="AG471" s="100">
        <f t="shared" si="560"/>
        <v>16629.902000000002</v>
      </c>
      <c r="AH471" s="101">
        <f t="shared" si="29"/>
        <v>26480.101999999999</v>
      </c>
      <c r="AI471" s="102">
        <f t="shared" ref="AI471:AJ471" si="710">AG471/X471</f>
        <v>0.1631982531894014</v>
      </c>
      <c r="AJ471" s="102">
        <f t="shared" si="710"/>
        <v>0.22517093537414964</v>
      </c>
      <c r="AK471" s="103"/>
      <c r="AL471" s="104"/>
      <c r="AM471" s="17"/>
      <c r="AN471" s="17"/>
      <c r="AO471" s="17"/>
      <c r="AP471" s="17"/>
      <c r="AQ471" s="17"/>
      <c r="AR471" s="17"/>
      <c r="AS471" s="17"/>
      <c r="AT471" s="17"/>
      <c r="AU471" s="17"/>
      <c r="AV471" s="17"/>
      <c r="AW471" s="296">
        <v>4692954093</v>
      </c>
    </row>
    <row r="472" spans="1:49" ht="13.2">
      <c r="A472" s="302"/>
      <c r="B472" s="266"/>
      <c r="C472" s="302"/>
      <c r="D472" s="117"/>
      <c r="E472" s="302"/>
      <c r="F472" s="123" t="s">
        <v>982</v>
      </c>
      <c r="G472" s="218" t="s">
        <v>1293</v>
      </c>
      <c r="H472" s="125"/>
      <c r="I472" s="125"/>
      <c r="J472" s="93">
        <v>40</v>
      </c>
      <c r="K472" s="82">
        <v>3</v>
      </c>
      <c r="L472" s="82">
        <f t="shared" si="707"/>
        <v>48</v>
      </c>
      <c r="M472" s="82">
        <f t="shared" si="550"/>
        <v>1.360776</v>
      </c>
      <c r="N472" s="93">
        <v>0</v>
      </c>
      <c r="O472" s="93">
        <v>0</v>
      </c>
      <c r="P472" s="95">
        <f t="shared" si="551"/>
        <v>40</v>
      </c>
      <c r="Q472" s="96">
        <f t="shared" si="645"/>
        <v>50000</v>
      </c>
      <c r="R472" s="96">
        <v>0</v>
      </c>
      <c r="S472" s="97">
        <f t="shared" si="553"/>
        <v>50000</v>
      </c>
      <c r="T472" s="97">
        <f>ROUNDUP(HLOOKUP(ROUNDUP(K472,0),'배송비 조회'!A$10:U$22,7,0)*C$3,-2)</f>
        <v>13400</v>
      </c>
      <c r="U472" s="97">
        <v>0</v>
      </c>
      <c r="V472" s="97">
        <f t="shared" si="709"/>
        <v>19000</v>
      </c>
      <c r="W472" s="97">
        <f t="shared" si="687"/>
        <v>31700</v>
      </c>
      <c r="X472" s="98">
        <f t="shared" si="555"/>
        <v>82400</v>
      </c>
      <c r="Y472" s="98">
        <f t="shared" si="27"/>
        <v>95100</v>
      </c>
      <c r="Z472" s="121">
        <v>0</v>
      </c>
      <c r="AA472" s="121">
        <f t="shared" si="556"/>
        <v>3131.2</v>
      </c>
      <c r="AB472" s="121">
        <f t="shared" si="557"/>
        <v>1648</v>
      </c>
      <c r="AC472" s="99">
        <f t="shared" si="8"/>
        <v>9510</v>
      </c>
      <c r="AD472" s="121">
        <f t="shared" si="558"/>
        <v>77620.800000000003</v>
      </c>
      <c r="AE472" s="99">
        <f t="shared" si="10"/>
        <v>85590</v>
      </c>
      <c r="AF472" s="121">
        <f t="shared" si="559"/>
        <v>776.20800000000008</v>
      </c>
      <c r="AG472" s="100">
        <f t="shared" si="560"/>
        <v>13444.592000000004</v>
      </c>
      <c r="AH472" s="101">
        <f t="shared" si="29"/>
        <v>21413.792000000001</v>
      </c>
      <c r="AI472" s="102">
        <f t="shared" ref="AI472:AJ472" si="711">AG472/X472</f>
        <v>0.16316252427184472</v>
      </c>
      <c r="AJ472" s="102">
        <f t="shared" si="711"/>
        <v>0.22517131440588856</v>
      </c>
      <c r="AK472" s="103">
        <f>X472-X473</f>
        <v>0</v>
      </c>
      <c r="AL472" s="104"/>
      <c r="AM472" s="17"/>
      <c r="AN472" s="17"/>
      <c r="AO472" s="17"/>
      <c r="AP472" s="17"/>
      <c r="AQ472" s="17"/>
      <c r="AR472" s="17"/>
      <c r="AS472" s="17"/>
      <c r="AT472" s="17"/>
      <c r="AU472" s="17"/>
      <c r="AV472" s="17"/>
      <c r="AW472" s="297"/>
    </row>
    <row r="473" spans="1:49" ht="13.2">
      <c r="A473" s="302"/>
      <c r="B473" s="266"/>
      <c r="C473" s="302"/>
      <c r="D473" s="117"/>
      <c r="E473" s="302"/>
      <c r="F473" s="123" t="s">
        <v>983</v>
      </c>
      <c r="G473" s="218" t="s">
        <v>1293</v>
      </c>
      <c r="H473" s="125"/>
      <c r="I473" s="125"/>
      <c r="J473" s="93">
        <v>40</v>
      </c>
      <c r="K473" s="82">
        <v>3</v>
      </c>
      <c r="L473" s="82">
        <f t="shared" si="707"/>
        <v>48</v>
      </c>
      <c r="M473" s="82">
        <f t="shared" si="550"/>
        <v>1.360776</v>
      </c>
      <c r="N473" s="93">
        <v>0</v>
      </c>
      <c r="O473" s="93">
        <v>0</v>
      </c>
      <c r="P473" s="95">
        <f t="shared" si="551"/>
        <v>40</v>
      </c>
      <c r="Q473" s="96">
        <f t="shared" si="645"/>
        <v>50000</v>
      </c>
      <c r="R473" s="96">
        <v>0</v>
      </c>
      <c r="S473" s="97">
        <f t="shared" si="553"/>
        <v>50000</v>
      </c>
      <c r="T473" s="97">
        <f>ROUNDUP(HLOOKUP(ROUNDUP(K473,0),'배송비 조회'!A$10:U$22,7,0)*C$3,-2)</f>
        <v>13400</v>
      </c>
      <c r="U473" s="97">
        <v>0</v>
      </c>
      <c r="V473" s="97">
        <f t="shared" si="709"/>
        <v>19000</v>
      </c>
      <c r="W473" s="97">
        <f t="shared" si="687"/>
        <v>31700</v>
      </c>
      <c r="X473" s="98">
        <f t="shared" si="555"/>
        <v>82400</v>
      </c>
      <c r="Y473" s="98">
        <f t="shared" si="27"/>
        <v>95100</v>
      </c>
      <c r="Z473" s="121">
        <v>0</v>
      </c>
      <c r="AA473" s="121">
        <f t="shared" si="556"/>
        <v>3131.2</v>
      </c>
      <c r="AB473" s="121">
        <f t="shared" si="557"/>
        <v>1648</v>
      </c>
      <c r="AC473" s="99">
        <f t="shared" si="8"/>
        <v>9510</v>
      </c>
      <c r="AD473" s="121">
        <f t="shared" si="558"/>
        <v>77620.800000000003</v>
      </c>
      <c r="AE473" s="99">
        <f t="shared" si="10"/>
        <v>85590</v>
      </c>
      <c r="AF473" s="121">
        <f t="shared" si="559"/>
        <v>776.20800000000008</v>
      </c>
      <c r="AG473" s="100">
        <f t="shared" si="560"/>
        <v>13444.592000000004</v>
      </c>
      <c r="AH473" s="101">
        <f t="shared" si="29"/>
        <v>21413.792000000001</v>
      </c>
      <c r="AI473" s="102">
        <f t="shared" ref="AI473:AJ473" si="712">AG473/X473</f>
        <v>0.16316252427184472</v>
      </c>
      <c r="AJ473" s="102">
        <f t="shared" si="712"/>
        <v>0.22517131440588856</v>
      </c>
      <c r="AK473" s="103"/>
      <c r="AL473" s="104"/>
      <c r="AM473" s="17"/>
      <c r="AN473" s="17"/>
      <c r="AO473" s="17"/>
      <c r="AP473" s="17"/>
      <c r="AQ473" s="17"/>
      <c r="AR473" s="17"/>
      <c r="AS473" s="17"/>
      <c r="AT473" s="17"/>
      <c r="AU473" s="17"/>
      <c r="AV473" s="17"/>
      <c r="AW473" s="297"/>
    </row>
    <row r="474" spans="1:49" ht="13.2">
      <c r="A474" s="302"/>
      <c r="B474" s="266"/>
      <c r="C474" s="302"/>
      <c r="D474" s="117"/>
      <c r="E474" s="302"/>
      <c r="F474" s="123" t="s">
        <v>989</v>
      </c>
      <c r="G474" s="218" t="s">
        <v>1293</v>
      </c>
      <c r="H474" s="125"/>
      <c r="I474" s="125"/>
      <c r="J474" s="93">
        <v>40</v>
      </c>
      <c r="K474" s="82">
        <v>3</v>
      </c>
      <c r="L474" s="82">
        <f t="shared" si="707"/>
        <v>48</v>
      </c>
      <c r="M474" s="82">
        <f t="shared" si="550"/>
        <v>1.360776</v>
      </c>
      <c r="N474" s="93">
        <v>0</v>
      </c>
      <c r="O474" s="93">
        <v>0</v>
      </c>
      <c r="P474" s="95">
        <f t="shared" si="551"/>
        <v>40</v>
      </c>
      <c r="Q474" s="96">
        <f t="shared" si="645"/>
        <v>50000</v>
      </c>
      <c r="R474" s="96">
        <v>0</v>
      </c>
      <c r="S474" s="97">
        <f t="shared" si="553"/>
        <v>50000</v>
      </c>
      <c r="T474" s="97">
        <f>ROUNDUP(HLOOKUP(ROUNDUP(K474,0),'배송비 조회'!A$10:U$22,7,0)*C$3,-2)</f>
        <v>13400</v>
      </c>
      <c r="U474" s="97">
        <v>0</v>
      </c>
      <c r="V474" s="97">
        <f t="shared" si="709"/>
        <v>19000</v>
      </c>
      <c r="W474" s="97">
        <f t="shared" si="687"/>
        <v>31700</v>
      </c>
      <c r="X474" s="98">
        <f t="shared" si="555"/>
        <v>82400</v>
      </c>
      <c r="Y474" s="98">
        <f t="shared" si="27"/>
        <v>95100</v>
      </c>
      <c r="Z474" s="121">
        <v>0</v>
      </c>
      <c r="AA474" s="121">
        <f t="shared" si="556"/>
        <v>3131.2</v>
      </c>
      <c r="AB474" s="121">
        <f t="shared" si="557"/>
        <v>1648</v>
      </c>
      <c r="AC474" s="99">
        <f t="shared" si="8"/>
        <v>9510</v>
      </c>
      <c r="AD474" s="121">
        <f t="shared" si="558"/>
        <v>77620.800000000003</v>
      </c>
      <c r="AE474" s="99">
        <f t="shared" si="10"/>
        <v>85590</v>
      </c>
      <c r="AF474" s="121">
        <f t="shared" si="559"/>
        <v>776.20800000000008</v>
      </c>
      <c r="AG474" s="100">
        <f t="shared" si="560"/>
        <v>13444.592000000004</v>
      </c>
      <c r="AH474" s="101">
        <f t="shared" si="29"/>
        <v>21413.792000000001</v>
      </c>
      <c r="AI474" s="102">
        <f t="shared" ref="AI474:AJ474" si="713">AG474/X474</f>
        <v>0.16316252427184472</v>
      </c>
      <c r="AJ474" s="102">
        <f t="shared" si="713"/>
        <v>0.22517131440588856</v>
      </c>
      <c r="AK474" s="103">
        <f>X474-X473</f>
        <v>0</v>
      </c>
      <c r="AL474" s="104"/>
      <c r="AM474" s="17"/>
      <c r="AN474" s="17"/>
      <c r="AO474" s="17"/>
      <c r="AP474" s="17"/>
      <c r="AQ474" s="17"/>
      <c r="AR474" s="17"/>
      <c r="AS474" s="17"/>
      <c r="AT474" s="17"/>
      <c r="AU474" s="17"/>
      <c r="AV474" s="17"/>
      <c r="AW474" s="297"/>
    </row>
    <row r="475" spans="1:49" ht="13.2">
      <c r="A475" s="303">
        <f>HYPERLINK("https://smartstore.naver.com/brickstore2019/products/4693071509",AW:AW)</f>
        <v>4693071509</v>
      </c>
      <c r="B475" s="266"/>
      <c r="C475" s="117" t="s">
        <v>999</v>
      </c>
      <c r="D475" s="117"/>
      <c r="E475" s="117" t="s">
        <v>1000</v>
      </c>
      <c r="F475" s="123"/>
      <c r="G475" s="124" t="str">
        <f>HYPERLINK("https://www.amazon.com/Logitech-Advanced-Wireless-Illuminated-Keyboard/dp/B07S92QBCJ/ref=sr_1_2?keywords=mx+keys&amp;qid=1570160032&amp;sr=8-2","A")</f>
        <v>A</v>
      </c>
      <c r="H475" s="124" t="str">
        <f>HYPERLINK("https://www.logitech.com/en-us/product/mx-keys-wireless-keyboard#section-product-hero","L")</f>
        <v>L</v>
      </c>
      <c r="I475" s="124"/>
      <c r="J475" s="125">
        <v>100</v>
      </c>
      <c r="K475" s="82">
        <v>2.57</v>
      </c>
      <c r="L475" s="82">
        <f t="shared" si="707"/>
        <v>41.12</v>
      </c>
      <c r="M475" s="82">
        <f t="shared" si="550"/>
        <v>1.1657314399999998</v>
      </c>
      <c r="N475" s="93">
        <v>0</v>
      </c>
      <c r="O475" s="93">
        <v>0</v>
      </c>
      <c r="P475" s="95">
        <f t="shared" si="551"/>
        <v>100</v>
      </c>
      <c r="Q475" s="96">
        <f t="shared" si="645"/>
        <v>125000</v>
      </c>
      <c r="R475" s="96">
        <v>0</v>
      </c>
      <c r="S475" s="97">
        <f t="shared" si="553"/>
        <v>125000</v>
      </c>
      <c r="T475" s="97">
        <f>ROUNDUP(HLOOKUP(ROUNDUP(K475,0),'배송비 조회'!A$10:U$22,7,0)*C$3,-2)</f>
        <v>13400</v>
      </c>
      <c r="U475" s="97">
        <v>0</v>
      </c>
      <c r="V475" s="97">
        <f>ROUND(IF(R475&gt;0,0,(S475+T475)*0.25),-2)</f>
        <v>34600</v>
      </c>
      <c r="W475" s="97">
        <f t="shared" si="687"/>
        <v>69200</v>
      </c>
      <c r="X475" s="98">
        <f t="shared" si="555"/>
        <v>173000</v>
      </c>
      <c r="Y475" s="98">
        <f t="shared" si="27"/>
        <v>207600</v>
      </c>
      <c r="Z475" s="121">
        <v>0</v>
      </c>
      <c r="AA475" s="121">
        <f t="shared" si="556"/>
        <v>6574</v>
      </c>
      <c r="AB475" s="121">
        <f t="shared" si="557"/>
        <v>3460</v>
      </c>
      <c r="AC475" s="99">
        <f t="shared" si="8"/>
        <v>20760</v>
      </c>
      <c r="AD475" s="121">
        <f t="shared" si="558"/>
        <v>162966</v>
      </c>
      <c r="AE475" s="99">
        <f t="shared" si="10"/>
        <v>186840</v>
      </c>
      <c r="AF475" s="121">
        <f t="shared" si="559"/>
        <v>1629.66</v>
      </c>
      <c r="AG475" s="100">
        <f t="shared" si="560"/>
        <v>22936.339999999997</v>
      </c>
      <c r="AH475" s="101">
        <f t="shared" si="29"/>
        <v>46810.34</v>
      </c>
      <c r="AI475" s="102">
        <f t="shared" ref="AI475:AJ475" si="714">AG475/X475</f>
        <v>0.13257999999999998</v>
      </c>
      <c r="AJ475" s="102">
        <f t="shared" si="714"/>
        <v>0.22548333333333331</v>
      </c>
      <c r="AK475" s="103"/>
      <c r="AL475" s="104"/>
      <c r="AM475" s="17"/>
      <c r="AN475" s="17"/>
      <c r="AO475" s="17"/>
      <c r="AP475" s="17"/>
      <c r="AQ475" s="17"/>
      <c r="AR475" s="17"/>
      <c r="AS475" s="17"/>
      <c r="AT475" s="17"/>
      <c r="AU475" s="17"/>
      <c r="AV475" s="17"/>
      <c r="AW475" s="296">
        <v>4693071509</v>
      </c>
    </row>
    <row r="476" spans="1:49" ht="13.2">
      <c r="A476" s="302"/>
      <c r="B476" s="266"/>
      <c r="C476" s="117" t="s">
        <v>1006</v>
      </c>
      <c r="D476" s="117"/>
      <c r="E476" s="117" t="s">
        <v>1007</v>
      </c>
      <c r="F476" s="123"/>
      <c r="G476" s="124" t="str">
        <f>HYPERLINK("https://www.amazon.com/Logitech-956-000001-MX-Palm-Rest/dp/B07VWZHCNX/ref=sr_1_3?keywords=mx+keys&amp;qid=1570160032&amp;sr=8-3","A")</f>
        <v>A</v>
      </c>
      <c r="H476" s="125"/>
      <c r="I476" s="125"/>
      <c r="J476" s="125">
        <v>29.87</v>
      </c>
      <c r="K476" s="82">
        <f t="shared" ref="K476:K478" si="715">IF(L476&gt;0,L476*0.0625,)</f>
        <v>0.51875000000000004</v>
      </c>
      <c r="L476" s="82">
        <v>8.3000000000000007</v>
      </c>
      <c r="M476" s="82">
        <f t="shared" si="550"/>
        <v>0.23530085000000001</v>
      </c>
      <c r="N476" s="93">
        <v>0</v>
      </c>
      <c r="O476" s="93">
        <v>0</v>
      </c>
      <c r="P476" s="95">
        <f t="shared" si="551"/>
        <v>29.87</v>
      </c>
      <c r="Q476" s="96">
        <f t="shared" si="645"/>
        <v>37337.5</v>
      </c>
      <c r="R476" s="96">
        <v>0</v>
      </c>
      <c r="S476" s="97">
        <f t="shared" si="553"/>
        <v>37300</v>
      </c>
      <c r="T476" s="97">
        <f>ROUNDUP(HLOOKUP(ROUNDUP(K476,0),'배송비 조회'!A$10:U$22,7,0)*C$3,-2)</f>
        <v>9000</v>
      </c>
      <c r="U476" s="97">
        <v>0</v>
      </c>
      <c r="V476" s="97">
        <f t="shared" ref="V476:V477" si="716">ROUND(IF(R476&gt;0,0,(S476+T476)*0.3),-2)</f>
        <v>13900</v>
      </c>
      <c r="W476" s="97">
        <f t="shared" si="687"/>
        <v>23200</v>
      </c>
      <c r="X476" s="98">
        <f t="shared" si="555"/>
        <v>60200</v>
      </c>
      <c r="Y476" s="98">
        <f t="shared" si="27"/>
        <v>69500</v>
      </c>
      <c r="Z476" s="121">
        <v>0</v>
      </c>
      <c r="AA476" s="121">
        <f t="shared" si="556"/>
        <v>2287.6</v>
      </c>
      <c r="AB476" s="121">
        <f t="shared" si="557"/>
        <v>1204</v>
      </c>
      <c r="AC476" s="99">
        <f t="shared" si="8"/>
        <v>6950</v>
      </c>
      <c r="AD476" s="121">
        <f t="shared" si="558"/>
        <v>56708.4</v>
      </c>
      <c r="AE476" s="99">
        <f t="shared" si="10"/>
        <v>62550</v>
      </c>
      <c r="AF476" s="121">
        <f t="shared" si="559"/>
        <v>567.08400000000006</v>
      </c>
      <c r="AG476" s="100">
        <f t="shared" si="560"/>
        <v>9803.8160000000025</v>
      </c>
      <c r="AH476" s="101">
        <f t="shared" si="29"/>
        <v>15645.416000000001</v>
      </c>
      <c r="AI476" s="102">
        <f t="shared" ref="AI476:AJ476" si="717">AG476/X476</f>
        <v>0.16285408637873758</v>
      </c>
      <c r="AJ476" s="102">
        <f t="shared" si="717"/>
        <v>0.22511389928057554</v>
      </c>
      <c r="AK476" s="103"/>
      <c r="AL476" s="104"/>
      <c r="AM476" s="17"/>
      <c r="AN476" s="17"/>
      <c r="AO476" s="17"/>
      <c r="AP476" s="17"/>
      <c r="AQ476" s="17"/>
      <c r="AR476" s="17"/>
      <c r="AS476" s="17"/>
      <c r="AT476" s="17"/>
      <c r="AU476" s="17"/>
      <c r="AV476" s="17"/>
      <c r="AW476" s="297"/>
    </row>
    <row r="477" spans="1:49" ht="13.2">
      <c r="A477" s="119">
        <f>HYPERLINK("https://smartstore.naver.com/brickstore2019/products/4694171848",AW:AW)</f>
        <v>4694171848</v>
      </c>
      <c r="B477" s="266"/>
      <c r="C477" s="117" t="s">
        <v>1013</v>
      </c>
      <c r="D477" s="117"/>
      <c r="E477" s="117" t="s">
        <v>1014</v>
      </c>
      <c r="F477" s="123" t="s">
        <v>55</v>
      </c>
      <c r="G477" s="124" t="str">
        <f>HYPERLINK("https://www.amazon.com/gp/product/B0721K4TB5/ref=ox_sc_mini_detail?ie=UTF8&amp;smid=A12DM4YMXWRH99&amp;th=1","A")</f>
        <v>A</v>
      </c>
      <c r="H477" s="125"/>
      <c r="I477" s="125"/>
      <c r="J477" s="125">
        <v>90</v>
      </c>
      <c r="K477" s="82">
        <f t="shared" si="715"/>
        <v>0.35</v>
      </c>
      <c r="L477" s="82">
        <v>5.6</v>
      </c>
      <c r="M477" s="82">
        <f t="shared" si="550"/>
        <v>0.15875719999999999</v>
      </c>
      <c r="N477" s="93">
        <v>0</v>
      </c>
      <c r="O477" s="93">
        <v>0</v>
      </c>
      <c r="P477" s="95">
        <f t="shared" si="551"/>
        <v>90</v>
      </c>
      <c r="Q477" s="96">
        <f t="shared" si="645"/>
        <v>112500</v>
      </c>
      <c r="R477" s="96">
        <v>0</v>
      </c>
      <c r="S477" s="97">
        <f t="shared" si="553"/>
        <v>112500</v>
      </c>
      <c r="T477" s="97">
        <f>ROUNDUP(HLOOKUP(ROUNDUP(K477,0),'배송비 조회'!A$10:U$22,7,0)*C$3,-2)</f>
        <v>9000</v>
      </c>
      <c r="U477" s="97">
        <v>0</v>
      </c>
      <c r="V477" s="97">
        <f t="shared" si="716"/>
        <v>36500</v>
      </c>
      <c r="W477" s="97">
        <f t="shared" si="687"/>
        <v>60800</v>
      </c>
      <c r="X477" s="98">
        <f t="shared" si="555"/>
        <v>158000</v>
      </c>
      <c r="Y477" s="98">
        <f t="shared" si="27"/>
        <v>182300</v>
      </c>
      <c r="Z477" s="121">
        <v>0</v>
      </c>
      <c r="AA477" s="121">
        <f t="shared" si="556"/>
        <v>6004</v>
      </c>
      <c r="AB477" s="121">
        <f t="shared" si="557"/>
        <v>3160</v>
      </c>
      <c r="AC477" s="99">
        <f t="shared" si="8"/>
        <v>18230</v>
      </c>
      <c r="AD477" s="121">
        <f t="shared" si="558"/>
        <v>148836</v>
      </c>
      <c r="AE477" s="99">
        <f t="shared" si="10"/>
        <v>164070</v>
      </c>
      <c r="AF477" s="121">
        <f t="shared" si="559"/>
        <v>1488.3600000000001</v>
      </c>
      <c r="AG477" s="100">
        <f t="shared" si="560"/>
        <v>25847.64</v>
      </c>
      <c r="AH477" s="101">
        <f t="shared" si="29"/>
        <v>41081.64</v>
      </c>
      <c r="AI477" s="102">
        <f t="shared" ref="AI477:AJ477" si="718">AG477/X477</f>
        <v>0.1635926582278481</v>
      </c>
      <c r="AJ477" s="102">
        <f t="shared" si="718"/>
        <v>0.22535183763027974</v>
      </c>
      <c r="AK477" s="103"/>
      <c r="AL477" s="104"/>
      <c r="AM477" s="17"/>
      <c r="AN477" s="17"/>
      <c r="AO477" s="17"/>
      <c r="AP477" s="17"/>
      <c r="AQ477" s="17"/>
      <c r="AR477" s="17"/>
      <c r="AS477" s="17"/>
      <c r="AT477" s="17"/>
      <c r="AU477" s="17"/>
      <c r="AV477" s="17"/>
      <c r="AW477" s="22">
        <v>4694171848</v>
      </c>
    </row>
    <row r="478" spans="1:49" ht="13.2">
      <c r="A478" s="119">
        <f>HYPERLINK("https://smartstore.naver.com/brickstore2019/products/4694174829",AW:AW)</f>
        <v>4694174829</v>
      </c>
      <c r="B478" s="266"/>
      <c r="C478" s="117" t="s">
        <v>1015</v>
      </c>
      <c r="D478" s="117"/>
      <c r="E478" s="117" t="s">
        <v>1014</v>
      </c>
      <c r="F478" s="123" t="s">
        <v>1016</v>
      </c>
      <c r="G478" s="124" t="str">
        <f>HYPERLINK("https://www.amazon.com/gp/product/B071K5ZV2F/ref=ox_sc_mini_detail?ie=UTF8&amp;smid=A12DM4YMXWRH99&amp;th=1","A")</f>
        <v>A</v>
      </c>
      <c r="H478" s="125"/>
      <c r="I478" s="125"/>
      <c r="J478" s="93">
        <v>52</v>
      </c>
      <c r="K478" s="82">
        <f t="shared" si="715"/>
        <v>0.35</v>
      </c>
      <c r="L478" s="82">
        <v>5.6</v>
      </c>
      <c r="M478" s="82">
        <f t="shared" si="550"/>
        <v>0.15875719999999999</v>
      </c>
      <c r="N478" s="93">
        <v>0</v>
      </c>
      <c r="O478" s="93">
        <v>0</v>
      </c>
      <c r="P478" s="95">
        <f t="shared" si="551"/>
        <v>52</v>
      </c>
      <c r="Q478" s="96">
        <f t="shared" si="645"/>
        <v>65000</v>
      </c>
      <c r="R478" s="96">
        <v>0</v>
      </c>
      <c r="S478" s="97">
        <f t="shared" si="553"/>
        <v>65000</v>
      </c>
      <c r="T478" s="97">
        <f>ROUNDUP(HLOOKUP(ROUNDUP(K478,0),'배송비 조회'!A$10:U$22,7,0)*C$3,-2)</f>
        <v>9000</v>
      </c>
      <c r="U478" s="97">
        <v>0</v>
      </c>
      <c r="V478" s="97">
        <f>ROUND(IF(R478&gt;0,0,(S478+T478)*0.4),-2)</f>
        <v>29600</v>
      </c>
      <c r="W478" s="97">
        <f t="shared" si="687"/>
        <v>37000</v>
      </c>
      <c r="X478" s="98">
        <f t="shared" si="555"/>
        <v>103600</v>
      </c>
      <c r="Y478" s="98">
        <f t="shared" si="27"/>
        <v>111000</v>
      </c>
      <c r="Z478" s="121">
        <v>0</v>
      </c>
      <c r="AA478" s="121">
        <f t="shared" si="556"/>
        <v>3936.7999999999997</v>
      </c>
      <c r="AB478" s="121">
        <f t="shared" si="557"/>
        <v>2072</v>
      </c>
      <c r="AC478" s="99">
        <f t="shared" si="8"/>
        <v>11100</v>
      </c>
      <c r="AD478" s="121">
        <f t="shared" si="558"/>
        <v>97591.2</v>
      </c>
      <c r="AE478" s="99">
        <f t="shared" si="10"/>
        <v>99900</v>
      </c>
      <c r="AF478" s="121">
        <f t="shared" si="559"/>
        <v>975.91200000000003</v>
      </c>
      <c r="AG478" s="100">
        <f t="shared" si="560"/>
        <v>22615.287999999997</v>
      </c>
      <c r="AH478" s="101">
        <f t="shared" si="29"/>
        <v>24924.088000000003</v>
      </c>
      <c r="AI478" s="102">
        <f t="shared" ref="AI478:AJ478" si="719">AG478/X478</f>
        <v>0.21829428571428569</v>
      </c>
      <c r="AJ478" s="102">
        <f t="shared" si="719"/>
        <v>0.22454133333333337</v>
      </c>
      <c r="AK478" s="103">
        <f>X477-X478</f>
        <v>54400</v>
      </c>
      <c r="AL478" s="104"/>
      <c r="AM478" s="17"/>
      <c r="AN478" s="17"/>
      <c r="AO478" s="17"/>
      <c r="AP478" s="17"/>
      <c r="AQ478" s="17"/>
      <c r="AR478" s="17"/>
      <c r="AS478" s="17"/>
      <c r="AT478" s="17"/>
      <c r="AU478" s="17"/>
      <c r="AV478" s="17"/>
      <c r="AW478" s="22">
        <v>4694174829</v>
      </c>
    </row>
    <row r="479" spans="1:49" ht="13.2">
      <c r="A479" s="119">
        <f>HYPERLINK("https://smartstore.naver.com/brickstore2019/products/4694276743",AW:AW)</f>
        <v>4694276743</v>
      </c>
      <c r="B479" s="266"/>
      <c r="C479" s="114" t="s">
        <v>1017</v>
      </c>
      <c r="D479" s="114"/>
      <c r="E479" s="117" t="s">
        <v>1018</v>
      </c>
      <c r="F479" s="123"/>
      <c r="G479" s="124" t="str">
        <f>HYPERLINK("https://www.amazon.com/Babolat-Pure-Line-Wimbledon-Backpack/dp/B07QHXV2HX/ref=sr_1_2?dchild=1&amp;keywords=wimbledon+club+tennis+backpack&amp;qid=1570330848&amp;sr=8-2","A")</f>
        <v>A</v>
      </c>
      <c r="H479" s="124" t="str">
        <f>HYPERLINK("https://item.taobao.com/item.htm?_u=1201jme85eecb1&amp;id=570829055267","T")</f>
        <v>T</v>
      </c>
      <c r="I479" s="124"/>
      <c r="J479" s="93">
        <v>90</v>
      </c>
      <c r="K479" s="82">
        <v>2.5</v>
      </c>
      <c r="L479" s="82">
        <f t="shared" ref="L479:L482" si="720">IF(K479&gt;0,K479*16,)</f>
        <v>40</v>
      </c>
      <c r="M479" s="82">
        <f t="shared" si="550"/>
        <v>1.13398</v>
      </c>
      <c r="N479" s="93">
        <v>0</v>
      </c>
      <c r="O479" s="93">
        <v>0</v>
      </c>
      <c r="P479" s="95">
        <f t="shared" si="551"/>
        <v>90</v>
      </c>
      <c r="Q479" s="96">
        <f t="shared" si="645"/>
        <v>112500</v>
      </c>
      <c r="R479" s="96">
        <v>0</v>
      </c>
      <c r="S479" s="97">
        <f t="shared" si="553"/>
        <v>112500</v>
      </c>
      <c r="T479" s="97">
        <f>ROUNDUP(HLOOKUP(ROUNDUP(K479,0),'배송비 조회'!A$10:U$22,7,0)*C$3,-2)</f>
        <v>13400</v>
      </c>
      <c r="U479" s="97">
        <v>0</v>
      </c>
      <c r="V479" s="97">
        <f t="shared" ref="V479:V489" si="721">ROUND(IF(R479&gt;0,0,(S479+T479)*0.3),-2)</f>
        <v>37800</v>
      </c>
      <c r="W479" s="97">
        <f t="shared" si="687"/>
        <v>63000</v>
      </c>
      <c r="X479" s="98">
        <f t="shared" si="555"/>
        <v>163700</v>
      </c>
      <c r="Y479" s="98">
        <f t="shared" si="27"/>
        <v>188900</v>
      </c>
      <c r="Z479" s="121">
        <v>0</v>
      </c>
      <c r="AA479" s="121">
        <f t="shared" si="556"/>
        <v>6220.5999999999995</v>
      </c>
      <c r="AB479" s="121">
        <f t="shared" si="557"/>
        <v>3274</v>
      </c>
      <c r="AC479" s="99">
        <f t="shared" si="8"/>
        <v>18890</v>
      </c>
      <c r="AD479" s="121">
        <f t="shared" si="558"/>
        <v>154205.4</v>
      </c>
      <c r="AE479" s="99">
        <f t="shared" si="10"/>
        <v>170010</v>
      </c>
      <c r="AF479" s="121">
        <f t="shared" si="559"/>
        <v>1542.0540000000001</v>
      </c>
      <c r="AG479" s="100">
        <f t="shared" si="560"/>
        <v>26763.34599999999</v>
      </c>
      <c r="AH479" s="101">
        <f t="shared" si="29"/>
        <v>42567.945999999996</v>
      </c>
      <c r="AI479" s="102">
        <f t="shared" ref="AI479:AJ479" si="722">AG479/X479</f>
        <v>0.16349020158827116</v>
      </c>
      <c r="AJ479" s="102">
        <f t="shared" si="722"/>
        <v>0.22534645844362095</v>
      </c>
      <c r="AK479" s="103"/>
      <c r="AL479" s="104"/>
      <c r="AM479" s="17"/>
      <c r="AN479" s="17"/>
      <c r="AO479" s="17"/>
      <c r="AP479" s="17"/>
      <c r="AQ479" s="17"/>
      <c r="AR479" s="17"/>
      <c r="AS479" s="17"/>
      <c r="AT479" s="17"/>
      <c r="AU479" s="17"/>
      <c r="AV479" s="17"/>
      <c r="AW479" s="22">
        <v>4694276743</v>
      </c>
    </row>
    <row r="480" spans="1:49" ht="13.2">
      <c r="A480" s="303">
        <f>HYPERLINK("https://smartstore.naver.com/brickstore2019/products/4694299216",AW:AW)</f>
        <v>4694299216</v>
      </c>
      <c r="B480" s="266"/>
      <c r="C480" s="304" t="s">
        <v>1030</v>
      </c>
      <c r="D480" s="117"/>
      <c r="E480" s="304" t="s">
        <v>1031</v>
      </c>
      <c r="F480" s="123" t="s">
        <v>746</v>
      </c>
      <c r="G480" s="124" t="str">
        <f>HYPERLINK("https://www.amazon.com/Court-Tennis-Backpack-Black-White/dp/B072FRZPSK/ref=sr_1_1?dchild=1&amp;keywords=nike%2BCourt%2BTennis%2BBackpack&amp;qid=1570330949&amp;sr=8-1&amp;th=1","A")</f>
        <v>A</v>
      </c>
      <c r="H480" s="125"/>
      <c r="I480" s="125"/>
      <c r="J480" s="93">
        <v>80</v>
      </c>
      <c r="K480" s="82">
        <v>1.5</v>
      </c>
      <c r="L480" s="82">
        <f t="shared" si="720"/>
        <v>24</v>
      </c>
      <c r="M480" s="82">
        <f t="shared" si="550"/>
        <v>0.68038799999999999</v>
      </c>
      <c r="N480" s="93">
        <v>0</v>
      </c>
      <c r="O480" s="93">
        <v>0</v>
      </c>
      <c r="P480" s="95">
        <f t="shared" si="551"/>
        <v>80</v>
      </c>
      <c r="Q480" s="96">
        <f t="shared" si="645"/>
        <v>100000</v>
      </c>
      <c r="R480" s="96">
        <v>0</v>
      </c>
      <c r="S480" s="97">
        <f t="shared" si="553"/>
        <v>100000</v>
      </c>
      <c r="T480" s="97">
        <f>ROUNDUP(HLOOKUP(ROUNDUP(K480,0),'배송비 조회'!A$10:U$22,7,0)*C$3,-2)</f>
        <v>11200</v>
      </c>
      <c r="U480" s="97">
        <v>0</v>
      </c>
      <c r="V480" s="97">
        <f t="shared" si="721"/>
        <v>33400</v>
      </c>
      <c r="W480" s="97">
        <f t="shared" si="687"/>
        <v>55600</v>
      </c>
      <c r="X480" s="98">
        <f t="shared" si="555"/>
        <v>144600</v>
      </c>
      <c r="Y480" s="98">
        <f t="shared" si="27"/>
        <v>166800</v>
      </c>
      <c r="Z480" s="121">
        <v>0</v>
      </c>
      <c r="AA480" s="121">
        <f t="shared" si="556"/>
        <v>5494.8</v>
      </c>
      <c r="AB480" s="121">
        <f t="shared" si="557"/>
        <v>2892</v>
      </c>
      <c r="AC480" s="99">
        <f t="shared" si="8"/>
        <v>16680</v>
      </c>
      <c r="AD480" s="121">
        <f t="shared" si="558"/>
        <v>136213.20000000001</v>
      </c>
      <c r="AE480" s="99">
        <f t="shared" si="10"/>
        <v>150120</v>
      </c>
      <c r="AF480" s="121">
        <f t="shared" si="559"/>
        <v>1362.1320000000001</v>
      </c>
      <c r="AG480" s="100">
        <f t="shared" si="560"/>
        <v>23651.068000000014</v>
      </c>
      <c r="AH480" s="101">
        <f t="shared" si="29"/>
        <v>37557.868000000002</v>
      </c>
      <c r="AI480" s="102">
        <f t="shared" ref="AI480:AJ480" si="723">AG480/X480</f>
        <v>0.16356201936376219</v>
      </c>
      <c r="AJ480" s="102">
        <f t="shared" si="723"/>
        <v>0.2251670743405276</v>
      </c>
      <c r="AK480" s="103">
        <f>X480-X481</f>
        <v>16300</v>
      </c>
      <c r="AL480" s="104"/>
      <c r="AM480" s="17"/>
      <c r="AN480" s="17"/>
      <c r="AO480" s="17"/>
      <c r="AP480" s="17"/>
      <c r="AQ480" s="17"/>
      <c r="AR480" s="17"/>
      <c r="AS480" s="17"/>
      <c r="AT480" s="17"/>
      <c r="AU480" s="17"/>
      <c r="AV480" s="17"/>
      <c r="AW480" s="296">
        <v>4694299216</v>
      </c>
    </row>
    <row r="481" spans="1:49" ht="13.2">
      <c r="A481" s="302"/>
      <c r="B481" s="266"/>
      <c r="C481" s="302"/>
      <c r="D481" s="117"/>
      <c r="E481" s="302"/>
      <c r="F481" s="123" t="s">
        <v>1034</v>
      </c>
      <c r="G481" s="124" t="str">
        <f>HYPERLINK("https://www.amazon.com/Court-Tennis-Backpack-Black-White/dp/B00LIWL8M8/ref=sr_1_1?dchild=1&amp;keywords=nike%2BCourt%2BTennis%2BBackpack&amp;qid=1570330949&amp;sr=8-1&amp;th=1","A")</f>
        <v>A</v>
      </c>
      <c r="H481" s="125"/>
      <c r="I481" s="125"/>
      <c r="J481" s="201">
        <v>70</v>
      </c>
      <c r="K481" s="82">
        <v>1.5</v>
      </c>
      <c r="L481" s="82">
        <f t="shared" si="720"/>
        <v>24</v>
      </c>
      <c r="M481" s="82">
        <f t="shared" si="550"/>
        <v>0.68038799999999999</v>
      </c>
      <c r="N481" s="93">
        <v>0</v>
      </c>
      <c r="O481" s="93">
        <v>0</v>
      </c>
      <c r="P481" s="95">
        <f t="shared" si="551"/>
        <v>70</v>
      </c>
      <c r="Q481" s="96">
        <f t="shared" si="645"/>
        <v>87500</v>
      </c>
      <c r="R481" s="96">
        <v>0</v>
      </c>
      <c r="S481" s="97">
        <f t="shared" si="553"/>
        <v>87500</v>
      </c>
      <c r="T481" s="97">
        <f>ROUNDUP(HLOOKUP(ROUNDUP(K481,0),'배송비 조회'!A$10:U$22,7,0)*C$3,-2)</f>
        <v>11200</v>
      </c>
      <c r="U481" s="97">
        <v>0</v>
      </c>
      <c r="V481" s="97">
        <f t="shared" si="721"/>
        <v>29600</v>
      </c>
      <c r="W481" s="97">
        <f t="shared" si="687"/>
        <v>49400</v>
      </c>
      <c r="X481" s="98">
        <f t="shared" si="555"/>
        <v>128300</v>
      </c>
      <c r="Y481" s="98">
        <f t="shared" si="27"/>
        <v>148100</v>
      </c>
      <c r="Z481" s="121">
        <v>0</v>
      </c>
      <c r="AA481" s="121">
        <f t="shared" si="556"/>
        <v>4875.3999999999996</v>
      </c>
      <c r="AB481" s="121">
        <f t="shared" si="557"/>
        <v>2566</v>
      </c>
      <c r="AC481" s="99">
        <f t="shared" si="8"/>
        <v>14810</v>
      </c>
      <c r="AD481" s="121">
        <f t="shared" si="558"/>
        <v>120858.6</v>
      </c>
      <c r="AE481" s="99">
        <f t="shared" si="10"/>
        <v>133290</v>
      </c>
      <c r="AF481" s="121">
        <f t="shared" si="559"/>
        <v>1208.586</v>
      </c>
      <c r="AG481" s="100">
        <f t="shared" si="560"/>
        <v>20950.014000000006</v>
      </c>
      <c r="AH481" s="101">
        <f t="shared" si="29"/>
        <v>33381.413999999997</v>
      </c>
      <c r="AI481" s="102">
        <f t="shared" ref="AI481:AJ481" si="724">AG481/X481</f>
        <v>0.16328927513639913</v>
      </c>
      <c r="AJ481" s="102">
        <f t="shared" si="724"/>
        <v>0.22539779878460497</v>
      </c>
      <c r="AK481" s="103"/>
      <c r="AL481" s="104"/>
      <c r="AM481" s="17"/>
      <c r="AN481" s="17"/>
      <c r="AO481" s="17"/>
      <c r="AP481" s="17"/>
      <c r="AQ481" s="17"/>
      <c r="AR481" s="17"/>
      <c r="AS481" s="17"/>
      <c r="AT481" s="17"/>
      <c r="AU481" s="17"/>
      <c r="AV481" s="17"/>
      <c r="AW481" s="297"/>
    </row>
    <row r="482" spans="1:49" ht="13.2">
      <c r="A482" s="119">
        <f>HYPERLINK("https://smartstore.naver.com/brickstore2019/products/4695329867",AW:AW)</f>
        <v>4695329867</v>
      </c>
      <c r="B482" s="266"/>
      <c r="C482" s="117" t="s">
        <v>1035</v>
      </c>
      <c r="D482" s="117"/>
      <c r="E482" s="117" t="s">
        <v>1036</v>
      </c>
      <c r="F482" s="123"/>
      <c r="G482" s="124" t="str">
        <f>HYPERLINK("https://www.amazon.com/dp/B07KGVB6D6/ref=ods_gw_lln_h1_im_smp_rn_fam_090619?pf_rd_p=0c476982-c3f8-42a3-8f14-cbbce9287ad9&amp;pf_rd_r=1E4XQQ3VN9V44V3CC6C3","A")</f>
        <v>A</v>
      </c>
      <c r="H482" s="125"/>
      <c r="I482" s="125"/>
      <c r="J482" s="93">
        <v>120</v>
      </c>
      <c r="K482" s="82">
        <v>2</v>
      </c>
      <c r="L482" s="82">
        <f t="shared" si="720"/>
        <v>32</v>
      </c>
      <c r="M482" s="82">
        <f t="shared" si="550"/>
        <v>0.90718399999999999</v>
      </c>
      <c r="N482" s="93">
        <v>0</v>
      </c>
      <c r="O482" s="93">
        <v>0</v>
      </c>
      <c r="P482" s="95">
        <f t="shared" si="551"/>
        <v>120</v>
      </c>
      <c r="Q482" s="96">
        <f t="shared" si="645"/>
        <v>150000</v>
      </c>
      <c r="R482" s="96">
        <v>0</v>
      </c>
      <c r="S482" s="97">
        <f t="shared" si="553"/>
        <v>150000</v>
      </c>
      <c r="T482" s="97">
        <f>ROUNDUP(HLOOKUP(ROUNDUP(K482,0),'배송비 조회'!A$10:U$22,7,0)*C$3,-2)</f>
        <v>11200</v>
      </c>
      <c r="U482" s="97">
        <v>0</v>
      </c>
      <c r="V482" s="97">
        <f t="shared" si="721"/>
        <v>48400</v>
      </c>
      <c r="W482" s="97">
        <f t="shared" si="687"/>
        <v>80600</v>
      </c>
      <c r="X482" s="98">
        <f t="shared" si="555"/>
        <v>209600</v>
      </c>
      <c r="Y482" s="98">
        <f t="shared" si="27"/>
        <v>241800</v>
      </c>
      <c r="Z482" s="121">
        <v>0</v>
      </c>
      <c r="AA482" s="121">
        <f t="shared" si="556"/>
        <v>7964.8</v>
      </c>
      <c r="AB482" s="121">
        <f t="shared" si="557"/>
        <v>4192</v>
      </c>
      <c r="AC482" s="99">
        <f t="shared" si="8"/>
        <v>24180</v>
      </c>
      <c r="AD482" s="121">
        <f t="shared" si="558"/>
        <v>197443.20000000001</v>
      </c>
      <c r="AE482" s="99">
        <f t="shared" si="10"/>
        <v>217620</v>
      </c>
      <c r="AF482" s="121">
        <f t="shared" si="559"/>
        <v>1974.4320000000002</v>
      </c>
      <c r="AG482" s="100">
        <f t="shared" si="560"/>
        <v>34268.768000000011</v>
      </c>
      <c r="AH482" s="101">
        <f t="shared" si="29"/>
        <v>54445.567999999999</v>
      </c>
      <c r="AI482" s="102">
        <f t="shared" ref="AI482:AJ482" si="725">AG482/X482</f>
        <v>0.16349603053435119</v>
      </c>
      <c r="AJ482" s="102">
        <f t="shared" si="725"/>
        <v>0.22516777502067825</v>
      </c>
      <c r="AK482" s="103"/>
      <c r="AL482" s="104"/>
      <c r="AM482" s="17"/>
      <c r="AN482" s="17"/>
      <c r="AO482" s="17"/>
      <c r="AP482" s="17"/>
      <c r="AQ482" s="17"/>
      <c r="AR482" s="17"/>
      <c r="AS482" s="17"/>
      <c r="AT482" s="17"/>
      <c r="AU482" s="17"/>
      <c r="AV482" s="17"/>
      <c r="AW482" s="22">
        <v>4695329867</v>
      </c>
    </row>
    <row r="483" spans="1:49" ht="13.2">
      <c r="A483" s="119">
        <f>HYPERLINK("https://smartstore.naver.com/brickstore2019/products/4695351926",AW:AW)</f>
        <v>4695351926</v>
      </c>
      <c r="B483" s="266"/>
      <c r="C483" s="117" t="s">
        <v>1041</v>
      </c>
      <c r="D483" s="117"/>
      <c r="E483" s="117" t="s">
        <v>1042</v>
      </c>
      <c r="F483" s="123"/>
      <c r="G483" s="124" t="str">
        <f>HYPERLINK("https://www.amazon.com/gp/product/B07S8CPCPV","A")</f>
        <v>A</v>
      </c>
      <c r="H483" s="125"/>
      <c r="I483" s="125"/>
      <c r="J483" s="93">
        <v>50</v>
      </c>
      <c r="K483" s="82">
        <f>IF(L483&gt;0,L483*0.0625,)</f>
        <v>0.1875</v>
      </c>
      <c r="L483" s="82">
        <v>3</v>
      </c>
      <c r="M483" s="82">
        <f t="shared" si="550"/>
        <v>8.5048499999999999E-2</v>
      </c>
      <c r="N483" s="93">
        <v>0</v>
      </c>
      <c r="O483" s="93">
        <v>0</v>
      </c>
      <c r="P483" s="95">
        <f t="shared" si="551"/>
        <v>50</v>
      </c>
      <c r="Q483" s="96">
        <f t="shared" si="645"/>
        <v>62500</v>
      </c>
      <c r="R483" s="96">
        <v>0</v>
      </c>
      <c r="S483" s="97">
        <f t="shared" si="553"/>
        <v>62500</v>
      </c>
      <c r="T483" s="97">
        <f>ROUNDUP(HLOOKUP(ROUNDUP(K483,0),'배송비 조회'!A$10:U$22,7,0)*C$3,-2)</f>
        <v>9000</v>
      </c>
      <c r="U483" s="97">
        <v>0</v>
      </c>
      <c r="V483" s="97">
        <f t="shared" si="721"/>
        <v>21500</v>
      </c>
      <c r="W483" s="97">
        <f t="shared" si="687"/>
        <v>35800</v>
      </c>
      <c r="X483" s="98">
        <f t="shared" si="555"/>
        <v>93000</v>
      </c>
      <c r="Y483" s="98">
        <f t="shared" si="27"/>
        <v>107300</v>
      </c>
      <c r="Z483" s="121">
        <v>0</v>
      </c>
      <c r="AA483" s="121">
        <f t="shared" si="556"/>
        <v>3534</v>
      </c>
      <c r="AB483" s="121">
        <f t="shared" si="557"/>
        <v>1860</v>
      </c>
      <c r="AC483" s="99">
        <f t="shared" si="8"/>
        <v>10730</v>
      </c>
      <c r="AD483" s="121">
        <f t="shared" si="558"/>
        <v>87606</v>
      </c>
      <c r="AE483" s="99">
        <f t="shared" si="10"/>
        <v>96570</v>
      </c>
      <c r="AF483" s="121">
        <f t="shared" si="559"/>
        <v>876.06000000000006</v>
      </c>
      <c r="AG483" s="100">
        <f t="shared" si="560"/>
        <v>15229.939999999999</v>
      </c>
      <c r="AH483" s="101">
        <f t="shared" si="29"/>
        <v>24193.940000000002</v>
      </c>
      <c r="AI483" s="102">
        <f t="shared" ref="AI483:AJ483" si="726">AG483/X483</f>
        <v>0.16376279569892471</v>
      </c>
      <c r="AJ483" s="102">
        <f t="shared" si="726"/>
        <v>0.22547940354147253</v>
      </c>
      <c r="AK483" s="103"/>
      <c r="AL483" s="104"/>
      <c r="AM483" s="17"/>
      <c r="AN483" s="17"/>
      <c r="AO483" s="17"/>
      <c r="AP483" s="17"/>
      <c r="AQ483" s="17"/>
      <c r="AR483" s="17"/>
      <c r="AS483" s="17"/>
      <c r="AT483" s="17"/>
      <c r="AU483" s="17"/>
      <c r="AV483" s="17"/>
      <c r="AW483" s="22">
        <v>4695351926</v>
      </c>
    </row>
    <row r="484" spans="1:49" ht="13.2">
      <c r="A484" s="119">
        <f>HYPERLINK("https://smartstore.naver.com/brickstore2019/products/4695423386",AW:AW)</f>
        <v>4695423386</v>
      </c>
      <c r="B484" s="275" t="str">
        <f>HYPERLINK("https://www.coupang.com/vp/products/332576247?vendorItemId=5542205284","332576247")</f>
        <v>332576247</v>
      </c>
      <c r="C484" s="117" t="s">
        <v>1046</v>
      </c>
      <c r="D484" s="117" t="s">
        <v>1046</v>
      </c>
      <c r="E484" s="117" t="s">
        <v>1047</v>
      </c>
      <c r="F484" s="123"/>
      <c r="G484" s="124" t="str">
        <f>HYPERLINK("https://www.amazon.com/HyperX-QuadCast-Condenser-Microphone-Anti-Vibration/dp/B07NZZZ746/ref=sr_1_2?crid=E2I4H50BPX2R&amp;keywords=hyperx+quadcast&amp;qid=1570770436&amp;sprefix=hyperx+Q%2Caps%2C343&amp;sr=8-2","A")</f>
        <v>A</v>
      </c>
      <c r="H484" s="125"/>
      <c r="I484" s="125"/>
      <c r="J484" s="93">
        <v>136</v>
      </c>
      <c r="K484" s="82">
        <v>3.1</v>
      </c>
      <c r="L484" s="82">
        <v>20</v>
      </c>
      <c r="M484" s="82">
        <f t="shared" si="550"/>
        <v>1.4061352</v>
      </c>
      <c r="N484" s="93">
        <v>0</v>
      </c>
      <c r="O484" s="93">
        <v>0</v>
      </c>
      <c r="P484" s="95">
        <f t="shared" si="551"/>
        <v>136</v>
      </c>
      <c r="Q484" s="96">
        <f t="shared" si="645"/>
        <v>170000</v>
      </c>
      <c r="R484" s="96">
        <v>0</v>
      </c>
      <c r="S484" s="97">
        <f t="shared" si="553"/>
        <v>170000</v>
      </c>
      <c r="T484" s="97">
        <f>ROUNDUP(HLOOKUP(ROUNDUP(K484,0),'배송비 조회'!A$10:U$22,7,0)*C$3,-2)</f>
        <v>15600</v>
      </c>
      <c r="U484" s="97">
        <v>0</v>
      </c>
      <c r="V484" s="97">
        <f t="shared" si="721"/>
        <v>55700</v>
      </c>
      <c r="W484" s="97">
        <f>ROUND(IF(R484&gt;0,0,(S484+T484)*0.4),-2)</f>
        <v>74200</v>
      </c>
      <c r="X484" s="98">
        <f t="shared" si="555"/>
        <v>241300</v>
      </c>
      <c r="Y484" s="98">
        <f t="shared" si="27"/>
        <v>259800</v>
      </c>
      <c r="Z484" s="121">
        <v>0</v>
      </c>
      <c r="AA484" s="121">
        <f t="shared" si="556"/>
        <v>9169.4</v>
      </c>
      <c r="AB484" s="121">
        <f t="shared" si="557"/>
        <v>4826</v>
      </c>
      <c r="AC484" s="99">
        <f t="shared" si="8"/>
        <v>25980</v>
      </c>
      <c r="AD484" s="121">
        <f t="shared" si="558"/>
        <v>227304.6</v>
      </c>
      <c r="AE484" s="99">
        <f t="shared" si="10"/>
        <v>233820</v>
      </c>
      <c r="AF484" s="121">
        <f t="shared" si="559"/>
        <v>2273.0460000000003</v>
      </c>
      <c r="AG484" s="100">
        <f t="shared" si="560"/>
        <v>39431.554000000004</v>
      </c>
      <c r="AH484" s="101">
        <f t="shared" si="29"/>
        <v>45946.953999999998</v>
      </c>
      <c r="AI484" s="102">
        <f t="shared" ref="AI484:AJ484" si="727">AG484/X484</f>
        <v>0.16341298798176546</v>
      </c>
      <c r="AJ484" s="102">
        <f t="shared" si="727"/>
        <v>0.17685509622786758</v>
      </c>
      <c r="AK484" s="118">
        <v>30000</v>
      </c>
      <c r="AL484" s="103">
        <f>X484-AK484</f>
        <v>211300</v>
      </c>
      <c r="AM484" s="17"/>
      <c r="AN484" s="17"/>
      <c r="AO484" s="17"/>
      <c r="AP484" s="17"/>
      <c r="AQ484" s="17"/>
      <c r="AR484" s="17"/>
      <c r="AS484" s="17"/>
      <c r="AT484" s="17"/>
      <c r="AU484" s="17"/>
      <c r="AV484" s="17"/>
      <c r="AW484" s="22">
        <v>4695423386</v>
      </c>
    </row>
    <row r="485" spans="1:49" ht="13.2">
      <c r="A485" s="303">
        <f>HYPERLINK("https://smartstore.naver.com/brickstore2019/products/4696060998",AW:AW)</f>
        <v>4696060998</v>
      </c>
      <c r="B485" s="266"/>
      <c r="C485" s="304" t="s">
        <v>1048</v>
      </c>
      <c r="D485" s="117"/>
      <c r="E485" s="304" t="s">
        <v>1049</v>
      </c>
      <c r="F485" s="123" t="s">
        <v>976</v>
      </c>
      <c r="G485" s="124" t="str">
        <f>HYPERLINK("https://www.amazon.com/Logitech-Anywhere-Wireless-Cross-Computer-Control/dp/B071VK5KXN/ref=sr_1_15?keywords=logitech&amp;qid=1570271320&amp;sr=8-15&amp;th=1","A")</f>
        <v>A</v>
      </c>
      <c r="H485" s="125"/>
      <c r="I485" s="125"/>
      <c r="J485" s="93">
        <v>80</v>
      </c>
      <c r="K485" s="82">
        <f t="shared" ref="K485:K487" si="728">IF(L485&gt;0,L485*0.0625,)</f>
        <v>0.55000000000000004</v>
      </c>
      <c r="L485" s="82">
        <v>8.8000000000000007</v>
      </c>
      <c r="M485" s="82">
        <f t="shared" si="550"/>
        <v>0.24947560000000002</v>
      </c>
      <c r="N485" s="93">
        <v>0</v>
      </c>
      <c r="O485" s="93">
        <v>0</v>
      </c>
      <c r="P485" s="95">
        <v>80</v>
      </c>
      <c r="Q485" s="96">
        <f t="shared" si="645"/>
        <v>100000</v>
      </c>
      <c r="R485" s="96">
        <v>0</v>
      </c>
      <c r="S485" s="97">
        <f t="shared" si="553"/>
        <v>100000</v>
      </c>
      <c r="T485" s="97">
        <f>ROUNDUP(HLOOKUP(ROUNDUP(K485,0),'배송비 조회'!A$10:U$22,7,0)*C$3,-2)</f>
        <v>9000</v>
      </c>
      <c r="U485" s="97">
        <v>0</v>
      </c>
      <c r="V485" s="97">
        <f t="shared" si="721"/>
        <v>32700</v>
      </c>
      <c r="W485" s="97">
        <f t="shared" ref="W485:W592" si="729">ROUND(IF(R485&gt;0,0,(S485+T485)*0.5),-2)</f>
        <v>54500</v>
      </c>
      <c r="X485" s="98">
        <f t="shared" si="555"/>
        <v>141700</v>
      </c>
      <c r="Y485" s="98">
        <f t="shared" si="27"/>
        <v>163500</v>
      </c>
      <c r="Z485" s="121">
        <v>0</v>
      </c>
      <c r="AA485" s="121">
        <f t="shared" si="556"/>
        <v>5384.5999999999995</v>
      </c>
      <c r="AB485" s="121">
        <f t="shared" si="557"/>
        <v>2834</v>
      </c>
      <c r="AC485" s="99">
        <f t="shared" si="8"/>
        <v>16350</v>
      </c>
      <c r="AD485" s="121">
        <f t="shared" si="558"/>
        <v>133481.4</v>
      </c>
      <c r="AE485" s="99">
        <f t="shared" si="10"/>
        <v>147150</v>
      </c>
      <c r="AF485" s="121">
        <f t="shared" si="559"/>
        <v>1334.8140000000001</v>
      </c>
      <c r="AG485" s="100">
        <f t="shared" si="560"/>
        <v>23146.585999999996</v>
      </c>
      <c r="AH485" s="101">
        <f t="shared" si="29"/>
        <v>36815.186000000002</v>
      </c>
      <c r="AI485" s="102">
        <f t="shared" ref="AI485:AJ485" si="730">AG485/X485</f>
        <v>0.16334923076923075</v>
      </c>
      <c r="AJ485" s="102">
        <f t="shared" si="730"/>
        <v>0.22516933333333333</v>
      </c>
      <c r="AK485" s="103"/>
      <c r="AL485" s="104"/>
      <c r="AM485" s="17"/>
      <c r="AN485" s="17"/>
      <c r="AO485" s="17"/>
      <c r="AP485" s="17"/>
      <c r="AQ485" s="17"/>
      <c r="AR485" s="17"/>
      <c r="AS485" s="17"/>
      <c r="AT485" s="17"/>
      <c r="AU485" s="17"/>
      <c r="AV485" s="17"/>
      <c r="AW485" s="296">
        <v>4696060998</v>
      </c>
    </row>
    <row r="486" spans="1:49" ht="13.2">
      <c r="A486" s="302"/>
      <c r="B486" s="266"/>
      <c r="C486" s="302"/>
      <c r="D486" s="117"/>
      <c r="E486" s="302"/>
      <c r="F486" s="123" t="s">
        <v>184</v>
      </c>
      <c r="G486" s="124" t="str">
        <f>HYPERLINK("https://www.amazon.com/Logitech-Anywhere-Wireless-Cross-Computer-Control/dp/B071S7KDWS/ref=sr_1_15?keywords=logitech&amp;qid=1570271320&amp;sr=8-15&amp;th=1","A")</f>
        <v>A</v>
      </c>
      <c r="H486" s="125"/>
      <c r="I486" s="125"/>
      <c r="J486" s="93">
        <v>96</v>
      </c>
      <c r="K486" s="82">
        <f t="shared" si="728"/>
        <v>0.55000000000000004</v>
      </c>
      <c r="L486" s="82">
        <v>8.8000000000000007</v>
      </c>
      <c r="M486" s="82">
        <f t="shared" si="550"/>
        <v>0.24947560000000002</v>
      </c>
      <c r="N486" s="93">
        <v>0</v>
      </c>
      <c r="O486" s="93">
        <v>0</v>
      </c>
      <c r="P486" s="95">
        <f t="shared" ref="P486:P602" si="731">J486+O486+N486</f>
        <v>96</v>
      </c>
      <c r="Q486" s="96">
        <f t="shared" si="645"/>
        <v>120000</v>
      </c>
      <c r="R486" s="96">
        <v>0</v>
      </c>
      <c r="S486" s="97">
        <f t="shared" si="553"/>
        <v>120000</v>
      </c>
      <c r="T486" s="97">
        <f>ROUNDUP(HLOOKUP(ROUNDUP(K486,0),'배송비 조회'!A$10:U$22,7,0)*C$3,-2)</f>
        <v>9000</v>
      </c>
      <c r="U486" s="97">
        <v>0</v>
      </c>
      <c r="V486" s="97">
        <f t="shared" si="721"/>
        <v>38700</v>
      </c>
      <c r="W486" s="97">
        <f t="shared" si="729"/>
        <v>64500</v>
      </c>
      <c r="X486" s="98">
        <f t="shared" si="555"/>
        <v>167700</v>
      </c>
      <c r="Y486" s="98">
        <f t="shared" si="27"/>
        <v>193500</v>
      </c>
      <c r="Z486" s="121">
        <v>0</v>
      </c>
      <c r="AA486" s="121">
        <f t="shared" si="556"/>
        <v>6372.5999999999995</v>
      </c>
      <c r="AB486" s="121">
        <f t="shared" si="557"/>
        <v>3354</v>
      </c>
      <c r="AC486" s="99">
        <f t="shared" si="8"/>
        <v>19350</v>
      </c>
      <c r="AD486" s="121">
        <f t="shared" si="558"/>
        <v>157973.4</v>
      </c>
      <c r="AE486" s="99">
        <f t="shared" si="10"/>
        <v>174150</v>
      </c>
      <c r="AF486" s="121">
        <f t="shared" si="559"/>
        <v>1579.7339999999999</v>
      </c>
      <c r="AG486" s="100">
        <f t="shared" si="560"/>
        <v>27393.665999999997</v>
      </c>
      <c r="AH486" s="101">
        <f t="shared" si="29"/>
        <v>43570.266000000003</v>
      </c>
      <c r="AI486" s="102">
        <f t="shared" ref="AI486:AJ486" si="732">AG486/X486</f>
        <v>0.16334923076923075</v>
      </c>
      <c r="AJ486" s="102">
        <f t="shared" si="732"/>
        <v>0.22516933333333336</v>
      </c>
      <c r="AK486" s="103">
        <f>X486-X485</f>
        <v>26000</v>
      </c>
      <c r="AL486" s="104"/>
      <c r="AM486" s="18">
        <f>X486-X485</f>
        <v>26000</v>
      </c>
      <c r="AN486" s="17"/>
      <c r="AO486" s="17"/>
      <c r="AP486" s="17"/>
      <c r="AQ486" s="17"/>
      <c r="AR486" s="17"/>
      <c r="AS486" s="17"/>
      <c r="AT486" s="17"/>
      <c r="AU486" s="17"/>
      <c r="AV486" s="17"/>
      <c r="AW486" s="297"/>
    </row>
    <row r="487" spans="1:49" ht="13.2">
      <c r="A487" s="302"/>
      <c r="B487" s="266"/>
      <c r="C487" s="302"/>
      <c r="D487" s="117"/>
      <c r="E487" s="302"/>
      <c r="F487" s="123" t="s">
        <v>1050</v>
      </c>
      <c r="G487" s="124" t="str">
        <f>HYPERLINK("https://www.amazon.com/Logitech-Anywhere-Wireless-Cross-Computer-Control/dp/B071LGGX6L/ref=sr_1_15?keywords=logitech&amp;qid=1570271320&amp;sr=8-15&amp;th=1","A")</f>
        <v>A</v>
      </c>
      <c r="H487" s="125"/>
      <c r="I487" s="125"/>
      <c r="J487" s="93">
        <v>80</v>
      </c>
      <c r="K487" s="82">
        <f t="shared" si="728"/>
        <v>0.55000000000000004</v>
      </c>
      <c r="L487" s="82">
        <v>8.8000000000000007</v>
      </c>
      <c r="M487" s="82">
        <f t="shared" si="550"/>
        <v>0.24947560000000002</v>
      </c>
      <c r="N487" s="93">
        <v>0</v>
      </c>
      <c r="O487" s="93">
        <v>0</v>
      </c>
      <c r="P487" s="95">
        <f t="shared" si="731"/>
        <v>80</v>
      </c>
      <c r="Q487" s="96">
        <f t="shared" ref="Q487:Q550" si="733">P487*C$3</f>
        <v>100000</v>
      </c>
      <c r="R487" s="96">
        <v>0</v>
      </c>
      <c r="S487" s="97">
        <f t="shared" si="553"/>
        <v>100000</v>
      </c>
      <c r="T487" s="97">
        <f>ROUNDUP(HLOOKUP(ROUNDUP(K487,0),'배송비 조회'!A$10:U$22,7,0)*C$3,-2)</f>
        <v>9000</v>
      </c>
      <c r="U487" s="97">
        <v>0</v>
      </c>
      <c r="V487" s="97">
        <f t="shared" si="721"/>
        <v>32700</v>
      </c>
      <c r="W487" s="97">
        <f t="shared" si="729"/>
        <v>54500</v>
      </c>
      <c r="X487" s="98">
        <f t="shared" si="555"/>
        <v>141700</v>
      </c>
      <c r="Y487" s="98">
        <f t="shared" si="27"/>
        <v>163500</v>
      </c>
      <c r="Z487" s="121">
        <v>0</v>
      </c>
      <c r="AA487" s="121">
        <f t="shared" si="556"/>
        <v>5384.5999999999995</v>
      </c>
      <c r="AB487" s="121">
        <f t="shared" si="557"/>
        <v>2834</v>
      </c>
      <c r="AC487" s="99">
        <f t="shared" si="8"/>
        <v>16350</v>
      </c>
      <c r="AD487" s="121">
        <f t="shared" si="558"/>
        <v>133481.4</v>
      </c>
      <c r="AE487" s="99">
        <f t="shared" si="10"/>
        <v>147150</v>
      </c>
      <c r="AF487" s="121">
        <f t="shared" si="559"/>
        <v>1334.8140000000001</v>
      </c>
      <c r="AG487" s="100">
        <f t="shared" si="560"/>
        <v>23146.585999999996</v>
      </c>
      <c r="AH487" s="101">
        <f t="shared" si="29"/>
        <v>36815.186000000002</v>
      </c>
      <c r="AI487" s="102">
        <f t="shared" ref="AI487:AJ487" si="734">AG487/X487</f>
        <v>0.16334923076923075</v>
      </c>
      <c r="AJ487" s="102">
        <f t="shared" si="734"/>
        <v>0.22516933333333333</v>
      </c>
      <c r="AK487" s="103">
        <f>X487-X485</f>
        <v>0</v>
      </c>
      <c r="AL487" s="104"/>
      <c r="AM487" s="18">
        <f>X487-X485</f>
        <v>0</v>
      </c>
      <c r="AN487" s="17"/>
      <c r="AO487" s="17"/>
      <c r="AP487" s="17"/>
      <c r="AQ487" s="17"/>
      <c r="AR487" s="17"/>
      <c r="AS487" s="17"/>
      <c r="AT487" s="17"/>
      <c r="AU487" s="17"/>
      <c r="AV487" s="17"/>
      <c r="AW487" s="297"/>
    </row>
    <row r="488" spans="1:49" ht="13.2">
      <c r="A488" s="303">
        <f>HYPERLINK("https://smartstore.naver.com/brickstore2019/products/4696119488",AW:AW)</f>
        <v>4696119488</v>
      </c>
      <c r="B488" s="266"/>
      <c r="C488" s="304" t="s">
        <v>1051</v>
      </c>
      <c r="D488" s="117"/>
      <c r="E488" s="304" t="s">
        <v>1052</v>
      </c>
      <c r="F488" s="123" t="s">
        <v>416</v>
      </c>
      <c r="G488" s="124" t="str">
        <f>HYPERLINK("https://www.amazon.com/Samsonite-Modern-Utility-Double-Backpack/dp/B073C8GKQC?ref_=ast_sto_dp&amp;th=1","A")</f>
        <v>A</v>
      </c>
      <c r="H488" s="125"/>
      <c r="I488" s="125"/>
      <c r="J488" s="93">
        <v>87</v>
      </c>
      <c r="K488" s="82">
        <v>4.5</v>
      </c>
      <c r="L488" s="82">
        <f t="shared" ref="L488:L490" si="735">IF(K488&gt;0,K488*16,)</f>
        <v>72</v>
      </c>
      <c r="M488" s="82">
        <f t="shared" si="550"/>
        <v>2.0411640000000002</v>
      </c>
      <c r="N488" s="93">
        <v>0</v>
      </c>
      <c r="O488" s="93">
        <v>0</v>
      </c>
      <c r="P488" s="95">
        <f t="shared" si="731"/>
        <v>87</v>
      </c>
      <c r="Q488" s="96">
        <f t="shared" si="733"/>
        <v>108750</v>
      </c>
      <c r="R488" s="96">
        <v>0</v>
      </c>
      <c r="S488" s="97">
        <f t="shared" si="553"/>
        <v>108800</v>
      </c>
      <c r="T488" s="97">
        <f>ROUNDUP(HLOOKUP(ROUNDUP(K488,0),'배송비 조회'!A$10:U$22,7,0)*C$3,-2)</f>
        <v>17800</v>
      </c>
      <c r="U488" s="97">
        <v>0</v>
      </c>
      <c r="V488" s="97">
        <f t="shared" si="721"/>
        <v>38000</v>
      </c>
      <c r="W488" s="97">
        <f t="shared" si="729"/>
        <v>63300</v>
      </c>
      <c r="X488" s="98">
        <f t="shared" si="555"/>
        <v>164600</v>
      </c>
      <c r="Y488" s="98">
        <f t="shared" si="27"/>
        <v>189900</v>
      </c>
      <c r="Z488" s="121">
        <v>0</v>
      </c>
      <c r="AA488" s="121">
        <f t="shared" si="556"/>
        <v>6254.8</v>
      </c>
      <c r="AB488" s="121">
        <f t="shared" si="557"/>
        <v>3292</v>
      </c>
      <c r="AC488" s="99">
        <f t="shared" si="8"/>
        <v>18990</v>
      </c>
      <c r="AD488" s="121">
        <f t="shared" si="558"/>
        <v>155053.20000000001</v>
      </c>
      <c r="AE488" s="99">
        <f t="shared" si="10"/>
        <v>170910</v>
      </c>
      <c r="AF488" s="121">
        <f t="shared" si="559"/>
        <v>1550.5320000000002</v>
      </c>
      <c r="AG488" s="100">
        <f t="shared" si="560"/>
        <v>26952.668000000012</v>
      </c>
      <c r="AH488" s="101">
        <f t="shared" si="29"/>
        <v>42809.468000000001</v>
      </c>
      <c r="AI488" s="102">
        <f t="shared" ref="AI488:AJ488" si="736">AG488/X488</f>
        <v>0.16374646415552863</v>
      </c>
      <c r="AJ488" s="102">
        <f t="shared" si="736"/>
        <v>0.22543163770405478</v>
      </c>
      <c r="AK488" s="103">
        <f>X488-X489</f>
        <v>7200</v>
      </c>
      <c r="AL488" s="104"/>
      <c r="AM488" s="17"/>
      <c r="AN488" s="17"/>
      <c r="AO488" s="17"/>
      <c r="AP488" s="17"/>
      <c r="AQ488" s="17"/>
      <c r="AR488" s="17"/>
      <c r="AS488" s="17"/>
      <c r="AT488" s="17"/>
      <c r="AU488" s="17"/>
      <c r="AV488" s="17"/>
      <c r="AW488" s="296">
        <v>4696119488</v>
      </c>
    </row>
    <row r="489" spans="1:49" ht="13.2">
      <c r="A489" s="302"/>
      <c r="B489" s="266"/>
      <c r="C489" s="302"/>
      <c r="D489" s="117"/>
      <c r="E489" s="302"/>
      <c r="F489" s="123" t="s">
        <v>1053</v>
      </c>
      <c r="G489" s="124" t="str">
        <f>HYPERLINK("https://www.amazon.com/Samsonite-Modern-Utility-Double-Backpack/dp/B073WNP2TN?ref_=ast_sto_dp&amp;th=1","A")</f>
        <v>A</v>
      </c>
      <c r="H489" s="125"/>
      <c r="I489" s="125"/>
      <c r="J489" s="93">
        <v>82.6</v>
      </c>
      <c r="K489" s="82">
        <v>4.5</v>
      </c>
      <c r="L489" s="82">
        <f t="shared" si="735"/>
        <v>72</v>
      </c>
      <c r="M489" s="82">
        <f t="shared" si="550"/>
        <v>2.0411640000000002</v>
      </c>
      <c r="N489" s="93">
        <v>0</v>
      </c>
      <c r="O489" s="93">
        <v>0</v>
      </c>
      <c r="P489" s="95">
        <f t="shared" si="731"/>
        <v>82.6</v>
      </c>
      <c r="Q489" s="96">
        <f t="shared" si="733"/>
        <v>103250</v>
      </c>
      <c r="R489" s="96">
        <v>0</v>
      </c>
      <c r="S489" s="97">
        <f t="shared" si="553"/>
        <v>103300</v>
      </c>
      <c r="T489" s="97">
        <f>ROUNDUP(HLOOKUP(ROUNDUP(K489,0),'배송비 조회'!A$10:U$22,7,0)*C$3,-2)</f>
        <v>17800</v>
      </c>
      <c r="U489" s="97">
        <v>0</v>
      </c>
      <c r="V489" s="97">
        <f t="shared" si="721"/>
        <v>36300</v>
      </c>
      <c r="W489" s="97">
        <f t="shared" si="729"/>
        <v>60600</v>
      </c>
      <c r="X489" s="98">
        <f t="shared" si="555"/>
        <v>157400</v>
      </c>
      <c r="Y489" s="98">
        <f t="shared" si="27"/>
        <v>181700</v>
      </c>
      <c r="Z489" s="121">
        <v>0</v>
      </c>
      <c r="AA489" s="121">
        <f t="shared" si="556"/>
        <v>5981.2</v>
      </c>
      <c r="AB489" s="121">
        <f t="shared" si="557"/>
        <v>3148</v>
      </c>
      <c r="AC489" s="99">
        <f t="shared" si="8"/>
        <v>18170</v>
      </c>
      <c r="AD489" s="121">
        <f t="shared" si="558"/>
        <v>148270.79999999999</v>
      </c>
      <c r="AE489" s="99">
        <f t="shared" si="10"/>
        <v>163530</v>
      </c>
      <c r="AF489" s="121">
        <f t="shared" si="559"/>
        <v>1482.7079999999999</v>
      </c>
      <c r="AG489" s="100">
        <f t="shared" si="560"/>
        <v>25738.09199999999</v>
      </c>
      <c r="AH489" s="101">
        <f t="shared" si="29"/>
        <v>40997.292000000001</v>
      </c>
      <c r="AI489" s="102">
        <f t="shared" ref="AI489:AJ489" si="737">AG489/X489</f>
        <v>0.16352027954256665</v>
      </c>
      <c r="AJ489" s="102">
        <f t="shared" si="737"/>
        <v>0.22563176664832141</v>
      </c>
      <c r="AK489" s="103"/>
      <c r="AL489" s="104"/>
      <c r="AM489" s="17"/>
      <c r="AN489" s="17"/>
      <c r="AO489" s="17"/>
      <c r="AP489" s="17"/>
      <c r="AQ489" s="17"/>
      <c r="AR489" s="17"/>
      <c r="AS489" s="17"/>
      <c r="AT489" s="17"/>
      <c r="AU489" s="17"/>
      <c r="AV489" s="17"/>
      <c r="AW489" s="297"/>
    </row>
    <row r="490" spans="1:49" ht="13.2">
      <c r="A490" s="119">
        <f>HYPERLINK("https://smartstore.naver.com/brickstore2019/products/4697829132",AW:AW)</f>
        <v>4697829132</v>
      </c>
      <c r="B490" s="266"/>
      <c r="C490" s="117" t="s">
        <v>1054</v>
      </c>
      <c r="D490" s="117"/>
      <c r="E490" s="117" t="s">
        <v>1055</v>
      </c>
      <c r="F490" s="123"/>
      <c r="G490" s="218" t="s">
        <v>1293</v>
      </c>
      <c r="H490" s="125"/>
      <c r="I490" s="125"/>
      <c r="J490" s="93">
        <v>200</v>
      </c>
      <c r="K490" s="82">
        <v>3</v>
      </c>
      <c r="L490" s="82">
        <f t="shared" si="735"/>
        <v>48</v>
      </c>
      <c r="M490" s="82">
        <f t="shared" si="550"/>
        <v>1.360776</v>
      </c>
      <c r="N490" s="93">
        <v>0</v>
      </c>
      <c r="O490" s="93">
        <v>0</v>
      </c>
      <c r="P490" s="95">
        <f t="shared" si="731"/>
        <v>200</v>
      </c>
      <c r="Q490" s="96">
        <f t="shared" si="733"/>
        <v>250000</v>
      </c>
      <c r="R490" s="96">
        <v>0</v>
      </c>
      <c r="S490" s="97">
        <f t="shared" si="553"/>
        <v>250000</v>
      </c>
      <c r="T490" s="97">
        <f>ROUNDUP(HLOOKUP(ROUNDUP(K490,0),'배송비 조회'!A$10:U$22,7,0)*C$3,-2)</f>
        <v>13400</v>
      </c>
      <c r="U490" s="97">
        <v>0</v>
      </c>
      <c r="V490" s="97">
        <f>ROUND(IF(R490&gt;0,0,(S490+T490)*0.2),-2)</f>
        <v>52700</v>
      </c>
      <c r="W490" s="97">
        <f t="shared" si="729"/>
        <v>131700</v>
      </c>
      <c r="X490" s="98">
        <f t="shared" si="555"/>
        <v>316100</v>
      </c>
      <c r="Y490" s="98">
        <f t="shared" si="27"/>
        <v>395100</v>
      </c>
      <c r="Z490" s="121">
        <v>0</v>
      </c>
      <c r="AA490" s="121">
        <f t="shared" si="556"/>
        <v>12011.8</v>
      </c>
      <c r="AB490" s="121">
        <f t="shared" si="557"/>
        <v>6322</v>
      </c>
      <c r="AC490" s="99">
        <f t="shared" si="8"/>
        <v>39510</v>
      </c>
      <c r="AD490" s="121">
        <f t="shared" si="558"/>
        <v>297766.2</v>
      </c>
      <c r="AE490" s="99">
        <f t="shared" si="10"/>
        <v>355590</v>
      </c>
      <c r="AF490" s="121">
        <f t="shared" si="559"/>
        <v>2977.6620000000003</v>
      </c>
      <c r="AG490" s="100">
        <f t="shared" si="560"/>
        <v>31388.538000000015</v>
      </c>
      <c r="AH490" s="101">
        <f t="shared" si="29"/>
        <v>89212.338000000003</v>
      </c>
      <c r="AI490" s="102">
        <f t="shared" ref="AI490:AJ490" si="738">AG490/X490</f>
        <v>9.9299392597279393E-2</v>
      </c>
      <c r="AJ490" s="102">
        <f t="shared" si="738"/>
        <v>0.22579685649202735</v>
      </c>
      <c r="AK490" s="103"/>
      <c r="AL490" s="104"/>
      <c r="AM490" s="17"/>
      <c r="AN490" s="17"/>
      <c r="AO490" s="17"/>
      <c r="AP490" s="17"/>
      <c r="AQ490" s="17"/>
      <c r="AR490" s="17"/>
      <c r="AS490" s="17"/>
      <c r="AT490" s="17"/>
      <c r="AU490" s="17"/>
      <c r="AV490" s="17"/>
      <c r="AW490" s="22">
        <v>4697829132</v>
      </c>
    </row>
    <row r="491" spans="1:49" ht="13.2">
      <c r="A491" s="303">
        <f>HYPERLINK("https://smartstore.naver.com/brickstore2019/products/4697874145",AW:AW)</f>
        <v>4697874145</v>
      </c>
      <c r="B491" s="266"/>
      <c r="C491" s="304" t="s">
        <v>1056</v>
      </c>
      <c r="D491" s="117"/>
      <c r="E491" s="304" t="s">
        <v>1057</v>
      </c>
      <c r="F491" s="123" t="s">
        <v>1058</v>
      </c>
      <c r="G491" s="124" t="str">
        <f>HYPERLINK("https://www.amazon.com/CASETiFY-Military-Grade-Dual-Layer-Shockproof-Protective/dp/B07XL823HT/ref=sr_1_2?crid=3SZ4S5BETOJBY&amp;keywords=casetify%2Biphone%2B11&amp;qid=1570944703&amp;sprefix=casetify%2Caps%2C708&amp;sr=8-2&amp;th=1#customerReviews","A")</f>
        <v>A</v>
      </c>
      <c r="H491" s="125"/>
      <c r="I491" s="125"/>
      <c r="J491" s="93">
        <v>40</v>
      </c>
      <c r="K491" s="82">
        <f t="shared" ref="K491:K495" si="739">IF(L491&gt;0,L491*0.0625,)</f>
        <v>0.3125</v>
      </c>
      <c r="L491" s="82">
        <v>5</v>
      </c>
      <c r="M491" s="82">
        <f t="shared" si="550"/>
        <v>0.1417475</v>
      </c>
      <c r="N491" s="93">
        <v>0</v>
      </c>
      <c r="O491" s="93">
        <v>0</v>
      </c>
      <c r="P491" s="95">
        <f t="shared" si="731"/>
        <v>40</v>
      </c>
      <c r="Q491" s="96">
        <f t="shared" si="733"/>
        <v>50000</v>
      </c>
      <c r="R491" s="96">
        <v>0</v>
      </c>
      <c r="S491" s="97">
        <f t="shared" si="553"/>
        <v>50000</v>
      </c>
      <c r="T491" s="97">
        <f>ROUNDUP(HLOOKUP(ROUNDUP(K491,0),'배송비 조회'!A$10:U$22,7,0)*C$3,-2)</f>
        <v>9000</v>
      </c>
      <c r="U491" s="97">
        <v>0</v>
      </c>
      <c r="V491" s="97">
        <f t="shared" ref="V491:V493" si="740">ROUND(IF(R491&gt;0,0,(S491+T491)*0.3),-2)</f>
        <v>17700</v>
      </c>
      <c r="W491" s="97">
        <f t="shared" si="729"/>
        <v>29500</v>
      </c>
      <c r="X491" s="98">
        <f t="shared" si="555"/>
        <v>76700</v>
      </c>
      <c r="Y491" s="98">
        <f t="shared" si="27"/>
        <v>88500</v>
      </c>
      <c r="Z491" s="121">
        <v>0</v>
      </c>
      <c r="AA491" s="121">
        <f t="shared" si="556"/>
        <v>2914.6</v>
      </c>
      <c r="AB491" s="121">
        <f t="shared" si="557"/>
        <v>1534</v>
      </c>
      <c r="AC491" s="99">
        <f t="shared" si="8"/>
        <v>8850</v>
      </c>
      <c r="AD491" s="121">
        <f t="shared" si="558"/>
        <v>72251.399999999994</v>
      </c>
      <c r="AE491" s="99">
        <f t="shared" si="10"/>
        <v>79650</v>
      </c>
      <c r="AF491" s="121">
        <f t="shared" si="559"/>
        <v>722.51400000000001</v>
      </c>
      <c r="AG491" s="100">
        <f t="shared" si="560"/>
        <v>12528.885999999995</v>
      </c>
      <c r="AH491" s="101">
        <f t="shared" si="29"/>
        <v>19927.486000000001</v>
      </c>
      <c r="AI491" s="102">
        <f t="shared" ref="AI491:AJ491" si="741">AG491/X491</f>
        <v>0.16334923076923069</v>
      </c>
      <c r="AJ491" s="102">
        <f t="shared" si="741"/>
        <v>0.22516933333333333</v>
      </c>
      <c r="AK491" s="103"/>
      <c r="AL491" s="104"/>
      <c r="AM491" s="17"/>
      <c r="AN491" s="17"/>
      <c r="AO491" s="17"/>
      <c r="AP491" s="17"/>
      <c r="AQ491" s="17"/>
      <c r="AR491" s="17"/>
      <c r="AS491" s="17"/>
      <c r="AT491" s="17"/>
      <c r="AU491" s="17"/>
      <c r="AV491" s="17"/>
      <c r="AW491" s="296">
        <v>4697874145</v>
      </c>
    </row>
    <row r="492" spans="1:49" ht="13.2">
      <c r="A492" s="302"/>
      <c r="B492" s="266"/>
      <c r="C492" s="302"/>
      <c r="D492" s="117"/>
      <c r="E492" s="302"/>
      <c r="F492" s="123" t="s">
        <v>1059</v>
      </c>
      <c r="G492" s="124" t="str">
        <f>HYPERLINK("https://www.amazon.com/CASETiFY-Military-Grade-Dual-Layer-Shockproof-Protective/dp/B07XQZC6F3/ref=sr_1_2?crid=3SZ4S5BETOJBY&amp;keywords=casetify%2Biphone%2B11&amp;qid=1570944703&amp;sprefix=casetify%2Caps%2C708&amp;sr=8-2&amp;th=1","A")</f>
        <v>A</v>
      </c>
      <c r="H492" s="125"/>
      <c r="I492" s="125"/>
      <c r="J492" s="93">
        <v>45</v>
      </c>
      <c r="K492" s="82">
        <f t="shared" si="739"/>
        <v>0.3125</v>
      </c>
      <c r="L492" s="82">
        <v>5</v>
      </c>
      <c r="M492" s="82">
        <f t="shared" si="550"/>
        <v>0.1417475</v>
      </c>
      <c r="N492" s="93">
        <v>0</v>
      </c>
      <c r="O492" s="93">
        <v>0</v>
      </c>
      <c r="P492" s="95">
        <f t="shared" si="731"/>
        <v>45</v>
      </c>
      <c r="Q492" s="96">
        <f t="shared" si="733"/>
        <v>56250</v>
      </c>
      <c r="R492" s="96">
        <v>0</v>
      </c>
      <c r="S492" s="97">
        <f t="shared" si="553"/>
        <v>56300</v>
      </c>
      <c r="T492" s="97">
        <f>ROUNDUP(HLOOKUP(ROUNDUP(K492,0),'배송비 조회'!A$10:U$22,7,0)*C$3,-2)</f>
        <v>9000</v>
      </c>
      <c r="U492" s="97">
        <v>0</v>
      </c>
      <c r="V492" s="97">
        <f t="shared" si="740"/>
        <v>19600</v>
      </c>
      <c r="W492" s="97">
        <f t="shared" si="729"/>
        <v>32700</v>
      </c>
      <c r="X492" s="98">
        <f t="shared" si="555"/>
        <v>84900</v>
      </c>
      <c r="Y492" s="98">
        <f t="shared" si="27"/>
        <v>98000</v>
      </c>
      <c r="Z492" s="121">
        <v>0</v>
      </c>
      <c r="AA492" s="121">
        <f t="shared" si="556"/>
        <v>3226.2</v>
      </c>
      <c r="AB492" s="121">
        <f t="shared" si="557"/>
        <v>1698</v>
      </c>
      <c r="AC492" s="99">
        <f t="shared" si="8"/>
        <v>9800</v>
      </c>
      <c r="AD492" s="121">
        <f t="shared" si="558"/>
        <v>79975.8</v>
      </c>
      <c r="AE492" s="99">
        <f t="shared" si="10"/>
        <v>88200</v>
      </c>
      <c r="AF492" s="121">
        <f t="shared" si="559"/>
        <v>799.75800000000004</v>
      </c>
      <c r="AG492" s="100">
        <f t="shared" si="560"/>
        <v>13926.042000000001</v>
      </c>
      <c r="AH492" s="101">
        <f t="shared" si="29"/>
        <v>22150.241999999998</v>
      </c>
      <c r="AI492" s="102">
        <f t="shared" ref="AI492:AJ492" si="742">AG492/X492</f>
        <v>0.16402876325088342</v>
      </c>
      <c r="AJ492" s="102">
        <f t="shared" si="742"/>
        <v>0.22602287755102038</v>
      </c>
      <c r="AK492" s="103">
        <f>X492-X491</f>
        <v>8200</v>
      </c>
      <c r="AL492" s="104"/>
      <c r="AM492" s="17"/>
      <c r="AN492" s="17"/>
      <c r="AO492" s="17"/>
      <c r="AP492" s="17"/>
      <c r="AQ492" s="17"/>
      <c r="AR492" s="17"/>
      <c r="AS492" s="17"/>
      <c r="AT492" s="17"/>
      <c r="AU492" s="17"/>
      <c r="AV492" s="17"/>
      <c r="AW492" s="297"/>
    </row>
    <row r="493" spans="1:49" ht="13.2">
      <c r="A493" s="302"/>
      <c r="B493" s="266"/>
      <c r="C493" s="302"/>
      <c r="D493" s="117"/>
      <c r="E493" s="302"/>
      <c r="F493" s="123" t="s">
        <v>1060</v>
      </c>
      <c r="G493" s="124" t="str">
        <f>HYPERLINK("https://www.amazon.com/CASETiFY-Military-Grade-Dual-Layer-Shockproof-Protective/dp/B07XL8G551/ref=sr_1_2?crid=3SZ4S5BETOJBY&amp;keywords=casetify%2Biphone%2B11&amp;qid=1570944703&amp;sprefix=casetify%2Caps%2C708&amp;sr=8-2&amp;th=1","A")</f>
        <v>A</v>
      </c>
      <c r="H493" s="125"/>
      <c r="I493" s="125"/>
      <c r="J493" s="125">
        <v>50</v>
      </c>
      <c r="K493" s="82">
        <f t="shared" si="739"/>
        <v>0.3125</v>
      </c>
      <c r="L493" s="82">
        <v>5</v>
      </c>
      <c r="M493" s="82">
        <f t="shared" si="550"/>
        <v>0.1417475</v>
      </c>
      <c r="N493" s="93">
        <v>0</v>
      </c>
      <c r="O493" s="93">
        <v>0</v>
      </c>
      <c r="P493" s="95">
        <f t="shared" si="731"/>
        <v>50</v>
      </c>
      <c r="Q493" s="96">
        <f t="shared" si="733"/>
        <v>62500</v>
      </c>
      <c r="R493" s="96">
        <v>0</v>
      </c>
      <c r="S493" s="97">
        <f t="shared" si="553"/>
        <v>62500</v>
      </c>
      <c r="T493" s="97">
        <f>ROUNDUP(HLOOKUP(ROUNDUP(K493,0),'배송비 조회'!A$10:U$22,7,0)*C$3,-2)</f>
        <v>9000</v>
      </c>
      <c r="U493" s="97">
        <v>0</v>
      </c>
      <c r="V493" s="97">
        <f t="shared" si="740"/>
        <v>21500</v>
      </c>
      <c r="W493" s="97">
        <f t="shared" si="729"/>
        <v>35800</v>
      </c>
      <c r="X493" s="98">
        <f t="shared" si="555"/>
        <v>93000</v>
      </c>
      <c r="Y493" s="98">
        <f t="shared" si="27"/>
        <v>107300</v>
      </c>
      <c r="Z493" s="121">
        <v>0</v>
      </c>
      <c r="AA493" s="121">
        <f t="shared" si="556"/>
        <v>3534</v>
      </c>
      <c r="AB493" s="121">
        <f t="shared" si="557"/>
        <v>1860</v>
      </c>
      <c r="AC493" s="99">
        <f t="shared" si="8"/>
        <v>10730</v>
      </c>
      <c r="AD493" s="121">
        <f t="shared" si="558"/>
        <v>87606</v>
      </c>
      <c r="AE493" s="99">
        <f t="shared" si="10"/>
        <v>96570</v>
      </c>
      <c r="AF493" s="121">
        <f t="shared" si="559"/>
        <v>876.06000000000006</v>
      </c>
      <c r="AG493" s="100">
        <f t="shared" si="560"/>
        <v>15229.939999999999</v>
      </c>
      <c r="AH493" s="101">
        <f t="shared" si="29"/>
        <v>24193.940000000002</v>
      </c>
      <c r="AI493" s="102">
        <f t="shared" ref="AI493:AJ493" si="743">AG493/X493</f>
        <v>0.16376279569892471</v>
      </c>
      <c r="AJ493" s="102">
        <f t="shared" si="743"/>
        <v>0.22547940354147253</v>
      </c>
      <c r="AK493" s="103">
        <f>X493-X491</f>
        <v>16300</v>
      </c>
      <c r="AL493" s="104"/>
      <c r="AM493" s="17"/>
      <c r="AN493" s="17"/>
      <c r="AO493" s="17"/>
      <c r="AP493" s="17"/>
      <c r="AQ493" s="17"/>
      <c r="AR493" s="17"/>
      <c r="AS493" s="17"/>
      <c r="AT493" s="17"/>
      <c r="AU493" s="17"/>
      <c r="AV493" s="17"/>
      <c r="AW493" s="297"/>
    </row>
    <row r="494" spans="1:49" ht="13.2">
      <c r="A494" s="303">
        <f>HYPERLINK("https://smartstore.naver.com/brickstore2019/products/4697885603",AW:AW)</f>
        <v>4697885603</v>
      </c>
      <c r="B494" s="266"/>
      <c r="C494" s="304" t="s">
        <v>1061</v>
      </c>
      <c r="D494" s="117"/>
      <c r="E494" s="304" t="s">
        <v>1062</v>
      </c>
      <c r="F494" s="123" t="s">
        <v>55</v>
      </c>
      <c r="G494" s="124" t="str">
        <f>HYPERLINK("https://www.amazon.com/ChiHope-Magnetic-Portable-Wireless-Compatible/dp/B07WMQC4TM/ref=sr_1_fkmr0_1?keywords=watch+charger%2C+ChiHope&amp;qid=1570972304&amp;sr=8-1-fkmr0","A")</f>
        <v>A</v>
      </c>
      <c r="H494" s="125"/>
      <c r="I494" s="125"/>
      <c r="J494" s="201">
        <v>10</v>
      </c>
      <c r="K494" s="82">
        <f t="shared" si="739"/>
        <v>6.25E-2</v>
      </c>
      <c r="L494" s="82">
        <v>1</v>
      </c>
      <c r="M494" s="82">
        <f t="shared" si="550"/>
        <v>2.83495E-2</v>
      </c>
      <c r="N494" s="93">
        <v>0</v>
      </c>
      <c r="O494" s="93">
        <v>0</v>
      </c>
      <c r="P494" s="95">
        <f t="shared" si="731"/>
        <v>10</v>
      </c>
      <c r="Q494" s="96">
        <f t="shared" si="733"/>
        <v>12500</v>
      </c>
      <c r="R494" s="96">
        <v>0</v>
      </c>
      <c r="S494" s="97">
        <f t="shared" si="553"/>
        <v>12500</v>
      </c>
      <c r="T494" s="97">
        <f>ROUNDUP(HLOOKUP(ROUNDUP(K494,0),'배송비 조회'!A$10:U$22,7,0)*C$3,-2)</f>
        <v>9000</v>
      </c>
      <c r="U494" s="97">
        <v>0</v>
      </c>
      <c r="V494" s="97">
        <f t="shared" ref="V494:V495" si="744">ROUND(IF(R494&gt;0,0,(S494+T494)*0.5),-2)</f>
        <v>10800</v>
      </c>
      <c r="W494" s="97">
        <f t="shared" si="729"/>
        <v>10800</v>
      </c>
      <c r="X494" s="98">
        <f t="shared" si="555"/>
        <v>32300</v>
      </c>
      <c r="Y494" s="98">
        <f t="shared" si="27"/>
        <v>32300</v>
      </c>
      <c r="Z494" s="121">
        <v>0</v>
      </c>
      <c r="AA494" s="121">
        <f t="shared" si="556"/>
        <v>1227.3999999999999</v>
      </c>
      <c r="AB494" s="121">
        <f t="shared" si="557"/>
        <v>646</v>
      </c>
      <c r="AC494" s="99">
        <f t="shared" si="8"/>
        <v>3230</v>
      </c>
      <c r="AD494" s="121">
        <f t="shared" si="558"/>
        <v>30426.6</v>
      </c>
      <c r="AE494" s="99">
        <f t="shared" si="10"/>
        <v>29070</v>
      </c>
      <c r="AF494" s="121">
        <f t="shared" si="559"/>
        <v>304.26600000000002</v>
      </c>
      <c r="AG494" s="100">
        <f t="shared" si="560"/>
        <v>8622.3339999999989</v>
      </c>
      <c r="AH494" s="101">
        <f t="shared" si="29"/>
        <v>7265.7340000000004</v>
      </c>
      <c r="AI494" s="102">
        <f t="shared" ref="AI494:AJ494" si="745">AG494/X494</f>
        <v>0.26694532507739932</v>
      </c>
      <c r="AJ494" s="102">
        <f t="shared" si="745"/>
        <v>0.22494532507739939</v>
      </c>
      <c r="AK494" s="103"/>
      <c r="AL494" s="104"/>
      <c r="AM494" s="17"/>
      <c r="AN494" s="17"/>
      <c r="AO494" s="17"/>
      <c r="AP494" s="17"/>
      <c r="AQ494" s="17"/>
      <c r="AR494" s="17"/>
      <c r="AS494" s="17"/>
      <c r="AT494" s="17"/>
      <c r="AU494" s="17"/>
      <c r="AV494" s="17"/>
      <c r="AW494" s="296">
        <v>4697885603</v>
      </c>
    </row>
    <row r="495" spans="1:49" ht="13.2">
      <c r="A495" s="302"/>
      <c r="B495" s="266"/>
      <c r="C495" s="302"/>
      <c r="D495" s="117"/>
      <c r="E495" s="302"/>
      <c r="F495" s="123" t="s">
        <v>98</v>
      </c>
      <c r="G495" s="124" t="str">
        <f>HYPERLINK("https://www.amazon.com/ChiHope-Magnetic-Portable-Wireless-Compatible/dp/B07QMQHGF6/ref=sr_1_fkmr0_1?keywords=watch%2Bcharger%2C%2BChiHope&amp;qid=1570972304&amp;sr=8-1-fkmr0&amp;th=1","A")</f>
        <v>A</v>
      </c>
      <c r="H495" s="125"/>
      <c r="I495" s="125"/>
      <c r="J495" s="201">
        <v>10</v>
      </c>
      <c r="K495" s="82">
        <f t="shared" si="739"/>
        <v>6.25E-2</v>
      </c>
      <c r="L495" s="82">
        <v>1</v>
      </c>
      <c r="M495" s="82">
        <f t="shared" si="550"/>
        <v>2.83495E-2</v>
      </c>
      <c r="N495" s="93">
        <v>0</v>
      </c>
      <c r="O495" s="93">
        <v>0</v>
      </c>
      <c r="P495" s="95">
        <f t="shared" si="731"/>
        <v>10</v>
      </c>
      <c r="Q495" s="96">
        <f t="shared" si="733"/>
        <v>12500</v>
      </c>
      <c r="R495" s="96">
        <v>0</v>
      </c>
      <c r="S495" s="97">
        <f t="shared" si="553"/>
        <v>12500</v>
      </c>
      <c r="T495" s="97">
        <f>ROUNDUP(HLOOKUP(ROUNDUP(K495,0),'배송비 조회'!A$10:U$22,7,0)*C$3,-2)</f>
        <v>9000</v>
      </c>
      <c r="U495" s="97">
        <v>0</v>
      </c>
      <c r="V495" s="97">
        <f t="shared" si="744"/>
        <v>10800</v>
      </c>
      <c r="W495" s="97">
        <f t="shared" si="729"/>
        <v>10800</v>
      </c>
      <c r="X495" s="98">
        <f t="shared" si="555"/>
        <v>32300</v>
      </c>
      <c r="Y495" s="98">
        <f t="shared" si="27"/>
        <v>32300</v>
      </c>
      <c r="Z495" s="121">
        <v>0</v>
      </c>
      <c r="AA495" s="121">
        <f t="shared" si="556"/>
        <v>1227.3999999999999</v>
      </c>
      <c r="AB495" s="121">
        <f t="shared" si="557"/>
        <v>646</v>
      </c>
      <c r="AC495" s="99">
        <f t="shared" si="8"/>
        <v>3230</v>
      </c>
      <c r="AD495" s="121">
        <f t="shared" si="558"/>
        <v>30426.6</v>
      </c>
      <c r="AE495" s="99">
        <f t="shared" si="10"/>
        <v>29070</v>
      </c>
      <c r="AF495" s="121">
        <f t="shared" si="559"/>
        <v>304.26600000000002</v>
      </c>
      <c r="AG495" s="100">
        <f t="shared" si="560"/>
        <v>8622.3339999999989</v>
      </c>
      <c r="AH495" s="101">
        <f t="shared" si="29"/>
        <v>7265.7340000000004</v>
      </c>
      <c r="AI495" s="102">
        <f t="shared" ref="AI495:AJ495" si="746">AG495/X495</f>
        <v>0.26694532507739932</v>
      </c>
      <c r="AJ495" s="102">
        <f t="shared" si="746"/>
        <v>0.22494532507739939</v>
      </c>
      <c r="AK495" s="103"/>
      <c r="AL495" s="104"/>
      <c r="AM495" s="17"/>
      <c r="AN495" s="17"/>
      <c r="AO495" s="17"/>
      <c r="AP495" s="17"/>
      <c r="AQ495" s="17"/>
      <c r="AR495" s="17"/>
      <c r="AS495" s="17"/>
      <c r="AT495" s="17"/>
      <c r="AU495" s="17"/>
      <c r="AV495" s="17"/>
      <c r="AW495" s="297"/>
    </row>
    <row r="496" spans="1:49" ht="13.2">
      <c r="A496" s="119">
        <f>HYPERLINK("https://smartstore.naver.com/brickstore2019/products/4697893893",AW:AW)</f>
        <v>4697893893</v>
      </c>
      <c r="B496" s="266"/>
      <c r="C496" s="117" t="s">
        <v>1063</v>
      </c>
      <c r="D496" s="117"/>
      <c r="E496" s="117" t="s">
        <v>1064</v>
      </c>
      <c r="F496" s="123"/>
      <c r="G496" s="124" t="str">
        <f>HYPERLINK("https://www.amazon.com/Rode-NT-USB-Versatile-Studio-Quality-Microphone/dp/B00KQPGRRE/ref=sr_1_1?keywords=rode+ntusb&amp;qid=1570285716&amp;sr=8-1","A")</f>
        <v>A</v>
      </c>
      <c r="H496" s="125"/>
      <c r="I496" s="125"/>
      <c r="J496" s="125">
        <v>169</v>
      </c>
      <c r="K496" s="82">
        <v>3.5</v>
      </c>
      <c r="L496" s="82">
        <f>IF(K496&gt;0,K496*16,)</f>
        <v>56</v>
      </c>
      <c r="M496" s="82">
        <f t="shared" si="550"/>
        <v>1.587572</v>
      </c>
      <c r="N496" s="93">
        <v>0</v>
      </c>
      <c r="O496" s="93">
        <v>0</v>
      </c>
      <c r="P496" s="95">
        <f t="shared" si="731"/>
        <v>169</v>
      </c>
      <c r="Q496" s="96">
        <f t="shared" si="733"/>
        <v>211250</v>
      </c>
      <c r="R496" s="96">
        <v>0</v>
      </c>
      <c r="S496" s="97">
        <f t="shared" si="553"/>
        <v>211300</v>
      </c>
      <c r="T496" s="97">
        <f>ROUNDUP(HLOOKUP(ROUNDUP(K496,0),'배송비 조회'!A$10:U$22,7,0)*C$3,-2)</f>
        <v>15600</v>
      </c>
      <c r="U496" s="97">
        <v>0</v>
      </c>
      <c r="V496" s="97">
        <f t="shared" ref="V496:V509" si="747">ROUND(IF(R496&gt;0,0,(S496+T496)*0.3),-2)</f>
        <v>68100</v>
      </c>
      <c r="W496" s="97">
        <f t="shared" si="729"/>
        <v>113500</v>
      </c>
      <c r="X496" s="98">
        <f t="shared" si="555"/>
        <v>295000</v>
      </c>
      <c r="Y496" s="98">
        <f t="shared" si="27"/>
        <v>340400</v>
      </c>
      <c r="Z496" s="121">
        <v>0</v>
      </c>
      <c r="AA496" s="121">
        <f t="shared" si="556"/>
        <v>11210</v>
      </c>
      <c r="AB496" s="121">
        <f t="shared" si="557"/>
        <v>5900</v>
      </c>
      <c r="AC496" s="99">
        <f t="shared" si="8"/>
        <v>34040</v>
      </c>
      <c r="AD496" s="121">
        <f t="shared" si="558"/>
        <v>277890</v>
      </c>
      <c r="AE496" s="99">
        <f t="shared" si="10"/>
        <v>306360</v>
      </c>
      <c r="AF496" s="121">
        <f t="shared" si="559"/>
        <v>2778.9</v>
      </c>
      <c r="AG496" s="100">
        <f t="shared" si="560"/>
        <v>48261.1</v>
      </c>
      <c r="AH496" s="101">
        <f t="shared" si="29"/>
        <v>76731.100000000006</v>
      </c>
      <c r="AI496" s="102">
        <f t="shared" ref="AI496:AJ496" si="748">AG496/X496</f>
        <v>0.16359694915254236</v>
      </c>
      <c r="AJ496" s="102">
        <f t="shared" si="748"/>
        <v>0.22541451233842541</v>
      </c>
      <c r="AK496" s="103"/>
      <c r="AL496" s="104"/>
      <c r="AM496" s="17"/>
      <c r="AN496" s="17"/>
      <c r="AO496" s="17"/>
      <c r="AP496" s="17"/>
      <c r="AQ496" s="17"/>
      <c r="AR496" s="17"/>
      <c r="AS496" s="17"/>
      <c r="AT496" s="17"/>
      <c r="AU496" s="17"/>
      <c r="AV496" s="17"/>
      <c r="AW496" s="22">
        <v>4697893893</v>
      </c>
    </row>
    <row r="497" spans="1:49" ht="13.2">
      <c r="A497" s="119">
        <f>HYPERLINK("https://smartstore.naver.com/brickstore2019/products/4697906691",AW:AW)</f>
        <v>4697906691</v>
      </c>
      <c r="B497" s="266"/>
      <c r="C497" s="117" t="s">
        <v>1065</v>
      </c>
      <c r="D497" s="117"/>
      <c r="E497" s="117" t="s">
        <v>1066</v>
      </c>
      <c r="F497" s="123"/>
      <c r="G497" s="218" t="s">
        <v>1293</v>
      </c>
      <c r="H497" s="125"/>
      <c r="I497" s="125"/>
      <c r="J497" s="125">
        <v>30</v>
      </c>
      <c r="K497" s="82">
        <f t="shared" ref="K497:K504" si="749">IF(L497&gt;0,L497*0.0625,)</f>
        <v>0.125</v>
      </c>
      <c r="L497" s="82">
        <v>2</v>
      </c>
      <c r="M497" s="82">
        <f t="shared" si="550"/>
        <v>5.6698999999999999E-2</v>
      </c>
      <c r="N497" s="93">
        <v>0</v>
      </c>
      <c r="O497" s="93">
        <v>0</v>
      </c>
      <c r="P497" s="95">
        <f t="shared" si="731"/>
        <v>30</v>
      </c>
      <c r="Q497" s="96">
        <f t="shared" si="733"/>
        <v>37500</v>
      </c>
      <c r="R497" s="96">
        <v>0</v>
      </c>
      <c r="S497" s="97">
        <f t="shared" si="553"/>
        <v>37500</v>
      </c>
      <c r="T497" s="97">
        <f>ROUNDUP(HLOOKUP(ROUNDUP(K497,0),'배송비 조회'!A$10:U$22,7,0)*C$3,-2)</f>
        <v>9000</v>
      </c>
      <c r="U497" s="97">
        <v>0</v>
      </c>
      <c r="V497" s="97">
        <f t="shared" si="747"/>
        <v>14000</v>
      </c>
      <c r="W497" s="97">
        <f t="shared" si="729"/>
        <v>23300</v>
      </c>
      <c r="X497" s="98">
        <f t="shared" si="555"/>
        <v>60500</v>
      </c>
      <c r="Y497" s="98">
        <f t="shared" si="27"/>
        <v>69800</v>
      </c>
      <c r="Z497" s="121">
        <v>0</v>
      </c>
      <c r="AA497" s="121">
        <f t="shared" si="556"/>
        <v>2299</v>
      </c>
      <c r="AB497" s="121">
        <f t="shared" si="557"/>
        <v>1210</v>
      </c>
      <c r="AC497" s="99">
        <f t="shared" si="8"/>
        <v>6980</v>
      </c>
      <c r="AD497" s="121">
        <f t="shared" si="558"/>
        <v>56991</v>
      </c>
      <c r="AE497" s="99">
        <f t="shared" si="10"/>
        <v>62820</v>
      </c>
      <c r="AF497" s="121">
        <f t="shared" si="559"/>
        <v>569.91</v>
      </c>
      <c r="AG497" s="100">
        <f t="shared" si="560"/>
        <v>9921.09</v>
      </c>
      <c r="AH497" s="101">
        <f t="shared" si="29"/>
        <v>15750.09</v>
      </c>
      <c r="AI497" s="102">
        <f t="shared" ref="AI497:AJ497" si="750">AG497/X497</f>
        <v>0.16398495867768595</v>
      </c>
      <c r="AJ497" s="102">
        <f t="shared" si="750"/>
        <v>0.22564598853868195</v>
      </c>
      <c r="AK497" s="103"/>
      <c r="AL497" s="104"/>
      <c r="AM497" s="17"/>
      <c r="AN497" s="17"/>
      <c r="AO497" s="17"/>
      <c r="AP497" s="17"/>
      <c r="AQ497" s="17"/>
      <c r="AR497" s="17"/>
      <c r="AS497" s="17"/>
      <c r="AT497" s="17"/>
      <c r="AU497" s="17"/>
      <c r="AV497" s="17"/>
      <c r="AW497" s="22">
        <v>4697906691</v>
      </c>
    </row>
    <row r="498" spans="1:49" ht="13.2">
      <c r="A498" s="119">
        <f>HYPERLINK("https://smartstore.naver.com/brickstore2019/products/4697922855",AW:AW)</f>
        <v>4697922855</v>
      </c>
      <c r="B498" s="276"/>
      <c r="C498" s="130" t="s">
        <v>1067</v>
      </c>
      <c r="D498" s="130"/>
      <c r="E498" s="117" t="s">
        <v>1068</v>
      </c>
      <c r="F498" s="123"/>
      <c r="G498" s="218" t="s">
        <v>1293</v>
      </c>
      <c r="H498" s="125"/>
      <c r="I498" s="125"/>
      <c r="J498" s="125">
        <v>70</v>
      </c>
      <c r="K498" s="82">
        <f t="shared" si="749"/>
        <v>0.1875</v>
      </c>
      <c r="L498" s="82">
        <v>3</v>
      </c>
      <c r="M498" s="82">
        <f t="shared" si="550"/>
        <v>8.5048499999999999E-2</v>
      </c>
      <c r="N498" s="93">
        <v>0</v>
      </c>
      <c r="O498" s="93">
        <v>0</v>
      </c>
      <c r="P498" s="95">
        <f t="shared" si="731"/>
        <v>70</v>
      </c>
      <c r="Q498" s="96">
        <f t="shared" si="733"/>
        <v>87500</v>
      </c>
      <c r="R498" s="96">
        <v>0</v>
      </c>
      <c r="S498" s="97">
        <f t="shared" si="553"/>
        <v>87500</v>
      </c>
      <c r="T498" s="97">
        <f>ROUNDUP(HLOOKUP(ROUNDUP(K498,0),'배송비 조회'!A$10:U$22,7,0)*C$3,-2)</f>
        <v>9000</v>
      </c>
      <c r="U498" s="97">
        <v>0</v>
      </c>
      <c r="V498" s="97">
        <f t="shared" si="747"/>
        <v>29000</v>
      </c>
      <c r="W498" s="97">
        <f t="shared" si="729"/>
        <v>48300</v>
      </c>
      <c r="X498" s="98">
        <f t="shared" si="555"/>
        <v>125500</v>
      </c>
      <c r="Y498" s="98">
        <f t="shared" si="27"/>
        <v>144800</v>
      </c>
      <c r="Z498" s="121">
        <v>0</v>
      </c>
      <c r="AA498" s="121">
        <f t="shared" si="556"/>
        <v>4769</v>
      </c>
      <c r="AB498" s="121">
        <f t="shared" si="557"/>
        <v>2510</v>
      </c>
      <c r="AC498" s="99">
        <f t="shared" si="8"/>
        <v>14480</v>
      </c>
      <c r="AD498" s="121">
        <f t="shared" si="558"/>
        <v>118221</v>
      </c>
      <c r="AE498" s="99">
        <f t="shared" si="10"/>
        <v>130320</v>
      </c>
      <c r="AF498" s="121">
        <f t="shared" si="559"/>
        <v>1182.21</v>
      </c>
      <c r="AG498" s="100">
        <f t="shared" si="560"/>
        <v>20538.79</v>
      </c>
      <c r="AH498" s="101">
        <f t="shared" si="29"/>
        <v>32637.79</v>
      </c>
      <c r="AI498" s="102">
        <f t="shared" ref="AI498:AJ498" si="751">AG498/X498</f>
        <v>0.16365569721115539</v>
      </c>
      <c r="AJ498" s="102">
        <f t="shared" si="751"/>
        <v>0.22539910220994475</v>
      </c>
      <c r="AK498" s="103"/>
      <c r="AL498" s="104"/>
      <c r="AM498" s="17"/>
      <c r="AN498" s="17"/>
      <c r="AO498" s="17"/>
      <c r="AP498" s="17"/>
      <c r="AQ498" s="17"/>
      <c r="AR498" s="17"/>
      <c r="AS498" s="17"/>
      <c r="AT498" s="17"/>
      <c r="AU498" s="17"/>
      <c r="AV498" s="17"/>
      <c r="AW498" s="26">
        <v>4697922855</v>
      </c>
    </row>
    <row r="499" spans="1:49" ht="13.2">
      <c r="A499" s="119">
        <f>HYPERLINK("https://smartstore.naver.com/brickstore2019/products/4698987707",AW:AW)</f>
        <v>4698987707</v>
      </c>
      <c r="B499" s="266"/>
      <c r="C499" s="117" t="s">
        <v>1069</v>
      </c>
      <c r="D499" s="117"/>
      <c r="E499" s="117" t="s">
        <v>1070</v>
      </c>
      <c r="F499" s="123"/>
      <c r="G499" s="124" t="str">
        <f>HYPERLINK("https://www.amazon.com/dp/B07WVFCVJN/ref=cm_sw_r_cp_api_i_DafHDbJK7407E","A")</f>
        <v>A</v>
      </c>
      <c r="H499" s="125"/>
      <c r="I499" s="125"/>
      <c r="J499" s="125">
        <v>30</v>
      </c>
      <c r="K499" s="82">
        <f t="shared" si="749"/>
        <v>0.625</v>
      </c>
      <c r="L499" s="82">
        <v>10</v>
      </c>
      <c r="M499" s="82">
        <f t="shared" si="550"/>
        <v>0.283495</v>
      </c>
      <c r="N499" s="93">
        <v>0</v>
      </c>
      <c r="O499" s="93">
        <v>0</v>
      </c>
      <c r="P499" s="95">
        <f t="shared" si="731"/>
        <v>30</v>
      </c>
      <c r="Q499" s="96">
        <f t="shared" si="733"/>
        <v>37500</v>
      </c>
      <c r="R499" s="96">
        <v>0</v>
      </c>
      <c r="S499" s="97">
        <f t="shared" si="553"/>
        <v>37500</v>
      </c>
      <c r="T499" s="97">
        <f>ROUNDUP(HLOOKUP(ROUNDUP(K499,0),'배송비 조회'!A$10:U$22,7,0)*C$3,-2)</f>
        <v>9000</v>
      </c>
      <c r="U499" s="97">
        <v>0</v>
      </c>
      <c r="V499" s="97">
        <f t="shared" si="747"/>
        <v>14000</v>
      </c>
      <c r="W499" s="97">
        <f t="shared" si="729"/>
        <v>23300</v>
      </c>
      <c r="X499" s="98">
        <f t="shared" si="555"/>
        <v>60500</v>
      </c>
      <c r="Y499" s="98">
        <f t="shared" si="27"/>
        <v>69800</v>
      </c>
      <c r="Z499" s="121">
        <v>0</v>
      </c>
      <c r="AA499" s="121">
        <f t="shared" si="556"/>
        <v>2299</v>
      </c>
      <c r="AB499" s="121">
        <f t="shared" si="557"/>
        <v>1210</v>
      </c>
      <c r="AC499" s="99">
        <f t="shared" si="8"/>
        <v>6980</v>
      </c>
      <c r="AD499" s="121">
        <f t="shared" si="558"/>
        <v>56991</v>
      </c>
      <c r="AE499" s="99">
        <f t="shared" si="10"/>
        <v>62820</v>
      </c>
      <c r="AF499" s="121">
        <f t="shared" si="559"/>
        <v>569.91</v>
      </c>
      <c r="AG499" s="100">
        <f t="shared" si="560"/>
        <v>9921.09</v>
      </c>
      <c r="AH499" s="101">
        <f t="shared" si="29"/>
        <v>15750.09</v>
      </c>
      <c r="AI499" s="102">
        <f t="shared" ref="AI499:AJ499" si="752">AG499/X499</f>
        <v>0.16398495867768595</v>
      </c>
      <c r="AJ499" s="102">
        <f t="shared" si="752"/>
        <v>0.22564598853868195</v>
      </c>
      <c r="AK499" s="103"/>
      <c r="AL499" s="104"/>
      <c r="AM499" s="17"/>
      <c r="AN499" s="17"/>
      <c r="AO499" s="17"/>
      <c r="AP499" s="17"/>
      <c r="AQ499" s="17"/>
      <c r="AR499" s="17"/>
      <c r="AS499" s="17"/>
      <c r="AT499" s="17"/>
      <c r="AU499" s="17"/>
      <c r="AV499" s="17"/>
      <c r="AW499" s="22">
        <v>4698987707</v>
      </c>
    </row>
    <row r="500" spans="1:49" ht="13.2">
      <c r="A500" s="119">
        <f>HYPERLINK("https://smartstore.naver.com/brickstore2019/products/4699002152",AW:AW)</f>
        <v>4699002152</v>
      </c>
      <c r="B500" s="266"/>
      <c r="C500" s="117" t="s">
        <v>1071</v>
      </c>
      <c r="D500" s="117"/>
      <c r="E500" s="117" t="s">
        <v>1072</v>
      </c>
      <c r="F500" s="123"/>
      <c r="G500" s="124" t="str">
        <f>HYPERLINK("https://www.amazon.com/Matador-Pocket-Blanket-Ultralight-Hiking/dp/B00PV2XC2K/ref=sr_1_3?dchild=1&amp;keywords=Matador&amp;qid=1570972051&amp;sr=8-3","A")</f>
        <v>A</v>
      </c>
      <c r="H500" s="125"/>
      <c r="I500" s="125"/>
      <c r="J500" s="125">
        <v>20</v>
      </c>
      <c r="K500" s="82">
        <f t="shared" si="749"/>
        <v>0.1875</v>
      </c>
      <c r="L500" s="82">
        <v>3</v>
      </c>
      <c r="M500" s="82">
        <f t="shared" si="550"/>
        <v>8.5048499999999999E-2</v>
      </c>
      <c r="N500" s="93">
        <v>0</v>
      </c>
      <c r="O500" s="93">
        <v>0</v>
      </c>
      <c r="P500" s="95">
        <f t="shared" si="731"/>
        <v>20</v>
      </c>
      <c r="Q500" s="96">
        <f t="shared" si="733"/>
        <v>25000</v>
      </c>
      <c r="R500" s="96">
        <v>0</v>
      </c>
      <c r="S500" s="97">
        <f t="shared" si="553"/>
        <v>25000</v>
      </c>
      <c r="T500" s="97">
        <f>ROUNDUP(HLOOKUP(ROUNDUP(K500,0),'배송비 조회'!A$10:U$22,7,0)*C$3,-2)</f>
        <v>9000</v>
      </c>
      <c r="U500" s="97">
        <v>0</v>
      </c>
      <c r="V500" s="97">
        <f t="shared" si="747"/>
        <v>10200</v>
      </c>
      <c r="W500" s="97">
        <f t="shared" si="729"/>
        <v>17000</v>
      </c>
      <c r="X500" s="98">
        <f t="shared" si="555"/>
        <v>44200</v>
      </c>
      <c r="Y500" s="98">
        <f t="shared" si="27"/>
        <v>51000</v>
      </c>
      <c r="Z500" s="121">
        <v>0</v>
      </c>
      <c r="AA500" s="121">
        <f t="shared" si="556"/>
        <v>1679.6</v>
      </c>
      <c r="AB500" s="121">
        <f t="shared" si="557"/>
        <v>884</v>
      </c>
      <c r="AC500" s="99">
        <f t="shared" si="8"/>
        <v>5100</v>
      </c>
      <c r="AD500" s="121">
        <f t="shared" si="558"/>
        <v>41636.400000000001</v>
      </c>
      <c r="AE500" s="99">
        <f t="shared" si="10"/>
        <v>45900</v>
      </c>
      <c r="AF500" s="121">
        <f t="shared" si="559"/>
        <v>416.36400000000003</v>
      </c>
      <c r="AG500" s="100">
        <f t="shared" si="560"/>
        <v>7220.0360000000019</v>
      </c>
      <c r="AH500" s="101">
        <f t="shared" si="29"/>
        <v>11483.635999999999</v>
      </c>
      <c r="AI500" s="102">
        <f t="shared" ref="AI500:AJ500" si="753">AG500/X500</f>
        <v>0.1633492307692308</v>
      </c>
      <c r="AJ500" s="102">
        <f t="shared" si="753"/>
        <v>0.2251693333333333</v>
      </c>
      <c r="AK500" s="103"/>
      <c r="AL500" s="104"/>
      <c r="AM500" s="17"/>
      <c r="AN500" s="17"/>
      <c r="AO500" s="17"/>
      <c r="AP500" s="17"/>
      <c r="AQ500" s="17"/>
      <c r="AR500" s="17"/>
      <c r="AS500" s="17"/>
      <c r="AT500" s="17"/>
      <c r="AU500" s="17"/>
      <c r="AV500" s="17"/>
      <c r="AW500" s="22">
        <v>4699002152</v>
      </c>
    </row>
    <row r="501" spans="1:49" ht="13.2">
      <c r="A501" s="303">
        <f>HYPERLINK("https://smartstore.naver.com/brickstore2019/products/4699022340",AW:AW)</f>
        <v>4699022340</v>
      </c>
      <c r="B501" s="266"/>
      <c r="C501" s="304" t="s">
        <v>1073</v>
      </c>
      <c r="D501" s="117"/>
      <c r="E501" s="304" t="s">
        <v>1074</v>
      </c>
      <c r="F501" s="123" t="s">
        <v>1075</v>
      </c>
      <c r="G501" s="124" t="str">
        <f>HYPERLINK("https://www.amazon.com/Matador-Blanket-2-0-Camping-Resistant/dp/B06VVVQ72B/ref=sr_1_2?dchild=1&amp;keywords=Matador&amp;qid=1570972051&amp;sr=8-2&amp;th=1","A")</f>
        <v>A</v>
      </c>
      <c r="H501" s="125"/>
      <c r="I501" s="125"/>
      <c r="J501" s="125">
        <v>30</v>
      </c>
      <c r="K501" s="82">
        <f t="shared" si="749"/>
        <v>0.3125</v>
      </c>
      <c r="L501" s="82">
        <v>5</v>
      </c>
      <c r="M501" s="82">
        <f t="shared" si="550"/>
        <v>0.1417475</v>
      </c>
      <c r="N501" s="93">
        <v>0</v>
      </c>
      <c r="O501" s="93">
        <v>0</v>
      </c>
      <c r="P501" s="95">
        <f t="shared" si="731"/>
        <v>30</v>
      </c>
      <c r="Q501" s="96">
        <f t="shared" si="733"/>
        <v>37500</v>
      </c>
      <c r="R501" s="96">
        <v>0</v>
      </c>
      <c r="S501" s="97">
        <f t="shared" si="553"/>
        <v>37500</v>
      </c>
      <c r="T501" s="97">
        <f>ROUNDUP(HLOOKUP(ROUNDUP(K501,0),'배송비 조회'!A$10:U$22,7,0)*C$3,-2)</f>
        <v>9000</v>
      </c>
      <c r="U501" s="97">
        <v>0</v>
      </c>
      <c r="V501" s="97">
        <f t="shared" si="747"/>
        <v>14000</v>
      </c>
      <c r="W501" s="97">
        <f t="shared" si="729"/>
        <v>23300</v>
      </c>
      <c r="X501" s="98">
        <f t="shared" si="555"/>
        <v>60500</v>
      </c>
      <c r="Y501" s="98">
        <f t="shared" si="27"/>
        <v>69800</v>
      </c>
      <c r="Z501" s="121">
        <v>0</v>
      </c>
      <c r="AA501" s="121">
        <f t="shared" si="556"/>
        <v>2299</v>
      </c>
      <c r="AB501" s="121">
        <f t="shared" si="557"/>
        <v>1210</v>
      </c>
      <c r="AC501" s="99">
        <f t="shared" si="8"/>
        <v>6980</v>
      </c>
      <c r="AD501" s="121">
        <f t="shared" si="558"/>
        <v>56991</v>
      </c>
      <c r="AE501" s="99">
        <f t="shared" si="10"/>
        <v>62820</v>
      </c>
      <c r="AF501" s="121">
        <f t="shared" si="559"/>
        <v>569.91</v>
      </c>
      <c r="AG501" s="100">
        <f t="shared" si="560"/>
        <v>9921.09</v>
      </c>
      <c r="AH501" s="101">
        <f t="shared" si="29"/>
        <v>15750.09</v>
      </c>
      <c r="AI501" s="102">
        <f t="shared" ref="AI501:AJ501" si="754">AG501/X501</f>
        <v>0.16398495867768595</v>
      </c>
      <c r="AJ501" s="102">
        <f t="shared" si="754"/>
        <v>0.22564598853868195</v>
      </c>
      <c r="AK501" s="103"/>
      <c r="AL501" s="104"/>
      <c r="AM501" s="17"/>
      <c r="AN501" s="17"/>
      <c r="AO501" s="17"/>
      <c r="AP501" s="17"/>
      <c r="AQ501" s="17"/>
      <c r="AR501" s="17"/>
      <c r="AS501" s="17"/>
      <c r="AT501" s="17"/>
      <c r="AU501" s="17"/>
      <c r="AV501" s="17"/>
      <c r="AW501" s="296">
        <v>4699022340</v>
      </c>
    </row>
    <row r="502" spans="1:49" ht="13.2">
      <c r="A502" s="302"/>
      <c r="B502" s="266"/>
      <c r="C502" s="302"/>
      <c r="D502" s="117"/>
      <c r="E502" s="302"/>
      <c r="F502" s="123" t="s">
        <v>55</v>
      </c>
      <c r="G502" s="124" t="str">
        <f>HYPERLINK("https://www.amazon.com/Matador-Blanket-2-0-Camping-Resistant/dp/B07MXXLFQQ/ref=sr_1_2?dchild=1&amp;keywords=Matador&amp;qid=1570972051&amp;sr=8-2&amp;th=1","A")</f>
        <v>A</v>
      </c>
      <c r="H502" s="125"/>
      <c r="I502" s="125"/>
      <c r="J502" s="125">
        <v>30</v>
      </c>
      <c r="K502" s="82">
        <f t="shared" si="749"/>
        <v>0.3125</v>
      </c>
      <c r="L502" s="82">
        <v>5</v>
      </c>
      <c r="M502" s="82">
        <f t="shared" si="550"/>
        <v>0.1417475</v>
      </c>
      <c r="N502" s="93">
        <v>0</v>
      </c>
      <c r="O502" s="93">
        <v>0</v>
      </c>
      <c r="P502" s="95">
        <f t="shared" si="731"/>
        <v>30</v>
      </c>
      <c r="Q502" s="96">
        <f t="shared" si="733"/>
        <v>37500</v>
      </c>
      <c r="R502" s="96">
        <v>0</v>
      </c>
      <c r="S502" s="97">
        <f t="shared" si="553"/>
        <v>37500</v>
      </c>
      <c r="T502" s="97">
        <f>ROUNDUP(HLOOKUP(ROUNDUP(K502,0),'배송비 조회'!A$10:U$22,7,0)*C$3,-2)</f>
        <v>9000</v>
      </c>
      <c r="U502" s="97">
        <v>0</v>
      </c>
      <c r="V502" s="97">
        <f t="shared" si="747"/>
        <v>14000</v>
      </c>
      <c r="W502" s="97">
        <f t="shared" si="729"/>
        <v>23300</v>
      </c>
      <c r="X502" s="98">
        <f t="shared" si="555"/>
        <v>60500</v>
      </c>
      <c r="Y502" s="98">
        <f t="shared" si="27"/>
        <v>69800</v>
      </c>
      <c r="Z502" s="121">
        <v>0</v>
      </c>
      <c r="AA502" s="121">
        <f t="shared" si="556"/>
        <v>2299</v>
      </c>
      <c r="AB502" s="121">
        <f t="shared" si="557"/>
        <v>1210</v>
      </c>
      <c r="AC502" s="99">
        <f t="shared" si="8"/>
        <v>6980</v>
      </c>
      <c r="AD502" s="121">
        <f t="shared" si="558"/>
        <v>56991</v>
      </c>
      <c r="AE502" s="99">
        <f t="shared" si="10"/>
        <v>62820</v>
      </c>
      <c r="AF502" s="121">
        <f t="shared" si="559"/>
        <v>569.91</v>
      </c>
      <c r="AG502" s="100">
        <f t="shared" si="560"/>
        <v>9921.09</v>
      </c>
      <c r="AH502" s="101">
        <f t="shared" si="29"/>
        <v>15750.09</v>
      </c>
      <c r="AI502" s="102">
        <f t="shared" ref="AI502:AJ502" si="755">AG502/X502</f>
        <v>0.16398495867768595</v>
      </c>
      <c r="AJ502" s="102">
        <f t="shared" si="755"/>
        <v>0.22564598853868195</v>
      </c>
      <c r="AK502" s="103"/>
      <c r="AL502" s="104"/>
      <c r="AM502" s="17"/>
      <c r="AN502" s="17"/>
      <c r="AO502" s="17"/>
      <c r="AP502" s="17"/>
      <c r="AQ502" s="17"/>
      <c r="AR502" s="17"/>
      <c r="AS502" s="17"/>
      <c r="AT502" s="17"/>
      <c r="AU502" s="17"/>
      <c r="AV502" s="17"/>
      <c r="AW502" s="297"/>
    </row>
    <row r="503" spans="1:49" ht="13.2">
      <c r="A503" s="302"/>
      <c r="B503" s="266"/>
      <c r="C503" s="302"/>
      <c r="D503" s="117"/>
      <c r="E503" s="302"/>
      <c r="F503" s="123" t="s">
        <v>1076</v>
      </c>
      <c r="G503" s="124" t="str">
        <f>HYPERLINK("https://www.amazon.com/Matador-Blanket-2-0-Camping-Resistant/dp/B06VVN34Y4/ref=sr_1_2?dchild=1&amp;keywords=Matador&amp;qid=1570972051&amp;sr=8-2&amp;th=1","A")</f>
        <v>A</v>
      </c>
      <c r="H503" s="125"/>
      <c r="I503" s="125"/>
      <c r="J503" s="93">
        <v>30</v>
      </c>
      <c r="K503" s="82">
        <f t="shared" si="749"/>
        <v>0.3125</v>
      </c>
      <c r="L503" s="82">
        <v>5</v>
      </c>
      <c r="M503" s="82">
        <f t="shared" si="550"/>
        <v>0.1417475</v>
      </c>
      <c r="N503" s="93">
        <v>0</v>
      </c>
      <c r="O503" s="93">
        <v>0</v>
      </c>
      <c r="P503" s="95">
        <f t="shared" si="731"/>
        <v>30</v>
      </c>
      <c r="Q503" s="96">
        <f t="shared" si="733"/>
        <v>37500</v>
      </c>
      <c r="R503" s="96">
        <v>0</v>
      </c>
      <c r="S503" s="97">
        <f t="shared" si="553"/>
        <v>37500</v>
      </c>
      <c r="T503" s="97">
        <f>ROUNDUP(HLOOKUP(ROUNDUP(K503,0),'배송비 조회'!A$10:U$22,7,0)*C$3,-2)</f>
        <v>9000</v>
      </c>
      <c r="U503" s="97">
        <v>0</v>
      </c>
      <c r="V503" s="97">
        <f t="shared" si="747"/>
        <v>14000</v>
      </c>
      <c r="W503" s="97">
        <f t="shared" si="729"/>
        <v>23300</v>
      </c>
      <c r="X503" s="98">
        <f t="shared" si="555"/>
        <v>60500</v>
      </c>
      <c r="Y503" s="98">
        <f t="shared" si="27"/>
        <v>69800</v>
      </c>
      <c r="Z503" s="121">
        <v>0</v>
      </c>
      <c r="AA503" s="121">
        <f t="shared" si="556"/>
        <v>2299</v>
      </c>
      <c r="AB503" s="121">
        <f t="shared" si="557"/>
        <v>1210</v>
      </c>
      <c r="AC503" s="99">
        <f t="shared" si="8"/>
        <v>6980</v>
      </c>
      <c r="AD503" s="121">
        <f t="shared" si="558"/>
        <v>56991</v>
      </c>
      <c r="AE503" s="99">
        <f t="shared" si="10"/>
        <v>62820</v>
      </c>
      <c r="AF503" s="121">
        <f t="shared" si="559"/>
        <v>569.91</v>
      </c>
      <c r="AG503" s="100">
        <f t="shared" si="560"/>
        <v>9921.09</v>
      </c>
      <c r="AH503" s="101">
        <f t="shared" si="29"/>
        <v>15750.09</v>
      </c>
      <c r="AI503" s="102">
        <f t="shared" ref="AI503:AJ503" si="756">AG503/X503</f>
        <v>0.16398495867768595</v>
      </c>
      <c r="AJ503" s="102">
        <f t="shared" si="756"/>
        <v>0.22564598853868195</v>
      </c>
      <c r="AK503" s="103"/>
      <c r="AL503" s="104"/>
      <c r="AM503" s="17"/>
      <c r="AN503" s="17"/>
      <c r="AO503" s="17"/>
      <c r="AP503" s="17"/>
      <c r="AQ503" s="17"/>
      <c r="AR503" s="17"/>
      <c r="AS503" s="17"/>
      <c r="AT503" s="17"/>
      <c r="AU503" s="17"/>
      <c r="AV503" s="17"/>
      <c r="AW503" s="297"/>
    </row>
    <row r="504" spans="1:49" ht="13.2">
      <c r="A504" s="119">
        <f>HYPERLINK("https://smartstore.naver.com/brickstore2019/products/4699054211",AW:AW)</f>
        <v>4699054211</v>
      </c>
      <c r="B504" s="266"/>
      <c r="C504" s="117" t="s">
        <v>1077</v>
      </c>
      <c r="D504" s="117"/>
      <c r="E504" s="117" t="s">
        <v>1078</v>
      </c>
      <c r="F504" s="123"/>
      <c r="G504" s="124" t="str">
        <f>HYPERLINK("https://www.amazon.com/dp/B07Q9VBYV8/ref=ods_gw_vicc_Ring_ICL?pf_rd_p=830a7e8e-374f-40c7-94df-9ab69d6c900f&amp;pf_rd_r=06WE1VCXEEJWDBZ2PS98&amp;th=1","A")</f>
        <v>A</v>
      </c>
      <c r="H504" s="125"/>
      <c r="I504" s="125"/>
      <c r="J504" s="93">
        <v>60</v>
      </c>
      <c r="K504" s="82">
        <f t="shared" si="749"/>
        <v>1.25</v>
      </c>
      <c r="L504" s="82">
        <v>20</v>
      </c>
      <c r="M504" s="82">
        <f t="shared" si="550"/>
        <v>0.56698999999999999</v>
      </c>
      <c r="N504" s="93">
        <v>0</v>
      </c>
      <c r="O504" s="93">
        <v>0</v>
      </c>
      <c r="P504" s="95">
        <f t="shared" si="731"/>
        <v>60</v>
      </c>
      <c r="Q504" s="96">
        <f t="shared" si="733"/>
        <v>75000</v>
      </c>
      <c r="R504" s="96">
        <v>0</v>
      </c>
      <c r="S504" s="97">
        <f t="shared" si="553"/>
        <v>75000</v>
      </c>
      <c r="T504" s="97">
        <f>ROUNDUP(HLOOKUP(ROUNDUP(K504,0),'배송비 조회'!A$10:U$22,7,0)*C$3,-2)</f>
        <v>11200</v>
      </c>
      <c r="U504" s="97">
        <v>0</v>
      </c>
      <c r="V504" s="97">
        <f t="shared" si="747"/>
        <v>25900</v>
      </c>
      <c r="W504" s="97">
        <f t="shared" si="729"/>
        <v>43100</v>
      </c>
      <c r="X504" s="98">
        <f t="shared" si="555"/>
        <v>112100</v>
      </c>
      <c r="Y504" s="98">
        <f t="shared" si="27"/>
        <v>129300</v>
      </c>
      <c r="Z504" s="121">
        <v>0</v>
      </c>
      <c r="AA504" s="121">
        <f t="shared" si="556"/>
        <v>4259.8</v>
      </c>
      <c r="AB504" s="121">
        <f t="shared" si="557"/>
        <v>2242</v>
      </c>
      <c r="AC504" s="99">
        <f t="shared" si="8"/>
        <v>12930</v>
      </c>
      <c r="AD504" s="121">
        <f t="shared" si="558"/>
        <v>105598.2</v>
      </c>
      <c r="AE504" s="99">
        <f t="shared" si="10"/>
        <v>116370</v>
      </c>
      <c r="AF504" s="121">
        <f t="shared" si="559"/>
        <v>1055.982</v>
      </c>
      <c r="AG504" s="100">
        <f t="shared" si="560"/>
        <v>18342.217999999997</v>
      </c>
      <c r="AH504" s="101">
        <f t="shared" si="29"/>
        <v>29114.017999999996</v>
      </c>
      <c r="AI504" s="102">
        <f t="shared" ref="AI504:AJ504" si="757">AG504/X504</f>
        <v>0.1636237109723461</v>
      </c>
      <c r="AJ504" s="102">
        <f t="shared" si="757"/>
        <v>0.22516641918020106</v>
      </c>
      <c r="AK504" s="103"/>
      <c r="AL504" s="104"/>
      <c r="AM504" s="17"/>
      <c r="AN504" s="17"/>
      <c r="AO504" s="17"/>
      <c r="AP504" s="17"/>
      <c r="AQ504" s="17"/>
      <c r="AR504" s="17"/>
      <c r="AS504" s="17"/>
      <c r="AT504" s="17"/>
      <c r="AU504" s="17"/>
      <c r="AV504" s="17"/>
      <c r="AW504" s="22">
        <v>4699054211</v>
      </c>
    </row>
    <row r="505" spans="1:49" ht="13.2">
      <c r="A505" s="119">
        <f>HYPERLINK("https://smartstore.naver.com/brickstore2019/products/4700104223",AW:AW)</f>
        <v>4700104223</v>
      </c>
      <c r="B505" s="266"/>
      <c r="C505" s="117" t="s">
        <v>1079</v>
      </c>
      <c r="D505" s="117"/>
      <c r="E505" s="117" t="s">
        <v>1080</v>
      </c>
      <c r="F505" s="123" t="s">
        <v>1081</v>
      </c>
      <c r="G505" s="124" t="str">
        <f>HYPERLINK("https://www.amazon.com/Razer-Huntsman-Tournament-Tenkeyless-Keyboard/dp/B07V25YPVW/ref=sr_1_3?crid=2XRE7BF6QNRVV&amp;keywords=razer+huntsman+tournament&amp;qid=1571223485&amp;sprefix=razer+hun%2Caps%2C342&amp;sr=8-3","A")</f>
        <v>A</v>
      </c>
      <c r="H505" s="125"/>
      <c r="I505" s="125"/>
      <c r="J505" s="93">
        <v>130</v>
      </c>
      <c r="K505" s="82">
        <v>2.25</v>
      </c>
      <c r="L505" s="82">
        <f t="shared" ref="L505:L509" si="758">IF(K505&gt;0,K505*16,)</f>
        <v>36</v>
      </c>
      <c r="M505" s="82">
        <f t="shared" si="550"/>
        <v>1.0205820000000001</v>
      </c>
      <c r="N505" s="93">
        <v>0</v>
      </c>
      <c r="O505" s="93">
        <v>0</v>
      </c>
      <c r="P505" s="95">
        <f t="shared" si="731"/>
        <v>130</v>
      </c>
      <c r="Q505" s="96">
        <f t="shared" si="733"/>
        <v>162500</v>
      </c>
      <c r="R505" s="96">
        <v>0</v>
      </c>
      <c r="S505" s="97">
        <f t="shared" si="553"/>
        <v>162500</v>
      </c>
      <c r="T505" s="97">
        <f>ROUNDUP(HLOOKUP(ROUNDUP(K505,0),'배송비 조회'!A$10:U$22,7,0)*C$3,-2)</f>
        <v>13400</v>
      </c>
      <c r="U505" s="97">
        <v>0</v>
      </c>
      <c r="V505" s="97">
        <f t="shared" si="747"/>
        <v>52800</v>
      </c>
      <c r="W505" s="97">
        <f t="shared" si="729"/>
        <v>88000</v>
      </c>
      <c r="X505" s="98">
        <f t="shared" si="555"/>
        <v>228700</v>
      </c>
      <c r="Y505" s="98">
        <f t="shared" si="27"/>
        <v>263900</v>
      </c>
      <c r="Z505" s="121">
        <v>0</v>
      </c>
      <c r="AA505" s="121">
        <f t="shared" si="556"/>
        <v>8690.6</v>
      </c>
      <c r="AB505" s="121">
        <f t="shared" si="557"/>
        <v>4574</v>
      </c>
      <c r="AC505" s="99">
        <f t="shared" si="8"/>
        <v>26390</v>
      </c>
      <c r="AD505" s="121">
        <f t="shared" si="558"/>
        <v>215435.4</v>
      </c>
      <c r="AE505" s="99">
        <f t="shared" si="10"/>
        <v>237510</v>
      </c>
      <c r="AF505" s="121">
        <f t="shared" si="559"/>
        <v>2154.3539999999998</v>
      </c>
      <c r="AG505" s="100">
        <f t="shared" si="560"/>
        <v>37381.045999999995</v>
      </c>
      <c r="AH505" s="101">
        <f t="shared" si="29"/>
        <v>59455.645999999993</v>
      </c>
      <c r="AI505" s="102">
        <f t="shared" ref="AI505:AJ505" si="759">AG505/X505</f>
        <v>0.16345013554875382</v>
      </c>
      <c r="AJ505" s="102">
        <f t="shared" si="759"/>
        <v>0.22529611974232661</v>
      </c>
      <c r="AK505" s="103"/>
      <c r="AL505" s="104"/>
      <c r="AM505" s="17"/>
      <c r="AN505" s="17"/>
      <c r="AO505" s="17"/>
      <c r="AP505" s="17"/>
      <c r="AQ505" s="17"/>
      <c r="AR505" s="17"/>
      <c r="AS505" s="17"/>
      <c r="AT505" s="17"/>
      <c r="AU505" s="17"/>
      <c r="AV505" s="17"/>
      <c r="AW505" s="22">
        <v>4700104223</v>
      </c>
    </row>
    <row r="506" spans="1:49" ht="13.2">
      <c r="A506" s="119">
        <f>HYPERLINK("https://smartstore.naver.com/brickstore2019/products/4700132057",AW:AW)</f>
        <v>4700132057</v>
      </c>
      <c r="B506" s="266"/>
      <c r="C506" s="117" t="s">
        <v>1082</v>
      </c>
      <c r="D506" s="117"/>
      <c r="E506" s="117" t="s">
        <v>1083</v>
      </c>
      <c r="F506" s="123"/>
      <c r="G506" s="124" t="str">
        <f>HYPERLINK("https://www.amazon.com/MXL-Diaphragm-Condenser-Microphone-Carrying/dp/B0006UGE9K/ref=sr_1_1?keywords=mxl2006&amp;qid=1570284609&amp;sr=8-1","A")</f>
        <v>A</v>
      </c>
      <c r="H506" s="125"/>
      <c r="I506" s="125"/>
      <c r="J506" s="93">
        <v>98</v>
      </c>
      <c r="K506" s="82">
        <v>2.85</v>
      </c>
      <c r="L506" s="82">
        <f t="shared" si="758"/>
        <v>45.6</v>
      </c>
      <c r="M506" s="82">
        <f t="shared" si="550"/>
        <v>1.2927371999999999</v>
      </c>
      <c r="N506" s="93">
        <v>0</v>
      </c>
      <c r="O506" s="93">
        <v>0</v>
      </c>
      <c r="P506" s="95">
        <f t="shared" si="731"/>
        <v>98</v>
      </c>
      <c r="Q506" s="96">
        <f t="shared" si="733"/>
        <v>122500</v>
      </c>
      <c r="R506" s="96">
        <v>0</v>
      </c>
      <c r="S506" s="97">
        <f t="shared" si="553"/>
        <v>122500</v>
      </c>
      <c r="T506" s="97">
        <f>ROUNDUP(HLOOKUP(ROUNDUP(K506,0),'배송비 조회'!A$10:U$22,7,0)*C$3,-2)</f>
        <v>13400</v>
      </c>
      <c r="U506" s="97">
        <v>0</v>
      </c>
      <c r="V506" s="97">
        <f t="shared" si="747"/>
        <v>40800</v>
      </c>
      <c r="W506" s="97">
        <f t="shared" si="729"/>
        <v>68000</v>
      </c>
      <c r="X506" s="98">
        <f t="shared" si="555"/>
        <v>176700</v>
      </c>
      <c r="Y506" s="98">
        <f t="shared" si="27"/>
        <v>203900</v>
      </c>
      <c r="Z506" s="121">
        <v>0</v>
      </c>
      <c r="AA506" s="121">
        <f t="shared" si="556"/>
        <v>6714.5999999999995</v>
      </c>
      <c r="AB506" s="121">
        <f t="shared" si="557"/>
        <v>3534</v>
      </c>
      <c r="AC506" s="99">
        <f t="shared" si="8"/>
        <v>20390</v>
      </c>
      <c r="AD506" s="121">
        <f t="shared" si="558"/>
        <v>166451.4</v>
      </c>
      <c r="AE506" s="99">
        <f t="shared" si="10"/>
        <v>183510</v>
      </c>
      <c r="AF506" s="121">
        <f t="shared" si="559"/>
        <v>1664.5139999999999</v>
      </c>
      <c r="AG506" s="100">
        <f t="shared" si="560"/>
        <v>28886.885999999991</v>
      </c>
      <c r="AH506" s="101">
        <f t="shared" si="29"/>
        <v>45945.485999999997</v>
      </c>
      <c r="AI506" s="102">
        <f t="shared" ref="AI506:AJ506" si="760">AG506/X506</f>
        <v>0.16347983022071302</v>
      </c>
      <c r="AJ506" s="102">
        <f t="shared" si="760"/>
        <v>0.22533342815105442</v>
      </c>
      <c r="AK506" s="103"/>
      <c r="AL506" s="104"/>
      <c r="AM506" s="17"/>
      <c r="AN506" s="17"/>
      <c r="AO506" s="17"/>
      <c r="AP506" s="17"/>
      <c r="AQ506" s="17"/>
      <c r="AR506" s="17"/>
      <c r="AS506" s="17"/>
      <c r="AT506" s="17"/>
      <c r="AU506" s="17"/>
      <c r="AV506" s="17"/>
      <c r="AW506" s="22">
        <v>4700132057</v>
      </c>
    </row>
    <row r="507" spans="1:49" ht="13.2">
      <c r="A507" s="303">
        <f>HYPERLINK("https://smartstore.naver.com/brickstore2019/products/4700155381",AW:AW)</f>
        <v>4700155381</v>
      </c>
      <c r="B507" s="266"/>
      <c r="C507" s="304" t="s">
        <v>1084</v>
      </c>
      <c r="D507" s="117"/>
      <c r="E507" s="304" t="s">
        <v>1085</v>
      </c>
      <c r="F507" s="123" t="s">
        <v>55</v>
      </c>
      <c r="G507" s="124" t="str">
        <f>HYPERLINK("https://www.amazon.com/dp/B07CDZD8B7/ref=twister_B07P7LQC4P?_encoding=UTF8&amp;th=1","A")</f>
        <v>A</v>
      </c>
      <c r="H507" s="125"/>
      <c r="I507" s="125"/>
      <c r="J507" s="93">
        <v>110</v>
      </c>
      <c r="K507" s="82">
        <v>1.32</v>
      </c>
      <c r="L507" s="82">
        <f t="shared" si="758"/>
        <v>21.12</v>
      </c>
      <c r="M507" s="82">
        <f t="shared" si="550"/>
        <v>0.59874144000000007</v>
      </c>
      <c r="N507" s="93">
        <v>0</v>
      </c>
      <c r="O507" s="93">
        <v>0</v>
      </c>
      <c r="P507" s="95">
        <f t="shared" si="731"/>
        <v>110</v>
      </c>
      <c r="Q507" s="96">
        <f t="shared" si="733"/>
        <v>137500</v>
      </c>
      <c r="R507" s="96">
        <v>0</v>
      </c>
      <c r="S507" s="97">
        <f t="shared" si="553"/>
        <v>137500</v>
      </c>
      <c r="T507" s="97">
        <f>ROUNDUP(HLOOKUP(ROUNDUP(K507,0),'배송비 조회'!A$10:U$22,7,0)*C$3,-2)</f>
        <v>11200</v>
      </c>
      <c r="U507" s="97">
        <v>0</v>
      </c>
      <c r="V507" s="97">
        <f t="shared" si="747"/>
        <v>44600</v>
      </c>
      <c r="W507" s="97">
        <f t="shared" si="729"/>
        <v>74400</v>
      </c>
      <c r="X507" s="98">
        <f t="shared" si="555"/>
        <v>193300</v>
      </c>
      <c r="Y507" s="98">
        <f t="shared" si="27"/>
        <v>223100</v>
      </c>
      <c r="Z507" s="121">
        <v>0</v>
      </c>
      <c r="AA507" s="121">
        <f t="shared" si="556"/>
        <v>7345.4</v>
      </c>
      <c r="AB507" s="121">
        <f t="shared" si="557"/>
        <v>3866</v>
      </c>
      <c r="AC507" s="99">
        <f t="shared" si="8"/>
        <v>22310</v>
      </c>
      <c r="AD507" s="121">
        <f t="shared" si="558"/>
        <v>182088.6</v>
      </c>
      <c r="AE507" s="99">
        <f t="shared" si="10"/>
        <v>200790</v>
      </c>
      <c r="AF507" s="121">
        <f t="shared" si="559"/>
        <v>1820.8860000000002</v>
      </c>
      <c r="AG507" s="100">
        <f t="shared" si="560"/>
        <v>31567.714000000007</v>
      </c>
      <c r="AH507" s="101">
        <f t="shared" si="29"/>
        <v>50269.114000000001</v>
      </c>
      <c r="AI507" s="102">
        <f t="shared" ref="AI507:AJ507" si="761">AG507/X507</f>
        <v>0.16330943610967411</v>
      </c>
      <c r="AJ507" s="102">
        <f t="shared" si="761"/>
        <v>0.22532099506947559</v>
      </c>
      <c r="AK507" s="103"/>
      <c r="AL507" s="104"/>
      <c r="AM507" s="17"/>
      <c r="AN507" s="17"/>
      <c r="AO507" s="17"/>
      <c r="AP507" s="17"/>
      <c r="AQ507" s="17"/>
      <c r="AR507" s="17"/>
      <c r="AS507" s="17"/>
      <c r="AT507" s="17"/>
      <c r="AU507" s="17"/>
      <c r="AV507" s="17"/>
      <c r="AW507" s="296">
        <v>4700155381</v>
      </c>
    </row>
    <row r="508" spans="1:49" ht="13.2">
      <c r="A508" s="302"/>
      <c r="B508" s="266"/>
      <c r="C508" s="302"/>
      <c r="D508" s="117"/>
      <c r="E508" s="302"/>
      <c r="F508" s="123" t="s">
        <v>637</v>
      </c>
      <c r="G508" s="124" t="str">
        <f>HYPERLINK("https://www.amazon.com/dp/B07CMFBJM7/ref=twister_B07P7LQC4P?_encoding=UTF8&amp;th=1","A")</f>
        <v>A</v>
      </c>
      <c r="H508" s="125"/>
      <c r="I508" s="125"/>
      <c r="J508" s="93">
        <v>125</v>
      </c>
      <c r="K508" s="82">
        <v>1.32</v>
      </c>
      <c r="L508" s="82">
        <f t="shared" si="758"/>
        <v>21.12</v>
      </c>
      <c r="M508" s="82">
        <f t="shared" si="550"/>
        <v>0.59874144000000007</v>
      </c>
      <c r="N508" s="93">
        <v>0</v>
      </c>
      <c r="O508" s="93">
        <v>0</v>
      </c>
      <c r="P508" s="95">
        <f t="shared" si="731"/>
        <v>125</v>
      </c>
      <c r="Q508" s="96">
        <f t="shared" si="733"/>
        <v>156250</v>
      </c>
      <c r="R508" s="96">
        <v>0</v>
      </c>
      <c r="S508" s="97">
        <f t="shared" si="553"/>
        <v>156300</v>
      </c>
      <c r="T508" s="97">
        <f>ROUNDUP(HLOOKUP(ROUNDUP(K508,0),'배송비 조회'!A$10:U$22,7,0)*C$3,-2)</f>
        <v>11200</v>
      </c>
      <c r="U508" s="97">
        <v>0</v>
      </c>
      <c r="V508" s="97">
        <f t="shared" si="747"/>
        <v>50300</v>
      </c>
      <c r="W508" s="97">
        <f t="shared" si="729"/>
        <v>83800</v>
      </c>
      <c r="X508" s="98">
        <f t="shared" si="555"/>
        <v>217800</v>
      </c>
      <c r="Y508" s="98">
        <f t="shared" si="27"/>
        <v>251300</v>
      </c>
      <c r="Z508" s="121">
        <v>0</v>
      </c>
      <c r="AA508" s="121">
        <f t="shared" si="556"/>
        <v>8276.4</v>
      </c>
      <c r="AB508" s="121">
        <f t="shared" si="557"/>
        <v>4356</v>
      </c>
      <c r="AC508" s="99">
        <f t="shared" si="8"/>
        <v>25130</v>
      </c>
      <c r="AD508" s="121">
        <f t="shared" si="558"/>
        <v>205167.6</v>
      </c>
      <c r="AE508" s="99">
        <f t="shared" si="10"/>
        <v>226170</v>
      </c>
      <c r="AF508" s="121">
        <f t="shared" si="559"/>
        <v>2051.6759999999999</v>
      </c>
      <c r="AG508" s="100">
        <f t="shared" si="560"/>
        <v>35665.924000000006</v>
      </c>
      <c r="AH508" s="101">
        <f t="shared" si="29"/>
        <v>56668.323999999993</v>
      </c>
      <c r="AI508" s="102">
        <f t="shared" ref="AI508:AJ508" si="762">AG508/X508</f>
        <v>0.1637553902662994</v>
      </c>
      <c r="AJ508" s="102">
        <f t="shared" si="762"/>
        <v>0.22550069239952245</v>
      </c>
      <c r="AK508" s="103">
        <f>X508-X507</f>
        <v>24500</v>
      </c>
      <c r="AL508" s="104"/>
      <c r="AM508" s="17"/>
      <c r="AN508" s="17"/>
      <c r="AO508" s="17"/>
      <c r="AP508" s="17"/>
      <c r="AQ508" s="17"/>
      <c r="AR508" s="17"/>
      <c r="AS508" s="17"/>
      <c r="AT508" s="17"/>
      <c r="AU508" s="17"/>
      <c r="AV508" s="17"/>
      <c r="AW508" s="297"/>
    </row>
    <row r="509" spans="1:49" ht="13.2">
      <c r="A509" s="302"/>
      <c r="B509" s="266"/>
      <c r="C509" s="302"/>
      <c r="D509" s="117"/>
      <c r="E509" s="302"/>
      <c r="F509" s="123" t="s">
        <v>98</v>
      </c>
      <c r="G509" s="124" t="str">
        <f>HYPERLINK("https://www.amazon.com/dp/B07CMC4Y5K/ref=twister_B07P7LQC4P?_encoding=UTF8&amp;th=1","A")</f>
        <v>A</v>
      </c>
      <c r="H509" s="125"/>
      <c r="I509" s="125"/>
      <c r="J509" s="93">
        <v>125</v>
      </c>
      <c r="K509" s="82">
        <v>1.32</v>
      </c>
      <c r="L509" s="82">
        <f t="shared" si="758"/>
        <v>21.12</v>
      </c>
      <c r="M509" s="82">
        <f t="shared" si="550"/>
        <v>0.59874144000000007</v>
      </c>
      <c r="N509" s="93">
        <v>0</v>
      </c>
      <c r="O509" s="93">
        <v>0</v>
      </c>
      <c r="P509" s="95">
        <f t="shared" si="731"/>
        <v>125</v>
      </c>
      <c r="Q509" s="96">
        <f t="shared" si="733"/>
        <v>156250</v>
      </c>
      <c r="R509" s="96">
        <v>0</v>
      </c>
      <c r="S509" s="97">
        <f t="shared" si="553"/>
        <v>156300</v>
      </c>
      <c r="T509" s="97">
        <f>ROUNDUP(HLOOKUP(ROUNDUP(K509,0),'배송비 조회'!A$10:U$22,7,0)*C$3,-2)</f>
        <v>11200</v>
      </c>
      <c r="U509" s="97">
        <v>0</v>
      </c>
      <c r="V509" s="97">
        <f t="shared" si="747"/>
        <v>50300</v>
      </c>
      <c r="W509" s="97">
        <f t="shared" si="729"/>
        <v>83800</v>
      </c>
      <c r="X509" s="98">
        <f t="shared" si="555"/>
        <v>217800</v>
      </c>
      <c r="Y509" s="98">
        <f t="shared" si="27"/>
        <v>251300</v>
      </c>
      <c r="Z509" s="121">
        <v>0</v>
      </c>
      <c r="AA509" s="121">
        <f t="shared" si="556"/>
        <v>8276.4</v>
      </c>
      <c r="AB509" s="121">
        <f t="shared" si="557"/>
        <v>4356</v>
      </c>
      <c r="AC509" s="99">
        <f t="shared" si="8"/>
        <v>25130</v>
      </c>
      <c r="AD509" s="121">
        <f t="shared" si="558"/>
        <v>205167.6</v>
      </c>
      <c r="AE509" s="99">
        <f t="shared" si="10"/>
        <v>226170</v>
      </c>
      <c r="AF509" s="121">
        <f t="shared" si="559"/>
        <v>2051.6759999999999</v>
      </c>
      <c r="AG509" s="100">
        <f t="shared" si="560"/>
        <v>35665.924000000006</v>
      </c>
      <c r="AH509" s="101">
        <f t="shared" si="29"/>
        <v>56668.323999999993</v>
      </c>
      <c r="AI509" s="102">
        <f t="shared" ref="AI509:AJ509" si="763">AG509/X509</f>
        <v>0.1637553902662994</v>
      </c>
      <c r="AJ509" s="102">
        <f t="shared" si="763"/>
        <v>0.22550069239952245</v>
      </c>
      <c r="AK509" s="103"/>
      <c r="AL509" s="104"/>
      <c r="AM509" s="17"/>
      <c r="AN509" s="17"/>
      <c r="AO509" s="17"/>
      <c r="AP509" s="17"/>
      <c r="AQ509" s="17"/>
      <c r="AR509" s="17"/>
      <c r="AS509" s="17"/>
      <c r="AT509" s="17"/>
      <c r="AU509" s="17"/>
      <c r="AV509" s="17"/>
      <c r="AW509" s="297"/>
    </row>
    <row r="510" spans="1:49" ht="13.2">
      <c r="A510" s="303">
        <f>HYPERLINK("https://smartstore.naver.com/brickstore2019/products/4700215962",AW:AW)</f>
        <v>4700215962</v>
      </c>
      <c r="B510" s="266"/>
      <c r="C510" s="304" t="s">
        <v>1086</v>
      </c>
      <c r="D510" s="117"/>
      <c r="E510" s="304" t="s">
        <v>1087</v>
      </c>
      <c r="F510" s="123" t="s">
        <v>55</v>
      </c>
      <c r="G510" s="218" t="s">
        <v>1293</v>
      </c>
      <c r="H510" s="125"/>
      <c r="I510" s="125"/>
      <c r="J510" s="93">
        <v>14</v>
      </c>
      <c r="K510" s="82">
        <f t="shared" ref="K510:K515" si="764">IF(L510&gt;0,L510*0.0625,)</f>
        <v>0.625</v>
      </c>
      <c r="L510" s="82">
        <v>10</v>
      </c>
      <c r="M510" s="82">
        <f t="shared" si="550"/>
        <v>0.283495</v>
      </c>
      <c r="N510" s="93">
        <v>0</v>
      </c>
      <c r="O510" s="93">
        <v>0</v>
      </c>
      <c r="P510" s="95">
        <f t="shared" si="731"/>
        <v>14</v>
      </c>
      <c r="Q510" s="96">
        <f t="shared" si="733"/>
        <v>17500</v>
      </c>
      <c r="R510" s="96">
        <v>0</v>
      </c>
      <c r="S510" s="97">
        <f t="shared" si="553"/>
        <v>17500</v>
      </c>
      <c r="T510" s="97">
        <f>ROUNDUP(HLOOKUP(ROUNDUP(K510,0),'배송비 조회'!A$10:U$22,7,0)*C$3,-2)</f>
        <v>9000</v>
      </c>
      <c r="U510" s="97">
        <v>0</v>
      </c>
      <c r="V510" s="97">
        <f t="shared" ref="V510:V515" si="765">ROUND(IF(R510&gt;0,0,(S510+T510)*0.5),-2)</f>
        <v>13300</v>
      </c>
      <c r="W510" s="97">
        <f t="shared" si="729"/>
        <v>13300</v>
      </c>
      <c r="X510" s="98">
        <f t="shared" si="555"/>
        <v>39800</v>
      </c>
      <c r="Y510" s="98">
        <f t="shared" si="27"/>
        <v>39800</v>
      </c>
      <c r="Z510" s="121">
        <v>0</v>
      </c>
      <c r="AA510" s="121">
        <f t="shared" si="556"/>
        <v>1512.3999999999999</v>
      </c>
      <c r="AB510" s="121">
        <f t="shared" si="557"/>
        <v>796</v>
      </c>
      <c r="AC510" s="99">
        <f t="shared" si="8"/>
        <v>3980</v>
      </c>
      <c r="AD510" s="121">
        <f t="shared" si="558"/>
        <v>37491.599999999999</v>
      </c>
      <c r="AE510" s="99">
        <f t="shared" si="10"/>
        <v>35820</v>
      </c>
      <c r="AF510" s="121">
        <f t="shared" si="559"/>
        <v>374.916</v>
      </c>
      <c r="AG510" s="100">
        <f t="shared" si="560"/>
        <v>10616.683999999997</v>
      </c>
      <c r="AH510" s="101">
        <f t="shared" si="29"/>
        <v>8945.0839999999989</v>
      </c>
      <c r="AI510" s="102">
        <f t="shared" ref="AI510:AJ510" si="766">AG510/X510</f>
        <v>0.2667508542713567</v>
      </c>
      <c r="AJ510" s="102">
        <f t="shared" si="766"/>
        <v>0.22475085427135677</v>
      </c>
      <c r="AK510" s="103"/>
      <c r="AL510" s="104"/>
      <c r="AM510" s="17"/>
      <c r="AN510" s="17"/>
      <c r="AO510" s="17"/>
      <c r="AP510" s="17"/>
      <c r="AQ510" s="17"/>
      <c r="AR510" s="17"/>
      <c r="AS510" s="17"/>
      <c r="AT510" s="17"/>
      <c r="AU510" s="17"/>
      <c r="AV510" s="17"/>
      <c r="AW510" s="296">
        <v>4700215962</v>
      </c>
    </row>
    <row r="511" spans="1:49" ht="13.2">
      <c r="A511" s="302"/>
      <c r="B511" s="266"/>
      <c r="C511" s="302"/>
      <c r="D511" s="117"/>
      <c r="E511" s="302"/>
      <c r="F511" s="123" t="s">
        <v>690</v>
      </c>
      <c r="G511" s="218" t="s">
        <v>1293</v>
      </c>
      <c r="H511" s="125"/>
      <c r="I511" s="125"/>
      <c r="J511" s="93">
        <v>14</v>
      </c>
      <c r="K511" s="82">
        <f t="shared" si="764"/>
        <v>0.625</v>
      </c>
      <c r="L511" s="82">
        <v>10</v>
      </c>
      <c r="M511" s="82">
        <f t="shared" si="550"/>
        <v>0.283495</v>
      </c>
      <c r="N511" s="93">
        <v>0</v>
      </c>
      <c r="O511" s="93">
        <v>0</v>
      </c>
      <c r="P511" s="95">
        <f t="shared" si="731"/>
        <v>14</v>
      </c>
      <c r="Q511" s="96">
        <f t="shared" si="733"/>
        <v>17500</v>
      </c>
      <c r="R511" s="96">
        <v>0</v>
      </c>
      <c r="S511" s="97">
        <f t="shared" si="553"/>
        <v>17500</v>
      </c>
      <c r="T511" s="97">
        <f>ROUNDUP(HLOOKUP(ROUNDUP(K511,0),'배송비 조회'!A$10:U$22,7,0)*C$3,-2)</f>
        <v>9000</v>
      </c>
      <c r="U511" s="97">
        <v>0</v>
      </c>
      <c r="V511" s="97">
        <f t="shared" si="765"/>
        <v>13300</v>
      </c>
      <c r="W511" s="97">
        <f t="shared" si="729"/>
        <v>13300</v>
      </c>
      <c r="X511" s="98">
        <f t="shared" si="555"/>
        <v>39800</v>
      </c>
      <c r="Y511" s="98">
        <f t="shared" si="27"/>
        <v>39800</v>
      </c>
      <c r="Z511" s="121">
        <v>0</v>
      </c>
      <c r="AA511" s="121">
        <f t="shared" si="556"/>
        <v>1512.3999999999999</v>
      </c>
      <c r="AB511" s="121">
        <f t="shared" si="557"/>
        <v>796</v>
      </c>
      <c r="AC511" s="99">
        <f t="shared" si="8"/>
        <v>3980</v>
      </c>
      <c r="AD511" s="121">
        <f t="shared" si="558"/>
        <v>37491.599999999999</v>
      </c>
      <c r="AE511" s="99">
        <f t="shared" si="10"/>
        <v>35820</v>
      </c>
      <c r="AF511" s="121">
        <f t="shared" si="559"/>
        <v>374.916</v>
      </c>
      <c r="AG511" s="100">
        <f t="shared" si="560"/>
        <v>10616.683999999997</v>
      </c>
      <c r="AH511" s="101">
        <f t="shared" si="29"/>
        <v>8945.0839999999989</v>
      </c>
      <c r="AI511" s="102">
        <f t="shared" ref="AI511:AJ511" si="767">AG511/X511</f>
        <v>0.2667508542713567</v>
      </c>
      <c r="AJ511" s="102">
        <f t="shared" si="767"/>
        <v>0.22475085427135677</v>
      </c>
      <c r="AK511" s="103"/>
      <c r="AL511" s="104"/>
      <c r="AM511" s="17"/>
      <c r="AN511" s="17"/>
      <c r="AO511" s="17"/>
      <c r="AP511" s="17"/>
      <c r="AQ511" s="17"/>
      <c r="AR511" s="17"/>
      <c r="AS511" s="17"/>
      <c r="AT511" s="17"/>
      <c r="AU511" s="17"/>
      <c r="AV511" s="17"/>
      <c r="AW511" s="297"/>
    </row>
    <row r="512" spans="1:49" ht="13.2">
      <c r="A512" s="302"/>
      <c r="B512" s="266"/>
      <c r="C512" s="302"/>
      <c r="D512" s="117"/>
      <c r="E512" s="302"/>
      <c r="F512" s="123" t="s">
        <v>126</v>
      </c>
      <c r="G512" s="218" t="s">
        <v>1293</v>
      </c>
      <c r="H512" s="125"/>
      <c r="I512" s="125"/>
      <c r="J512" s="93">
        <v>14</v>
      </c>
      <c r="K512" s="82">
        <f t="shared" si="764"/>
        <v>0.625</v>
      </c>
      <c r="L512" s="82">
        <v>10</v>
      </c>
      <c r="M512" s="82">
        <f t="shared" si="550"/>
        <v>0.283495</v>
      </c>
      <c r="N512" s="93">
        <v>0</v>
      </c>
      <c r="O512" s="93">
        <v>0</v>
      </c>
      <c r="P512" s="95">
        <f t="shared" si="731"/>
        <v>14</v>
      </c>
      <c r="Q512" s="96">
        <f t="shared" si="733"/>
        <v>17500</v>
      </c>
      <c r="R512" s="96">
        <v>0</v>
      </c>
      <c r="S512" s="97">
        <f t="shared" si="553"/>
        <v>17500</v>
      </c>
      <c r="T512" s="97">
        <f>ROUNDUP(HLOOKUP(ROUNDUP(K512,0),'배송비 조회'!A$10:U$22,7,0)*C$3,-2)</f>
        <v>9000</v>
      </c>
      <c r="U512" s="97">
        <v>0</v>
      </c>
      <c r="V512" s="97">
        <f t="shared" si="765"/>
        <v>13300</v>
      </c>
      <c r="W512" s="97">
        <f t="shared" si="729"/>
        <v>13300</v>
      </c>
      <c r="X512" s="98">
        <f t="shared" si="555"/>
        <v>39800</v>
      </c>
      <c r="Y512" s="98">
        <f t="shared" si="27"/>
        <v>39800</v>
      </c>
      <c r="Z512" s="121">
        <v>0</v>
      </c>
      <c r="AA512" s="121">
        <f t="shared" si="556"/>
        <v>1512.3999999999999</v>
      </c>
      <c r="AB512" s="121">
        <f t="shared" si="557"/>
        <v>796</v>
      </c>
      <c r="AC512" s="99">
        <f t="shared" si="8"/>
        <v>3980</v>
      </c>
      <c r="AD512" s="121">
        <f t="shared" si="558"/>
        <v>37491.599999999999</v>
      </c>
      <c r="AE512" s="99">
        <f t="shared" si="10"/>
        <v>35820</v>
      </c>
      <c r="AF512" s="121">
        <f t="shared" si="559"/>
        <v>374.916</v>
      </c>
      <c r="AG512" s="100">
        <f t="shared" si="560"/>
        <v>10616.683999999997</v>
      </c>
      <c r="AH512" s="101">
        <f t="shared" si="29"/>
        <v>8945.0839999999989</v>
      </c>
      <c r="AI512" s="102">
        <f t="shared" ref="AI512:AJ512" si="768">AG512/X512</f>
        <v>0.2667508542713567</v>
      </c>
      <c r="AJ512" s="102">
        <f t="shared" si="768"/>
        <v>0.22475085427135677</v>
      </c>
      <c r="AK512" s="103"/>
      <c r="AL512" s="104"/>
      <c r="AM512" s="17"/>
      <c r="AN512" s="17"/>
      <c r="AO512" s="17"/>
      <c r="AP512" s="17"/>
      <c r="AQ512" s="17"/>
      <c r="AR512" s="17"/>
      <c r="AS512" s="17"/>
      <c r="AT512" s="17"/>
      <c r="AU512" s="17"/>
      <c r="AV512" s="17"/>
      <c r="AW512" s="297"/>
    </row>
    <row r="513" spans="1:49" ht="13.2">
      <c r="A513" s="302"/>
      <c r="B513" s="266"/>
      <c r="C513" s="302"/>
      <c r="D513" s="117"/>
      <c r="E513" s="302"/>
      <c r="F513" s="123" t="s">
        <v>1088</v>
      </c>
      <c r="G513" s="218" t="s">
        <v>1293</v>
      </c>
      <c r="H513" s="125"/>
      <c r="I513" s="125"/>
      <c r="J513" s="93">
        <v>14</v>
      </c>
      <c r="K513" s="82">
        <f t="shared" si="764"/>
        <v>0.625</v>
      </c>
      <c r="L513" s="82">
        <v>10</v>
      </c>
      <c r="M513" s="82">
        <f t="shared" si="550"/>
        <v>0.283495</v>
      </c>
      <c r="N513" s="93">
        <v>0</v>
      </c>
      <c r="O513" s="93">
        <v>0</v>
      </c>
      <c r="P513" s="95">
        <f t="shared" si="731"/>
        <v>14</v>
      </c>
      <c r="Q513" s="96">
        <f t="shared" si="733"/>
        <v>17500</v>
      </c>
      <c r="R513" s="96">
        <v>0</v>
      </c>
      <c r="S513" s="97">
        <f t="shared" si="553"/>
        <v>17500</v>
      </c>
      <c r="T513" s="97">
        <f>ROUNDUP(HLOOKUP(ROUNDUP(K513,0),'배송비 조회'!A$10:U$22,7,0)*C$3,-2)</f>
        <v>9000</v>
      </c>
      <c r="U513" s="97">
        <v>0</v>
      </c>
      <c r="V513" s="97">
        <f t="shared" si="765"/>
        <v>13300</v>
      </c>
      <c r="W513" s="97">
        <f t="shared" si="729"/>
        <v>13300</v>
      </c>
      <c r="X513" s="98">
        <f t="shared" si="555"/>
        <v>39800</v>
      </c>
      <c r="Y513" s="98">
        <f t="shared" si="27"/>
        <v>39800</v>
      </c>
      <c r="Z513" s="121">
        <v>0</v>
      </c>
      <c r="AA513" s="121">
        <f t="shared" si="556"/>
        <v>1512.3999999999999</v>
      </c>
      <c r="AB513" s="121">
        <f t="shared" si="557"/>
        <v>796</v>
      </c>
      <c r="AC513" s="99">
        <f t="shared" si="8"/>
        <v>3980</v>
      </c>
      <c r="AD513" s="121">
        <f t="shared" si="558"/>
        <v>37491.599999999999</v>
      </c>
      <c r="AE513" s="99">
        <f t="shared" si="10"/>
        <v>35820</v>
      </c>
      <c r="AF513" s="121">
        <f t="shared" si="559"/>
        <v>374.916</v>
      </c>
      <c r="AG513" s="100">
        <f t="shared" si="560"/>
        <v>10616.683999999997</v>
      </c>
      <c r="AH513" s="101">
        <f t="shared" si="29"/>
        <v>8945.0839999999989</v>
      </c>
      <c r="AI513" s="102">
        <f t="shared" ref="AI513:AJ513" si="769">AG513/X513</f>
        <v>0.2667508542713567</v>
      </c>
      <c r="AJ513" s="102">
        <f t="shared" si="769"/>
        <v>0.22475085427135677</v>
      </c>
      <c r="AK513" s="103"/>
      <c r="AL513" s="104"/>
      <c r="AM513" s="17"/>
      <c r="AN513" s="17"/>
      <c r="AO513" s="17"/>
      <c r="AP513" s="17"/>
      <c r="AQ513" s="17"/>
      <c r="AR513" s="17"/>
      <c r="AS513" s="17"/>
      <c r="AT513" s="17"/>
      <c r="AU513" s="17"/>
      <c r="AV513" s="17"/>
      <c r="AW513" s="297"/>
    </row>
    <row r="514" spans="1:49" ht="13.2">
      <c r="A514" s="302"/>
      <c r="B514" s="266"/>
      <c r="C514" s="302"/>
      <c r="D514" s="117"/>
      <c r="E514" s="302"/>
      <c r="F514" s="123" t="s">
        <v>691</v>
      </c>
      <c r="G514" s="218" t="s">
        <v>1293</v>
      </c>
      <c r="H514" s="125"/>
      <c r="I514" s="125"/>
      <c r="J514" s="93">
        <v>14</v>
      </c>
      <c r="K514" s="82">
        <f t="shared" si="764"/>
        <v>0.625</v>
      </c>
      <c r="L514" s="82">
        <v>10</v>
      </c>
      <c r="M514" s="82">
        <f t="shared" si="550"/>
        <v>0.283495</v>
      </c>
      <c r="N514" s="93">
        <v>0</v>
      </c>
      <c r="O514" s="93">
        <v>0</v>
      </c>
      <c r="P514" s="95">
        <f t="shared" si="731"/>
        <v>14</v>
      </c>
      <c r="Q514" s="96">
        <f t="shared" si="733"/>
        <v>17500</v>
      </c>
      <c r="R514" s="96">
        <v>0</v>
      </c>
      <c r="S514" s="97">
        <f t="shared" si="553"/>
        <v>17500</v>
      </c>
      <c r="T514" s="97">
        <f>ROUNDUP(HLOOKUP(ROUNDUP(K514,0),'배송비 조회'!A$10:U$22,7,0)*C$3,-2)</f>
        <v>9000</v>
      </c>
      <c r="U514" s="97">
        <v>0</v>
      </c>
      <c r="V514" s="97">
        <f t="shared" si="765"/>
        <v>13300</v>
      </c>
      <c r="W514" s="97">
        <f t="shared" si="729"/>
        <v>13300</v>
      </c>
      <c r="X514" s="98">
        <f t="shared" si="555"/>
        <v>39800</v>
      </c>
      <c r="Y514" s="98">
        <f t="shared" si="27"/>
        <v>39800</v>
      </c>
      <c r="Z514" s="121">
        <v>0</v>
      </c>
      <c r="AA514" s="121">
        <f t="shared" si="556"/>
        <v>1512.3999999999999</v>
      </c>
      <c r="AB514" s="121">
        <f t="shared" si="557"/>
        <v>796</v>
      </c>
      <c r="AC514" s="99">
        <f t="shared" si="8"/>
        <v>3980</v>
      </c>
      <c r="AD514" s="121">
        <f t="shared" si="558"/>
        <v>37491.599999999999</v>
      </c>
      <c r="AE514" s="99">
        <f t="shared" si="10"/>
        <v>35820</v>
      </c>
      <c r="AF514" s="121">
        <f t="shared" si="559"/>
        <v>374.916</v>
      </c>
      <c r="AG514" s="100">
        <f t="shared" si="560"/>
        <v>10616.683999999997</v>
      </c>
      <c r="AH514" s="101">
        <f t="shared" si="29"/>
        <v>8945.0839999999989</v>
      </c>
      <c r="AI514" s="102">
        <f t="shared" ref="AI514:AJ514" si="770">AG514/X514</f>
        <v>0.2667508542713567</v>
      </c>
      <c r="AJ514" s="102">
        <f t="shared" si="770"/>
        <v>0.22475085427135677</v>
      </c>
      <c r="AK514" s="103"/>
      <c r="AL514" s="104"/>
      <c r="AM514" s="17"/>
      <c r="AN514" s="17"/>
      <c r="AO514" s="17"/>
      <c r="AP514" s="17"/>
      <c r="AQ514" s="17"/>
      <c r="AR514" s="17"/>
      <c r="AS514" s="17"/>
      <c r="AT514" s="17"/>
      <c r="AU514" s="17"/>
      <c r="AV514" s="17"/>
      <c r="AW514" s="297"/>
    </row>
    <row r="515" spans="1:49" ht="13.2">
      <c r="A515" s="302"/>
      <c r="B515" s="266"/>
      <c r="C515" s="302"/>
      <c r="D515" s="117"/>
      <c r="E515" s="302"/>
      <c r="F515" s="123" t="s">
        <v>983</v>
      </c>
      <c r="G515" s="218" t="s">
        <v>1293</v>
      </c>
      <c r="H515" s="125"/>
      <c r="I515" s="125"/>
      <c r="J515" s="93">
        <v>14</v>
      </c>
      <c r="K515" s="82">
        <f t="shared" si="764"/>
        <v>0.625</v>
      </c>
      <c r="L515" s="82">
        <v>10</v>
      </c>
      <c r="M515" s="82">
        <f t="shared" si="550"/>
        <v>0.283495</v>
      </c>
      <c r="N515" s="93">
        <v>0</v>
      </c>
      <c r="O515" s="93">
        <v>0</v>
      </c>
      <c r="P515" s="95">
        <f t="shared" si="731"/>
        <v>14</v>
      </c>
      <c r="Q515" s="96">
        <f t="shared" si="733"/>
        <v>17500</v>
      </c>
      <c r="R515" s="96">
        <v>0</v>
      </c>
      <c r="S515" s="97">
        <f t="shared" si="553"/>
        <v>17500</v>
      </c>
      <c r="T515" s="97">
        <f>ROUNDUP(HLOOKUP(ROUNDUP(K515,0),'배송비 조회'!A$10:U$22,7,0)*C$3,-2)</f>
        <v>9000</v>
      </c>
      <c r="U515" s="97">
        <v>0</v>
      </c>
      <c r="V515" s="97">
        <f t="shared" si="765"/>
        <v>13300</v>
      </c>
      <c r="W515" s="97">
        <f t="shared" si="729"/>
        <v>13300</v>
      </c>
      <c r="X515" s="98">
        <f t="shared" si="555"/>
        <v>39800</v>
      </c>
      <c r="Y515" s="98">
        <f t="shared" si="27"/>
        <v>39800</v>
      </c>
      <c r="Z515" s="121">
        <v>0</v>
      </c>
      <c r="AA515" s="121">
        <f t="shared" si="556"/>
        <v>1512.3999999999999</v>
      </c>
      <c r="AB515" s="121">
        <f t="shared" si="557"/>
        <v>796</v>
      </c>
      <c r="AC515" s="99">
        <f t="shared" si="8"/>
        <v>3980</v>
      </c>
      <c r="AD515" s="121">
        <f t="shared" si="558"/>
        <v>37491.599999999999</v>
      </c>
      <c r="AE515" s="99">
        <f t="shared" si="10"/>
        <v>35820</v>
      </c>
      <c r="AF515" s="121">
        <f t="shared" si="559"/>
        <v>374.916</v>
      </c>
      <c r="AG515" s="100">
        <f t="shared" si="560"/>
        <v>10616.683999999997</v>
      </c>
      <c r="AH515" s="101">
        <f t="shared" si="29"/>
        <v>8945.0839999999989</v>
      </c>
      <c r="AI515" s="102">
        <f t="shared" ref="AI515:AJ515" si="771">AG515/X515</f>
        <v>0.2667508542713567</v>
      </c>
      <c r="AJ515" s="102">
        <f t="shared" si="771"/>
        <v>0.22475085427135677</v>
      </c>
      <c r="AK515" s="103"/>
      <c r="AL515" s="104"/>
      <c r="AM515" s="17"/>
      <c r="AN515" s="17"/>
      <c r="AO515" s="17"/>
      <c r="AP515" s="17"/>
      <c r="AQ515" s="17"/>
      <c r="AR515" s="17"/>
      <c r="AS515" s="17"/>
      <c r="AT515" s="17"/>
      <c r="AU515" s="17"/>
      <c r="AV515" s="17"/>
      <c r="AW515" s="297"/>
    </row>
    <row r="516" spans="1:49" ht="13.2">
      <c r="A516" s="119">
        <f>HYPERLINK("https://www.amazon.com/gp/product/B07BB4FFY7/ref=ppx_od_dt_b_asin_image_s00?ie=UTF8&amp;psc=1",AW:AW)</f>
        <v>4700228723</v>
      </c>
      <c r="B516" s="276"/>
      <c r="C516" s="130" t="s">
        <v>1089</v>
      </c>
      <c r="D516" s="130"/>
      <c r="E516" s="117" t="s">
        <v>1090</v>
      </c>
      <c r="F516" s="123"/>
      <c r="G516" s="124" t="str">
        <f>HYPERLINK("https://www.amazon.com/gp/product/B07CWJR6YB","A")</f>
        <v>A</v>
      </c>
      <c r="H516" s="125"/>
      <c r="I516" s="125"/>
      <c r="J516" s="93">
        <v>138</v>
      </c>
      <c r="K516" s="82">
        <v>12.3</v>
      </c>
      <c r="L516" s="82">
        <f>IF(K516&gt;0,K516*16,)</f>
        <v>196.8</v>
      </c>
      <c r="M516" s="82">
        <f t="shared" si="550"/>
        <v>5.5791816000000001</v>
      </c>
      <c r="N516" s="93">
        <v>0</v>
      </c>
      <c r="O516" s="93">
        <v>0</v>
      </c>
      <c r="P516" s="95">
        <f t="shared" si="731"/>
        <v>138</v>
      </c>
      <c r="Q516" s="96">
        <f t="shared" si="733"/>
        <v>172500</v>
      </c>
      <c r="R516" s="96">
        <v>0</v>
      </c>
      <c r="S516" s="97">
        <f t="shared" si="553"/>
        <v>172500</v>
      </c>
      <c r="T516" s="97">
        <f>ROUNDUP(HLOOKUP(ROUNDUP(K516,0),'배송비 조회'!A$10:U$22,7,0)*C$3,-2)</f>
        <v>35300</v>
      </c>
      <c r="U516" s="97">
        <v>0</v>
      </c>
      <c r="V516" s="97">
        <f t="shared" ref="V516:V523" si="772">ROUND(IF(R516&gt;0,0,(S516+T516)*0.3),-2)</f>
        <v>62300</v>
      </c>
      <c r="W516" s="97">
        <f t="shared" si="729"/>
        <v>103900</v>
      </c>
      <c r="X516" s="98">
        <f t="shared" si="555"/>
        <v>270100</v>
      </c>
      <c r="Y516" s="98">
        <f t="shared" si="27"/>
        <v>311700</v>
      </c>
      <c r="Z516" s="121">
        <v>0</v>
      </c>
      <c r="AA516" s="121">
        <f t="shared" si="556"/>
        <v>10263.799999999999</v>
      </c>
      <c r="AB516" s="121">
        <f t="shared" si="557"/>
        <v>5402</v>
      </c>
      <c r="AC516" s="99">
        <f t="shared" si="8"/>
        <v>31170</v>
      </c>
      <c r="AD516" s="121">
        <f t="shared" si="558"/>
        <v>254434.2</v>
      </c>
      <c r="AE516" s="99">
        <f t="shared" si="10"/>
        <v>280530</v>
      </c>
      <c r="AF516" s="121">
        <f t="shared" si="559"/>
        <v>2544.3420000000001</v>
      </c>
      <c r="AG516" s="100">
        <f t="shared" si="560"/>
        <v>44089.858000000007</v>
      </c>
      <c r="AH516" s="101">
        <f t="shared" si="29"/>
        <v>70185.657999999996</v>
      </c>
      <c r="AI516" s="102">
        <f t="shared" ref="AI516:AJ516" si="773">AG516/X516</f>
        <v>0.16323531284709369</v>
      </c>
      <c r="AJ516" s="102">
        <f t="shared" si="773"/>
        <v>0.22517054218800128</v>
      </c>
      <c r="AK516" s="103"/>
      <c r="AL516" s="104"/>
      <c r="AM516" s="17"/>
      <c r="AN516" s="17"/>
      <c r="AO516" s="17"/>
      <c r="AP516" s="17"/>
      <c r="AQ516" s="17"/>
      <c r="AR516" s="17"/>
      <c r="AS516" s="17"/>
      <c r="AT516" s="17"/>
      <c r="AU516" s="17"/>
      <c r="AV516" s="17"/>
      <c r="AW516" s="26">
        <v>4700228723</v>
      </c>
    </row>
    <row r="517" spans="1:49" ht="13.2">
      <c r="A517" s="303">
        <f>HYPERLINK("https://smartstore.naver.com/brickstore2019/products/4700257375",AW:AW)</f>
        <v>4700257375</v>
      </c>
      <c r="B517" s="266"/>
      <c r="C517" s="304" t="s">
        <v>1091</v>
      </c>
      <c r="D517" s="117"/>
      <c r="E517" s="304" t="s">
        <v>1092</v>
      </c>
      <c r="F517" s="123" t="s">
        <v>1093</v>
      </c>
      <c r="G517" s="124" t="str">
        <f>HYPERLINK("https://www.amazon.com/Thermos-Stainless-16-Ounce-Tumbler-Midnight/dp/B07F2589QM/ref=mp_s_a_1_9?ie=UTF8&amp;qid=1549869043&amp;sr=8-9&amp;pi=AC_SX236_SY340_QL65&amp;keywords=thermos&amp;dpPl=1&amp;dpID=31kymfBM1BL&amp;ref=plSrch&amp;th=1","A")</f>
        <v>A</v>
      </c>
      <c r="H517" s="125"/>
      <c r="I517" s="125"/>
      <c r="J517" s="93">
        <v>25</v>
      </c>
      <c r="K517" s="82">
        <f t="shared" ref="K517:K523" si="774">IF(L517&gt;0,L517*0.0625,)</f>
        <v>0.75</v>
      </c>
      <c r="L517" s="82">
        <v>12</v>
      </c>
      <c r="M517" s="82">
        <f t="shared" si="550"/>
        <v>0.340194</v>
      </c>
      <c r="N517" s="93">
        <v>0</v>
      </c>
      <c r="O517" s="93">
        <v>0</v>
      </c>
      <c r="P517" s="95">
        <f t="shared" si="731"/>
        <v>25</v>
      </c>
      <c r="Q517" s="96">
        <f t="shared" si="733"/>
        <v>31250</v>
      </c>
      <c r="R517" s="96">
        <v>0</v>
      </c>
      <c r="S517" s="97">
        <f t="shared" si="553"/>
        <v>31300</v>
      </c>
      <c r="T517" s="97">
        <f>ROUNDUP(HLOOKUP(ROUNDUP(K517,0),'배송비 조회'!A$10:U$22,7,0)*C$3,-2)</f>
        <v>9000</v>
      </c>
      <c r="U517" s="97">
        <v>0</v>
      </c>
      <c r="V517" s="97">
        <f t="shared" si="772"/>
        <v>12100</v>
      </c>
      <c r="W517" s="97">
        <f t="shared" si="729"/>
        <v>20200</v>
      </c>
      <c r="X517" s="98">
        <f t="shared" si="555"/>
        <v>52400</v>
      </c>
      <c r="Y517" s="98">
        <f t="shared" si="27"/>
        <v>60500</v>
      </c>
      <c r="Z517" s="121">
        <v>0</v>
      </c>
      <c r="AA517" s="121">
        <f t="shared" si="556"/>
        <v>1991.2</v>
      </c>
      <c r="AB517" s="121">
        <f t="shared" si="557"/>
        <v>1048</v>
      </c>
      <c r="AC517" s="99">
        <f t="shared" si="8"/>
        <v>6050</v>
      </c>
      <c r="AD517" s="121">
        <f t="shared" si="558"/>
        <v>49360.800000000003</v>
      </c>
      <c r="AE517" s="99">
        <f t="shared" si="10"/>
        <v>54450</v>
      </c>
      <c r="AF517" s="121">
        <f t="shared" si="559"/>
        <v>493.60800000000006</v>
      </c>
      <c r="AG517" s="100">
        <f t="shared" si="560"/>
        <v>8617.1920000000027</v>
      </c>
      <c r="AH517" s="101">
        <f t="shared" si="29"/>
        <v>13706.392</v>
      </c>
      <c r="AI517" s="102">
        <f t="shared" ref="AI517:AJ517" si="775">AG517/X517</f>
        <v>0.16445022900763365</v>
      </c>
      <c r="AJ517" s="102">
        <f t="shared" si="775"/>
        <v>0.22655193388429751</v>
      </c>
      <c r="AK517" s="103">
        <f>X517-X519</f>
        <v>0</v>
      </c>
      <c r="AL517" s="104"/>
      <c r="AM517" s="17"/>
      <c r="AN517" s="17"/>
      <c r="AO517" s="17"/>
      <c r="AP517" s="17"/>
      <c r="AQ517" s="17"/>
      <c r="AR517" s="17"/>
      <c r="AS517" s="17"/>
      <c r="AT517" s="17"/>
      <c r="AU517" s="17"/>
      <c r="AV517" s="17"/>
      <c r="AW517" s="296">
        <v>4700257375</v>
      </c>
    </row>
    <row r="518" spans="1:49" ht="13.2">
      <c r="A518" s="302"/>
      <c r="B518" s="266"/>
      <c r="C518" s="302"/>
      <c r="D518" s="117"/>
      <c r="E518" s="302"/>
      <c r="F518" s="123" t="s">
        <v>1094</v>
      </c>
      <c r="G518" s="124" t="str">
        <f>HYPERLINK("https://www.amazon.com/Thermos-Stainless-16-Ounce-Tumbler-Midnight/dp/B00FFADO8A/ref=mp_s_a_1_9?ie=UTF8&amp;qid=1549869043&amp;sr=8-9&amp;pi=AC_SX236_SY340_QL65&amp;keywords=thermos&amp;dpPl=1&amp;dpID=31kymfBM1BL&amp;ref=plSrch&amp;th=1","A")</f>
        <v>A</v>
      </c>
      <c r="H518" s="125"/>
      <c r="I518" s="125"/>
      <c r="J518" s="93">
        <v>25</v>
      </c>
      <c r="K518" s="82">
        <f t="shared" si="774"/>
        <v>0.75</v>
      </c>
      <c r="L518" s="82">
        <v>12</v>
      </c>
      <c r="M518" s="82">
        <f t="shared" si="550"/>
        <v>0.340194</v>
      </c>
      <c r="N518" s="93">
        <v>0</v>
      </c>
      <c r="O518" s="93">
        <v>0</v>
      </c>
      <c r="P518" s="95">
        <f t="shared" si="731"/>
        <v>25</v>
      </c>
      <c r="Q518" s="96">
        <f t="shared" si="733"/>
        <v>31250</v>
      </c>
      <c r="R518" s="96">
        <v>0</v>
      </c>
      <c r="S518" s="97">
        <f t="shared" si="553"/>
        <v>31300</v>
      </c>
      <c r="T518" s="97">
        <f>ROUNDUP(HLOOKUP(ROUNDUP(K518,0),'배송비 조회'!A$10:U$22,7,0)*C$3,-2)</f>
        <v>9000</v>
      </c>
      <c r="U518" s="97">
        <v>0</v>
      </c>
      <c r="V518" s="97">
        <f t="shared" si="772"/>
        <v>12100</v>
      </c>
      <c r="W518" s="97">
        <f t="shared" si="729"/>
        <v>20200</v>
      </c>
      <c r="X518" s="98">
        <f t="shared" si="555"/>
        <v>52400</v>
      </c>
      <c r="Y518" s="98">
        <f t="shared" si="27"/>
        <v>60500</v>
      </c>
      <c r="Z518" s="121">
        <v>0</v>
      </c>
      <c r="AA518" s="121">
        <f t="shared" si="556"/>
        <v>1991.2</v>
      </c>
      <c r="AB518" s="121">
        <f t="shared" si="557"/>
        <v>1048</v>
      </c>
      <c r="AC518" s="99">
        <f t="shared" si="8"/>
        <v>6050</v>
      </c>
      <c r="AD518" s="121">
        <f t="shared" si="558"/>
        <v>49360.800000000003</v>
      </c>
      <c r="AE518" s="99">
        <f t="shared" si="10"/>
        <v>54450</v>
      </c>
      <c r="AF518" s="121">
        <f t="shared" si="559"/>
        <v>493.60800000000006</v>
      </c>
      <c r="AG518" s="100">
        <f t="shared" si="560"/>
        <v>8617.1920000000027</v>
      </c>
      <c r="AH518" s="101">
        <f t="shared" si="29"/>
        <v>13706.392</v>
      </c>
      <c r="AI518" s="102">
        <f t="shared" ref="AI518:AJ518" si="776">AG518/X518</f>
        <v>0.16445022900763365</v>
      </c>
      <c r="AJ518" s="102">
        <f t="shared" si="776"/>
        <v>0.22655193388429751</v>
      </c>
      <c r="AK518" s="103">
        <f>X518-X519</f>
        <v>0</v>
      </c>
      <c r="AL518" s="104"/>
      <c r="AM518" s="17"/>
      <c r="AN518" s="17"/>
      <c r="AO518" s="17"/>
      <c r="AP518" s="17"/>
      <c r="AQ518" s="17"/>
      <c r="AR518" s="17"/>
      <c r="AS518" s="17"/>
      <c r="AT518" s="17"/>
      <c r="AU518" s="17"/>
      <c r="AV518" s="17"/>
      <c r="AW518" s="297"/>
    </row>
    <row r="519" spans="1:49" ht="13.2">
      <c r="A519" s="302"/>
      <c r="B519" s="266"/>
      <c r="C519" s="302"/>
      <c r="D519" s="117"/>
      <c r="E519" s="302"/>
      <c r="F519" s="123" t="s">
        <v>1095</v>
      </c>
      <c r="G519" s="124" t="str">
        <f>HYPERLINK("https://www.amazon.com/Thermos-Stainless-16-Ounce-Tumbler-Midnight/dp/B01N5G1QHP/ref=mp_s_a_1_9?ie=UTF8&amp;qid=1549869043&amp;sr=8-9&amp;pi=AC_SX236_SY340_QL65&amp;keywords=thermos&amp;dpPl=1&amp;dpID=31kymfBM1BL&amp;ref=plSrch&amp;th=1","A")</f>
        <v>A</v>
      </c>
      <c r="H519" s="125"/>
      <c r="I519" s="125"/>
      <c r="J519" s="93">
        <v>25</v>
      </c>
      <c r="K519" s="82">
        <f t="shared" si="774"/>
        <v>0.75</v>
      </c>
      <c r="L519" s="82">
        <v>12</v>
      </c>
      <c r="M519" s="82">
        <f t="shared" si="550"/>
        <v>0.340194</v>
      </c>
      <c r="N519" s="93">
        <v>0</v>
      </c>
      <c r="O519" s="93">
        <v>0</v>
      </c>
      <c r="P519" s="95">
        <f t="shared" si="731"/>
        <v>25</v>
      </c>
      <c r="Q519" s="96">
        <f t="shared" si="733"/>
        <v>31250</v>
      </c>
      <c r="R519" s="96">
        <v>0</v>
      </c>
      <c r="S519" s="97">
        <f t="shared" si="553"/>
        <v>31300</v>
      </c>
      <c r="T519" s="97">
        <f>ROUNDUP(HLOOKUP(ROUNDUP(K519,0),'배송비 조회'!A$10:U$22,7,0)*C$3,-2)</f>
        <v>9000</v>
      </c>
      <c r="U519" s="97">
        <v>0</v>
      </c>
      <c r="V519" s="97">
        <f t="shared" si="772"/>
        <v>12100</v>
      </c>
      <c r="W519" s="97">
        <f t="shared" si="729"/>
        <v>20200</v>
      </c>
      <c r="X519" s="98">
        <f t="shared" si="555"/>
        <v>52400</v>
      </c>
      <c r="Y519" s="98">
        <f t="shared" si="27"/>
        <v>60500</v>
      </c>
      <c r="Z519" s="121">
        <v>0</v>
      </c>
      <c r="AA519" s="121">
        <f t="shared" si="556"/>
        <v>1991.2</v>
      </c>
      <c r="AB519" s="121">
        <f t="shared" si="557"/>
        <v>1048</v>
      </c>
      <c r="AC519" s="99">
        <f t="shared" si="8"/>
        <v>6050</v>
      </c>
      <c r="AD519" s="121">
        <f t="shared" si="558"/>
        <v>49360.800000000003</v>
      </c>
      <c r="AE519" s="99">
        <f t="shared" si="10"/>
        <v>54450</v>
      </c>
      <c r="AF519" s="121">
        <f t="shared" si="559"/>
        <v>493.60800000000006</v>
      </c>
      <c r="AG519" s="100">
        <f t="shared" si="560"/>
        <v>8617.1920000000027</v>
      </c>
      <c r="AH519" s="101">
        <f t="shared" si="29"/>
        <v>13706.392</v>
      </c>
      <c r="AI519" s="102">
        <f t="shared" ref="AI519:AJ519" si="777">AG519/X519</f>
        <v>0.16445022900763365</v>
      </c>
      <c r="AJ519" s="102">
        <f t="shared" si="777"/>
        <v>0.22655193388429751</v>
      </c>
      <c r="AK519" s="103"/>
      <c r="AL519" s="104"/>
      <c r="AM519" s="17"/>
      <c r="AN519" s="17"/>
      <c r="AO519" s="17"/>
      <c r="AP519" s="17"/>
      <c r="AQ519" s="17"/>
      <c r="AR519" s="17"/>
      <c r="AS519" s="17"/>
      <c r="AT519" s="17"/>
      <c r="AU519" s="17"/>
      <c r="AV519" s="17"/>
      <c r="AW519" s="297"/>
    </row>
    <row r="520" spans="1:49" ht="13.2">
      <c r="A520" s="302"/>
      <c r="B520" s="266"/>
      <c r="C520" s="302"/>
      <c r="D520" s="117"/>
      <c r="E520" s="302"/>
      <c r="F520" s="123" t="s">
        <v>1081</v>
      </c>
      <c r="G520" s="124" t="str">
        <f>HYPERLINK("https://www.amazon.com/Thermos-Stainless-16-Ounce-Tumbler-Midnight/dp/B00ETP7D8Y/ref=mp_s_a_1_9?ie=UTF8&amp;qid=1549869043&amp;sr=8-9&amp;pi=AC_SX236_SY340_QL65&amp;keywords=thermos&amp;dpPl=1&amp;dpID=31kymfBM1BL&amp;ref=plSrch&amp;th=1","A")</f>
        <v>A</v>
      </c>
      <c r="H520" s="125"/>
      <c r="I520" s="125"/>
      <c r="J520" s="93">
        <v>25</v>
      </c>
      <c r="K520" s="82">
        <f t="shared" si="774"/>
        <v>0.75</v>
      </c>
      <c r="L520" s="82">
        <v>12</v>
      </c>
      <c r="M520" s="82">
        <f t="shared" si="550"/>
        <v>0.340194</v>
      </c>
      <c r="N520" s="93">
        <v>0</v>
      </c>
      <c r="O520" s="93">
        <v>0</v>
      </c>
      <c r="P520" s="95">
        <f t="shared" si="731"/>
        <v>25</v>
      </c>
      <c r="Q520" s="96">
        <f t="shared" si="733"/>
        <v>31250</v>
      </c>
      <c r="R520" s="96">
        <v>0</v>
      </c>
      <c r="S520" s="97">
        <f t="shared" si="553"/>
        <v>31300</v>
      </c>
      <c r="T520" s="97">
        <f>ROUNDUP(HLOOKUP(ROUNDUP(K520,0),'배송비 조회'!A$10:U$22,7,0)*C$3,-2)</f>
        <v>9000</v>
      </c>
      <c r="U520" s="97">
        <v>0</v>
      </c>
      <c r="V520" s="97">
        <f t="shared" si="772"/>
        <v>12100</v>
      </c>
      <c r="W520" s="97">
        <f t="shared" si="729"/>
        <v>20200</v>
      </c>
      <c r="X520" s="98">
        <f t="shared" si="555"/>
        <v>52400</v>
      </c>
      <c r="Y520" s="98">
        <f t="shared" si="27"/>
        <v>60500</v>
      </c>
      <c r="Z520" s="121">
        <v>0</v>
      </c>
      <c r="AA520" s="121">
        <f t="shared" si="556"/>
        <v>1991.2</v>
      </c>
      <c r="AB520" s="121">
        <f t="shared" si="557"/>
        <v>1048</v>
      </c>
      <c r="AC520" s="99">
        <f t="shared" si="8"/>
        <v>6050</v>
      </c>
      <c r="AD520" s="121">
        <f t="shared" si="558"/>
        <v>49360.800000000003</v>
      </c>
      <c r="AE520" s="99">
        <f t="shared" si="10"/>
        <v>54450</v>
      </c>
      <c r="AF520" s="121">
        <f t="shared" si="559"/>
        <v>493.60800000000006</v>
      </c>
      <c r="AG520" s="100">
        <f t="shared" si="560"/>
        <v>8617.1920000000027</v>
      </c>
      <c r="AH520" s="101">
        <f t="shared" si="29"/>
        <v>13706.392</v>
      </c>
      <c r="AI520" s="102">
        <f t="shared" ref="AI520:AJ520" si="778">AG520/X520</f>
        <v>0.16445022900763365</v>
      </c>
      <c r="AJ520" s="102">
        <f t="shared" si="778"/>
        <v>0.22655193388429751</v>
      </c>
      <c r="AK520" s="103">
        <f>X520-X519</f>
        <v>0</v>
      </c>
      <c r="AL520" s="104"/>
      <c r="AM520" s="17"/>
      <c r="AN520" s="17"/>
      <c r="AO520" s="17"/>
      <c r="AP520" s="17"/>
      <c r="AQ520" s="17"/>
      <c r="AR520" s="17"/>
      <c r="AS520" s="17"/>
      <c r="AT520" s="17"/>
      <c r="AU520" s="17"/>
      <c r="AV520" s="17"/>
      <c r="AW520" s="297"/>
    </row>
    <row r="521" spans="1:49" ht="13.2">
      <c r="A521" s="302"/>
      <c r="B521" s="266"/>
      <c r="C521" s="302"/>
      <c r="D521" s="117"/>
      <c r="E521" s="302"/>
      <c r="F521" s="123" t="s">
        <v>1096</v>
      </c>
      <c r="G521" s="124" t="str">
        <f>HYPERLINK("https://www.amazon.com/Thermos-Stainless-16-Ounce-Tumbler-Midnight/dp/B002PY7AYS/ref=mp_s_a_1_9?ie=UTF8&amp;qid=1549869043&amp;sr=8-9&amp;pi=AC_SX236_SY340_QL65&amp;keywords=thermos&amp;dpPl=1&amp;dpID=31kymfBM1BL&amp;ref=plSrch&amp;th=1","A")</f>
        <v>A</v>
      </c>
      <c r="H521" s="125"/>
      <c r="I521" s="125"/>
      <c r="J521" s="93">
        <v>25</v>
      </c>
      <c r="K521" s="82">
        <f t="shared" si="774"/>
        <v>0.75</v>
      </c>
      <c r="L521" s="82">
        <v>12</v>
      </c>
      <c r="M521" s="82">
        <f t="shared" si="550"/>
        <v>0.340194</v>
      </c>
      <c r="N521" s="93">
        <v>0</v>
      </c>
      <c r="O521" s="93">
        <v>0</v>
      </c>
      <c r="P521" s="95">
        <f t="shared" si="731"/>
        <v>25</v>
      </c>
      <c r="Q521" s="96">
        <f t="shared" si="733"/>
        <v>31250</v>
      </c>
      <c r="R521" s="96">
        <v>0</v>
      </c>
      <c r="S521" s="97">
        <f t="shared" si="553"/>
        <v>31300</v>
      </c>
      <c r="T521" s="97">
        <f>ROUNDUP(HLOOKUP(ROUNDUP(K521,0),'배송비 조회'!A$10:U$22,7,0)*C$3,-2)</f>
        <v>9000</v>
      </c>
      <c r="U521" s="97">
        <v>0</v>
      </c>
      <c r="V521" s="97">
        <f t="shared" si="772"/>
        <v>12100</v>
      </c>
      <c r="W521" s="97">
        <f t="shared" si="729"/>
        <v>20200</v>
      </c>
      <c r="X521" s="98">
        <f t="shared" si="555"/>
        <v>52400</v>
      </c>
      <c r="Y521" s="98">
        <f t="shared" si="27"/>
        <v>60500</v>
      </c>
      <c r="Z521" s="121">
        <v>0</v>
      </c>
      <c r="AA521" s="121">
        <f t="shared" si="556"/>
        <v>1991.2</v>
      </c>
      <c r="AB521" s="121">
        <f t="shared" si="557"/>
        <v>1048</v>
      </c>
      <c r="AC521" s="99">
        <f t="shared" si="8"/>
        <v>6050</v>
      </c>
      <c r="AD521" s="121">
        <f t="shared" si="558"/>
        <v>49360.800000000003</v>
      </c>
      <c r="AE521" s="99">
        <f t="shared" si="10"/>
        <v>54450</v>
      </c>
      <c r="AF521" s="121">
        <f t="shared" si="559"/>
        <v>493.60800000000006</v>
      </c>
      <c r="AG521" s="100">
        <f t="shared" si="560"/>
        <v>8617.1920000000027</v>
      </c>
      <c r="AH521" s="101">
        <f t="shared" si="29"/>
        <v>13706.392</v>
      </c>
      <c r="AI521" s="102">
        <f t="shared" ref="AI521:AJ521" si="779">AG521/X521</f>
        <v>0.16445022900763365</v>
      </c>
      <c r="AJ521" s="102">
        <f t="shared" si="779"/>
        <v>0.22655193388429751</v>
      </c>
      <c r="AK521" s="103"/>
      <c r="AL521" s="104"/>
      <c r="AM521" s="17"/>
      <c r="AN521" s="17"/>
      <c r="AO521" s="17"/>
      <c r="AP521" s="17"/>
      <c r="AQ521" s="17"/>
      <c r="AR521" s="17"/>
      <c r="AS521" s="17"/>
      <c r="AT521" s="17"/>
      <c r="AU521" s="17"/>
      <c r="AV521" s="17"/>
      <c r="AW521" s="297"/>
    </row>
    <row r="522" spans="1:49" ht="13.2">
      <c r="A522" s="302"/>
      <c r="B522" s="266"/>
      <c r="C522" s="302"/>
      <c r="D522" s="117"/>
      <c r="E522" s="302"/>
      <c r="F522" s="123" t="s">
        <v>1097</v>
      </c>
      <c r="G522" s="124" t="str">
        <f>HYPERLINK("https://www.amazon.com/Thermos-Stainless-16-Ounce-Tumbler-Midnight/dp/B07F275JLQ/ref=mp_s_a_1_9?ie=UTF8&amp;qid=1549869043&amp;sr=8-9&amp;pi=AC_SX236_SY340_QL65&amp;keywords=thermos&amp;dpPl=1&amp;dpID=31kymfBM1BL&amp;ref=plSrch&amp;th=1","A")</f>
        <v>A</v>
      </c>
      <c r="H522" s="125"/>
      <c r="I522" s="125"/>
      <c r="J522" s="93">
        <v>25</v>
      </c>
      <c r="K522" s="82">
        <f t="shared" si="774"/>
        <v>0.75</v>
      </c>
      <c r="L522" s="82">
        <v>12</v>
      </c>
      <c r="M522" s="82">
        <f t="shared" si="550"/>
        <v>0.340194</v>
      </c>
      <c r="N522" s="93">
        <v>0</v>
      </c>
      <c r="O522" s="93">
        <v>0</v>
      </c>
      <c r="P522" s="95">
        <f t="shared" si="731"/>
        <v>25</v>
      </c>
      <c r="Q522" s="96">
        <f t="shared" si="733"/>
        <v>31250</v>
      </c>
      <c r="R522" s="96">
        <v>0</v>
      </c>
      <c r="S522" s="97">
        <f t="shared" si="553"/>
        <v>31300</v>
      </c>
      <c r="T522" s="97">
        <f>ROUNDUP(HLOOKUP(ROUNDUP(K522,0),'배송비 조회'!A$10:U$22,7,0)*C$3,-2)</f>
        <v>9000</v>
      </c>
      <c r="U522" s="97">
        <v>0</v>
      </c>
      <c r="V522" s="97">
        <f t="shared" si="772"/>
        <v>12100</v>
      </c>
      <c r="W522" s="97">
        <f t="shared" si="729"/>
        <v>20200</v>
      </c>
      <c r="X522" s="98">
        <f t="shared" si="555"/>
        <v>52400</v>
      </c>
      <c r="Y522" s="98">
        <f t="shared" si="27"/>
        <v>60500</v>
      </c>
      <c r="Z522" s="121">
        <v>0</v>
      </c>
      <c r="AA522" s="121">
        <f t="shared" si="556"/>
        <v>1991.2</v>
      </c>
      <c r="AB522" s="121">
        <f t="shared" si="557"/>
        <v>1048</v>
      </c>
      <c r="AC522" s="99">
        <f t="shared" si="8"/>
        <v>6050</v>
      </c>
      <c r="AD522" s="121">
        <f t="shared" si="558"/>
        <v>49360.800000000003</v>
      </c>
      <c r="AE522" s="99">
        <f t="shared" si="10"/>
        <v>54450</v>
      </c>
      <c r="AF522" s="121">
        <f t="shared" si="559"/>
        <v>493.60800000000006</v>
      </c>
      <c r="AG522" s="100">
        <f t="shared" si="560"/>
        <v>8617.1920000000027</v>
      </c>
      <c r="AH522" s="101">
        <f t="shared" si="29"/>
        <v>13706.392</v>
      </c>
      <c r="AI522" s="102">
        <f t="shared" ref="AI522:AJ522" si="780">AG522/X522</f>
        <v>0.16445022900763365</v>
      </c>
      <c r="AJ522" s="102">
        <f t="shared" si="780"/>
        <v>0.22655193388429751</v>
      </c>
      <c r="AK522" s="103">
        <f>X522-X521</f>
        <v>0</v>
      </c>
      <c r="AL522" s="104"/>
      <c r="AM522" s="17"/>
      <c r="AN522" s="17"/>
      <c r="AO522" s="17"/>
      <c r="AP522" s="17"/>
      <c r="AQ522" s="17"/>
      <c r="AR522" s="17"/>
      <c r="AS522" s="17"/>
      <c r="AT522" s="17"/>
      <c r="AU522" s="17"/>
      <c r="AV522" s="17"/>
      <c r="AW522" s="297"/>
    </row>
    <row r="523" spans="1:49" ht="13.2">
      <c r="A523" s="302"/>
      <c r="B523" s="266"/>
      <c r="C523" s="302"/>
      <c r="D523" s="117"/>
      <c r="E523" s="302"/>
      <c r="F523" s="123" t="s">
        <v>1098</v>
      </c>
      <c r="G523" s="124" t="str">
        <f>HYPERLINK("https://www.amazon.com/Thermos-Stainless-16-Ounce-Tumbler-Midnight/dp/B01DZQT0FG/ref=mp_s_a_1_9?ie=UTF8&amp;qid=1549869043&amp;sr=8-9&amp;pi=AC_SX236_SY340_QL65&amp;keywords=thermos&amp;dpPl=1&amp;dpID=31kymfBM1BL&amp;ref=plSrch&amp;th=1","A")</f>
        <v>A</v>
      </c>
      <c r="H523" s="125"/>
      <c r="I523" s="125"/>
      <c r="J523" s="93">
        <v>25</v>
      </c>
      <c r="K523" s="82">
        <f t="shared" si="774"/>
        <v>0.75</v>
      </c>
      <c r="L523" s="82">
        <v>12</v>
      </c>
      <c r="M523" s="82">
        <f t="shared" si="550"/>
        <v>0.340194</v>
      </c>
      <c r="N523" s="93">
        <v>0</v>
      </c>
      <c r="O523" s="93">
        <v>0</v>
      </c>
      <c r="P523" s="95">
        <f t="shared" si="731"/>
        <v>25</v>
      </c>
      <c r="Q523" s="96">
        <f t="shared" si="733"/>
        <v>31250</v>
      </c>
      <c r="R523" s="96">
        <v>0</v>
      </c>
      <c r="S523" s="97">
        <f t="shared" si="553"/>
        <v>31300</v>
      </c>
      <c r="T523" s="97">
        <f>ROUNDUP(HLOOKUP(ROUNDUP(K523,0),'배송비 조회'!A$10:U$22,7,0)*C$3,-2)</f>
        <v>9000</v>
      </c>
      <c r="U523" s="97">
        <v>0</v>
      </c>
      <c r="V523" s="97">
        <f t="shared" si="772"/>
        <v>12100</v>
      </c>
      <c r="W523" s="97">
        <f t="shared" si="729"/>
        <v>20200</v>
      </c>
      <c r="X523" s="98">
        <f t="shared" si="555"/>
        <v>52400</v>
      </c>
      <c r="Y523" s="98">
        <f t="shared" si="27"/>
        <v>60500</v>
      </c>
      <c r="Z523" s="121">
        <v>0</v>
      </c>
      <c r="AA523" s="121">
        <f t="shared" si="556"/>
        <v>1991.2</v>
      </c>
      <c r="AB523" s="121">
        <f t="shared" si="557"/>
        <v>1048</v>
      </c>
      <c r="AC523" s="99">
        <f t="shared" si="8"/>
        <v>6050</v>
      </c>
      <c r="AD523" s="121">
        <f t="shared" si="558"/>
        <v>49360.800000000003</v>
      </c>
      <c r="AE523" s="99">
        <f t="shared" si="10"/>
        <v>54450</v>
      </c>
      <c r="AF523" s="121">
        <f t="shared" si="559"/>
        <v>493.60800000000006</v>
      </c>
      <c r="AG523" s="100">
        <f t="shared" si="560"/>
        <v>8617.1920000000027</v>
      </c>
      <c r="AH523" s="101">
        <f t="shared" si="29"/>
        <v>13706.392</v>
      </c>
      <c r="AI523" s="102">
        <f t="shared" ref="AI523:AJ523" si="781">AG523/X523</f>
        <v>0.16445022900763365</v>
      </c>
      <c r="AJ523" s="102">
        <f t="shared" si="781"/>
        <v>0.22655193388429751</v>
      </c>
      <c r="AK523" s="103">
        <f>X523-X521</f>
        <v>0</v>
      </c>
      <c r="AL523" s="104"/>
      <c r="AM523" s="17"/>
      <c r="AN523" s="17"/>
      <c r="AO523" s="17"/>
      <c r="AP523" s="17"/>
      <c r="AQ523" s="17"/>
      <c r="AR523" s="17"/>
      <c r="AS523" s="17"/>
      <c r="AT523" s="17"/>
      <c r="AU523" s="17"/>
      <c r="AV523" s="17"/>
      <c r="AW523" s="297"/>
    </row>
    <row r="524" spans="1:49" ht="13.2">
      <c r="A524" s="303">
        <f>HYPERLINK("https://smartstore.naver.com/brickstore2019/products/4701177645",AW:AW)</f>
        <v>4701177645</v>
      </c>
      <c r="B524" s="266"/>
      <c r="C524" s="304" t="s">
        <v>1099</v>
      </c>
      <c r="D524" s="117"/>
      <c r="E524" s="304" t="s">
        <v>1100</v>
      </c>
      <c r="F524" s="123" t="s">
        <v>55</v>
      </c>
      <c r="G524" s="124" t="str">
        <f>HYPERLINK("https://www.amazon.com/Champion-Mens-Manuscript-Backpack-Black/dp/B07BKVY1PQ/ref=zg_bs_2404179011_47?_encoding=UTF8&amp;refRID=DS8C3KB6T36C25Z9V5D1&amp;th=1&amp;psc=1","A")</f>
        <v>A</v>
      </c>
      <c r="H524" s="125"/>
      <c r="I524" s="125"/>
      <c r="J524" s="93">
        <v>40</v>
      </c>
      <c r="K524" s="82">
        <v>1.5</v>
      </c>
      <c r="L524" s="82">
        <f t="shared" ref="L524:L530" si="782">IF(K524&gt;0,K524*16,)</f>
        <v>24</v>
      </c>
      <c r="M524" s="82">
        <f t="shared" si="550"/>
        <v>0.68038799999999999</v>
      </c>
      <c r="N524" s="93">
        <v>0</v>
      </c>
      <c r="O524" s="93">
        <v>0</v>
      </c>
      <c r="P524" s="95">
        <f t="shared" si="731"/>
        <v>40</v>
      </c>
      <c r="Q524" s="96">
        <f t="shared" si="733"/>
        <v>50000</v>
      </c>
      <c r="R524" s="96">
        <v>0</v>
      </c>
      <c r="S524" s="97">
        <f t="shared" si="553"/>
        <v>50000</v>
      </c>
      <c r="T524" s="97">
        <f>ROUNDUP(HLOOKUP(ROUNDUP(K524,0),'배송비 조회'!A$10:U$22,7,0)*C$3,-2)</f>
        <v>11200</v>
      </c>
      <c r="U524" s="97">
        <v>0</v>
      </c>
      <c r="V524" s="97">
        <f t="shared" ref="V524:V527" si="783">ROUND(IF(R524&gt;0,0,(S524+T524)*0.4),-2)</f>
        <v>24500</v>
      </c>
      <c r="W524" s="97">
        <f t="shared" si="729"/>
        <v>30600</v>
      </c>
      <c r="X524" s="98">
        <f t="shared" si="555"/>
        <v>85700</v>
      </c>
      <c r="Y524" s="98">
        <f t="shared" si="27"/>
        <v>91800</v>
      </c>
      <c r="Z524" s="121">
        <v>0</v>
      </c>
      <c r="AA524" s="121">
        <f t="shared" si="556"/>
        <v>3256.6</v>
      </c>
      <c r="AB524" s="121">
        <f t="shared" si="557"/>
        <v>1714</v>
      </c>
      <c r="AC524" s="99">
        <f t="shared" si="8"/>
        <v>9180</v>
      </c>
      <c r="AD524" s="121">
        <f t="shared" si="558"/>
        <v>80729.399999999994</v>
      </c>
      <c r="AE524" s="99">
        <f t="shared" si="10"/>
        <v>82620</v>
      </c>
      <c r="AF524" s="121">
        <f t="shared" si="559"/>
        <v>807.29399999999998</v>
      </c>
      <c r="AG524" s="100">
        <f t="shared" si="560"/>
        <v>18722.105999999992</v>
      </c>
      <c r="AH524" s="101">
        <f t="shared" si="29"/>
        <v>20612.705999999998</v>
      </c>
      <c r="AI524" s="102">
        <f t="shared" ref="AI524:AJ524" si="784">AG524/X524</f>
        <v>0.21846098016336046</v>
      </c>
      <c r="AJ524" s="102">
        <f t="shared" si="784"/>
        <v>0.2245392810457516</v>
      </c>
      <c r="AK524" s="103"/>
      <c r="AL524" s="104"/>
      <c r="AM524" s="17"/>
      <c r="AN524" s="17"/>
      <c r="AO524" s="17"/>
      <c r="AP524" s="17"/>
      <c r="AQ524" s="17"/>
      <c r="AR524" s="17"/>
      <c r="AS524" s="17"/>
      <c r="AT524" s="17"/>
      <c r="AU524" s="17"/>
      <c r="AV524" s="17"/>
      <c r="AW524" s="296">
        <v>4701177645</v>
      </c>
    </row>
    <row r="525" spans="1:49" ht="13.2">
      <c r="A525" s="302"/>
      <c r="B525" s="266"/>
      <c r="C525" s="302"/>
      <c r="D525" s="117"/>
      <c r="E525" s="302"/>
      <c r="F525" s="123" t="s">
        <v>58</v>
      </c>
      <c r="G525" s="124" t="str">
        <f>HYPERLINK("https://www.amazon.com/Champion-Mens-Manuscript-Backpack-Black/dp/B07BKY4Y3T/ref=zg_bs_2404179011_47?_encoding=UTF8&amp;refRID=DS8C3KB6T36C25Z9V5D1&amp;th=1&amp;psc=1","A")</f>
        <v>A</v>
      </c>
      <c r="H525" s="125"/>
      <c r="I525" s="125"/>
      <c r="J525" s="93">
        <v>40</v>
      </c>
      <c r="K525" s="82">
        <v>1.5</v>
      </c>
      <c r="L525" s="82">
        <f t="shared" si="782"/>
        <v>24</v>
      </c>
      <c r="M525" s="82">
        <f t="shared" si="550"/>
        <v>0.68038799999999999</v>
      </c>
      <c r="N525" s="93">
        <v>0</v>
      </c>
      <c r="O525" s="93">
        <v>0</v>
      </c>
      <c r="P525" s="95">
        <f t="shared" si="731"/>
        <v>40</v>
      </c>
      <c r="Q525" s="96">
        <f t="shared" si="733"/>
        <v>50000</v>
      </c>
      <c r="R525" s="96">
        <v>0</v>
      </c>
      <c r="S525" s="97">
        <f t="shared" si="553"/>
        <v>50000</v>
      </c>
      <c r="T525" s="97">
        <f>ROUNDUP(HLOOKUP(ROUNDUP(K525,0),'배송비 조회'!A$10:U$22,7,0)*C$3,-2)</f>
        <v>11200</v>
      </c>
      <c r="U525" s="97">
        <v>0</v>
      </c>
      <c r="V525" s="97">
        <f t="shared" si="783"/>
        <v>24500</v>
      </c>
      <c r="W525" s="97">
        <f t="shared" si="729"/>
        <v>30600</v>
      </c>
      <c r="X525" s="98">
        <f t="shared" si="555"/>
        <v>85700</v>
      </c>
      <c r="Y525" s="98">
        <f t="shared" si="27"/>
        <v>91800</v>
      </c>
      <c r="Z525" s="121">
        <v>0</v>
      </c>
      <c r="AA525" s="121">
        <f t="shared" si="556"/>
        <v>3256.6</v>
      </c>
      <c r="AB525" s="121">
        <f t="shared" si="557"/>
        <v>1714</v>
      </c>
      <c r="AC525" s="99">
        <f t="shared" si="8"/>
        <v>9180</v>
      </c>
      <c r="AD525" s="121">
        <f t="shared" si="558"/>
        <v>80729.399999999994</v>
      </c>
      <c r="AE525" s="99">
        <f t="shared" si="10"/>
        <v>82620</v>
      </c>
      <c r="AF525" s="121">
        <f t="shared" si="559"/>
        <v>807.29399999999998</v>
      </c>
      <c r="AG525" s="100">
        <f t="shared" si="560"/>
        <v>18722.105999999992</v>
      </c>
      <c r="AH525" s="101">
        <f t="shared" si="29"/>
        <v>20612.705999999998</v>
      </c>
      <c r="AI525" s="102">
        <f t="shared" ref="AI525:AJ525" si="785">AG525/X525</f>
        <v>0.21846098016336046</v>
      </c>
      <c r="AJ525" s="102">
        <f t="shared" si="785"/>
        <v>0.2245392810457516</v>
      </c>
      <c r="AK525" s="103"/>
      <c r="AL525" s="104"/>
      <c r="AM525" s="17"/>
      <c r="AN525" s="17"/>
      <c r="AO525" s="17"/>
      <c r="AP525" s="17"/>
      <c r="AQ525" s="17"/>
      <c r="AR525" s="17"/>
      <c r="AS525" s="17"/>
      <c r="AT525" s="17"/>
      <c r="AU525" s="17"/>
      <c r="AV525" s="17"/>
      <c r="AW525" s="297"/>
    </row>
    <row r="526" spans="1:49" ht="13.2">
      <c r="A526" s="302"/>
      <c r="B526" s="266"/>
      <c r="C526" s="302"/>
      <c r="D526" s="117"/>
      <c r="E526" s="302"/>
      <c r="F526" s="123" t="s">
        <v>53</v>
      </c>
      <c r="G526" s="124" t="str">
        <f>HYPERLINK("https://www.amazon.com/Champion-Mens-Manuscript-Backpack-Black/dp/B07BKS7CVY/ref=zg_bs_2404179011_47?_encoding=UTF8&amp;refRID=DS8C3KB6T36C25Z9V5D1&amp;th=1&amp;psc=1","A")</f>
        <v>A</v>
      </c>
      <c r="H526" s="125"/>
      <c r="I526" s="125"/>
      <c r="J526" s="93">
        <v>40</v>
      </c>
      <c r="K526" s="82">
        <v>1.5</v>
      </c>
      <c r="L526" s="82">
        <f t="shared" si="782"/>
        <v>24</v>
      </c>
      <c r="M526" s="82">
        <f t="shared" si="550"/>
        <v>0.68038799999999999</v>
      </c>
      <c r="N526" s="93">
        <v>0</v>
      </c>
      <c r="O526" s="93">
        <v>0</v>
      </c>
      <c r="P526" s="95">
        <f t="shared" si="731"/>
        <v>40</v>
      </c>
      <c r="Q526" s="96">
        <f t="shared" si="733"/>
        <v>50000</v>
      </c>
      <c r="R526" s="96">
        <v>0</v>
      </c>
      <c r="S526" s="97">
        <f t="shared" si="553"/>
        <v>50000</v>
      </c>
      <c r="T526" s="97">
        <f>ROUNDUP(HLOOKUP(ROUNDUP(K526,0),'배송비 조회'!A$10:U$22,7,0)*C$3,-2)</f>
        <v>11200</v>
      </c>
      <c r="U526" s="97">
        <v>0</v>
      </c>
      <c r="V526" s="97">
        <f t="shared" si="783"/>
        <v>24500</v>
      </c>
      <c r="W526" s="97">
        <f t="shared" si="729"/>
        <v>30600</v>
      </c>
      <c r="X526" s="98">
        <f t="shared" si="555"/>
        <v>85700</v>
      </c>
      <c r="Y526" s="98">
        <f t="shared" si="27"/>
        <v>91800</v>
      </c>
      <c r="Z526" s="121">
        <v>0</v>
      </c>
      <c r="AA526" s="121">
        <f t="shared" si="556"/>
        <v>3256.6</v>
      </c>
      <c r="AB526" s="121">
        <f t="shared" si="557"/>
        <v>1714</v>
      </c>
      <c r="AC526" s="99">
        <f t="shared" si="8"/>
        <v>9180</v>
      </c>
      <c r="AD526" s="121">
        <f t="shared" si="558"/>
        <v>80729.399999999994</v>
      </c>
      <c r="AE526" s="99">
        <f t="shared" si="10"/>
        <v>82620</v>
      </c>
      <c r="AF526" s="121">
        <f t="shared" si="559"/>
        <v>807.29399999999998</v>
      </c>
      <c r="AG526" s="100">
        <f t="shared" si="560"/>
        <v>18722.105999999992</v>
      </c>
      <c r="AH526" s="101">
        <f t="shared" si="29"/>
        <v>20612.705999999998</v>
      </c>
      <c r="AI526" s="102">
        <f t="shared" ref="AI526:AJ526" si="786">AG526/X526</f>
        <v>0.21846098016336046</v>
      </c>
      <c r="AJ526" s="102">
        <f t="shared" si="786"/>
        <v>0.2245392810457516</v>
      </c>
      <c r="AK526" s="103"/>
      <c r="AL526" s="104"/>
      <c r="AM526" s="17"/>
      <c r="AN526" s="17"/>
      <c r="AO526" s="17"/>
      <c r="AP526" s="17"/>
      <c r="AQ526" s="17"/>
      <c r="AR526" s="17"/>
      <c r="AS526" s="17"/>
      <c r="AT526" s="17"/>
      <c r="AU526" s="17"/>
      <c r="AV526" s="17"/>
      <c r="AW526" s="297"/>
    </row>
    <row r="527" spans="1:49" ht="13.2">
      <c r="A527" s="302"/>
      <c r="B527" s="266"/>
      <c r="C527" s="302"/>
      <c r="D527" s="117"/>
      <c r="E527" s="302"/>
      <c r="F527" s="123" t="s">
        <v>1101</v>
      </c>
      <c r="G527" s="124" t="str">
        <f>HYPERLINK("https://www.amazon.com/Champion-Mens-Manuscript-Backpack-Black/dp/B07BKW2CXV/ref=zg_bs_2404179011_47?_encoding=UTF8&amp;refRID=DS8C3KB6T36C25Z9V5D1&amp;th=1&amp;psc=1","A")</f>
        <v>A</v>
      </c>
      <c r="H527" s="125"/>
      <c r="I527" s="125"/>
      <c r="J527" s="93">
        <v>40</v>
      </c>
      <c r="K527" s="82">
        <v>1.5</v>
      </c>
      <c r="L527" s="82">
        <f t="shared" si="782"/>
        <v>24</v>
      </c>
      <c r="M527" s="82">
        <f t="shared" si="550"/>
        <v>0.68038799999999999</v>
      </c>
      <c r="N527" s="93">
        <v>0</v>
      </c>
      <c r="O527" s="93">
        <v>0</v>
      </c>
      <c r="P527" s="95">
        <f t="shared" si="731"/>
        <v>40</v>
      </c>
      <c r="Q527" s="96">
        <f t="shared" si="733"/>
        <v>50000</v>
      </c>
      <c r="R527" s="96">
        <v>0</v>
      </c>
      <c r="S527" s="97">
        <f t="shared" si="553"/>
        <v>50000</v>
      </c>
      <c r="T527" s="97">
        <f>ROUNDUP(HLOOKUP(ROUNDUP(K527,0),'배송비 조회'!A$10:U$22,7,0)*C$3,-2)</f>
        <v>11200</v>
      </c>
      <c r="U527" s="97">
        <v>0</v>
      </c>
      <c r="V527" s="97">
        <f t="shared" si="783"/>
        <v>24500</v>
      </c>
      <c r="W527" s="97">
        <f t="shared" si="729"/>
        <v>30600</v>
      </c>
      <c r="X527" s="98">
        <f t="shared" si="555"/>
        <v>85700</v>
      </c>
      <c r="Y527" s="98">
        <f t="shared" si="27"/>
        <v>91800</v>
      </c>
      <c r="Z527" s="121">
        <v>0</v>
      </c>
      <c r="AA527" s="121">
        <f t="shared" si="556"/>
        <v>3256.6</v>
      </c>
      <c r="AB527" s="121">
        <f t="shared" si="557"/>
        <v>1714</v>
      </c>
      <c r="AC527" s="99">
        <f t="shared" si="8"/>
        <v>9180</v>
      </c>
      <c r="AD527" s="121">
        <f t="shared" si="558"/>
        <v>80729.399999999994</v>
      </c>
      <c r="AE527" s="99">
        <f t="shared" si="10"/>
        <v>82620</v>
      </c>
      <c r="AF527" s="121">
        <f t="shared" si="559"/>
        <v>807.29399999999998</v>
      </c>
      <c r="AG527" s="100">
        <f t="shared" si="560"/>
        <v>18722.105999999992</v>
      </c>
      <c r="AH527" s="101">
        <f t="shared" si="29"/>
        <v>20612.705999999998</v>
      </c>
      <c r="AI527" s="102">
        <f t="shared" ref="AI527:AJ527" si="787">AG527/X527</f>
        <v>0.21846098016336046</v>
      </c>
      <c r="AJ527" s="102">
        <f t="shared" si="787"/>
        <v>0.2245392810457516</v>
      </c>
      <c r="AK527" s="103"/>
      <c r="AL527" s="104"/>
      <c r="AM527" s="17"/>
      <c r="AN527" s="17"/>
      <c r="AO527" s="17"/>
      <c r="AP527" s="17"/>
      <c r="AQ527" s="17"/>
      <c r="AR527" s="17"/>
      <c r="AS527" s="17"/>
      <c r="AT527" s="17"/>
      <c r="AU527" s="17"/>
      <c r="AV527" s="17"/>
      <c r="AW527" s="297"/>
    </row>
    <row r="528" spans="1:49" ht="13.2">
      <c r="A528" s="303">
        <f>HYPERLINK("https://smartstore.naver.com/brickstore2019/products/4701264509",AW:AW)</f>
        <v>4701264509</v>
      </c>
      <c r="B528" s="266"/>
      <c r="C528" s="304" t="s">
        <v>1102</v>
      </c>
      <c r="D528" s="117"/>
      <c r="E528" s="304" t="s">
        <v>1103</v>
      </c>
      <c r="F528" s="123" t="s">
        <v>55</v>
      </c>
      <c r="G528" s="124" t="str">
        <f>HYPERLINK("https://www.amazon.com/Withings-Nokia-Body-Composition-smartphone/dp/B071XW4C5Q/ref=sr_1_2?keywords=withings&amp;qid=1570159477&amp;sr=8-2&amp;th=1","A")</f>
        <v>A</v>
      </c>
      <c r="H528" s="125"/>
      <c r="I528" s="125"/>
      <c r="J528" s="93">
        <v>100</v>
      </c>
      <c r="K528" s="82">
        <v>6.3</v>
      </c>
      <c r="L528" s="82">
        <f t="shared" si="782"/>
        <v>100.8</v>
      </c>
      <c r="M528" s="82">
        <f t="shared" si="550"/>
        <v>2.8576296000000001</v>
      </c>
      <c r="N528" s="93">
        <v>0</v>
      </c>
      <c r="O528" s="93">
        <v>0</v>
      </c>
      <c r="P528" s="95">
        <f t="shared" si="731"/>
        <v>100</v>
      </c>
      <c r="Q528" s="96">
        <f t="shared" si="733"/>
        <v>125000</v>
      </c>
      <c r="R528" s="96">
        <v>0</v>
      </c>
      <c r="S528" s="97">
        <f t="shared" si="553"/>
        <v>125000</v>
      </c>
      <c r="T528" s="97">
        <f>ROUNDUP(HLOOKUP(ROUNDUP(K528,0),'배송비 조회'!A$10:U$22,7,0)*C$3,-2)</f>
        <v>22200</v>
      </c>
      <c r="U528" s="97">
        <v>0</v>
      </c>
      <c r="V528" s="97">
        <f t="shared" ref="V528:V531" si="788">ROUND(IF(R528&gt;0,0,(S528+T528)*0.3),-2)</f>
        <v>44200</v>
      </c>
      <c r="W528" s="97">
        <f t="shared" si="729"/>
        <v>73600</v>
      </c>
      <c r="X528" s="98">
        <f t="shared" si="555"/>
        <v>191400</v>
      </c>
      <c r="Y528" s="98">
        <f t="shared" si="27"/>
        <v>220800</v>
      </c>
      <c r="Z528" s="121">
        <v>0</v>
      </c>
      <c r="AA528" s="121">
        <f t="shared" si="556"/>
        <v>7273.2</v>
      </c>
      <c r="AB528" s="121">
        <f t="shared" si="557"/>
        <v>3828</v>
      </c>
      <c r="AC528" s="99">
        <f t="shared" si="8"/>
        <v>22080</v>
      </c>
      <c r="AD528" s="121">
        <f t="shared" si="558"/>
        <v>180298.8</v>
      </c>
      <c r="AE528" s="99">
        <f t="shared" si="10"/>
        <v>198720</v>
      </c>
      <c r="AF528" s="121">
        <f t="shared" si="559"/>
        <v>1802.9879999999998</v>
      </c>
      <c r="AG528" s="100">
        <f t="shared" si="560"/>
        <v>31295.811999999991</v>
      </c>
      <c r="AH528" s="101">
        <f t="shared" si="29"/>
        <v>49717.012000000002</v>
      </c>
      <c r="AI528" s="102">
        <f t="shared" ref="AI528:AJ528" si="789">AG528/X528</f>
        <v>0.16350998955067916</v>
      </c>
      <c r="AJ528" s="102">
        <f t="shared" si="789"/>
        <v>0.22516762681159422</v>
      </c>
      <c r="AK528" s="103"/>
      <c r="AL528" s="104"/>
      <c r="AM528" s="17"/>
      <c r="AN528" s="17"/>
      <c r="AO528" s="17"/>
      <c r="AP528" s="17"/>
      <c r="AQ528" s="17"/>
      <c r="AR528" s="17"/>
      <c r="AS528" s="17"/>
      <c r="AT528" s="17"/>
      <c r="AU528" s="17"/>
      <c r="AV528" s="17"/>
      <c r="AW528" s="296">
        <v>4701264509</v>
      </c>
    </row>
    <row r="529" spans="1:49" ht="13.2">
      <c r="A529" s="302"/>
      <c r="B529" s="266"/>
      <c r="C529" s="302"/>
      <c r="D529" s="117"/>
      <c r="E529" s="302"/>
      <c r="F529" s="130" t="s">
        <v>98</v>
      </c>
      <c r="G529" s="124" t="str">
        <f>HYPERLINK("https://www.amazon.com/Withings-Nokia-Body-Composition-smartphone/dp/B071CMGR9C/ref=sr_1_2?keywords=withings&amp;qid=1570159477&amp;sr=8-2&amp;th=1","A")</f>
        <v>A</v>
      </c>
      <c r="H529" s="125"/>
      <c r="I529" s="125"/>
      <c r="J529" s="125">
        <v>100</v>
      </c>
      <c r="K529" s="82">
        <v>6.3</v>
      </c>
      <c r="L529" s="82">
        <f t="shared" si="782"/>
        <v>100.8</v>
      </c>
      <c r="M529" s="82">
        <f t="shared" si="550"/>
        <v>2.8576296000000001</v>
      </c>
      <c r="N529" s="93">
        <v>0</v>
      </c>
      <c r="O529" s="93">
        <v>0</v>
      </c>
      <c r="P529" s="95">
        <f t="shared" si="731"/>
        <v>100</v>
      </c>
      <c r="Q529" s="96">
        <f t="shared" si="733"/>
        <v>125000</v>
      </c>
      <c r="R529" s="96">
        <v>0</v>
      </c>
      <c r="S529" s="97">
        <f t="shared" si="553"/>
        <v>125000</v>
      </c>
      <c r="T529" s="97">
        <f>ROUNDUP(HLOOKUP(ROUNDUP(K529,0),'배송비 조회'!A$10:U$22,7,0)*C$3,-2)</f>
        <v>22200</v>
      </c>
      <c r="U529" s="97">
        <v>0</v>
      </c>
      <c r="V529" s="97">
        <f t="shared" si="788"/>
        <v>44200</v>
      </c>
      <c r="W529" s="97">
        <f t="shared" si="729"/>
        <v>73600</v>
      </c>
      <c r="X529" s="98">
        <f t="shared" si="555"/>
        <v>191400</v>
      </c>
      <c r="Y529" s="98">
        <f t="shared" si="27"/>
        <v>220800</v>
      </c>
      <c r="Z529" s="121">
        <v>0</v>
      </c>
      <c r="AA529" s="121">
        <f t="shared" si="556"/>
        <v>7273.2</v>
      </c>
      <c r="AB529" s="121">
        <f t="shared" si="557"/>
        <v>3828</v>
      </c>
      <c r="AC529" s="99">
        <f t="shared" si="8"/>
        <v>22080</v>
      </c>
      <c r="AD529" s="121">
        <f t="shared" si="558"/>
        <v>180298.8</v>
      </c>
      <c r="AE529" s="99">
        <f t="shared" si="10"/>
        <v>198720</v>
      </c>
      <c r="AF529" s="121">
        <f t="shared" si="559"/>
        <v>1802.9879999999998</v>
      </c>
      <c r="AG529" s="100">
        <f t="shared" si="560"/>
        <v>31295.811999999991</v>
      </c>
      <c r="AH529" s="101">
        <f t="shared" si="29"/>
        <v>49717.012000000002</v>
      </c>
      <c r="AI529" s="102">
        <f t="shared" ref="AI529:AJ529" si="790">AG529/X529</f>
        <v>0.16350998955067916</v>
      </c>
      <c r="AJ529" s="102">
        <f t="shared" si="790"/>
        <v>0.22516762681159422</v>
      </c>
      <c r="AK529" s="103"/>
      <c r="AL529" s="104"/>
      <c r="AM529" s="17"/>
      <c r="AN529" s="17"/>
      <c r="AO529" s="17"/>
      <c r="AP529" s="17"/>
      <c r="AQ529" s="17"/>
      <c r="AR529" s="17"/>
      <c r="AS529" s="17"/>
      <c r="AT529" s="17"/>
      <c r="AU529" s="17"/>
      <c r="AV529" s="17"/>
      <c r="AW529" s="297"/>
    </row>
    <row r="530" spans="1:49" ht="13.2">
      <c r="A530" s="302"/>
      <c r="B530" s="266"/>
      <c r="C530" s="302"/>
      <c r="D530" s="117"/>
      <c r="E530" s="302"/>
      <c r="F530" s="123" t="s">
        <v>1104</v>
      </c>
      <c r="G530" s="124" t="str">
        <f>HYPERLINK("https://www.amazon.com/Withings-Nokia-Body-Composition-smartphone/dp/B07KTPJ1NV/ref=sr_1_2?keywords=withings&amp;qid=1570159477&amp;sr=8-2&amp;th=1","A")</f>
        <v>A</v>
      </c>
      <c r="H530" s="125"/>
      <c r="I530" s="125"/>
      <c r="J530" s="125">
        <v>100</v>
      </c>
      <c r="K530" s="82">
        <v>6.3</v>
      </c>
      <c r="L530" s="82">
        <f t="shared" si="782"/>
        <v>100.8</v>
      </c>
      <c r="M530" s="82">
        <f t="shared" si="550"/>
        <v>2.8576296000000001</v>
      </c>
      <c r="N530" s="93">
        <v>0</v>
      </c>
      <c r="O530" s="93">
        <v>0</v>
      </c>
      <c r="P530" s="95">
        <f t="shared" si="731"/>
        <v>100</v>
      </c>
      <c r="Q530" s="96">
        <f t="shared" si="733"/>
        <v>125000</v>
      </c>
      <c r="R530" s="96">
        <v>0</v>
      </c>
      <c r="S530" s="97">
        <f t="shared" si="553"/>
        <v>125000</v>
      </c>
      <c r="T530" s="97">
        <f>ROUNDUP(HLOOKUP(ROUNDUP(K530,0),'배송비 조회'!A$10:U$22,7,0)*C$3,-2)</f>
        <v>22200</v>
      </c>
      <c r="U530" s="97">
        <v>0</v>
      </c>
      <c r="V530" s="97">
        <f t="shared" si="788"/>
        <v>44200</v>
      </c>
      <c r="W530" s="97">
        <f t="shared" si="729"/>
        <v>73600</v>
      </c>
      <c r="X530" s="98">
        <f t="shared" si="555"/>
        <v>191400</v>
      </c>
      <c r="Y530" s="98">
        <f t="shared" si="27"/>
        <v>220800</v>
      </c>
      <c r="Z530" s="121">
        <v>0</v>
      </c>
      <c r="AA530" s="121">
        <f t="shared" si="556"/>
        <v>7273.2</v>
      </c>
      <c r="AB530" s="121">
        <f t="shared" si="557"/>
        <v>3828</v>
      </c>
      <c r="AC530" s="99">
        <f t="shared" si="8"/>
        <v>22080</v>
      </c>
      <c r="AD530" s="121">
        <f t="shared" si="558"/>
        <v>180298.8</v>
      </c>
      <c r="AE530" s="99">
        <f t="shared" si="10"/>
        <v>198720</v>
      </c>
      <c r="AF530" s="121">
        <f t="shared" si="559"/>
        <v>1802.9879999999998</v>
      </c>
      <c r="AG530" s="100">
        <f t="shared" si="560"/>
        <v>31295.811999999991</v>
      </c>
      <c r="AH530" s="101">
        <f t="shared" si="29"/>
        <v>49717.012000000002</v>
      </c>
      <c r="AI530" s="102">
        <f t="shared" ref="AI530:AJ530" si="791">AG530/X530</f>
        <v>0.16350998955067916</v>
      </c>
      <c r="AJ530" s="102">
        <f t="shared" si="791"/>
        <v>0.22516762681159422</v>
      </c>
      <c r="AK530" s="103"/>
      <c r="AL530" s="104"/>
      <c r="AM530" s="17"/>
      <c r="AN530" s="17"/>
      <c r="AO530" s="17"/>
      <c r="AP530" s="17"/>
      <c r="AQ530" s="17"/>
      <c r="AR530" s="17"/>
      <c r="AS530" s="17"/>
      <c r="AT530" s="17"/>
      <c r="AU530" s="17"/>
      <c r="AV530" s="17"/>
      <c r="AW530" s="297"/>
    </row>
    <row r="531" spans="1:49" ht="13.2">
      <c r="A531" s="119">
        <f>HYPERLINK("https://smartstore.naver.com/brickstore2019/products/4701248683",AW:AW)</f>
        <v>4701248683</v>
      </c>
      <c r="B531" s="266"/>
      <c r="C531" s="117" t="s">
        <v>1105</v>
      </c>
      <c r="D531" s="117"/>
      <c r="E531" s="117" t="s">
        <v>1106</v>
      </c>
      <c r="F531" s="123"/>
      <c r="G531" s="124" t="str">
        <f>HYPERLINK("https://www.amazon.com/Tumi-Mens-Delta-Holder-Black/dp/B00ITNJZUQ/ref=sr_1_75?dchild=1&amp;keywords=Tumi+pouch&amp;psc=1&amp;qid=1571318380&amp;sr=8-75","A")</f>
        <v>A</v>
      </c>
      <c r="H531" s="125"/>
      <c r="I531" s="125"/>
      <c r="J531" s="201">
        <v>60</v>
      </c>
      <c r="K531" s="82">
        <f t="shared" ref="K531:K534" si="792">IF(L531&gt;0,L531*0.0625,)</f>
        <v>0.25</v>
      </c>
      <c r="L531" s="82">
        <v>4</v>
      </c>
      <c r="M531" s="82">
        <f t="shared" si="550"/>
        <v>0.113398</v>
      </c>
      <c r="N531" s="93">
        <v>0</v>
      </c>
      <c r="O531" s="93">
        <v>0</v>
      </c>
      <c r="P531" s="95">
        <f t="shared" si="731"/>
        <v>60</v>
      </c>
      <c r="Q531" s="96">
        <f t="shared" si="733"/>
        <v>75000</v>
      </c>
      <c r="R531" s="96">
        <v>0</v>
      </c>
      <c r="S531" s="97">
        <f t="shared" si="553"/>
        <v>75000</v>
      </c>
      <c r="T531" s="97">
        <f>ROUNDUP(HLOOKUP(ROUNDUP(K531,0),'배송비 조회'!A$10:U$22,7,0)*C$3,-2)</f>
        <v>9000</v>
      </c>
      <c r="U531" s="97">
        <v>0</v>
      </c>
      <c r="V531" s="97">
        <f t="shared" si="788"/>
        <v>25200</v>
      </c>
      <c r="W531" s="97">
        <f t="shared" si="729"/>
        <v>42000</v>
      </c>
      <c r="X531" s="98">
        <f t="shared" si="555"/>
        <v>109200</v>
      </c>
      <c r="Y531" s="98">
        <f t="shared" si="27"/>
        <v>126000</v>
      </c>
      <c r="Z531" s="121">
        <v>0</v>
      </c>
      <c r="AA531" s="121">
        <f t="shared" si="556"/>
        <v>4149.5999999999995</v>
      </c>
      <c r="AB531" s="121">
        <f t="shared" si="557"/>
        <v>2184</v>
      </c>
      <c r="AC531" s="99">
        <f t="shared" si="8"/>
        <v>12600</v>
      </c>
      <c r="AD531" s="121">
        <f t="shared" si="558"/>
        <v>102866.4</v>
      </c>
      <c r="AE531" s="99">
        <f t="shared" si="10"/>
        <v>113400</v>
      </c>
      <c r="AF531" s="121">
        <f t="shared" si="559"/>
        <v>1028.664</v>
      </c>
      <c r="AG531" s="100">
        <f t="shared" si="560"/>
        <v>17837.735999999994</v>
      </c>
      <c r="AH531" s="101">
        <f t="shared" si="29"/>
        <v>28371.336000000003</v>
      </c>
      <c r="AI531" s="102">
        <f t="shared" ref="AI531:AJ531" si="793">AG531/X531</f>
        <v>0.16334923076923072</v>
      </c>
      <c r="AJ531" s="102">
        <f t="shared" si="793"/>
        <v>0.22516933333333336</v>
      </c>
      <c r="AK531" s="103"/>
      <c r="AL531" s="104"/>
      <c r="AM531" s="17"/>
      <c r="AN531" s="17"/>
      <c r="AO531" s="17"/>
      <c r="AP531" s="17"/>
      <c r="AQ531" s="17"/>
      <c r="AR531" s="17"/>
      <c r="AS531" s="17"/>
      <c r="AT531" s="17"/>
      <c r="AU531" s="17"/>
      <c r="AV531" s="17"/>
      <c r="AW531" s="22">
        <v>4701248683</v>
      </c>
    </row>
    <row r="532" spans="1:49" ht="13.2">
      <c r="A532" s="303">
        <f>HYPERLINK("https://smartstore.naver.com/brickstore2019/products/4701264632",AW:AW)</f>
        <v>4701264632</v>
      </c>
      <c r="B532" s="266"/>
      <c r="C532" s="304" t="s">
        <v>1107</v>
      </c>
      <c r="D532" s="117"/>
      <c r="E532" s="304" t="s">
        <v>1108</v>
      </c>
      <c r="F532" s="123" t="s">
        <v>55</v>
      </c>
      <c r="G532" s="124" t="str">
        <f>HYPERLINK("https://www.amazon.com/Tumi-Womens-Voyageur-Abilene-Double/dp/B07DLT737N/ref=sr_1_7?dchild=1&amp;keywords=Tumi%2Bpouch&amp;qid=1571318053&amp;sr=8-7&amp;th=1","A")</f>
        <v>A</v>
      </c>
      <c r="H532" s="125"/>
      <c r="I532" s="125"/>
      <c r="J532" s="201">
        <v>120</v>
      </c>
      <c r="K532" s="82">
        <f t="shared" si="792"/>
        <v>0.8125</v>
      </c>
      <c r="L532" s="82">
        <v>13</v>
      </c>
      <c r="M532" s="82">
        <f t="shared" si="550"/>
        <v>0.36854350000000002</v>
      </c>
      <c r="N532" s="93">
        <v>0</v>
      </c>
      <c r="O532" s="93">
        <v>0</v>
      </c>
      <c r="P532" s="95">
        <f t="shared" si="731"/>
        <v>120</v>
      </c>
      <c r="Q532" s="96">
        <f t="shared" si="733"/>
        <v>150000</v>
      </c>
      <c r="R532" s="96">
        <v>0</v>
      </c>
      <c r="S532" s="97">
        <f t="shared" si="553"/>
        <v>150000</v>
      </c>
      <c r="T532" s="97">
        <f>ROUNDUP(HLOOKUP(ROUNDUP(K532,0),'배송비 조회'!A$10:U$22,7,0)*C$3,-2)</f>
        <v>9000</v>
      </c>
      <c r="U532" s="97">
        <v>0</v>
      </c>
      <c r="V532" s="97">
        <f t="shared" ref="V532:V543" si="794">ROUND(IF(R532&gt;0,0,(S532+T532)*0.2),-2)</f>
        <v>31800</v>
      </c>
      <c r="W532" s="97">
        <f t="shared" si="729"/>
        <v>79500</v>
      </c>
      <c r="X532" s="98">
        <f t="shared" si="555"/>
        <v>190800</v>
      </c>
      <c r="Y532" s="98">
        <f t="shared" si="27"/>
        <v>238500</v>
      </c>
      <c r="Z532" s="121">
        <v>0</v>
      </c>
      <c r="AA532" s="121">
        <f t="shared" si="556"/>
        <v>7250.4</v>
      </c>
      <c r="AB532" s="121">
        <f t="shared" si="557"/>
        <v>3816</v>
      </c>
      <c r="AC532" s="99">
        <f t="shared" si="8"/>
        <v>23850</v>
      </c>
      <c r="AD532" s="121">
        <f t="shared" si="558"/>
        <v>179733.6</v>
      </c>
      <c r="AE532" s="99">
        <f t="shared" si="10"/>
        <v>214650</v>
      </c>
      <c r="AF532" s="121">
        <f t="shared" si="559"/>
        <v>1797.336</v>
      </c>
      <c r="AG532" s="100">
        <f t="shared" si="560"/>
        <v>18936.264000000006</v>
      </c>
      <c r="AH532" s="101">
        <f t="shared" si="29"/>
        <v>53852.663999999997</v>
      </c>
      <c r="AI532" s="102">
        <f t="shared" ref="AI532:AJ532" si="795">AG532/X532</f>
        <v>9.9246666666666705E-2</v>
      </c>
      <c r="AJ532" s="102">
        <f t="shared" si="795"/>
        <v>0.22579733333333332</v>
      </c>
      <c r="AK532" s="103">
        <f>X532-X533</f>
        <v>22400</v>
      </c>
      <c r="AL532" s="104"/>
      <c r="AM532" s="17"/>
      <c r="AN532" s="17"/>
      <c r="AO532" s="17"/>
      <c r="AP532" s="17"/>
      <c r="AQ532" s="17"/>
      <c r="AR532" s="17"/>
      <c r="AS532" s="17"/>
      <c r="AT532" s="17"/>
      <c r="AU532" s="17"/>
      <c r="AV532" s="17"/>
      <c r="AW532" s="296">
        <v>4701264632</v>
      </c>
    </row>
    <row r="533" spans="1:49" ht="13.2">
      <c r="A533" s="302"/>
      <c r="B533" s="266"/>
      <c r="C533" s="302"/>
      <c r="D533" s="117"/>
      <c r="E533" s="302"/>
      <c r="F533" s="123" t="s">
        <v>1109</v>
      </c>
      <c r="G533" s="124" t="str">
        <f>HYPERLINK("https://www.amazon.com/Tumi-Womens-Voyageur-Abilene-Double/dp/B07MHDJX4D/ref=sr_1_7?dchild=1&amp;keywords=Tumi%2Bpouch&amp;qid=1571318053&amp;sr=8-7&amp;th=1","A")</f>
        <v>A</v>
      </c>
      <c r="H533" s="125"/>
      <c r="I533" s="125"/>
      <c r="J533" s="201">
        <v>105</v>
      </c>
      <c r="K533" s="82">
        <f t="shared" si="792"/>
        <v>0.8125</v>
      </c>
      <c r="L533" s="82">
        <v>13</v>
      </c>
      <c r="M533" s="82">
        <f t="shared" si="550"/>
        <v>0.36854350000000002</v>
      </c>
      <c r="N533" s="93">
        <v>0</v>
      </c>
      <c r="O533" s="93">
        <v>0</v>
      </c>
      <c r="P533" s="95">
        <f t="shared" si="731"/>
        <v>105</v>
      </c>
      <c r="Q533" s="96">
        <f t="shared" si="733"/>
        <v>131250</v>
      </c>
      <c r="R533" s="96">
        <v>0</v>
      </c>
      <c r="S533" s="97">
        <f t="shared" si="553"/>
        <v>131300</v>
      </c>
      <c r="T533" s="97">
        <f>ROUNDUP(HLOOKUP(ROUNDUP(K533,0),'배송비 조회'!A$10:U$22,7,0)*C$3,-2)</f>
        <v>9000</v>
      </c>
      <c r="U533" s="97">
        <v>0</v>
      </c>
      <c r="V533" s="97">
        <f t="shared" si="794"/>
        <v>28100</v>
      </c>
      <c r="W533" s="97">
        <f t="shared" si="729"/>
        <v>70200</v>
      </c>
      <c r="X533" s="98">
        <f t="shared" si="555"/>
        <v>168400</v>
      </c>
      <c r="Y533" s="98">
        <f t="shared" si="27"/>
        <v>210500</v>
      </c>
      <c r="Z533" s="121">
        <v>0</v>
      </c>
      <c r="AA533" s="121">
        <f t="shared" si="556"/>
        <v>6399.2</v>
      </c>
      <c r="AB533" s="121">
        <f t="shared" si="557"/>
        <v>3368</v>
      </c>
      <c r="AC533" s="99">
        <f t="shared" si="8"/>
        <v>21050</v>
      </c>
      <c r="AD533" s="121">
        <f t="shared" si="558"/>
        <v>158632.79999999999</v>
      </c>
      <c r="AE533" s="99">
        <f t="shared" si="10"/>
        <v>189450</v>
      </c>
      <c r="AF533" s="121">
        <f t="shared" si="559"/>
        <v>1586.328</v>
      </c>
      <c r="AG533" s="100">
        <f t="shared" si="560"/>
        <v>16796.471999999987</v>
      </c>
      <c r="AH533" s="101">
        <f t="shared" si="29"/>
        <v>47613.671999999999</v>
      </c>
      <c r="AI533" s="102">
        <f t="shared" ref="AI533:AJ533" si="796">AG533/X533</f>
        <v>9.9741520190023678E-2</v>
      </c>
      <c r="AJ533" s="102">
        <f t="shared" si="796"/>
        <v>0.22619321615201898</v>
      </c>
      <c r="AK533" s="135"/>
      <c r="AL533" s="104"/>
      <c r="AM533" s="17"/>
      <c r="AN533" s="17"/>
      <c r="AO533" s="17"/>
      <c r="AP533" s="17"/>
      <c r="AQ533" s="17"/>
      <c r="AR533" s="17"/>
      <c r="AS533" s="17"/>
      <c r="AT533" s="17"/>
      <c r="AU533" s="17"/>
      <c r="AV533" s="17"/>
      <c r="AW533" s="297"/>
    </row>
    <row r="534" spans="1:49" ht="13.2">
      <c r="A534" s="302"/>
      <c r="B534" s="266"/>
      <c r="C534" s="302"/>
      <c r="D534" s="117"/>
      <c r="E534" s="302"/>
      <c r="F534" s="123" t="s">
        <v>1110</v>
      </c>
      <c r="G534" s="124" t="str">
        <f>HYPERLINK("https://www.amazon.com/Tumi-Womens-Voyageur-Abilene-Double/dp/B07MHDJN1N/ref=sr_1_7?dchild=1&amp;keywords=Tumi%2Bpouch&amp;qid=1571318053&amp;sr=8-7&amp;th=1","A")</f>
        <v>A</v>
      </c>
      <c r="H534" s="125"/>
      <c r="I534" s="125"/>
      <c r="J534" s="201">
        <v>120</v>
      </c>
      <c r="K534" s="82">
        <f t="shared" si="792"/>
        <v>0.8125</v>
      </c>
      <c r="L534" s="82">
        <v>13</v>
      </c>
      <c r="M534" s="82">
        <f t="shared" si="550"/>
        <v>0.36854350000000002</v>
      </c>
      <c r="N534" s="93">
        <v>0</v>
      </c>
      <c r="O534" s="93">
        <v>0</v>
      </c>
      <c r="P534" s="95">
        <f t="shared" si="731"/>
        <v>120</v>
      </c>
      <c r="Q534" s="96">
        <f t="shared" si="733"/>
        <v>150000</v>
      </c>
      <c r="R534" s="96">
        <v>0</v>
      </c>
      <c r="S534" s="97">
        <f t="shared" si="553"/>
        <v>150000</v>
      </c>
      <c r="T534" s="97">
        <f>ROUNDUP(HLOOKUP(ROUNDUP(K534,0),'배송비 조회'!A$10:U$22,7,0)*C$3,-2)</f>
        <v>9000</v>
      </c>
      <c r="U534" s="97">
        <v>0</v>
      </c>
      <c r="V534" s="97">
        <f t="shared" si="794"/>
        <v>31800</v>
      </c>
      <c r="W534" s="97">
        <f t="shared" si="729"/>
        <v>79500</v>
      </c>
      <c r="X534" s="98">
        <f t="shared" si="555"/>
        <v>190800</v>
      </c>
      <c r="Y534" s="98">
        <f t="shared" si="27"/>
        <v>238500</v>
      </c>
      <c r="Z534" s="121">
        <v>0</v>
      </c>
      <c r="AA534" s="121">
        <f t="shared" si="556"/>
        <v>7250.4</v>
      </c>
      <c r="AB534" s="121">
        <f t="shared" si="557"/>
        <v>3816</v>
      </c>
      <c r="AC534" s="99">
        <f t="shared" si="8"/>
        <v>23850</v>
      </c>
      <c r="AD534" s="121">
        <f t="shared" si="558"/>
        <v>179733.6</v>
      </c>
      <c r="AE534" s="99">
        <f t="shared" si="10"/>
        <v>214650</v>
      </c>
      <c r="AF534" s="121">
        <f t="shared" si="559"/>
        <v>1797.336</v>
      </c>
      <c r="AG534" s="100">
        <f t="shared" si="560"/>
        <v>18936.264000000006</v>
      </c>
      <c r="AH534" s="101">
        <f t="shared" si="29"/>
        <v>53852.663999999997</v>
      </c>
      <c r="AI534" s="102">
        <f t="shared" ref="AI534:AJ534" si="797">AG534/X534</f>
        <v>9.9246666666666705E-2</v>
      </c>
      <c r="AJ534" s="102">
        <f t="shared" si="797"/>
        <v>0.22579733333333332</v>
      </c>
      <c r="AK534" s="103"/>
      <c r="AL534" s="104"/>
      <c r="AM534" s="17"/>
      <c r="AN534" s="17"/>
      <c r="AO534" s="17"/>
      <c r="AP534" s="17"/>
      <c r="AQ534" s="17"/>
      <c r="AR534" s="17"/>
      <c r="AS534" s="17"/>
      <c r="AT534" s="17"/>
      <c r="AU534" s="17"/>
      <c r="AV534" s="17"/>
      <c r="AW534" s="297"/>
    </row>
    <row r="535" spans="1:49" ht="13.2">
      <c r="A535" s="303">
        <f>HYPERLINK("https://smartstore.naver.com/brickstore2019/products/4701315528",AW:AW)</f>
        <v>4701315528</v>
      </c>
      <c r="B535" s="266"/>
      <c r="C535" s="304" t="s">
        <v>1111</v>
      </c>
      <c r="D535" s="117"/>
      <c r="E535" s="304" t="s">
        <v>1112</v>
      </c>
      <c r="F535" s="123" t="s">
        <v>1113</v>
      </c>
      <c r="G535" s="124" t="str">
        <f>HYPERLINK("https://www.amazon.com/Blue-Yeti-USB-Microphone-Blackout/dp/B00N1YPXW2/ref=sr_1_3?crid=10WIMLTIAL4MO&amp;keywords=blue%2Byeti%2Bmicrophone&amp;qid=1570284132&amp;sprefix=BLUE%2BYETI%2B%2Caps%2C370&amp;sr=8-3&amp;th=1","A")</f>
        <v>A</v>
      </c>
      <c r="H535" s="125"/>
      <c r="I535" s="125"/>
      <c r="J535" s="125">
        <v>120</v>
      </c>
      <c r="K535" s="82">
        <v>4</v>
      </c>
      <c r="L535" s="82">
        <f t="shared" ref="L535:L543" si="798">IF(K535&gt;0,K535*16,)</f>
        <v>64</v>
      </c>
      <c r="M535" s="82">
        <f t="shared" si="550"/>
        <v>1.814368</v>
      </c>
      <c r="N535" s="93">
        <v>0</v>
      </c>
      <c r="O535" s="93">
        <v>0</v>
      </c>
      <c r="P535" s="95">
        <f t="shared" si="731"/>
        <v>120</v>
      </c>
      <c r="Q535" s="96">
        <f t="shared" si="733"/>
        <v>150000</v>
      </c>
      <c r="R535" s="96">
        <v>0</v>
      </c>
      <c r="S535" s="97">
        <f t="shared" si="553"/>
        <v>150000</v>
      </c>
      <c r="T535" s="97">
        <f>ROUNDUP(HLOOKUP(ROUNDUP(K535,0),'배송비 조회'!A$10:U$22,7,0)*C$3,-2)</f>
        <v>15600</v>
      </c>
      <c r="U535" s="97">
        <v>0</v>
      </c>
      <c r="V535" s="97">
        <f t="shared" si="794"/>
        <v>33100</v>
      </c>
      <c r="W535" s="97">
        <f t="shared" si="729"/>
        <v>82800</v>
      </c>
      <c r="X535" s="98">
        <f t="shared" si="555"/>
        <v>198700</v>
      </c>
      <c r="Y535" s="98">
        <f t="shared" si="27"/>
        <v>248400</v>
      </c>
      <c r="Z535" s="121">
        <v>0</v>
      </c>
      <c r="AA535" s="121">
        <f t="shared" si="556"/>
        <v>7550.5999999999995</v>
      </c>
      <c r="AB535" s="121">
        <f t="shared" si="557"/>
        <v>3974</v>
      </c>
      <c r="AC535" s="99">
        <f t="shared" si="8"/>
        <v>24840</v>
      </c>
      <c r="AD535" s="121">
        <f t="shared" si="558"/>
        <v>187175.4</v>
      </c>
      <c r="AE535" s="99">
        <f t="shared" si="10"/>
        <v>223560</v>
      </c>
      <c r="AF535" s="121">
        <f t="shared" si="559"/>
        <v>1871.7539999999999</v>
      </c>
      <c r="AG535" s="100">
        <f t="shared" si="560"/>
        <v>19703.645999999993</v>
      </c>
      <c r="AH535" s="101">
        <f t="shared" si="29"/>
        <v>56088.245999999999</v>
      </c>
      <c r="AI535" s="102">
        <f t="shared" ref="AI535:AJ535" si="799">AG535/X535</f>
        <v>9.9162788122798148E-2</v>
      </c>
      <c r="AJ535" s="102">
        <f t="shared" si="799"/>
        <v>0.22579809178743962</v>
      </c>
      <c r="AK535" s="103">
        <f t="shared" ref="AK535:AK543" si="800">X535-20000</f>
        <v>178700</v>
      </c>
      <c r="AL535" s="104"/>
      <c r="AM535" s="17"/>
      <c r="AN535" s="17"/>
      <c r="AO535" s="17"/>
      <c r="AP535" s="17"/>
      <c r="AQ535" s="17"/>
      <c r="AR535" s="17"/>
      <c r="AS535" s="17"/>
      <c r="AT535" s="17"/>
      <c r="AU535" s="17"/>
      <c r="AV535" s="17"/>
      <c r="AW535" s="296">
        <v>4701315528</v>
      </c>
    </row>
    <row r="536" spans="1:49" ht="13.2">
      <c r="A536" s="302"/>
      <c r="B536" s="266"/>
      <c r="C536" s="302"/>
      <c r="D536" s="117"/>
      <c r="E536" s="302"/>
      <c r="F536" s="123" t="s">
        <v>1114</v>
      </c>
      <c r="G536" s="124" t="str">
        <f>HYPERLINK("https://www.amazon.com/Blue-Yeti-USB-Microphone-Blackout/dp/B008F4USMS/ref=sr_1_3?crid=10WIMLTIAL4MO&amp;keywords=blue%2Byeti%2Bmicrophone&amp;qid=1570284132&amp;sprefix=BLUE%2BYETI%2B%2Caps%2C370&amp;sr=8-3&amp;th=1","A")</f>
        <v>A</v>
      </c>
      <c r="H536" s="125"/>
      <c r="I536" s="125"/>
      <c r="J536" s="93">
        <v>130</v>
      </c>
      <c r="K536" s="82">
        <v>4</v>
      </c>
      <c r="L536" s="82">
        <f t="shared" si="798"/>
        <v>64</v>
      </c>
      <c r="M536" s="82">
        <f t="shared" si="550"/>
        <v>1.814368</v>
      </c>
      <c r="N536" s="93">
        <v>0</v>
      </c>
      <c r="O536" s="93">
        <v>0</v>
      </c>
      <c r="P536" s="95">
        <f t="shared" si="731"/>
        <v>130</v>
      </c>
      <c r="Q536" s="96">
        <f t="shared" si="733"/>
        <v>162500</v>
      </c>
      <c r="R536" s="96">
        <v>0</v>
      </c>
      <c r="S536" s="97">
        <f t="shared" si="553"/>
        <v>162500</v>
      </c>
      <c r="T536" s="97">
        <f>ROUNDUP(HLOOKUP(ROUNDUP(K536,0),'배송비 조회'!A$10:U$22,7,0)*C$3,-2)</f>
        <v>15600</v>
      </c>
      <c r="U536" s="97">
        <v>0</v>
      </c>
      <c r="V536" s="97">
        <f t="shared" si="794"/>
        <v>35600</v>
      </c>
      <c r="W536" s="97">
        <f t="shared" si="729"/>
        <v>89100</v>
      </c>
      <c r="X536" s="98">
        <f t="shared" si="555"/>
        <v>213700</v>
      </c>
      <c r="Y536" s="98">
        <f t="shared" si="27"/>
        <v>267200</v>
      </c>
      <c r="Z536" s="121">
        <v>0</v>
      </c>
      <c r="AA536" s="121">
        <f t="shared" si="556"/>
        <v>8120.5999999999995</v>
      </c>
      <c r="AB536" s="121">
        <f t="shared" si="557"/>
        <v>4274</v>
      </c>
      <c r="AC536" s="99">
        <f t="shared" si="8"/>
        <v>26720</v>
      </c>
      <c r="AD536" s="121">
        <f t="shared" si="558"/>
        <v>201305.4</v>
      </c>
      <c r="AE536" s="99">
        <f t="shared" si="10"/>
        <v>240480</v>
      </c>
      <c r="AF536" s="121">
        <f t="shared" si="559"/>
        <v>2013.0540000000001</v>
      </c>
      <c r="AG536" s="100">
        <f t="shared" si="560"/>
        <v>21192.34599999999</v>
      </c>
      <c r="AH536" s="101">
        <f t="shared" si="29"/>
        <v>60366.945999999996</v>
      </c>
      <c r="AI536" s="102">
        <f t="shared" ref="AI536:AJ536" si="801">AG536/X536</f>
        <v>9.9168675713617177E-2</v>
      </c>
      <c r="AJ536" s="102">
        <f t="shared" si="801"/>
        <v>0.2259241991017964</v>
      </c>
      <c r="AK536" s="103">
        <f t="shared" si="800"/>
        <v>193700</v>
      </c>
      <c r="AL536" s="103">
        <f>AK536-AK537</f>
        <v>0</v>
      </c>
      <c r="AM536" s="17"/>
      <c r="AN536" s="17"/>
      <c r="AO536" s="17"/>
      <c r="AP536" s="17"/>
      <c r="AQ536" s="17"/>
      <c r="AR536" s="17"/>
      <c r="AS536" s="17"/>
      <c r="AT536" s="17"/>
      <c r="AU536" s="17"/>
      <c r="AV536" s="17"/>
      <c r="AW536" s="297"/>
    </row>
    <row r="537" spans="1:49" ht="13.2">
      <c r="A537" s="302"/>
      <c r="B537" s="266"/>
      <c r="C537" s="302"/>
      <c r="D537" s="117"/>
      <c r="E537" s="302"/>
      <c r="F537" s="123" t="s">
        <v>135</v>
      </c>
      <c r="G537" s="124" t="str">
        <f>HYPERLINK("https://www.amazon.com/Blue-Yeti-USB-Microphone-Blackout/dp/B002VA464S/ref=sr_1_3?crid=10WIMLTIAL4MO&amp;keywords=blue%2Byeti%2Bmicrophone&amp;qid=1570284132&amp;sprefix=BLUE%2BYETI%2B%2Caps%2C370&amp;sr=8-3&amp;th=1","A")</f>
        <v>A</v>
      </c>
      <c r="H537" s="125"/>
      <c r="I537" s="125"/>
      <c r="J537" s="93">
        <v>130</v>
      </c>
      <c r="K537" s="82">
        <v>4</v>
      </c>
      <c r="L537" s="82">
        <f t="shared" si="798"/>
        <v>64</v>
      </c>
      <c r="M537" s="82">
        <f t="shared" si="550"/>
        <v>1.814368</v>
      </c>
      <c r="N537" s="93">
        <v>0</v>
      </c>
      <c r="O537" s="93">
        <v>0</v>
      </c>
      <c r="P537" s="95">
        <f t="shared" si="731"/>
        <v>130</v>
      </c>
      <c r="Q537" s="96">
        <f t="shared" si="733"/>
        <v>162500</v>
      </c>
      <c r="R537" s="96">
        <v>0</v>
      </c>
      <c r="S537" s="97">
        <f t="shared" si="553"/>
        <v>162500</v>
      </c>
      <c r="T537" s="97">
        <f>ROUNDUP(HLOOKUP(ROUNDUP(K537,0),'배송비 조회'!A$10:U$22,7,0)*C$3,-2)</f>
        <v>15600</v>
      </c>
      <c r="U537" s="97">
        <v>0</v>
      </c>
      <c r="V537" s="97">
        <f t="shared" si="794"/>
        <v>35600</v>
      </c>
      <c r="W537" s="97">
        <f t="shared" si="729"/>
        <v>89100</v>
      </c>
      <c r="X537" s="98">
        <f t="shared" si="555"/>
        <v>213700</v>
      </c>
      <c r="Y537" s="98">
        <f t="shared" si="27"/>
        <v>267200</v>
      </c>
      <c r="Z537" s="121">
        <v>0</v>
      </c>
      <c r="AA537" s="121">
        <f t="shared" si="556"/>
        <v>8120.5999999999995</v>
      </c>
      <c r="AB537" s="121">
        <f t="shared" si="557"/>
        <v>4274</v>
      </c>
      <c r="AC537" s="99">
        <f t="shared" si="8"/>
        <v>26720</v>
      </c>
      <c r="AD537" s="121">
        <f t="shared" si="558"/>
        <v>201305.4</v>
      </c>
      <c r="AE537" s="99">
        <f t="shared" si="10"/>
        <v>240480</v>
      </c>
      <c r="AF537" s="121">
        <f t="shared" si="559"/>
        <v>2013.0540000000001</v>
      </c>
      <c r="AG537" s="100">
        <f t="shared" si="560"/>
        <v>21192.34599999999</v>
      </c>
      <c r="AH537" s="101">
        <f t="shared" si="29"/>
        <v>60366.945999999996</v>
      </c>
      <c r="AI537" s="102">
        <f t="shared" ref="AI537:AJ537" si="802">AG537/X537</f>
        <v>9.9168675713617177E-2</v>
      </c>
      <c r="AJ537" s="102">
        <f t="shared" si="802"/>
        <v>0.2259241991017964</v>
      </c>
      <c r="AK537" s="103">
        <f t="shared" si="800"/>
        <v>193700</v>
      </c>
      <c r="AL537" s="104"/>
      <c r="AM537" s="17"/>
      <c r="AN537" s="17"/>
      <c r="AO537" s="17"/>
      <c r="AP537" s="17"/>
      <c r="AQ537" s="17"/>
      <c r="AR537" s="17"/>
      <c r="AS537" s="17"/>
      <c r="AT537" s="17"/>
      <c r="AU537" s="17"/>
      <c r="AV537" s="17"/>
      <c r="AW537" s="297"/>
    </row>
    <row r="538" spans="1:49" ht="13.2">
      <c r="A538" s="302"/>
      <c r="B538" s="266"/>
      <c r="C538" s="302"/>
      <c r="D538" s="117"/>
      <c r="E538" s="302"/>
      <c r="F538" s="123" t="s">
        <v>1115</v>
      </c>
      <c r="G538" s="124" t="str">
        <f>HYPERLINK("https://www.amazon.com/Blue-Yeti-USB-Microphone-Blackout/dp/B07CY5HS72/ref=sr_1_3?crid=10WIMLTIAL4MO&amp;keywords=blue%2Byeti%2Bmicrophone&amp;qid=1570284132&amp;sprefix=BLUE%2BYETI%2B%2Caps%2C370&amp;sr=8-3&amp;th=1","A")</f>
        <v>A</v>
      </c>
      <c r="H538" s="125"/>
      <c r="I538" s="125"/>
      <c r="J538" s="93">
        <v>130</v>
      </c>
      <c r="K538" s="82">
        <v>4</v>
      </c>
      <c r="L538" s="82">
        <f t="shared" si="798"/>
        <v>64</v>
      </c>
      <c r="M538" s="82">
        <f t="shared" si="550"/>
        <v>1.814368</v>
      </c>
      <c r="N538" s="93">
        <v>0</v>
      </c>
      <c r="O538" s="93">
        <v>0</v>
      </c>
      <c r="P538" s="95">
        <f t="shared" si="731"/>
        <v>130</v>
      </c>
      <c r="Q538" s="96">
        <f t="shared" si="733"/>
        <v>162500</v>
      </c>
      <c r="R538" s="96">
        <v>0</v>
      </c>
      <c r="S538" s="97">
        <f t="shared" si="553"/>
        <v>162500</v>
      </c>
      <c r="T538" s="97">
        <f>ROUNDUP(HLOOKUP(ROUNDUP(K538,0),'배송비 조회'!A$10:U$22,7,0)*C$3,-2)</f>
        <v>15600</v>
      </c>
      <c r="U538" s="97">
        <v>0</v>
      </c>
      <c r="V538" s="97">
        <f t="shared" si="794"/>
        <v>35600</v>
      </c>
      <c r="W538" s="97">
        <f t="shared" si="729"/>
        <v>89100</v>
      </c>
      <c r="X538" s="98">
        <f t="shared" si="555"/>
        <v>213700</v>
      </c>
      <c r="Y538" s="98">
        <f t="shared" si="27"/>
        <v>267200</v>
      </c>
      <c r="Z538" s="121">
        <v>0</v>
      </c>
      <c r="AA538" s="121">
        <f t="shared" si="556"/>
        <v>8120.5999999999995</v>
      </c>
      <c r="AB538" s="121">
        <f t="shared" si="557"/>
        <v>4274</v>
      </c>
      <c r="AC538" s="99">
        <f t="shared" si="8"/>
        <v>26720</v>
      </c>
      <c r="AD538" s="121">
        <f t="shared" si="558"/>
        <v>201305.4</v>
      </c>
      <c r="AE538" s="99">
        <f t="shared" si="10"/>
        <v>240480</v>
      </c>
      <c r="AF538" s="121">
        <f t="shared" si="559"/>
        <v>2013.0540000000001</v>
      </c>
      <c r="AG538" s="100">
        <f t="shared" si="560"/>
        <v>21192.34599999999</v>
      </c>
      <c r="AH538" s="101">
        <f t="shared" si="29"/>
        <v>60366.945999999996</v>
      </c>
      <c r="AI538" s="102">
        <f t="shared" ref="AI538:AJ538" si="803">AG538/X538</f>
        <v>9.9168675713617177E-2</v>
      </c>
      <c r="AJ538" s="102">
        <f t="shared" si="803"/>
        <v>0.2259241991017964</v>
      </c>
      <c r="AK538" s="103">
        <f t="shared" si="800"/>
        <v>193700</v>
      </c>
      <c r="AL538" s="104"/>
      <c r="AM538" s="17"/>
      <c r="AN538" s="17"/>
      <c r="AO538" s="17"/>
      <c r="AP538" s="17"/>
      <c r="AQ538" s="17"/>
      <c r="AR538" s="17"/>
      <c r="AS538" s="17"/>
      <c r="AT538" s="17"/>
      <c r="AU538" s="17"/>
      <c r="AV538" s="17"/>
      <c r="AW538" s="297"/>
    </row>
    <row r="539" spans="1:49" ht="13.2">
      <c r="A539" s="302"/>
      <c r="B539" s="266"/>
      <c r="C539" s="302"/>
      <c r="D539" s="117"/>
      <c r="E539" s="302"/>
      <c r="F539" s="123" t="s">
        <v>1096</v>
      </c>
      <c r="G539" s="124" t="str">
        <f>HYPERLINK("https://www.amazon.com/Blue-Yeti-USB-Microphone-Blackout/dp/B01LY6Z2M6/ref=sr_1_3?crid=10WIMLTIAL4MO&amp;keywords=blue%2Byeti%2Bmicrophone&amp;qid=1570284132&amp;sprefix=BLUE%2BYETI%2B%2Caps%2C370&amp;sr=8-3&amp;th=1","A")</f>
        <v>A</v>
      </c>
      <c r="H539" s="125"/>
      <c r="I539" s="125"/>
      <c r="J539" s="93">
        <v>110</v>
      </c>
      <c r="K539" s="82">
        <v>4</v>
      </c>
      <c r="L539" s="82">
        <f t="shared" si="798"/>
        <v>64</v>
      </c>
      <c r="M539" s="82">
        <f t="shared" si="550"/>
        <v>1.814368</v>
      </c>
      <c r="N539" s="93">
        <v>0</v>
      </c>
      <c r="O539" s="93">
        <v>0</v>
      </c>
      <c r="P539" s="95">
        <f t="shared" si="731"/>
        <v>110</v>
      </c>
      <c r="Q539" s="96">
        <f t="shared" si="733"/>
        <v>137500</v>
      </c>
      <c r="R539" s="96">
        <v>0</v>
      </c>
      <c r="S539" s="97">
        <f t="shared" si="553"/>
        <v>137500</v>
      </c>
      <c r="T539" s="97">
        <f>ROUNDUP(HLOOKUP(ROUNDUP(K539,0),'배송비 조회'!A$10:U$22,7,0)*C$3,-2)</f>
        <v>15600</v>
      </c>
      <c r="U539" s="97">
        <v>0</v>
      </c>
      <c r="V539" s="97">
        <f t="shared" si="794"/>
        <v>30600</v>
      </c>
      <c r="W539" s="97">
        <f t="shared" si="729"/>
        <v>76600</v>
      </c>
      <c r="X539" s="98">
        <f t="shared" si="555"/>
        <v>183700</v>
      </c>
      <c r="Y539" s="98">
        <f t="shared" si="27"/>
        <v>229700</v>
      </c>
      <c r="Z539" s="121">
        <v>0</v>
      </c>
      <c r="AA539" s="121">
        <f t="shared" si="556"/>
        <v>6980.5999999999995</v>
      </c>
      <c r="AB539" s="121">
        <f t="shared" si="557"/>
        <v>3674</v>
      </c>
      <c r="AC539" s="99">
        <f t="shared" si="8"/>
        <v>22970</v>
      </c>
      <c r="AD539" s="121">
        <f t="shared" si="558"/>
        <v>173045.4</v>
      </c>
      <c r="AE539" s="99">
        <f t="shared" si="10"/>
        <v>206730</v>
      </c>
      <c r="AF539" s="121">
        <f t="shared" si="559"/>
        <v>1730.454</v>
      </c>
      <c r="AG539" s="100">
        <f t="shared" si="560"/>
        <v>18214.945999999996</v>
      </c>
      <c r="AH539" s="101">
        <f t="shared" si="29"/>
        <v>51899.546000000002</v>
      </c>
      <c r="AI539" s="102">
        <f t="shared" ref="AI539:AJ539" si="804">AG539/X539</f>
        <v>9.9155939031028831E-2</v>
      </c>
      <c r="AJ539" s="102">
        <f t="shared" si="804"/>
        <v>0.22594491075315629</v>
      </c>
      <c r="AK539" s="103">
        <f t="shared" si="800"/>
        <v>163700</v>
      </c>
      <c r="AL539" s="104"/>
      <c r="AM539" s="17"/>
      <c r="AN539" s="17"/>
      <c r="AO539" s="17"/>
      <c r="AP539" s="17"/>
      <c r="AQ539" s="17"/>
      <c r="AR539" s="17"/>
      <c r="AS539" s="17"/>
      <c r="AT539" s="17"/>
      <c r="AU539" s="17"/>
      <c r="AV539" s="17"/>
      <c r="AW539" s="297"/>
    </row>
    <row r="540" spans="1:49" ht="13.2">
      <c r="A540" s="302"/>
      <c r="B540" s="266"/>
      <c r="C540" s="302"/>
      <c r="D540" s="117"/>
      <c r="E540" s="302"/>
      <c r="F540" s="123" t="s">
        <v>1116</v>
      </c>
      <c r="G540" s="124" t="str">
        <f>HYPERLINK("https://www.amazon.com/Blue-Yeti-USB-Microphone-Blackout/dp/B0722Z52B7/ref=sr_1_3?crid=10WIMLTIAL4MO&amp;keywords=blue%2Byeti%2Bmicrophone&amp;qid=1570284132&amp;sprefix=BLUE%2BYETI%2B%2Caps%2C370&amp;sr=8-3&amp;th=1","A")</f>
        <v>A</v>
      </c>
      <c r="H540" s="125"/>
      <c r="I540" s="125"/>
      <c r="J540" s="93">
        <v>130</v>
      </c>
      <c r="K540" s="82">
        <v>4</v>
      </c>
      <c r="L540" s="82">
        <f t="shared" si="798"/>
        <v>64</v>
      </c>
      <c r="M540" s="82">
        <f t="shared" si="550"/>
        <v>1.814368</v>
      </c>
      <c r="N540" s="93">
        <v>0</v>
      </c>
      <c r="O540" s="93">
        <v>0</v>
      </c>
      <c r="P540" s="95">
        <f t="shared" si="731"/>
        <v>130</v>
      </c>
      <c r="Q540" s="96">
        <f t="shared" si="733"/>
        <v>162500</v>
      </c>
      <c r="R540" s="96">
        <v>0</v>
      </c>
      <c r="S540" s="97">
        <f t="shared" si="553"/>
        <v>162500</v>
      </c>
      <c r="T540" s="97">
        <f>ROUNDUP(HLOOKUP(ROUNDUP(K540,0),'배송비 조회'!A$10:U$22,7,0)*C$3,-2)</f>
        <v>15600</v>
      </c>
      <c r="U540" s="97">
        <v>0</v>
      </c>
      <c r="V540" s="97">
        <f t="shared" si="794"/>
        <v>35600</v>
      </c>
      <c r="W540" s="97">
        <f t="shared" si="729"/>
        <v>89100</v>
      </c>
      <c r="X540" s="98">
        <f t="shared" si="555"/>
        <v>213700</v>
      </c>
      <c r="Y540" s="98">
        <f t="shared" si="27"/>
        <v>267200</v>
      </c>
      <c r="Z540" s="121">
        <v>0</v>
      </c>
      <c r="AA540" s="121">
        <f t="shared" si="556"/>
        <v>8120.5999999999995</v>
      </c>
      <c r="AB540" s="121">
        <f t="shared" si="557"/>
        <v>4274</v>
      </c>
      <c r="AC540" s="99">
        <f t="shared" si="8"/>
        <v>26720</v>
      </c>
      <c r="AD540" s="121">
        <f t="shared" si="558"/>
        <v>201305.4</v>
      </c>
      <c r="AE540" s="99">
        <f t="shared" si="10"/>
        <v>240480</v>
      </c>
      <c r="AF540" s="121">
        <f t="shared" si="559"/>
        <v>2013.0540000000001</v>
      </c>
      <c r="AG540" s="100">
        <f t="shared" si="560"/>
        <v>21192.34599999999</v>
      </c>
      <c r="AH540" s="101">
        <f t="shared" si="29"/>
        <v>60366.945999999996</v>
      </c>
      <c r="AI540" s="102">
        <f t="shared" ref="AI540:AJ540" si="805">AG540/X540</f>
        <v>9.9168675713617177E-2</v>
      </c>
      <c r="AJ540" s="102">
        <f t="shared" si="805"/>
        <v>0.2259241991017964</v>
      </c>
      <c r="AK540" s="103">
        <f t="shared" si="800"/>
        <v>193700</v>
      </c>
      <c r="AL540" s="104"/>
      <c r="AM540" s="17"/>
      <c r="AN540" s="17"/>
      <c r="AO540" s="17"/>
      <c r="AP540" s="17"/>
      <c r="AQ540" s="17"/>
      <c r="AR540" s="17"/>
      <c r="AS540" s="17"/>
      <c r="AT540" s="17"/>
      <c r="AU540" s="17"/>
      <c r="AV540" s="17"/>
      <c r="AW540" s="297"/>
    </row>
    <row r="541" spans="1:49" ht="13.2">
      <c r="A541" s="302"/>
      <c r="B541" s="266"/>
      <c r="C541" s="302"/>
      <c r="D541" s="117"/>
      <c r="E541" s="302"/>
      <c r="F541" s="123" t="s">
        <v>427</v>
      </c>
      <c r="G541" s="124" t="str">
        <f>HYPERLINK("https://www.amazon.com/Blue-Yeti-USB-Microphone-Blackout/dp/B072PR6W8P/ref=sr_1_3?crid=10WIMLTIAL4MO&amp;keywords=blue%2Byeti%2Bmicrophone&amp;qid=1570284132&amp;sprefix=BLUE%2BYETI%2B%2Caps%2C370&amp;sr=8-3&amp;th=1","A")</f>
        <v>A</v>
      </c>
      <c r="H541" s="125"/>
      <c r="I541" s="125"/>
      <c r="J541" s="93">
        <v>130</v>
      </c>
      <c r="K541" s="82">
        <v>4</v>
      </c>
      <c r="L541" s="82">
        <f t="shared" si="798"/>
        <v>64</v>
      </c>
      <c r="M541" s="82">
        <f t="shared" si="550"/>
        <v>1.814368</v>
      </c>
      <c r="N541" s="93">
        <v>0</v>
      </c>
      <c r="O541" s="93">
        <v>0</v>
      </c>
      <c r="P541" s="95">
        <f t="shared" si="731"/>
        <v>130</v>
      </c>
      <c r="Q541" s="96">
        <f t="shared" si="733"/>
        <v>162500</v>
      </c>
      <c r="R541" s="96">
        <v>0</v>
      </c>
      <c r="S541" s="97">
        <f t="shared" si="553"/>
        <v>162500</v>
      </c>
      <c r="T541" s="97">
        <f>ROUNDUP(HLOOKUP(ROUNDUP(K541,0),'배송비 조회'!A$10:U$22,7,0)*C$3,-2)</f>
        <v>15600</v>
      </c>
      <c r="U541" s="97">
        <v>0</v>
      </c>
      <c r="V541" s="97">
        <f t="shared" si="794"/>
        <v>35600</v>
      </c>
      <c r="W541" s="97">
        <f t="shared" si="729"/>
        <v>89100</v>
      </c>
      <c r="X541" s="98">
        <f t="shared" si="555"/>
        <v>213700</v>
      </c>
      <c r="Y541" s="98">
        <f t="shared" si="27"/>
        <v>267200</v>
      </c>
      <c r="Z541" s="121">
        <v>0</v>
      </c>
      <c r="AA541" s="121">
        <f t="shared" si="556"/>
        <v>8120.5999999999995</v>
      </c>
      <c r="AB541" s="121">
        <f t="shared" si="557"/>
        <v>4274</v>
      </c>
      <c r="AC541" s="99">
        <f t="shared" si="8"/>
        <v>26720</v>
      </c>
      <c r="AD541" s="121">
        <f t="shared" si="558"/>
        <v>201305.4</v>
      </c>
      <c r="AE541" s="99">
        <f t="shared" si="10"/>
        <v>240480</v>
      </c>
      <c r="AF541" s="121">
        <f t="shared" si="559"/>
        <v>2013.0540000000001</v>
      </c>
      <c r="AG541" s="100">
        <f t="shared" si="560"/>
        <v>21192.34599999999</v>
      </c>
      <c r="AH541" s="101">
        <f t="shared" si="29"/>
        <v>60366.945999999996</v>
      </c>
      <c r="AI541" s="102">
        <f t="shared" ref="AI541:AJ541" si="806">AG541/X541</f>
        <v>9.9168675713617177E-2</v>
      </c>
      <c r="AJ541" s="102">
        <f t="shared" si="806"/>
        <v>0.2259241991017964</v>
      </c>
      <c r="AK541" s="103">
        <f t="shared" si="800"/>
        <v>193700</v>
      </c>
      <c r="AL541" s="104"/>
      <c r="AM541" s="17"/>
      <c r="AN541" s="17"/>
      <c r="AO541" s="17"/>
      <c r="AP541" s="17"/>
      <c r="AQ541" s="17"/>
      <c r="AR541" s="17"/>
      <c r="AS541" s="17"/>
      <c r="AT541" s="17"/>
      <c r="AU541" s="17"/>
      <c r="AV541" s="17"/>
      <c r="AW541" s="297"/>
    </row>
    <row r="542" spans="1:49" ht="13.2">
      <c r="A542" s="302"/>
      <c r="B542" s="266"/>
      <c r="C542" s="302"/>
      <c r="D542" s="117"/>
      <c r="E542" s="302"/>
      <c r="F542" s="123" t="s">
        <v>612</v>
      </c>
      <c r="G542" s="124" t="str">
        <f>HYPERLINK("https://www.amazon.com/Blue-Yeti-USB-Microphone-Blackout/dp/B0170NWLWY/ref=sr_1_3?crid=10WIMLTIAL4MO&amp;keywords=blue%2Byeti%2Bmicrophone&amp;qid=1570284132&amp;sprefix=BLUE%2BYETI%2B%2Caps%2C370&amp;sr=8-3&amp;th=1","A")</f>
        <v>A</v>
      </c>
      <c r="H542" s="125"/>
      <c r="I542" s="125"/>
      <c r="J542" s="93">
        <v>130</v>
      </c>
      <c r="K542" s="82">
        <v>4</v>
      </c>
      <c r="L542" s="82">
        <f t="shared" si="798"/>
        <v>64</v>
      </c>
      <c r="M542" s="82">
        <f t="shared" si="550"/>
        <v>1.814368</v>
      </c>
      <c r="N542" s="93">
        <v>0</v>
      </c>
      <c r="O542" s="93">
        <v>0</v>
      </c>
      <c r="P542" s="95">
        <f t="shared" si="731"/>
        <v>130</v>
      </c>
      <c r="Q542" s="96">
        <f t="shared" si="733"/>
        <v>162500</v>
      </c>
      <c r="R542" s="96">
        <v>0</v>
      </c>
      <c r="S542" s="97">
        <f t="shared" si="553"/>
        <v>162500</v>
      </c>
      <c r="T542" s="97">
        <f>ROUNDUP(HLOOKUP(ROUNDUP(K542,0),'배송비 조회'!A$10:U$22,7,0)*C$3,-2)</f>
        <v>15600</v>
      </c>
      <c r="U542" s="97">
        <v>0</v>
      </c>
      <c r="V542" s="97">
        <f t="shared" si="794"/>
        <v>35600</v>
      </c>
      <c r="W542" s="97">
        <f t="shared" si="729"/>
        <v>89100</v>
      </c>
      <c r="X542" s="98">
        <f t="shared" si="555"/>
        <v>213700</v>
      </c>
      <c r="Y542" s="98">
        <f t="shared" si="27"/>
        <v>267200</v>
      </c>
      <c r="Z542" s="121">
        <v>0</v>
      </c>
      <c r="AA542" s="121">
        <f t="shared" si="556"/>
        <v>8120.5999999999995</v>
      </c>
      <c r="AB542" s="121">
        <f t="shared" si="557"/>
        <v>4274</v>
      </c>
      <c r="AC542" s="99">
        <f t="shared" si="8"/>
        <v>26720</v>
      </c>
      <c r="AD542" s="121">
        <f t="shared" si="558"/>
        <v>201305.4</v>
      </c>
      <c r="AE542" s="99">
        <f t="shared" si="10"/>
        <v>240480</v>
      </c>
      <c r="AF542" s="121">
        <f t="shared" si="559"/>
        <v>2013.0540000000001</v>
      </c>
      <c r="AG542" s="100">
        <f t="shared" si="560"/>
        <v>21192.34599999999</v>
      </c>
      <c r="AH542" s="101">
        <f t="shared" si="29"/>
        <v>60366.945999999996</v>
      </c>
      <c r="AI542" s="102">
        <f t="shared" ref="AI542:AJ542" si="807">AG542/X542</f>
        <v>9.9168675713617177E-2</v>
      </c>
      <c r="AJ542" s="102">
        <f t="shared" si="807"/>
        <v>0.2259241991017964</v>
      </c>
      <c r="AK542" s="103">
        <f t="shared" si="800"/>
        <v>193700</v>
      </c>
      <c r="AL542" s="104"/>
      <c r="AM542" s="17"/>
      <c r="AN542" s="17"/>
      <c r="AO542" s="17"/>
      <c r="AP542" s="17"/>
      <c r="AQ542" s="17"/>
      <c r="AR542" s="17"/>
      <c r="AS542" s="17"/>
      <c r="AT542" s="17"/>
      <c r="AU542" s="17"/>
      <c r="AV542" s="17"/>
      <c r="AW542" s="297"/>
    </row>
    <row r="543" spans="1:49" ht="13.2">
      <c r="A543" s="302"/>
      <c r="B543" s="266"/>
      <c r="C543" s="302"/>
      <c r="D543" s="117"/>
      <c r="E543" s="302"/>
      <c r="F543" s="123" t="s">
        <v>1117</v>
      </c>
      <c r="G543" s="124" t="str">
        <f>HYPERLINK("https://www.amazon.com/Blue-Yeti-USB-Microphone-Blackout/dp/B075MSG795/ref=sr_1_3?crid=10WIMLTIAL4MO&amp;keywords=blue%2Byeti%2Bmicrophone&amp;qid=1570284132&amp;sprefix=BLUE%2BYETI%2B%2Caps%2C370&amp;sr=8-3&amp;th=1","A")</f>
        <v>A</v>
      </c>
      <c r="H543" s="125"/>
      <c r="I543" s="125"/>
      <c r="J543" s="125">
        <v>130</v>
      </c>
      <c r="K543" s="82">
        <v>4</v>
      </c>
      <c r="L543" s="82">
        <f t="shared" si="798"/>
        <v>64</v>
      </c>
      <c r="M543" s="82">
        <f t="shared" si="550"/>
        <v>1.814368</v>
      </c>
      <c r="N543" s="93">
        <v>0</v>
      </c>
      <c r="O543" s="93">
        <v>0</v>
      </c>
      <c r="P543" s="95">
        <f t="shared" si="731"/>
        <v>130</v>
      </c>
      <c r="Q543" s="96">
        <f t="shared" si="733"/>
        <v>162500</v>
      </c>
      <c r="R543" s="96">
        <v>0</v>
      </c>
      <c r="S543" s="97">
        <f t="shared" si="553"/>
        <v>162500</v>
      </c>
      <c r="T543" s="97">
        <f>ROUNDUP(HLOOKUP(ROUNDUP(K543,0),'배송비 조회'!A$10:U$22,7,0)*C$3,-2)</f>
        <v>15600</v>
      </c>
      <c r="U543" s="97">
        <v>0</v>
      </c>
      <c r="V543" s="97">
        <f t="shared" si="794"/>
        <v>35600</v>
      </c>
      <c r="W543" s="97">
        <f t="shared" si="729"/>
        <v>89100</v>
      </c>
      <c r="X543" s="98">
        <f t="shared" si="555"/>
        <v>213700</v>
      </c>
      <c r="Y543" s="98">
        <f t="shared" si="27"/>
        <v>267200</v>
      </c>
      <c r="Z543" s="121">
        <v>0</v>
      </c>
      <c r="AA543" s="121">
        <f t="shared" si="556"/>
        <v>8120.5999999999995</v>
      </c>
      <c r="AB543" s="121">
        <f t="shared" si="557"/>
        <v>4274</v>
      </c>
      <c r="AC543" s="99">
        <f t="shared" si="8"/>
        <v>26720</v>
      </c>
      <c r="AD543" s="121">
        <f t="shared" si="558"/>
        <v>201305.4</v>
      </c>
      <c r="AE543" s="99">
        <f t="shared" si="10"/>
        <v>240480</v>
      </c>
      <c r="AF543" s="121">
        <f t="shared" si="559"/>
        <v>2013.0540000000001</v>
      </c>
      <c r="AG543" s="100">
        <f t="shared" si="560"/>
        <v>21192.34599999999</v>
      </c>
      <c r="AH543" s="101">
        <f t="shared" si="29"/>
        <v>60366.945999999996</v>
      </c>
      <c r="AI543" s="102">
        <f t="shared" ref="AI543:AJ543" si="808">AG543/X543</f>
        <v>9.9168675713617177E-2</v>
      </c>
      <c r="AJ543" s="102">
        <f t="shared" si="808"/>
        <v>0.2259241991017964</v>
      </c>
      <c r="AK543" s="103">
        <f t="shared" si="800"/>
        <v>193700</v>
      </c>
      <c r="AL543" s="103">
        <f>AK543-AK537</f>
        <v>0</v>
      </c>
      <c r="AM543" s="17"/>
      <c r="AN543" s="17"/>
      <c r="AO543" s="17"/>
      <c r="AP543" s="17"/>
      <c r="AQ543" s="17"/>
      <c r="AR543" s="17"/>
      <c r="AS543" s="17"/>
      <c r="AT543" s="17"/>
      <c r="AU543" s="17"/>
      <c r="AV543" s="17"/>
      <c r="AW543" s="297"/>
    </row>
    <row r="544" spans="1:49" ht="13.2">
      <c r="A544" s="119">
        <f>HYPERLINK("https://smartstore.naver.com/brickstore2019/products/4702535959",AW:AW)</f>
        <v>4702535959</v>
      </c>
      <c r="B544" s="266"/>
      <c r="C544" s="117" t="s">
        <v>1118</v>
      </c>
      <c r="D544" s="117"/>
      <c r="E544" s="117" t="s">
        <v>1119</v>
      </c>
      <c r="F544" s="123"/>
      <c r="G544" s="218" t="s">
        <v>1293</v>
      </c>
      <c r="H544" s="125"/>
      <c r="I544" s="125"/>
      <c r="J544" s="93">
        <v>26</v>
      </c>
      <c r="K544" s="82">
        <f t="shared" ref="K544:K545" si="809">IF(L544&gt;0,L544*0.0625,)</f>
        <v>0.1875</v>
      </c>
      <c r="L544" s="82">
        <v>3</v>
      </c>
      <c r="M544" s="82">
        <f t="shared" si="550"/>
        <v>8.5048499999999999E-2</v>
      </c>
      <c r="N544" s="93">
        <v>0</v>
      </c>
      <c r="O544" s="93">
        <v>0</v>
      </c>
      <c r="P544" s="95">
        <f t="shared" si="731"/>
        <v>26</v>
      </c>
      <c r="Q544" s="96">
        <f t="shared" si="733"/>
        <v>32500</v>
      </c>
      <c r="R544" s="96">
        <v>0</v>
      </c>
      <c r="S544" s="97">
        <f t="shared" si="553"/>
        <v>32500</v>
      </c>
      <c r="T544" s="97">
        <f>ROUNDUP(HLOOKUP(ROUNDUP(K544,0),'배송비 조회'!A$10:U$22,7,0)*C$3,-2)</f>
        <v>9000</v>
      </c>
      <c r="U544" s="97">
        <v>0</v>
      </c>
      <c r="V544" s="97">
        <f>ROUND(IF(R544&gt;0,0,(S544+T544)*0.4),-2)</f>
        <v>16600</v>
      </c>
      <c r="W544" s="97">
        <f t="shared" si="729"/>
        <v>20800</v>
      </c>
      <c r="X544" s="98">
        <f t="shared" si="555"/>
        <v>58100</v>
      </c>
      <c r="Y544" s="98">
        <f t="shared" si="27"/>
        <v>62300</v>
      </c>
      <c r="Z544" s="121">
        <v>0</v>
      </c>
      <c r="AA544" s="121">
        <f t="shared" si="556"/>
        <v>2207.7999999999997</v>
      </c>
      <c r="AB544" s="121">
        <f t="shared" si="557"/>
        <v>1162</v>
      </c>
      <c r="AC544" s="99">
        <f t="shared" si="8"/>
        <v>6230</v>
      </c>
      <c r="AD544" s="121">
        <f t="shared" si="558"/>
        <v>54730.2</v>
      </c>
      <c r="AE544" s="99">
        <f t="shared" si="10"/>
        <v>56070</v>
      </c>
      <c r="AF544" s="121">
        <f t="shared" si="559"/>
        <v>547.30200000000002</v>
      </c>
      <c r="AG544" s="100">
        <f t="shared" si="560"/>
        <v>12682.897999999997</v>
      </c>
      <c r="AH544" s="101">
        <f t="shared" si="29"/>
        <v>14022.698</v>
      </c>
      <c r="AI544" s="102">
        <f t="shared" ref="AI544:AJ544" si="810">AG544/X544</f>
        <v>0.21829428571428566</v>
      </c>
      <c r="AJ544" s="102">
        <f t="shared" si="810"/>
        <v>0.22508343499197433</v>
      </c>
      <c r="AK544" s="103"/>
      <c r="AL544" s="104"/>
      <c r="AM544" s="17"/>
      <c r="AN544" s="17"/>
      <c r="AO544" s="17"/>
      <c r="AP544" s="17"/>
      <c r="AQ544" s="17"/>
      <c r="AR544" s="17"/>
      <c r="AS544" s="17"/>
      <c r="AT544" s="17"/>
      <c r="AU544" s="17"/>
      <c r="AV544" s="17"/>
      <c r="AW544" s="22">
        <v>4702535959</v>
      </c>
    </row>
    <row r="545" spans="1:49" ht="13.2">
      <c r="A545" s="119">
        <f>HYPERLINK("https://smartstore.naver.com/brickstore2019/products/4704985373",AW:AW)</f>
        <v>4704985373</v>
      </c>
      <c r="B545" s="266"/>
      <c r="C545" s="117" t="s">
        <v>1120</v>
      </c>
      <c r="D545" s="117"/>
      <c r="E545" s="117" t="s">
        <v>1121</v>
      </c>
      <c r="F545" s="123"/>
      <c r="G545" s="124" t="str">
        <f>HYPERLINK("https://www.amazon.com/Kain-202-Aimo-Gaming-Mouse/dp/B07YQJ34H7/ref=sr_1_1?keywords=ROCCAT+KAIN+200%2F202&amp;qid=1571576312&amp;sr=8-1","A")</f>
        <v>A</v>
      </c>
      <c r="H545" s="125"/>
      <c r="I545" s="125"/>
      <c r="J545" s="93">
        <v>100</v>
      </c>
      <c r="K545" s="82">
        <f t="shared" si="809"/>
        <v>0.58750000000000002</v>
      </c>
      <c r="L545" s="82">
        <v>9.4</v>
      </c>
      <c r="M545" s="82">
        <f t="shared" si="550"/>
        <v>0.26648529999999998</v>
      </c>
      <c r="N545" s="93">
        <v>0</v>
      </c>
      <c r="O545" s="93">
        <v>0</v>
      </c>
      <c r="P545" s="95">
        <f t="shared" si="731"/>
        <v>100</v>
      </c>
      <c r="Q545" s="96">
        <f t="shared" si="733"/>
        <v>125000</v>
      </c>
      <c r="R545" s="96">
        <v>0</v>
      </c>
      <c r="S545" s="97">
        <f t="shared" si="553"/>
        <v>125000</v>
      </c>
      <c r="T545" s="97">
        <f>ROUNDUP(HLOOKUP(ROUNDUP(K545,0),'배송비 조회'!A$10:U$22,7,0)*C$3,-2)</f>
        <v>9000</v>
      </c>
      <c r="U545" s="97">
        <v>0</v>
      </c>
      <c r="V545" s="97">
        <f>ROUND(IF(R545&gt;0,0,(S545+T545)*0.18),-2)</f>
        <v>24100</v>
      </c>
      <c r="W545" s="97">
        <f t="shared" si="729"/>
        <v>67000</v>
      </c>
      <c r="X545" s="98">
        <f t="shared" si="555"/>
        <v>158100</v>
      </c>
      <c r="Y545" s="98">
        <f t="shared" si="27"/>
        <v>201000</v>
      </c>
      <c r="Z545" s="121">
        <v>0</v>
      </c>
      <c r="AA545" s="121">
        <f t="shared" si="556"/>
        <v>6007.8</v>
      </c>
      <c r="AB545" s="121">
        <f t="shared" si="557"/>
        <v>3162</v>
      </c>
      <c r="AC545" s="99">
        <f t="shared" si="8"/>
        <v>20100</v>
      </c>
      <c r="AD545" s="121">
        <f t="shared" si="558"/>
        <v>148930.20000000001</v>
      </c>
      <c r="AE545" s="99">
        <f t="shared" si="10"/>
        <v>180900</v>
      </c>
      <c r="AF545" s="121">
        <f t="shared" si="559"/>
        <v>1489.3020000000001</v>
      </c>
      <c r="AG545" s="100">
        <f t="shared" si="560"/>
        <v>13440.898000000012</v>
      </c>
      <c r="AH545" s="101">
        <f t="shared" si="29"/>
        <v>45410.697999999997</v>
      </c>
      <c r="AI545" s="102">
        <f t="shared" ref="AI545:AJ545" si="811">AG545/X545</f>
        <v>8.5015167615433346E-2</v>
      </c>
      <c r="AJ545" s="102">
        <f t="shared" si="811"/>
        <v>0.22592387064676614</v>
      </c>
      <c r="AK545" s="103"/>
      <c r="AL545" s="104"/>
      <c r="AM545" s="17"/>
      <c r="AN545" s="17"/>
      <c r="AO545" s="17"/>
      <c r="AP545" s="17"/>
      <c r="AQ545" s="17"/>
      <c r="AR545" s="17"/>
      <c r="AS545" s="17"/>
      <c r="AT545" s="17"/>
      <c r="AU545" s="17"/>
      <c r="AV545" s="17"/>
      <c r="AW545" s="22">
        <v>4704985373</v>
      </c>
    </row>
    <row r="546" spans="1:49" ht="13.2">
      <c r="A546" s="119">
        <f>HYPERLINK("https://smartstore.naver.com/brickstore2019/products/4705035460",AW:AW)</f>
        <v>4705035460</v>
      </c>
      <c r="B546" s="266"/>
      <c r="C546" s="117" t="s">
        <v>1122</v>
      </c>
      <c r="D546" s="117"/>
      <c r="E546" s="117" t="s">
        <v>1123</v>
      </c>
      <c r="F546" s="123"/>
      <c r="G546" s="124" t="str">
        <f>HYPERLINK("https://www.amazon.com/Hamilton-Beach-49981A-Coffee-Single/dp/B00EI7DPS0/ref=sr_1_4?keywords=Single+Cup+Coffee+Maker&amp;qid=1571662313&amp;s=home-garden&amp;sr=1-4","A")</f>
        <v>A</v>
      </c>
      <c r="H546" s="125"/>
      <c r="I546" s="125"/>
      <c r="J546" s="93">
        <v>45</v>
      </c>
      <c r="K546" s="82">
        <v>5.45</v>
      </c>
      <c r="L546" s="82">
        <f t="shared" ref="L546:L549" si="812">IF(K546&gt;0,K546*16,)</f>
        <v>87.2</v>
      </c>
      <c r="M546" s="82">
        <f t="shared" si="550"/>
        <v>2.4720764000000002</v>
      </c>
      <c r="N546" s="93">
        <v>0</v>
      </c>
      <c r="O546" s="93">
        <v>0</v>
      </c>
      <c r="P546" s="95">
        <f t="shared" si="731"/>
        <v>45</v>
      </c>
      <c r="Q546" s="96">
        <f t="shared" si="733"/>
        <v>56250</v>
      </c>
      <c r="R546" s="96">
        <v>0</v>
      </c>
      <c r="S546" s="97">
        <f t="shared" si="553"/>
        <v>56300</v>
      </c>
      <c r="T546" s="97">
        <f>ROUNDUP(HLOOKUP(ROUNDUP(K546,0),'배송비 조회'!A$10:U$22,7,0)*C$3,-2)</f>
        <v>20000</v>
      </c>
      <c r="U546" s="97">
        <v>0</v>
      </c>
      <c r="V546" s="97">
        <f t="shared" ref="V546:V550" si="813">ROUND(IF(R546&gt;0,0,(S546+T546)*0.3),-2)</f>
        <v>22900</v>
      </c>
      <c r="W546" s="97">
        <f t="shared" si="729"/>
        <v>38200</v>
      </c>
      <c r="X546" s="98">
        <f t="shared" si="555"/>
        <v>99200</v>
      </c>
      <c r="Y546" s="98">
        <f t="shared" si="27"/>
        <v>114500</v>
      </c>
      <c r="Z546" s="121">
        <v>0</v>
      </c>
      <c r="AA546" s="121">
        <f t="shared" si="556"/>
        <v>3769.6</v>
      </c>
      <c r="AB546" s="121">
        <f t="shared" si="557"/>
        <v>1984</v>
      </c>
      <c r="AC546" s="99">
        <f t="shared" si="8"/>
        <v>11450</v>
      </c>
      <c r="AD546" s="121">
        <f t="shared" si="558"/>
        <v>93446.399999999994</v>
      </c>
      <c r="AE546" s="99">
        <f t="shared" si="10"/>
        <v>103050</v>
      </c>
      <c r="AF546" s="121">
        <f t="shared" si="559"/>
        <v>934.46399999999994</v>
      </c>
      <c r="AG546" s="100">
        <f t="shared" si="560"/>
        <v>16261.935999999994</v>
      </c>
      <c r="AH546" s="101">
        <f t="shared" si="29"/>
        <v>25865.536</v>
      </c>
      <c r="AI546" s="102">
        <f t="shared" ref="AI546:AJ546" si="814">AG546/X546</f>
        <v>0.16393080645161284</v>
      </c>
      <c r="AJ546" s="102">
        <f t="shared" si="814"/>
        <v>0.22589987772925765</v>
      </c>
      <c r="AK546" s="103"/>
      <c r="AL546" s="104"/>
      <c r="AM546" s="17"/>
      <c r="AN546" s="17"/>
      <c r="AO546" s="17"/>
      <c r="AP546" s="17"/>
      <c r="AQ546" s="17"/>
      <c r="AR546" s="17"/>
      <c r="AS546" s="17"/>
      <c r="AT546" s="17"/>
      <c r="AU546" s="17"/>
      <c r="AV546" s="17"/>
      <c r="AW546" s="22">
        <v>4705035460</v>
      </c>
    </row>
    <row r="547" spans="1:49" ht="13.2">
      <c r="A547" s="119">
        <f>HYPERLINK("https://smartstore.naver.com/brickstore2019/products/4705029215",AW:AW)</f>
        <v>4705029215</v>
      </c>
      <c r="B547" s="266"/>
      <c r="C547" s="117" t="s">
        <v>1124</v>
      </c>
      <c r="D547" s="117"/>
      <c r="E547" s="130" t="s">
        <v>1125</v>
      </c>
      <c r="F547" s="123" t="s">
        <v>1126</v>
      </c>
      <c r="G547" s="124" t="str">
        <f>HYPERLINK("https://www.amazon.com/IK-Multimedia-universal-microphone-IP-IKLIP-3/dp/B07JKKVPCV/ref=sr_1_1?keywords=IK%2BMultimedia%2BiKlip%2B3&amp;qid=1571579340&amp;s=electronics&amp;sr=1-1&amp;th=1","A")</f>
        <v>A</v>
      </c>
      <c r="H547" s="125"/>
      <c r="I547" s="125"/>
      <c r="J547" s="93">
        <v>50</v>
      </c>
      <c r="K547" s="82">
        <v>1.5</v>
      </c>
      <c r="L547" s="82">
        <f t="shared" si="812"/>
        <v>24</v>
      </c>
      <c r="M547" s="82">
        <f t="shared" si="550"/>
        <v>0.68038799999999999</v>
      </c>
      <c r="N547" s="93">
        <v>0</v>
      </c>
      <c r="O547" s="93">
        <v>0</v>
      </c>
      <c r="P547" s="95">
        <f t="shared" si="731"/>
        <v>50</v>
      </c>
      <c r="Q547" s="96">
        <f t="shared" si="733"/>
        <v>62500</v>
      </c>
      <c r="R547" s="96">
        <v>0</v>
      </c>
      <c r="S547" s="97">
        <f t="shared" si="553"/>
        <v>62500</v>
      </c>
      <c r="T547" s="97">
        <f>ROUNDUP(HLOOKUP(ROUNDUP(K547,0),'배송비 조회'!A$10:U$22,7,0)*C$3,-2)</f>
        <v>11200</v>
      </c>
      <c r="U547" s="97">
        <v>0</v>
      </c>
      <c r="V547" s="97">
        <f t="shared" si="813"/>
        <v>22100</v>
      </c>
      <c r="W547" s="97">
        <f t="shared" si="729"/>
        <v>36900</v>
      </c>
      <c r="X547" s="98">
        <f t="shared" si="555"/>
        <v>95800</v>
      </c>
      <c r="Y547" s="98">
        <f t="shared" si="27"/>
        <v>110600</v>
      </c>
      <c r="Z547" s="121">
        <v>0</v>
      </c>
      <c r="AA547" s="121">
        <f t="shared" si="556"/>
        <v>3640.4</v>
      </c>
      <c r="AB547" s="121">
        <f t="shared" si="557"/>
        <v>1916</v>
      </c>
      <c r="AC547" s="99">
        <f t="shared" si="8"/>
        <v>11060</v>
      </c>
      <c r="AD547" s="121">
        <f t="shared" si="558"/>
        <v>90243.6</v>
      </c>
      <c r="AE547" s="99">
        <f t="shared" si="10"/>
        <v>99540</v>
      </c>
      <c r="AF547" s="121">
        <f t="shared" si="559"/>
        <v>902.43600000000004</v>
      </c>
      <c r="AG547" s="100">
        <f t="shared" si="560"/>
        <v>15641.164000000004</v>
      </c>
      <c r="AH547" s="101">
        <f t="shared" si="29"/>
        <v>24937.563999999998</v>
      </c>
      <c r="AI547" s="102">
        <f t="shared" ref="AI547:AJ547" si="815">AG547/X547</f>
        <v>0.1632689352818372</v>
      </c>
      <c r="AJ547" s="102">
        <f t="shared" si="815"/>
        <v>0.22547526220614827</v>
      </c>
      <c r="AK547" s="103"/>
      <c r="AL547" s="104"/>
      <c r="AM547" s="17"/>
      <c r="AN547" s="17"/>
      <c r="AO547" s="17"/>
      <c r="AP547" s="17"/>
      <c r="AQ547" s="17"/>
      <c r="AR547" s="17"/>
      <c r="AS547" s="17"/>
      <c r="AT547" s="17"/>
      <c r="AU547" s="17"/>
      <c r="AV547" s="17"/>
      <c r="AW547" s="22">
        <v>4705029215</v>
      </c>
    </row>
    <row r="548" spans="1:49" ht="13.2">
      <c r="A548" s="119">
        <f>HYPERLINK("https://smartstore.naver.com/brickstore2019/products/4705045209",AW:AW)</f>
        <v>4705045209</v>
      </c>
      <c r="B548" s="266"/>
      <c r="C548" s="117" t="s">
        <v>1127</v>
      </c>
      <c r="D548" s="117"/>
      <c r="E548" s="117" t="s">
        <v>1128</v>
      </c>
      <c r="F548" s="123"/>
      <c r="G548" s="124" t="str">
        <f>HYPERLINK("https://www.amazon.com/IK-Multimedia-universal-support-tablets/dp/B00L9EKJY8/ref=sr_1_2?keywords=IK+Multimedia+iKlip+3&amp;qid=1571579340&amp;s=electronics&amp;sr=1-2","A")</f>
        <v>A</v>
      </c>
      <c r="H548" s="125"/>
      <c r="I548" s="125"/>
      <c r="J548" s="93">
        <v>40</v>
      </c>
      <c r="K548" s="82">
        <v>1.5</v>
      </c>
      <c r="L548" s="82">
        <f t="shared" si="812"/>
        <v>24</v>
      </c>
      <c r="M548" s="82">
        <f t="shared" si="550"/>
        <v>0.68038799999999999</v>
      </c>
      <c r="N548" s="93">
        <v>0</v>
      </c>
      <c r="O548" s="93">
        <v>0</v>
      </c>
      <c r="P548" s="95">
        <f t="shared" si="731"/>
        <v>40</v>
      </c>
      <c r="Q548" s="96">
        <f t="shared" si="733"/>
        <v>50000</v>
      </c>
      <c r="R548" s="96">
        <v>0</v>
      </c>
      <c r="S548" s="97">
        <f t="shared" si="553"/>
        <v>50000</v>
      </c>
      <c r="T548" s="97">
        <f>ROUNDUP(HLOOKUP(ROUNDUP(K548,0),'배송비 조회'!A$10:U$22,7,0)*C$3,-2)</f>
        <v>11200</v>
      </c>
      <c r="U548" s="97">
        <v>0</v>
      </c>
      <c r="V548" s="97">
        <f t="shared" si="813"/>
        <v>18400</v>
      </c>
      <c r="W548" s="97">
        <f t="shared" si="729"/>
        <v>30600</v>
      </c>
      <c r="X548" s="98">
        <f t="shared" si="555"/>
        <v>79600</v>
      </c>
      <c r="Y548" s="98">
        <f t="shared" si="27"/>
        <v>91800</v>
      </c>
      <c r="Z548" s="121">
        <v>0</v>
      </c>
      <c r="AA548" s="121">
        <f t="shared" si="556"/>
        <v>3024.7999999999997</v>
      </c>
      <c r="AB548" s="121">
        <f t="shared" si="557"/>
        <v>1592</v>
      </c>
      <c r="AC548" s="99">
        <f t="shared" si="8"/>
        <v>9180</v>
      </c>
      <c r="AD548" s="121">
        <f t="shared" si="558"/>
        <v>74983.199999999997</v>
      </c>
      <c r="AE548" s="99">
        <f t="shared" si="10"/>
        <v>82620</v>
      </c>
      <c r="AF548" s="121">
        <f t="shared" si="559"/>
        <v>749.83199999999999</v>
      </c>
      <c r="AG548" s="100">
        <f t="shared" si="560"/>
        <v>13033.367999999999</v>
      </c>
      <c r="AH548" s="101">
        <f t="shared" si="29"/>
        <v>20670.168000000001</v>
      </c>
      <c r="AI548" s="102">
        <f t="shared" ref="AI548:AJ548" si="816">AG548/X548</f>
        <v>0.16373577889447236</v>
      </c>
      <c r="AJ548" s="102">
        <f t="shared" si="816"/>
        <v>0.22516522875816994</v>
      </c>
      <c r="AK548" s="103"/>
      <c r="AL548" s="104"/>
      <c r="AM548" s="17"/>
      <c r="AN548" s="17"/>
      <c r="AO548" s="17"/>
      <c r="AP548" s="17"/>
      <c r="AQ548" s="17"/>
      <c r="AR548" s="17"/>
      <c r="AS548" s="17"/>
      <c r="AT548" s="17"/>
      <c r="AU548" s="17"/>
      <c r="AV548" s="17"/>
      <c r="AW548" s="22">
        <v>4705045209</v>
      </c>
    </row>
    <row r="549" spans="1:49" ht="13.2">
      <c r="A549" s="119">
        <f>HYPERLINK("https://smartstore.naver.com/brickstore2019/products/4705070027",AW:AW)</f>
        <v>4705070027</v>
      </c>
      <c r="B549" s="266"/>
      <c r="C549" s="117" t="s">
        <v>1129</v>
      </c>
      <c r="D549" s="117"/>
      <c r="E549" s="117" t="s">
        <v>1130</v>
      </c>
      <c r="F549" s="123"/>
      <c r="G549" s="124" t="str">
        <f>HYPERLINK("https://www.amazon.com/Hamilton-Beach-49981A-Coffee-Single/dp/B00EI7DPPI/ref=sr_1_4?keywords=Single%2BCup%2BCoffee%2BMaker&amp;qid=1571662313&amp;s=home-garden&amp;sr=1-4&amp;th=1","A")</f>
        <v>A</v>
      </c>
      <c r="H549" s="125"/>
      <c r="I549" s="125"/>
      <c r="J549" s="93">
        <v>72</v>
      </c>
      <c r="K549" s="82">
        <v>9.4</v>
      </c>
      <c r="L549" s="82">
        <f t="shared" si="812"/>
        <v>150.4</v>
      </c>
      <c r="M549" s="82">
        <f t="shared" si="550"/>
        <v>4.2637647999999997</v>
      </c>
      <c r="N549" s="93">
        <v>0</v>
      </c>
      <c r="O549" s="93">
        <v>0</v>
      </c>
      <c r="P549" s="95">
        <f t="shared" si="731"/>
        <v>72</v>
      </c>
      <c r="Q549" s="96">
        <f t="shared" si="733"/>
        <v>90000</v>
      </c>
      <c r="R549" s="96">
        <v>0</v>
      </c>
      <c r="S549" s="97">
        <f t="shared" si="553"/>
        <v>90000</v>
      </c>
      <c r="T549" s="97">
        <f>ROUNDUP(HLOOKUP(ROUNDUP(K549,0),'배송비 조회'!A$10:U$22,7,0)*C$3,-2)</f>
        <v>28700</v>
      </c>
      <c r="U549" s="97">
        <v>0</v>
      </c>
      <c r="V549" s="97">
        <f t="shared" si="813"/>
        <v>35600</v>
      </c>
      <c r="W549" s="97">
        <f t="shared" si="729"/>
        <v>59400</v>
      </c>
      <c r="X549" s="98">
        <f t="shared" si="555"/>
        <v>154300</v>
      </c>
      <c r="Y549" s="98">
        <f t="shared" si="27"/>
        <v>178100</v>
      </c>
      <c r="Z549" s="121">
        <v>0</v>
      </c>
      <c r="AA549" s="121">
        <f t="shared" si="556"/>
        <v>5863.4</v>
      </c>
      <c r="AB549" s="121">
        <f t="shared" si="557"/>
        <v>3086</v>
      </c>
      <c r="AC549" s="99">
        <f t="shared" si="8"/>
        <v>17810</v>
      </c>
      <c r="AD549" s="121">
        <f t="shared" si="558"/>
        <v>145350.6</v>
      </c>
      <c r="AE549" s="99">
        <f t="shared" si="10"/>
        <v>160290</v>
      </c>
      <c r="AF549" s="121">
        <f t="shared" si="559"/>
        <v>1453.5060000000001</v>
      </c>
      <c r="AG549" s="100">
        <f t="shared" si="560"/>
        <v>25197.094000000005</v>
      </c>
      <c r="AH549" s="101">
        <f t="shared" si="29"/>
        <v>40136.494000000006</v>
      </c>
      <c r="AI549" s="102">
        <f t="shared" ref="AI549:AJ549" si="817">AG549/X549</f>
        <v>0.16329937783538565</v>
      </c>
      <c r="AJ549" s="102">
        <f t="shared" si="817"/>
        <v>0.2253593149915778</v>
      </c>
      <c r="AK549" s="103"/>
      <c r="AL549" s="104"/>
      <c r="AM549" s="17"/>
      <c r="AN549" s="17"/>
      <c r="AO549" s="17"/>
      <c r="AP549" s="17"/>
      <c r="AQ549" s="17"/>
      <c r="AR549" s="17"/>
      <c r="AS549" s="17"/>
      <c r="AT549" s="17"/>
      <c r="AU549" s="17"/>
      <c r="AV549" s="17"/>
      <c r="AW549" s="22">
        <v>4705070027</v>
      </c>
    </row>
    <row r="550" spans="1:49" ht="13.2">
      <c r="A550" s="119">
        <f>HYPERLINK("https://smartstore.naver.com/brickstore2019/products/4705085615",AW:AW)</f>
        <v>4705085615</v>
      </c>
      <c r="B550" s="266"/>
      <c r="C550" s="117" t="s">
        <v>1131</v>
      </c>
      <c r="D550" s="117"/>
      <c r="E550" s="117" t="s">
        <v>1132</v>
      </c>
      <c r="F550" s="123"/>
      <c r="G550" s="124" t="str">
        <f>HYPERLINK("https://www.amazon.com/IK-Multimedia-universal-support-smartphones/dp/B00JJOBNRM/ref=sr_1_3?keywords=IK+Multimedia+iKlip+3&amp;qid=1571579340&amp;s=electronics&amp;sr=1-3","A")</f>
        <v>A</v>
      </c>
      <c r="H550" s="125"/>
      <c r="I550" s="125"/>
      <c r="J550" s="93">
        <v>40</v>
      </c>
      <c r="K550" s="82">
        <f t="shared" ref="K550:K552" si="818">IF(L550&gt;0,L550*0.0625,)</f>
        <v>0.8125</v>
      </c>
      <c r="L550" s="82">
        <v>13</v>
      </c>
      <c r="M550" s="82">
        <f t="shared" si="550"/>
        <v>0.36854350000000002</v>
      </c>
      <c r="N550" s="93">
        <v>0</v>
      </c>
      <c r="O550" s="93">
        <v>0</v>
      </c>
      <c r="P550" s="95">
        <f t="shared" si="731"/>
        <v>40</v>
      </c>
      <c r="Q550" s="96">
        <f t="shared" si="733"/>
        <v>50000</v>
      </c>
      <c r="R550" s="96">
        <v>0</v>
      </c>
      <c r="S550" s="97">
        <f t="shared" si="553"/>
        <v>50000</v>
      </c>
      <c r="T550" s="97">
        <f>ROUNDUP(HLOOKUP(ROUNDUP(K550,0),'배송비 조회'!A$10:U$22,7,0)*C$3,-2)</f>
        <v>9000</v>
      </c>
      <c r="U550" s="97">
        <v>0</v>
      </c>
      <c r="V550" s="97">
        <f t="shared" si="813"/>
        <v>17700</v>
      </c>
      <c r="W550" s="97">
        <f t="shared" si="729"/>
        <v>29500</v>
      </c>
      <c r="X550" s="98">
        <f t="shared" si="555"/>
        <v>76700</v>
      </c>
      <c r="Y550" s="98">
        <f t="shared" si="27"/>
        <v>88500</v>
      </c>
      <c r="Z550" s="121">
        <v>0</v>
      </c>
      <c r="AA550" s="121">
        <f t="shared" si="556"/>
        <v>2914.6</v>
      </c>
      <c r="AB550" s="121">
        <f t="shared" si="557"/>
        <v>1534</v>
      </c>
      <c r="AC550" s="99">
        <f t="shared" si="8"/>
        <v>8850</v>
      </c>
      <c r="AD550" s="121">
        <f t="shared" si="558"/>
        <v>72251.399999999994</v>
      </c>
      <c r="AE550" s="99">
        <f t="shared" si="10"/>
        <v>79650</v>
      </c>
      <c r="AF550" s="121">
        <f t="shared" si="559"/>
        <v>722.51400000000001</v>
      </c>
      <c r="AG550" s="100">
        <f t="shared" si="560"/>
        <v>12528.885999999995</v>
      </c>
      <c r="AH550" s="101">
        <f t="shared" si="29"/>
        <v>19927.486000000001</v>
      </c>
      <c r="AI550" s="102">
        <f t="shared" ref="AI550:AJ550" si="819">AG550/X550</f>
        <v>0.16334923076923069</v>
      </c>
      <c r="AJ550" s="102">
        <f t="shared" si="819"/>
        <v>0.22516933333333333</v>
      </c>
      <c r="AK550" s="103"/>
      <c r="AL550" s="104"/>
      <c r="AM550" s="17"/>
      <c r="AN550" s="17"/>
      <c r="AO550" s="17"/>
      <c r="AP550" s="17"/>
      <c r="AQ550" s="17"/>
      <c r="AR550" s="17"/>
      <c r="AS550" s="17"/>
      <c r="AT550" s="17"/>
      <c r="AU550" s="17"/>
      <c r="AV550" s="17"/>
      <c r="AW550" s="22">
        <v>4705085615</v>
      </c>
    </row>
    <row r="551" spans="1:49" ht="13.2">
      <c r="A551" s="119">
        <f>HYPERLINK("https://smartstore.naver.com/brickstore2019/products/4705100367",AW:AW)</f>
        <v>4705100367</v>
      </c>
      <c r="B551" s="266"/>
      <c r="C551" s="117" t="s">
        <v>1133</v>
      </c>
      <c r="D551" s="117"/>
      <c r="E551" s="117" t="s">
        <v>1134</v>
      </c>
      <c r="F551" s="123"/>
      <c r="G551" s="124" t="str">
        <f>HYPERLINK("https://www.amazon.com/ENDGAME-GEAR-Gaming-Mouse-Electronic-Game/dp/B07VCKBH6M","A")</f>
        <v>A</v>
      </c>
      <c r="H551" s="125"/>
      <c r="I551" s="125"/>
      <c r="J551" s="93">
        <v>60</v>
      </c>
      <c r="K551" s="82">
        <f t="shared" si="818"/>
        <v>0.25</v>
      </c>
      <c r="L551" s="82">
        <v>4</v>
      </c>
      <c r="M551" s="82">
        <f t="shared" si="550"/>
        <v>0.113398</v>
      </c>
      <c r="N551" s="93">
        <v>0</v>
      </c>
      <c r="O551" s="93">
        <v>0</v>
      </c>
      <c r="P551" s="95">
        <f t="shared" si="731"/>
        <v>60</v>
      </c>
      <c r="Q551" s="96">
        <f t="shared" ref="Q551:Q614" si="820">P551*C$3</f>
        <v>75000</v>
      </c>
      <c r="R551" s="96">
        <v>0</v>
      </c>
      <c r="S551" s="97">
        <f t="shared" si="553"/>
        <v>75000</v>
      </c>
      <c r="T551" s="97">
        <f>ROUNDUP(HLOOKUP(ROUNDUP(K551,0),'배송비 조회'!A$10:U$22,7,0)*C$3,-2)</f>
        <v>9000</v>
      </c>
      <c r="U551" s="97">
        <v>0</v>
      </c>
      <c r="V551" s="97">
        <f>ROUND(IF(R551&gt;0,0,(S551+T551)*0.2),-2)</f>
        <v>16800</v>
      </c>
      <c r="W551" s="97">
        <f t="shared" si="729"/>
        <v>42000</v>
      </c>
      <c r="X551" s="98">
        <f t="shared" si="555"/>
        <v>100800</v>
      </c>
      <c r="Y551" s="98">
        <f t="shared" si="27"/>
        <v>126000</v>
      </c>
      <c r="Z551" s="121">
        <v>0</v>
      </c>
      <c r="AA551" s="121">
        <f t="shared" si="556"/>
        <v>3830.4</v>
      </c>
      <c r="AB551" s="121">
        <f t="shared" si="557"/>
        <v>2016</v>
      </c>
      <c r="AC551" s="99">
        <f t="shared" si="8"/>
        <v>12600</v>
      </c>
      <c r="AD551" s="121">
        <f t="shared" si="558"/>
        <v>94953.600000000006</v>
      </c>
      <c r="AE551" s="99">
        <f t="shared" si="10"/>
        <v>113400</v>
      </c>
      <c r="AF551" s="121">
        <f t="shared" si="559"/>
        <v>949.53600000000006</v>
      </c>
      <c r="AG551" s="100">
        <f t="shared" si="560"/>
        <v>10004.064000000006</v>
      </c>
      <c r="AH551" s="101">
        <f t="shared" si="29"/>
        <v>28450.464</v>
      </c>
      <c r="AI551" s="102">
        <f t="shared" ref="AI551:AJ551" si="821">AG551/X551</f>
        <v>9.9246666666666719E-2</v>
      </c>
      <c r="AJ551" s="102">
        <f t="shared" si="821"/>
        <v>0.22579733333333332</v>
      </c>
      <c r="AK551" s="103"/>
      <c r="AL551" s="104"/>
      <c r="AM551" s="17"/>
      <c r="AN551" s="17"/>
      <c r="AO551" s="17"/>
      <c r="AP551" s="17"/>
      <c r="AQ551" s="17"/>
      <c r="AR551" s="17"/>
      <c r="AS551" s="17"/>
      <c r="AT551" s="17"/>
      <c r="AU551" s="17"/>
      <c r="AV551" s="17"/>
      <c r="AW551" s="22">
        <v>4705100367</v>
      </c>
    </row>
    <row r="552" spans="1:49" ht="13.2">
      <c r="A552" s="119">
        <f>HYPERLINK("https://smartstore.naver.com/brickstore2019/products/4705110226",AW:AW)</f>
        <v>4705110226</v>
      </c>
      <c r="B552" s="266"/>
      <c r="C552" s="117" t="s">
        <v>1135</v>
      </c>
      <c r="D552" s="117"/>
      <c r="E552" s="117" t="s">
        <v>1136</v>
      </c>
      <c r="F552" s="123"/>
      <c r="G552" s="218" t="s">
        <v>1293</v>
      </c>
      <c r="H552" s="125"/>
      <c r="I552" s="125"/>
      <c r="J552" s="93">
        <v>50</v>
      </c>
      <c r="K552" s="82">
        <f t="shared" si="818"/>
        <v>0.3125</v>
      </c>
      <c r="L552" s="82">
        <v>5</v>
      </c>
      <c r="M552" s="82">
        <f t="shared" si="550"/>
        <v>0.1417475</v>
      </c>
      <c r="N552" s="93">
        <v>0</v>
      </c>
      <c r="O552" s="93">
        <v>0</v>
      </c>
      <c r="P552" s="95">
        <f t="shared" si="731"/>
        <v>50</v>
      </c>
      <c r="Q552" s="96">
        <f t="shared" si="820"/>
        <v>62500</v>
      </c>
      <c r="R552" s="96">
        <v>0</v>
      </c>
      <c r="S552" s="97">
        <f t="shared" si="553"/>
        <v>62500</v>
      </c>
      <c r="T552" s="97">
        <f>ROUNDUP(HLOOKUP(ROUNDUP(K552,0),'배송비 조회'!A$10:U$22,7,0)*C$3,-2)</f>
        <v>9000</v>
      </c>
      <c r="U552" s="97">
        <v>0</v>
      </c>
      <c r="V552" s="97">
        <f>ROUND(IF(R552&gt;0,0,(S552+T552)*0.3),-2)</f>
        <v>21500</v>
      </c>
      <c r="W552" s="97">
        <f t="shared" si="729"/>
        <v>35800</v>
      </c>
      <c r="X552" s="98">
        <f t="shared" si="555"/>
        <v>93000</v>
      </c>
      <c r="Y552" s="98">
        <f t="shared" si="27"/>
        <v>107300</v>
      </c>
      <c r="Z552" s="121">
        <v>0</v>
      </c>
      <c r="AA552" s="121">
        <f t="shared" si="556"/>
        <v>3534</v>
      </c>
      <c r="AB552" s="121">
        <f t="shared" si="557"/>
        <v>1860</v>
      </c>
      <c r="AC552" s="99">
        <f t="shared" si="8"/>
        <v>10730</v>
      </c>
      <c r="AD552" s="121">
        <f t="shared" si="558"/>
        <v>87606</v>
      </c>
      <c r="AE552" s="99">
        <f t="shared" si="10"/>
        <v>96570</v>
      </c>
      <c r="AF552" s="121">
        <f t="shared" si="559"/>
        <v>876.06000000000006</v>
      </c>
      <c r="AG552" s="100">
        <f t="shared" si="560"/>
        <v>15229.939999999999</v>
      </c>
      <c r="AH552" s="101">
        <f t="shared" si="29"/>
        <v>24193.940000000002</v>
      </c>
      <c r="AI552" s="102">
        <f t="shared" ref="AI552:AJ552" si="822">AG552/X552</f>
        <v>0.16376279569892471</v>
      </c>
      <c r="AJ552" s="102">
        <f t="shared" si="822"/>
        <v>0.22547940354147253</v>
      </c>
      <c r="AK552" s="103"/>
      <c r="AL552" s="104"/>
      <c r="AM552" s="17"/>
      <c r="AN552" s="17"/>
      <c r="AO552" s="17"/>
      <c r="AP552" s="17"/>
      <c r="AQ552" s="17"/>
      <c r="AR552" s="17"/>
      <c r="AS552" s="17"/>
      <c r="AT552" s="17"/>
      <c r="AU552" s="17"/>
      <c r="AV552" s="17"/>
      <c r="AW552" s="22">
        <v>4705110226</v>
      </c>
    </row>
    <row r="553" spans="1:49" ht="13.2">
      <c r="A553" s="119">
        <f>HYPERLINK("https://smartstore.naver.com/brickstore2019/products/4706366268",AW:AW)</f>
        <v>4706366268</v>
      </c>
      <c r="B553" s="266"/>
      <c r="C553" s="117" t="s">
        <v>1137</v>
      </c>
      <c r="D553" s="117"/>
      <c r="E553" s="117" t="s">
        <v>1138</v>
      </c>
      <c r="F553" s="123"/>
      <c r="G553" s="124" t="str">
        <f>HYPERLINK("https://www.amazon.com/Chemical-Guys-EQP322-Professional-Cannon/dp/B0767FG5GB/ref=sr_1_1?keywords=big+mouth+foam&amp;qid=1571577023&amp;sr=8-1","A")</f>
        <v>A</v>
      </c>
      <c r="H553" s="125"/>
      <c r="I553" s="125"/>
      <c r="J553" s="93">
        <v>90</v>
      </c>
      <c r="K553" s="82">
        <v>2</v>
      </c>
      <c r="L553" s="82">
        <f t="shared" ref="L553:L557" si="823">IF(K553&gt;0,K553*16,)</f>
        <v>32</v>
      </c>
      <c r="M553" s="82">
        <f t="shared" si="550"/>
        <v>0.90718399999999999</v>
      </c>
      <c r="N553" s="93">
        <v>0</v>
      </c>
      <c r="O553" s="93">
        <v>0</v>
      </c>
      <c r="P553" s="95">
        <f t="shared" si="731"/>
        <v>90</v>
      </c>
      <c r="Q553" s="96">
        <f t="shared" si="820"/>
        <v>112500</v>
      </c>
      <c r="R553" s="96">
        <v>0</v>
      </c>
      <c r="S553" s="97">
        <f t="shared" si="553"/>
        <v>112500</v>
      </c>
      <c r="T553" s="97">
        <f>ROUNDUP(HLOOKUP(ROUNDUP(K553,0),'배송비 조회'!A$10:U$22,7,0)*C$3,-2)</f>
        <v>11200</v>
      </c>
      <c r="U553" s="97">
        <v>0</v>
      </c>
      <c r="V553" s="97">
        <f>ROUND(IF(R553&gt;0,0,(S553+T553)*0.2),-2)</f>
        <v>24700</v>
      </c>
      <c r="W553" s="97">
        <f t="shared" si="729"/>
        <v>61900</v>
      </c>
      <c r="X553" s="98">
        <f t="shared" si="555"/>
        <v>148400</v>
      </c>
      <c r="Y553" s="98">
        <f t="shared" si="27"/>
        <v>185600</v>
      </c>
      <c r="Z553" s="121">
        <v>0</v>
      </c>
      <c r="AA553" s="121">
        <f t="shared" si="556"/>
        <v>5639.2</v>
      </c>
      <c r="AB553" s="121">
        <f t="shared" si="557"/>
        <v>2968</v>
      </c>
      <c r="AC553" s="99">
        <f t="shared" si="8"/>
        <v>18560</v>
      </c>
      <c r="AD553" s="121">
        <f t="shared" si="558"/>
        <v>139792.79999999999</v>
      </c>
      <c r="AE553" s="99">
        <f t="shared" si="10"/>
        <v>167040</v>
      </c>
      <c r="AF553" s="121">
        <f t="shared" si="559"/>
        <v>1397.9279999999999</v>
      </c>
      <c r="AG553" s="100">
        <f t="shared" si="560"/>
        <v>14694.871999999988</v>
      </c>
      <c r="AH553" s="101">
        <f t="shared" si="29"/>
        <v>41942.072</v>
      </c>
      <c r="AI553" s="102">
        <f t="shared" ref="AI553:AJ553" si="824">AG553/X553</f>
        <v>9.9022048517520139E-2</v>
      </c>
      <c r="AJ553" s="102">
        <f t="shared" si="824"/>
        <v>0.22598099137931035</v>
      </c>
      <c r="AK553" s="103"/>
      <c r="AL553" s="104"/>
      <c r="AM553" s="17"/>
      <c r="AN553" s="17"/>
      <c r="AO553" s="17"/>
      <c r="AP553" s="17"/>
      <c r="AQ553" s="17"/>
      <c r="AR553" s="17"/>
      <c r="AS553" s="17"/>
      <c r="AT553" s="17"/>
      <c r="AU553" s="17"/>
      <c r="AV553" s="17"/>
      <c r="AW553" s="22">
        <v>4706366268</v>
      </c>
    </row>
    <row r="554" spans="1:49" ht="13.2">
      <c r="A554" s="303">
        <f>HYPERLINK("https://smartstore.naver.com/brickstore2019/products/4706390429",AW:AW)</f>
        <v>4706390429</v>
      </c>
      <c r="B554" s="266"/>
      <c r="C554" s="304" t="s">
        <v>1139</v>
      </c>
      <c r="D554" s="117"/>
      <c r="E554" s="304" t="s">
        <v>1140</v>
      </c>
      <c r="F554" s="123" t="s">
        <v>363</v>
      </c>
      <c r="G554" s="124" t="str">
        <f>HYPERLINK("https://www.amazon.com/Rechargeable-Wireless-Keyboard-Cordless-Thinkpad/dp/B07CZCHMSX?th=1","A")</f>
        <v>A</v>
      </c>
      <c r="H554" s="125"/>
      <c r="I554" s="125"/>
      <c r="J554" s="93">
        <v>25</v>
      </c>
      <c r="K554" s="82">
        <v>1.3</v>
      </c>
      <c r="L554" s="82">
        <f t="shared" si="823"/>
        <v>20.8</v>
      </c>
      <c r="M554" s="82">
        <f t="shared" si="550"/>
        <v>0.58966960000000002</v>
      </c>
      <c r="N554" s="93">
        <v>0</v>
      </c>
      <c r="O554" s="93">
        <v>0</v>
      </c>
      <c r="P554" s="95">
        <f t="shared" si="731"/>
        <v>25</v>
      </c>
      <c r="Q554" s="96">
        <f t="shared" si="820"/>
        <v>31250</v>
      </c>
      <c r="R554" s="96">
        <v>0</v>
      </c>
      <c r="S554" s="97">
        <f t="shared" si="553"/>
        <v>31300</v>
      </c>
      <c r="T554" s="97">
        <f>ROUNDUP(HLOOKUP(ROUNDUP(K554,0),'배송비 조회'!A$10:U$22,7,0)*C$3,-2)</f>
        <v>11200</v>
      </c>
      <c r="U554" s="97">
        <v>0</v>
      </c>
      <c r="V554" s="97">
        <f t="shared" ref="V554:V557" si="825">ROUND(IF(R554&gt;0,0,(S554+T554)*0.3),-2)</f>
        <v>12800</v>
      </c>
      <c r="W554" s="97">
        <f t="shared" si="729"/>
        <v>21300</v>
      </c>
      <c r="X554" s="98">
        <f t="shared" si="555"/>
        <v>55300</v>
      </c>
      <c r="Y554" s="98">
        <f t="shared" si="27"/>
        <v>63800</v>
      </c>
      <c r="Z554" s="121">
        <v>0</v>
      </c>
      <c r="AA554" s="121">
        <f t="shared" si="556"/>
        <v>2101.4</v>
      </c>
      <c r="AB554" s="121">
        <f t="shared" si="557"/>
        <v>1106</v>
      </c>
      <c r="AC554" s="99">
        <f t="shared" si="8"/>
        <v>6380</v>
      </c>
      <c r="AD554" s="121">
        <f t="shared" si="558"/>
        <v>52092.6</v>
      </c>
      <c r="AE554" s="99">
        <f t="shared" si="10"/>
        <v>57420</v>
      </c>
      <c r="AF554" s="121">
        <f t="shared" si="559"/>
        <v>520.92600000000004</v>
      </c>
      <c r="AG554" s="100">
        <f t="shared" si="560"/>
        <v>9121.6739999999991</v>
      </c>
      <c r="AH554" s="101">
        <f t="shared" si="29"/>
        <v>14449.074000000001</v>
      </c>
      <c r="AI554" s="102">
        <f t="shared" ref="AI554:AJ554" si="826">AG554/X554</f>
        <v>0.16494889692585893</v>
      </c>
      <c r="AJ554" s="102">
        <f t="shared" si="826"/>
        <v>0.22647451410658309</v>
      </c>
      <c r="AK554" s="103"/>
      <c r="AL554" s="104"/>
      <c r="AM554" s="17"/>
      <c r="AN554" s="17"/>
      <c r="AO554" s="17"/>
      <c r="AP554" s="17"/>
      <c r="AQ554" s="17"/>
      <c r="AR554" s="17"/>
      <c r="AS554" s="17"/>
      <c r="AT554" s="17"/>
      <c r="AU554" s="17"/>
      <c r="AV554" s="17"/>
      <c r="AW554" s="296">
        <v>4706390429</v>
      </c>
    </row>
    <row r="555" spans="1:49" ht="13.2">
      <c r="A555" s="302"/>
      <c r="B555" s="266"/>
      <c r="C555" s="302"/>
      <c r="D555" s="117"/>
      <c r="E555" s="302"/>
      <c r="F555" s="123" t="s">
        <v>135</v>
      </c>
      <c r="G555" s="124" t="str">
        <f>HYPERLINK("https://www.amazon.com/Rechargeable-Wireless-Keyboard-Cordless-Thinkpad/dp/B07L3VN6VH?th=1","A")</f>
        <v>A</v>
      </c>
      <c r="H555" s="125"/>
      <c r="I555" s="125"/>
      <c r="J555" s="93">
        <v>25</v>
      </c>
      <c r="K555" s="82">
        <v>1.3</v>
      </c>
      <c r="L555" s="82">
        <f t="shared" si="823"/>
        <v>20.8</v>
      </c>
      <c r="M555" s="82">
        <f t="shared" si="550"/>
        <v>0.58966960000000002</v>
      </c>
      <c r="N555" s="93">
        <v>0</v>
      </c>
      <c r="O555" s="93">
        <v>0</v>
      </c>
      <c r="P555" s="95">
        <f t="shared" si="731"/>
        <v>25</v>
      </c>
      <c r="Q555" s="96">
        <f t="shared" si="820"/>
        <v>31250</v>
      </c>
      <c r="R555" s="96">
        <v>0</v>
      </c>
      <c r="S555" s="97">
        <f t="shared" si="553"/>
        <v>31300</v>
      </c>
      <c r="T555" s="97">
        <f>ROUNDUP(HLOOKUP(ROUNDUP(K555,0),'배송비 조회'!A$10:U$22,7,0)*C$3,-2)</f>
        <v>11200</v>
      </c>
      <c r="U555" s="97">
        <v>0</v>
      </c>
      <c r="V555" s="97">
        <f t="shared" si="825"/>
        <v>12800</v>
      </c>
      <c r="W555" s="97">
        <f t="shared" si="729"/>
        <v>21300</v>
      </c>
      <c r="X555" s="98">
        <f t="shared" si="555"/>
        <v>55300</v>
      </c>
      <c r="Y555" s="98">
        <f t="shared" si="27"/>
        <v>63800</v>
      </c>
      <c r="Z555" s="121">
        <v>0</v>
      </c>
      <c r="AA555" s="121">
        <f t="shared" si="556"/>
        <v>2101.4</v>
      </c>
      <c r="AB555" s="121">
        <f t="shared" si="557"/>
        <v>1106</v>
      </c>
      <c r="AC555" s="99">
        <f t="shared" si="8"/>
        <v>6380</v>
      </c>
      <c r="AD555" s="121">
        <f t="shared" si="558"/>
        <v>52092.6</v>
      </c>
      <c r="AE555" s="99">
        <f t="shared" si="10"/>
        <v>57420</v>
      </c>
      <c r="AF555" s="121">
        <f t="shared" si="559"/>
        <v>520.92600000000004</v>
      </c>
      <c r="AG555" s="100">
        <f t="shared" si="560"/>
        <v>9121.6739999999991</v>
      </c>
      <c r="AH555" s="101">
        <f t="shared" si="29"/>
        <v>14449.074000000001</v>
      </c>
      <c r="AI555" s="102">
        <f t="shared" ref="AI555:AJ555" si="827">AG555/X555</f>
        <v>0.16494889692585893</v>
      </c>
      <c r="AJ555" s="102">
        <f t="shared" si="827"/>
        <v>0.22647451410658309</v>
      </c>
      <c r="AK555" s="103"/>
      <c r="AL555" s="104"/>
      <c r="AM555" s="17"/>
      <c r="AN555" s="17"/>
      <c r="AO555" s="17"/>
      <c r="AP555" s="17"/>
      <c r="AQ555" s="17"/>
      <c r="AR555" s="17"/>
      <c r="AS555" s="17"/>
      <c r="AT555" s="17"/>
      <c r="AU555" s="17"/>
      <c r="AV555" s="17"/>
      <c r="AW555" s="297"/>
    </row>
    <row r="556" spans="1:49" ht="13.2">
      <c r="A556" s="119">
        <f>HYPERLINK("https://smartstore.naver.com/brickstore2019/products/4706412108",AW:AW)</f>
        <v>4706412108</v>
      </c>
      <c r="B556" s="266"/>
      <c r="C556" s="117" t="s">
        <v>1141</v>
      </c>
      <c r="D556" s="117"/>
      <c r="E556" s="117" t="s">
        <v>1142</v>
      </c>
      <c r="F556" s="123" t="s">
        <v>55</v>
      </c>
      <c r="G556" s="124" t="str">
        <f>HYPERLINK("https://www.amazon.com/dp/B07NC7BN22/ref=cm_sw_r_cp_apa_i_UbVRDb1YTS779","A")</f>
        <v>A</v>
      </c>
      <c r="H556" s="125"/>
      <c r="I556" s="125"/>
      <c r="J556" s="93">
        <v>72</v>
      </c>
      <c r="K556" s="82">
        <v>1.5</v>
      </c>
      <c r="L556" s="82">
        <f t="shared" si="823"/>
        <v>24</v>
      </c>
      <c r="M556" s="82">
        <f t="shared" si="550"/>
        <v>0.68038799999999999</v>
      </c>
      <c r="N556" s="93">
        <v>0</v>
      </c>
      <c r="O556" s="93">
        <v>0</v>
      </c>
      <c r="P556" s="95">
        <f t="shared" si="731"/>
        <v>72</v>
      </c>
      <c r="Q556" s="96">
        <f t="shared" si="820"/>
        <v>90000</v>
      </c>
      <c r="R556" s="96">
        <v>0</v>
      </c>
      <c r="S556" s="97">
        <f t="shared" si="553"/>
        <v>90000</v>
      </c>
      <c r="T556" s="97">
        <f>ROUNDUP(HLOOKUP(ROUNDUP(K556,0),'배송비 조회'!A$10:U$22,7,0)*C$3,-2)</f>
        <v>11200</v>
      </c>
      <c r="U556" s="97">
        <v>0</v>
      </c>
      <c r="V556" s="97">
        <f t="shared" si="825"/>
        <v>30400</v>
      </c>
      <c r="W556" s="97">
        <f t="shared" si="729"/>
        <v>50600</v>
      </c>
      <c r="X556" s="98">
        <f t="shared" si="555"/>
        <v>131600</v>
      </c>
      <c r="Y556" s="98">
        <f t="shared" si="27"/>
        <v>151800</v>
      </c>
      <c r="Z556" s="121">
        <v>0</v>
      </c>
      <c r="AA556" s="121">
        <f t="shared" si="556"/>
        <v>5000.8</v>
      </c>
      <c r="AB556" s="121">
        <f t="shared" si="557"/>
        <v>2632</v>
      </c>
      <c r="AC556" s="99">
        <f t="shared" si="8"/>
        <v>15180</v>
      </c>
      <c r="AD556" s="121">
        <f t="shared" si="558"/>
        <v>123967.2</v>
      </c>
      <c r="AE556" s="99">
        <f t="shared" si="10"/>
        <v>136620</v>
      </c>
      <c r="AF556" s="121">
        <f t="shared" si="559"/>
        <v>1239.672</v>
      </c>
      <c r="AG556" s="100">
        <f t="shared" si="560"/>
        <v>21527.527999999998</v>
      </c>
      <c r="AH556" s="101">
        <f t="shared" si="29"/>
        <v>34180.328000000001</v>
      </c>
      <c r="AI556" s="102">
        <f t="shared" ref="AI556:AJ556" si="828">AG556/X556</f>
        <v>0.16358303951367781</v>
      </c>
      <c r="AJ556" s="102">
        <f t="shared" si="828"/>
        <v>0.2251668511198946</v>
      </c>
      <c r="AK556" s="103"/>
      <c r="AL556" s="104"/>
      <c r="AM556" s="17"/>
      <c r="AN556" s="17"/>
      <c r="AO556" s="17"/>
      <c r="AP556" s="17"/>
      <c r="AQ556" s="17"/>
      <c r="AR556" s="17"/>
      <c r="AS556" s="17"/>
      <c r="AT556" s="17"/>
      <c r="AU556" s="17"/>
      <c r="AV556" s="17"/>
      <c r="AW556" s="22">
        <v>4706412108</v>
      </c>
    </row>
    <row r="557" spans="1:49" ht="13.2">
      <c r="A557" s="119">
        <f>HYPERLINK("https://smartstore.naver.com/brickstore2019/products/4707508148",AW:AW)</f>
        <v>4707508148</v>
      </c>
      <c r="B557" s="266"/>
      <c r="C557" s="117" t="s">
        <v>1143</v>
      </c>
      <c r="D557" s="117"/>
      <c r="E557" s="117" t="s">
        <v>1144</v>
      </c>
      <c r="F557" s="123" t="s">
        <v>1145</v>
      </c>
      <c r="G557" s="124" t="str">
        <f>HYPERLINK("https://www.amazon.com/Samsonite-Lineate-Travel-Obsidian-Black/dp/B01N3WB939/ref=sr_1_1?dchild=1&amp;keywords=Samsonite+Unisex+Lineate+Travel+Tote&amp;psc=1&amp;qid=1571834290&amp;sr=8-1","A")</f>
        <v>A</v>
      </c>
      <c r="H557" s="125"/>
      <c r="I557" s="125"/>
      <c r="J557" s="93">
        <v>90</v>
      </c>
      <c r="K557" s="82">
        <v>3.5</v>
      </c>
      <c r="L557" s="82">
        <f t="shared" si="823"/>
        <v>56</v>
      </c>
      <c r="M557" s="82">
        <f t="shared" si="550"/>
        <v>1.587572</v>
      </c>
      <c r="N557" s="93">
        <v>0</v>
      </c>
      <c r="O557" s="93">
        <v>0</v>
      </c>
      <c r="P557" s="95">
        <f t="shared" si="731"/>
        <v>90</v>
      </c>
      <c r="Q557" s="96">
        <f t="shared" si="820"/>
        <v>112500</v>
      </c>
      <c r="R557" s="96">
        <v>0</v>
      </c>
      <c r="S557" s="97">
        <f t="shared" si="553"/>
        <v>112500</v>
      </c>
      <c r="T557" s="97">
        <f>ROUNDUP(HLOOKUP(ROUNDUP(K557,0),'배송비 조회'!A$10:U$22,7,0)*C$3,-2)</f>
        <v>15600</v>
      </c>
      <c r="U557" s="97">
        <v>0</v>
      </c>
      <c r="V557" s="97">
        <f t="shared" si="825"/>
        <v>38400</v>
      </c>
      <c r="W557" s="97">
        <f t="shared" si="729"/>
        <v>64100</v>
      </c>
      <c r="X557" s="98">
        <f t="shared" si="555"/>
        <v>166500</v>
      </c>
      <c r="Y557" s="98">
        <f t="shared" si="27"/>
        <v>192200</v>
      </c>
      <c r="Z557" s="121">
        <v>0</v>
      </c>
      <c r="AA557" s="121">
        <f t="shared" si="556"/>
        <v>6327</v>
      </c>
      <c r="AB557" s="121">
        <f t="shared" si="557"/>
        <v>3330</v>
      </c>
      <c r="AC557" s="99">
        <f t="shared" si="8"/>
        <v>19220</v>
      </c>
      <c r="AD557" s="121">
        <f t="shared" si="558"/>
        <v>156843</v>
      </c>
      <c r="AE557" s="99">
        <f t="shared" si="10"/>
        <v>172980</v>
      </c>
      <c r="AF557" s="121">
        <f t="shared" si="559"/>
        <v>1568.43</v>
      </c>
      <c r="AG557" s="100">
        <f t="shared" si="560"/>
        <v>27174.57</v>
      </c>
      <c r="AH557" s="101">
        <f t="shared" si="29"/>
        <v>43311.57</v>
      </c>
      <c r="AI557" s="102">
        <f t="shared" ref="AI557:AJ557" si="829">AG557/X557</f>
        <v>0.16321063063063063</v>
      </c>
      <c r="AJ557" s="102">
        <f t="shared" si="829"/>
        <v>0.22534635796045785</v>
      </c>
      <c r="AK557" s="103"/>
      <c r="AL557" s="104"/>
      <c r="AM557" s="17"/>
      <c r="AN557" s="17"/>
      <c r="AO557" s="17"/>
      <c r="AP557" s="17"/>
      <c r="AQ557" s="17"/>
      <c r="AR557" s="17"/>
      <c r="AS557" s="17"/>
      <c r="AT557" s="17"/>
      <c r="AU557" s="17"/>
      <c r="AV557" s="17"/>
      <c r="AW557" s="22">
        <v>4707508148</v>
      </c>
    </row>
    <row r="558" spans="1:49" ht="13.2">
      <c r="A558" s="119">
        <f>HYPERLINK("https://smartstore.naver.com/brickstore2019/products/4707553728",AW:AW)</f>
        <v>4707553728</v>
      </c>
      <c r="B558" s="266"/>
      <c r="C558" s="117" t="s">
        <v>1146</v>
      </c>
      <c r="D558" s="117"/>
      <c r="E558" s="117" t="s">
        <v>1147</v>
      </c>
      <c r="F558" s="123" t="s">
        <v>55</v>
      </c>
      <c r="G558" s="124" t="str">
        <f>HYPERLINK("https://www.amazon.com/Samsonite-Aramon-Laptop-Sleeve-Black/dp/B004FH977Q?ref_=ast_sto_dp","A")</f>
        <v>A</v>
      </c>
      <c r="H558" s="125"/>
      <c r="I558" s="125"/>
      <c r="J558" s="125">
        <v>20</v>
      </c>
      <c r="K558" s="82">
        <f t="shared" ref="K558:K561" si="830">IF(L558&gt;0,L558*0.0625,)</f>
        <v>0.75</v>
      </c>
      <c r="L558" s="82">
        <v>12</v>
      </c>
      <c r="M558" s="82">
        <f t="shared" si="550"/>
        <v>0.340194</v>
      </c>
      <c r="N558" s="93">
        <v>0</v>
      </c>
      <c r="O558" s="93">
        <v>0</v>
      </c>
      <c r="P558" s="95">
        <f t="shared" si="731"/>
        <v>20</v>
      </c>
      <c r="Q558" s="96">
        <f t="shared" si="820"/>
        <v>25000</v>
      </c>
      <c r="R558" s="96">
        <v>0</v>
      </c>
      <c r="S558" s="97">
        <f t="shared" si="553"/>
        <v>25000</v>
      </c>
      <c r="T558" s="97">
        <f>ROUNDUP(HLOOKUP(ROUNDUP(K558,0),'배송비 조회'!A$10:U$22,7,0)*C$3,-2)</f>
        <v>9000</v>
      </c>
      <c r="U558" s="97">
        <v>0</v>
      </c>
      <c r="V558" s="97">
        <f>ROUND(IF(R558&gt;0,0,(S558+T558)*0.4),-2)</f>
        <v>13600</v>
      </c>
      <c r="W558" s="97">
        <f t="shared" si="729"/>
        <v>17000</v>
      </c>
      <c r="X558" s="98">
        <f t="shared" si="555"/>
        <v>47600</v>
      </c>
      <c r="Y558" s="98">
        <f t="shared" si="27"/>
        <v>51000</v>
      </c>
      <c r="Z558" s="121">
        <v>0</v>
      </c>
      <c r="AA558" s="121">
        <f t="shared" si="556"/>
        <v>1808.8</v>
      </c>
      <c r="AB558" s="121">
        <f t="shared" si="557"/>
        <v>952</v>
      </c>
      <c r="AC558" s="99">
        <f t="shared" si="8"/>
        <v>5100</v>
      </c>
      <c r="AD558" s="121">
        <f t="shared" si="558"/>
        <v>44839.199999999997</v>
      </c>
      <c r="AE558" s="99">
        <f t="shared" si="10"/>
        <v>45900</v>
      </c>
      <c r="AF558" s="121">
        <f t="shared" si="559"/>
        <v>448.392</v>
      </c>
      <c r="AG558" s="100">
        <f t="shared" si="560"/>
        <v>10390.807999999997</v>
      </c>
      <c r="AH558" s="101">
        <f t="shared" si="29"/>
        <v>11451.608</v>
      </c>
      <c r="AI558" s="102">
        <f t="shared" ref="AI558:AJ558" si="831">AG558/X558</f>
        <v>0.21829428571428566</v>
      </c>
      <c r="AJ558" s="102">
        <f t="shared" si="831"/>
        <v>0.22454133333333334</v>
      </c>
      <c r="AK558" s="103"/>
      <c r="AL558" s="104"/>
      <c r="AM558" s="17"/>
      <c r="AN558" s="17"/>
      <c r="AO558" s="17"/>
      <c r="AP558" s="17"/>
      <c r="AQ558" s="17"/>
      <c r="AR558" s="17"/>
      <c r="AS558" s="17"/>
      <c r="AT558" s="17"/>
      <c r="AU558" s="17"/>
      <c r="AV558" s="17"/>
      <c r="AW558" s="22">
        <v>4707553728</v>
      </c>
    </row>
    <row r="559" spans="1:49" ht="13.2">
      <c r="A559" s="303">
        <f>HYPERLINK("https://smartstore.naver.com/brickstore2019/products/4707581685",AW:AW)</f>
        <v>4707581685</v>
      </c>
      <c r="B559" s="276"/>
      <c r="C559" s="345" t="s">
        <v>1148</v>
      </c>
      <c r="D559" s="211"/>
      <c r="E559" s="304" t="s">
        <v>1149</v>
      </c>
      <c r="F559" s="123" t="s">
        <v>1150</v>
      </c>
      <c r="G559" s="124" t="str">
        <f>HYPERLINK("https://www.amazon.com/BIG-IDEA-DESIGN-Arto-EDC/dp/B07DF58FFY/ref=sr_1_1?dchild=1&amp;keywords=Ti%2Barto%2BEDC&amp;qid=1571410303&amp;sr=8-1&amp;th=1","A")</f>
        <v>A</v>
      </c>
      <c r="H559" s="125"/>
      <c r="I559" s="125"/>
      <c r="J559" s="125">
        <v>95</v>
      </c>
      <c r="K559" s="82">
        <f t="shared" si="830"/>
        <v>0.1875</v>
      </c>
      <c r="L559" s="82">
        <v>3</v>
      </c>
      <c r="M559" s="82">
        <f t="shared" si="550"/>
        <v>8.5048499999999999E-2</v>
      </c>
      <c r="N559" s="93">
        <v>0</v>
      </c>
      <c r="O559" s="93">
        <v>0</v>
      </c>
      <c r="P559" s="95">
        <f t="shared" si="731"/>
        <v>95</v>
      </c>
      <c r="Q559" s="96">
        <f t="shared" si="820"/>
        <v>118750</v>
      </c>
      <c r="R559" s="96">
        <v>0</v>
      </c>
      <c r="S559" s="97">
        <f t="shared" si="553"/>
        <v>118800</v>
      </c>
      <c r="T559" s="97">
        <f>ROUNDUP(HLOOKUP(ROUNDUP(K559,0),'배송비 조회'!A$10:U$22,7,0)*C$3,-2)</f>
        <v>9000</v>
      </c>
      <c r="U559" s="97">
        <v>0</v>
      </c>
      <c r="V559" s="97">
        <f t="shared" ref="V559:V561" si="832">ROUND(IF(R559&gt;0,0,(S559+T559)*0.2),-2)</f>
        <v>25600</v>
      </c>
      <c r="W559" s="97">
        <f t="shared" si="729"/>
        <v>63900</v>
      </c>
      <c r="X559" s="98">
        <f t="shared" si="555"/>
        <v>153400</v>
      </c>
      <c r="Y559" s="98">
        <f t="shared" si="27"/>
        <v>191700</v>
      </c>
      <c r="Z559" s="121">
        <v>0</v>
      </c>
      <c r="AA559" s="121">
        <f t="shared" si="556"/>
        <v>5829.2</v>
      </c>
      <c r="AB559" s="121">
        <f t="shared" si="557"/>
        <v>3068</v>
      </c>
      <c r="AC559" s="99">
        <f t="shared" si="8"/>
        <v>19170</v>
      </c>
      <c r="AD559" s="121">
        <f t="shared" si="558"/>
        <v>144502.79999999999</v>
      </c>
      <c r="AE559" s="99">
        <f t="shared" si="10"/>
        <v>172530</v>
      </c>
      <c r="AF559" s="121">
        <f t="shared" si="559"/>
        <v>1445.028</v>
      </c>
      <c r="AG559" s="100">
        <f t="shared" si="560"/>
        <v>15307.77199999999</v>
      </c>
      <c r="AH559" s="101">
        <f t="shared" si="29"/>
        <v>43334.972000000002</v>
      </c>
      <c r="AI559" s="102">
        <f t="shared" ref="AI559:AJ559" si="833">AG559/X559</f>
        <v>9.9789908735332403E-2</v>
      </c>
      <c r="AJ559" s="102">
        <f t="shared" si="833"/>
        <v>0.2260561919666145</v>
      </c>
      <c r="AK559" s="103"/>
      <c r="AL559" s="104"/>
      <c r="AM559" s="17"/>
      <c r="AN559" s="17"/>
      <c r="AO559" s="17"/>
      <c r="AP559" s="17"/>
      <c r="AQ559" s="17"/>
      <c r="AR559" s="17"/>
      <c r="AS559" s="17"/>
      <c r="AT559" s="17"/>
      <c r="AU559" s="17"/>
      <c r="AV559" s="17"/>
      <c r="AW559" s="332">
        <v>4707581685</v>
      </c>
    </row>
    <row r="560" spans="1:49" ht="13.2">
      <c r="A560" s="302"/>
      <c r="B560" s="276"/>
      <c r="C560" s="302"/>
      <c r="D560" s="211"/>
      <c r="E560" s="302"/>
      <c r="F560" s="123" t="s">
        <v>1151</v>
      </c>
      <c r="G560" s="124" t="str">
        <f>HYPERLINK("https://www.amazon.com/BIG-IDEA-DESIGN-Arto-EDC/dp/B07DF5M68Y/ref=sr_1_1?dchild=1&amp;keywords=Ti%2Barto%2BEDC&amp;qid=1571410303&amp;sr=8-1&amp;th=1","A")</f>
        <v>A</v>
      </c>
      <c r="H560" s="125"/>
      <c r="I560" s="125"/>
      <c r="J560" s="125">
        <v>95</v>
      </c>
      <c r="K560" s="82">
        <f t="shared" si="830"/>
        <v>0.1875</v>
      </c>
      <c r="L560" s="82">
        <v>3</v>
      </c>
      <c r="M560" s="82">
        <f t="shared" si="550"/>
        <v>8.5048499999999999E-2</v>
      </c>
      <c r="N560" s="93">
        <v>0</v>
      </c>
      <c r="O560" s="93">
        <v>0</v>
      </c>
      <c r="P560" s="95">
        <f t="shared" si="731"/>
        <v>95</v>
      </c>
      <c r="Q560" s="96">
        <f t="shared" si="820"/>
        <v>118750</v>
      </c>
      <c r="R560" s="96">
        <v>0</v>
      </c>
      <c r="S560" s="97">
        <f t="shared" si="553"/>
        <v>118800</v>
      </c>
      <c r="T560" s="97">
        <f>ROUNDUP(HLOOKUP(ROUNDUP(K560,0),'배송비 조회'!A$10:U$22,7,0)*C$3,-2)</f>
        <v>9000</v>
      </c>
      <c r="U560" s="97">
        <v>0</v>
      </c>
      <c r="V560" s="97">
        <f t="shared" si="832"/>
        <v>25600</v>
      </c>
      <c r="W560" s="97">
        <f t="shared" si="729"/>
        <v>63900</v>
      </c>
      <c r="X560" s="98">
        <f t="shared" si="555"/>
        <v>153400</v>
      </c>
      <c r="Y560" s="98">
        <f t="shared" si="27"/>
        <v>191700</v>
      </c>
      <c r="Z560" s="121">
        <v>0</v>
      </c>
      <c r="AA560" s="121">
        <f t="shared" si="556"/>
        <v>5829.2</v>
      </c>
      <c r="AB560" s="121">
        <f t="shared" si="557"/>
        <v>3068</v>
      </c>
      <c r="AC560" s="99">
        <f t="shared" si="8"/>
        <v>19170</v>
      </c>
      <c r="AD560" s="121">
        <f t="shared" si="558"/>
        <v>144502.79999999999</v>
      </c>
      <c r="AE560" s="99">
        <f t="shared" si="10"/>
        <v>172530</v>
      </c>
      <c r="AF560" s="121">
        <f t="shared" si="559"/>
        <v>1445.028</v>
      </c>
      <c r="AG560" s="100">
        <f t="shared" si="560"/>
        <v>15307.77199999999</v>
      </c>
      <c r="AH560" s="101">
        <f t="shared" si="29"/>
        <v>43334.972000000002</v>
      </c>
      <c r="AI560" s="102">
        <f t="shared" ref="AI560:AJ560" si="834">AG560/X560</f>
        <v>9.9789908735332403E-2</v>
      </c>
      <c r="AJ560" s="102">
        <f t="shared" si="834"/>
        <v>0.2260561919666145</v>
      </c>
      <c r="AK560" s="103"/>
      <c r="AL560" s="104"/>
      <c r="AM560" s="17"/>
      <c r="AN560" s="17"/>
      <c r="AO560" s="17"/>
      <c r="AP560" s="17"/>
      <c r="AQ560" s="17"/>
      <c r="AR560" s="17"/>
      <c r="AS560" s="17"/>
      <c r="AT560" s="17"/>
      <c r="AU560" s="17"/>
      <c r="AV560" s="17"/>
      <c r="AW560" s="297"/>
    </row>
    <row r="561" spans="1:49" ht="13.2">
      <c r="A561" s="302"/>
      <c r="B561" s="276"/>
      <c r="C561" s="302"/>
      <c r="D561" s="211"/>
      <c r="E561" s="302"/>
      <c r="F561" s="123" t="s">
        <v>1152</v>
      </c>
      <c r="G561" s="124" t="str">
        <f>HYPERLINK("https://www.amazon.com/BIG-IDEA-DESIGN-Arto-EDC/dp/B07DF9LMRP/ref=sr_1_1?dchild=1&amp;keywords=Ti%2Barto%2BEDC&amp;qid=1571410303&amp;sr=8-1&amp;th=1","A")</f>
        <v>A</v>
      </c>
      <c r="H561" s="125"/>
      <c r="I561" s="125"/>
      <c r="J561" s="125">
        <v>95</v>
      </c>
      <c r="K561" s="82">
        <f t="shared" si="830"/>
        <v>0.1875</v>
      </c>
      <c r="L561" s="82">
        <v>3</v>
      </c>
      <c r="M561" s="82">
        <f t="shared" si="550"/>
        <v>8.5048499999999999E-2</v>
      </c>
      <c r="N561" s="93">
        <v>0</v>
      </c>
      <c r="O561" s="93">
        <v>0</v>
      </c>
      <c r="P561" s="95">
        <f t="shared" si="731"/>
        <v>95</v>
      </c>
      <c r="Q561" s="96">
        <f t="shared" si="820"/>
        <v>118750</v>
      </c>
      <c r="R561" s="96">
        <v>0</v>
      </c>
      <c r="S561" s="97">
        <f t="shared" si="553"/>
        <v>118800</v>
      </c>
      <c r="T561" s="97">
        <f>ROUNDUP(HLOOKUP(ROUNDUP(K561,0),'배송비 조회'!A$10:U$22,7,0)*C$3,-2)</f>
        <v>9000</v>
      </c>
      <c r="U561" s="97">
        <v>0</v>
      </c>
      <c r="V561" s="97">
        <f t="shared" si="832"/>
        <v>25600</v>
      </c>
      <c r="W561" s="97">
        <f t="shared" si="729"/>
        <v>63900</v>
      </c>
      <c r="X561" s="98">
        <f t="shared" si="555"/>
        <v>153400</v>
      </c>
      <c r="Y561" s="98">
        <f t="shared" si="27"/>
        <v>191700</v>
      </c>
      <c r="Z561" s="121">
        <v>0</v>
      </c>
      <c r="AA561" s="121">
        <f t="shared" si="556"/>
        <v>5829.2</v>
      </c>
      <c r="AB561" s="121">
        <f t="shared" si="557"/>
        <v>3068</v>
      </c>
      <c r="AC561" s="99">
        <f t="shared" si="8"/>
        <v>19170</v>
      </c>
      <c r="AD561" s="121">
        <f t="shared" si="558"/>
        <v>144502.79999999999</v>
      </c>
      <c r="AE561" s="99">
        <f t="shared" si="10"/>
        <v>172530</v>
      </c>
      <c r="AF561" s="121">
        <f t="shared" si="559"/>
        <v>1445.028</v>
      </c>
      <c r="AG561" s="100">
        <f t="shared" si="560"/>
        <v>15307.77199999999</v>
      </c>
      <c r="AH561" s="101">
        <f t="shared" si="29"/>
        <v>43334.972000000002</v>
      </c>
      <c r="AI561" s="102">
        <f t="shared" ref="AI561:AJ561" si="835">AG561/X561</f>
        <v>9.9789908735332403E-2</v>
      </c>
      <c r="AJ561" s="102">
        <f t="shared" si="835"/>
        <v>0.2260561919666145</v>
      </c>
      <c r="AK561" s="103"/>
      <c r="AL561" s="104"/>
      <c r="AM561" s="17"/>
      <c r="AN561" s="17"/>
      <c r="AO561" s="17"/>
      <c r="AP561" s="17"/>
      <c r="AQ561" s="17"/>
      <c r="AR561" s="17"/>
      <c r="AS561" s="17"/>
      <c r="AT561" s="17"/>
      <c r="AU561" s="17"/>
      <c r="AV561" s="17"/>
      <c r="AW561" s="297"/>
    </row>
    <row r="562" spans="1:49" ht="13.2">
      <c r="A562" s="119">
        <f>HYPERLINK("https://smartstore.naver.com/brickstore2019/products/4707656868",AW:AW)</f>
        <v>4707656868</v>
      </c>
      <c r="B562" s="266"/>
      <c r="C562" s="117" t="s">
        <v>1153</v>
      </c>
      <c r="D562" s="117"/>
      <c r="E562" s="117" t="s">
        <v>1154</v>
      </c>
      <c r="F562" s="123"/>
      <c r="G562" s="218" t="s">
        <v>1293</v>
      </c>
      <c r="H562" s="125"/>
      <c r="I562" s="125"/>
      <c r="J562" s="125">
        <v>65</v>
      </c>
      <c r="K562" s="82">
        <v>1.2</v>
      </c>
      <c r="L562" s="82">
        <f t="shared" ref="L562:L568" si="836">IF(K562&gt;0,K562*16,)</f>
        <v>19.2</v>
      </c>
      <c r="M562" s="82">
        <f t="shared" si="550"/>
        <v>0.54431039999999997</v>
      </c>
      <c r="N562" s="93">
        <v>0</v>
      </c>
      <c r="O562" s="93">
        <v>0</v>
      </c>
      <c r="P562" s="95">
        <f t="shared" si="731"/>
        <v>65</v>
      </c>
      <c r="Q562" s="96">
        <f t="shared" si="820"/>
        <v>81250</v>
      </c>
      <c r="R562" s="96">
        <v>0</v>
      </c>
      <c r="S562" s="97">
        <f t="shared" si="553"/>
        <v>81300</v>
      </c>
      <c r="T562" s="97">
        <f>ROUNDUP(HLOOKUP(ROUNDUP(K562,0),'배송비 조회'!A$10:U$22,7,0)*C$3,-2)</f>
        <v>11200</v>
      </c>
      <c r="U562" s="97">
        <v>0</v>
      </c>
      <c r="V562" s="97">
        <f t="shared" ref="V562:V568" si="837">ROUND(IF(R562&gt;0,0,(S562+T562)*0.3),-2)</f>
        <v>27800</v>
      </c>
      <c r="W562" s="97">
        <f t="shared" si="729"/>
        <v>46300</v>
      </c>
      <c r="X562" s="98">
        <f t="shared" si="555"/>
        <v>120300</v>
      </c>
      <c r="Y562" s="98">
        <f t="shared" si="27"/>
        <v>138800</v>
      </c>
      <c r="Z562" s="121">
        <v>0</v>
      </c>
      <c r="AA562" s="121">
        <f t="shared" si="556"/>
        <v>4571.3999999999996</v>
      </c>
      <c r="AB562" s="121">
        <f t="shared" si="557"/>
        <v>2406</v>
      </c>
      <c r="AC562" s="99">
        <f t="shared" si="8"/>
        <v>13880</v>
      </c>
      <c r="AD562" s="121">
        <f t="shared" si="558"/>
        <v>113322.6</v>
      </c>
      <c r="AE562" s="99">
        <f t="shared" si="10"/>
        <v>124920</v>
      </c>
      <c r="AF562" s="121">
        <f t="shared" si="559"/>
        <v>1133.2260000000001</v>
      </c>
      <c r="AG562" s="100">
        <f t="shared" si="560"/>
        <v>19739.374000000007</v>
      </c>
      <c r="AH562" s="101">
        <f t="shared" si="29"/>
        <v>31336.773999999998</v>
      </c>
      <c r="AI562" s="102">
        <f t="shared" ref="AI562:AJ562" si="838">AG562/X562</f>
        <v>0.16408457190357445</v>
      </c>
      <c r="AJ562" s="102">
        <f t="shared" si="838"/>
        <v>0.22576926512968298</v>
      </c>
      <c r="AK562" s="103"/>
      <c r="AL562" s="104"/>
      <c r="AM562" s="17"/>
      <c r="AN562" s="17"/>
      <c r="AO562" s="17"/>
      <c r="AP562" s="17"/>
      <c r="AQ562" s="17"/>
      <c r="AR562" s="17"/>
      <c r="AS562" s="17"/>
      <c r="AT562" s="17"/>
      <c r="AU562" s="17"/>
      <c r="AV562" s="17"/>
      <c r="AW562" s="22">
        <v>4707656868</v>
      </c>
    </row>
    <row r="563" spans="1:49" ht="13.2">
      <c r="A563" s="303">
        <f>HYPERLINK("https://smartstore.naver.com/brickstore2019/products/4708786349",AW:AW)</f>
        <v>4708786349</v>
      </c>
      <c r="B563" s="266"/>
      <c r="C563" s="304" t="s">
        <v>1155</v>
      </c>
      <c r="D563" s="117"/>
      <c r="E563" s="304" t="s">
        <v>1156</v>
      </c>
      <c r="F563" s="123" t="s">
        <v>135</v>
      </c>
      <c r="G563" s="218" t="s">
        <v>1293</v>
      </c>
      <c r="H563" s="125"/>
      <c r="I563" s="125"/>
      <c r="J563" s="125">
        <v>80</v>
      </c>
      <c r="K563" s="82">
        <v>1.72</v>
      </c>
      <c r="L563" s="82">
        <f t="shared" si="836"/>
        <v>27.52</v>
      </c>
      <c r="M563" s="82">
        <f t="shared" si="550"/>
        <v>0.78017824000000002</v>
      </c>
      <c r="N563" s="93">
        <v>0</v>
      </c>
      <c r="O563" s="93">
        <v>0</v>
      </c>
      <c r="P563" s="95">
        <f t="shared" si="731"/>
        <v>80</v>
      </c>
      <c r="Q563" s="96">
        <f t="shared" si="820"/>
        <v>100000</v>
      </c>
      <c r="R563" s="96">
        <v>0</v>
      </c>
      <c r="S563" s="97">
        <f t="shared" si="553"/>
        <v>100000</v>
      </c>
      <c r="T563" s="97">
        <f>ROUNDUP(HLOOKUP(ROUNDUP(K563,0),'배송비 조회'!A$10:U$22,7,0)*C$3,-2)</f>
        <v>11200</v>
      </c>
      <c r="U563" s="97">
        <v>0</v>
      </c>
      <c r="V563" s="97">
        <f t="shared" si="837"/>
        <v>33400</v>
      </c>
      <c r="W563" s="97">
        <f t="shared" si="729"/>
        <v>55600</v>
      </c>
      <c r="X563" s="98">
        <f t="shared" si="555"/>
        <v>144600</v>
      </c>
      <c r="Y563" s="98">
        <f t="shared" si="27"/>
        <v>166800</v>
      </c>
      <c r="Z563" s="121">
        <v>0</v>
      </c>
      <c r="AA563" s="121">
        <f t="shared" si="556"/>
        <v>5494.8</v>
      </c>
      <c r="AB563" s="121">
        <f t="shared" si="557"/>
        <v>2892</v>
      </c>
      <c r="AC563" s="99">
        <f t="shared" si="8"/>
        <v>16680</v>
      </c>
      <c r="AD563" s="121">
        <f t="shared" si="558"/>
        <v>136213.20000000001</v>
      </c>
      <c r="AE563" s="99">
        <f t="shared" si="10"/>
        <v>150120</v>
      </c>
      <c r="AF563" s="121">
        <f t="shared" si="559"/>
        <v>1362.1320000000001</v>
      </c>
      <c r="AG563" s="100">
        <f t="shared" si="560"/>
        <v>23651.068000000014</v>
      </c>
      <c r="AH563" s="101">
        <f t="shared" si="29"/>
        <v>37557.868000000002</v>
      </c>
      <c r="AI563" s="102">
        <f t="shared" ref="AI563:AJ563" si="839">AG563/X563</f>
        <v>0.16356201936376219</v>
      </c>
      <c r="AJ563" s="102">
        <f t="shared" si="839"/>
        <v>0.2251670743405276</v>
      </c>
      <c r="AK563" s="103"/>
      <c r="AL563" s="104"/>
      <c r="AM563" s="17"/>
      <c r="AN563" s="17"/>
      <c r="AO563" s="17"/>
      <c r="AP563" s="17"/>
      <c r="AQ563" s="17"/>
      <c r="AR563" s="17"/>
      <c r="AS563" s="17"/>
      <c r="AT563" s="17"/>
      <c r="AU563" s="17"/>
      <c r="AV563" s="17"/>
      <c r="AW563" s="296">
        <v>4708786349</v>
      </c>
    </row>
    <row r="564" spans="1:49" ht="13.2">
      <c r="A564" s="302"/>
      <c r="B564" s="266"/>
      <c r="C564" s="302"/>
      <c r="D564" s="117"/>
      <c r="E564" s="302"/>
      <c r="F564" s="123" t="s">
        <v>690</v>
      </c>
      <c r="G564" s="218" t="s">
        <v>1293</v>
      </c>
      <c r="H564" s="125"/>
      <c r="I564" s="125"/>
      <c r="J564" s="125">
        <v>80</v>
      </c>
      <c r="K564" s="82">
        <v>1.72</v>
      </c>
      <c r="L564" s="82">
        <f t="shared" si="836"/>
        <v>27.52</v>
      </c>
      <c r="M564" s="82">
        <f t="shared" si="550"/>
        <v>0.78017824000000002</v>
      </c>
      <c r="N564" s="93">
        <v>0</v>
      </c>
      <c r="O564" s="93">
        <v>0</v>
      </c>
      <c r="P564" s="95">
        <f t="shared" si="731"/>
        <v>80</v>
      </c>
      <c r="Q564" s="96">
        <f t="shared" si="820"/>
        <v>100000</v>
      </c>
      <c r="R564" s="96">
        <v>0</v>
      </c>
      <c r="S564" s="97">
        <f t="shared" si="553"/>
        <v>100000</v>
      </c>
      <c r="T564" s="97">
        <f>ROUNDUP(HLOOKUP(ROUNDUP(K564,0),'배송비 조회'!A$10:U$22,7,0)*C$3,-2)</f>
        <v>11200</v>
      </c>
      <c r="U564" s="97">
        <v>0</v>
      </c>
      <c r="V564" s="97">
        <f t="shared" si="837"/>
        <v>33400</v>
      </c>
      <c r="W564" s="97">
        <f t="shared" si="729"/>
        <v>55600</v>
      </c>
      <c r="X564" s="98">
        <f t="shared" si="555"/>
        <v>144600</v>
      </c>
      <c r="Y564" s="98">
        <f t="shared" si="27"/>
        <v>166800</v>
      </c>
      <c r="Z564" s="121">
        <v>0</v>
      </c>
      <c r="AA564" s="121">
        <f t="shared" si="556"/>
        <v>5494.8</v>
      </c>
      <c r="AB564" s="121">
        <f t="shared" si="557"/>
        <v>2892</v>
      </c>
      <c r="AC564" s="99">
        <f t="shared" si="8"/>
        <v>16680</v>
      </c>
      <c r="AD564" s="121">
        <f t="shared" si="558"/>
        <v>136213.20000000001</v>
      </c>
      <c r="AE564" s="99">
        <f t="shared" si="10"/>
        <v>150120</v>
      </c>
      <c r="AF564" s="121">
        <f t="shared" si="559"/>
        <v>1362.1320000000001</v>
      </c>
      <c r="AG564" s="100">
        <f t="shared" si="560"/>
        <v>23651.068000000014</v>
      </c>
      <c r="AH564" s="101">
        <f t="shared" si="29"/>
        <v>37557.868000000002</v>
      </c>
      <c r="AI564" s="102">
        <f t="shared" ref="AI564:AJ564" si="840">AG564/X564</f>
        <v>0.16356201936376219</v>
      </c>
      <c r="AJ564" s="102">
        <f t="shared" si="840"/>
        <v>0.2251670743405276</v>
      </c>
      <c r="AK564" s="103"/>
      <c r="AL564" s="104"/>
      <c r="AM564" s="17"/>
      <c r="AN564" s="17"/>
      <c r="AO564" s="17"/>
      <c r="AP564" s="17"/>
      <c r="AQ564" s="17"/>
      <c r="AR564" s="17"/>
      <c r="AS564" s="17"/>
      <c r="AT564" s="17"/>
      <c r="AU564" s="17"/>
      <c r="AV564" s="17"/>
      <c r="AW564" s="297"/>
    </row>
    <row r="565" spans="1:49" ht="13.2">
      <c r="A565" s="302"/>
      <c r="B565" s="266"/>
      <c r="C565" s="302"/>
      <c r="D565" s="117"/>
      <c r="E565" s="302"/>
      <c r="F565" s="123" t="s">
        <v>691</v>
      </c>
      <c r="G565" s="218" t="s">
        <v>1293</v>
      </c>
      <c r="H565" s="125"/>
      <c r="I565" s="125"/>
      <c r="J565" s="125">
        <v>80</v>
      </c>
      <c r="K565" s="82">
        <v>1.72</v>
      </c>
      <c r="L565" s="82">
        <f t="shared" si="836"/>
        <v>27.52</v>
      </c>
      <c r="M565" s="82">
        <f t="shared" si="550"/>
        <v>0.78017824000000002</v>
      </c>
      <c r="N565" s="93">
        <v>0</v>
      </c>
      <c r="O565" s="93">
        <v>0</v>
      </c>
      <c r="P565" s="95">
        <f t="shared" si="731"/>
        <v>80</v>
      </c>
      <c r="Q565" s="96">
        <f t="shared" si="820"/>
        <v>100000</v>
      </c>
      <c r="R565" s="96">
        <v>0</v>
      </c>
      <c r="S565" s="97">
        <f t="shared" si="553"/>
        <v>100000</v>
      </c>
      <c r="T565" s="97">
        <f>ROUNDUP(HLOOKUP(ROUNDUP(K565,0),'배송비 조회'!A$10:U$22,7,0)*C$3,-2)</f>
        <v>11200</v>
      </c>
      <c r="U565" s="97">
        <v>0</v>
      </c>
      <c r="V565" s="97">
        <f t="shared" si="837"/>
        <v>33400</v>
      </c>
      <c r="W565" s="97">
        <f t="shared" si="729"/>
        <v>55600</v>
      </c>
      <c r="X565" s="98">
        <f t="shared" si="555"/>
        <v>144600</v>
      </c>
      <c r="Y565" s="98">
        <f t="shared" si="27"/>
        <v>166800</v>
      </c>
      <c r="Z565" s="121">
        <v>0</v>
      </c>
      <c r="AA565" s="121">
        <f t="shared" si="556"/>
        <v>5494.8</v>
      </c>
      <c r="AB565" s="121">
        <f t="shared" si="557"/>
        <v>2892</v>
      </c>
      <c r="AC565" s="99">
        <f t="shared" si="8"/>
        <v>16680</v>
      </c>
      <c r="AD565" s="121">
        <f t="shared" si="558"/>
        <v>136213.20000000001</v>
      </c>
      <c r="AE565" s="99">
        <f t="shared" si="10"/>
        <v>150120</v>
      </c>
      <c r="AF565" s="121">
        <f t="shared" si="559"/>
        <v>1362.1320000000001</v>
      </c>
      <c r="AG565" s="100">
        <f t="shared" si="560"/>
        <v>23651.068000000014</v>
      </c>
      <c r="AH565" s="101">
        <f t="shared" si="29"/>
        <v>37557.868000000002</v>
      </c>
      <c r="AI565" s="102">
        <f t="shared" ref="AI565:AJ565" si="841">AG565/X565</f>
        <v>0.16356201936376219</v>
      </c>
      <c r="AJ565" s="102">
        <f t="shared" si="841"/>
        <v>0.2251670743405276</v>
      </c>
      <c r="AK565" s="103"/>
      <c r="AL565" s="104"/>
      <c r="AM565" s="17"/>
      <c r="AN565" s="17"/>
      <c r="AO565" s="17"/>
      <c r="AP565" s="17"/>
      <c r="AQ565" s="17"/>
      <c r="AR565" s="17"/>
      <c r="AS565" s="17"/>
      <c r="AT565" s="17"/>
      <c r="AU565" s="17"/>
      <c r="AV565" s="17"/>
      <c r="AW565" s="297"/>
    </row>
    <row r="566" spans="1:49" ht="13.2">
      <c r="A566" s="302"/>
      <c r="B566" s="266"/>
      <c r="C566" s="302"/>
      <c r="D566" s="117"/>
      <c r="E566" s="302"/>
      <c r="F566" s="123" t="s">
        <v>1157</v>
      </c>
      <c r="G566" s="218" t="s">
        <v>1293</v>
      </c>
      <c r="H566" s="125"/>
      <c r="I566" s="125"/>
      <c r="J566" s="125">
        <v>80</v>
      </c>
      <c r="K566" s="82">
        <v>1.72</v>
      </c>
      <c r="L566" s="82">
        <f t="shared" si="836"/>
        <v>27.52</v>
      </c>
      <c r="M566" s="82">
        <f t="shared" si="550"/>
        <v>0.78017824000000002</v>
      </c>
      <c r="N566" s="93">
        <v>0</v>
      </c>
      <c r="O566" s="93">
        <v>0</v>
      </c>
      <c r="P566" s="95">
        <f t="shared" si="731"/>
        <v>80</v>
      </c>
      <c r="Q566" s="96">
        <f t="shared" si="820"/>
        <v>100000</v>
      </c>
      <c r="R566" s="96">
        <v>0</v>
      </c>
      <c r="S566" s="97">
        <f t="shared" si="553"/>
        <v>100000</v>
      </c>
      <c r="T566" s="97">
        <f>ROUNDUP(HLOOKUP(ROUNDUP(K566,0),'배송비 조회'!A$10:U$22,7,0)*C$3,-2)</f>
        <v>11200</v>
      </c>
      <c r="U566" s="97">
        <v>0</v>
      </c>
      <c r="V566" s="97">
        <f t="shared" si="837"/>
        <v>33400</v>
      </c>
      <c r="W566" s="97">
        <f t="shared" si="729"/>
        <v>55600</v>
      </c>
      <c r="X566" s="98">
        <f t="shared" si="555"/>
        <v>144600</v>
      </c>
      <c r="Y566" s="98">
        <f t="shared" si="27"/>
        <v>166800</v>
      </c>
      <c r="Z566" s="121">
        <v>0</v>
      </c>
      <c r="AA566" s="121">
        <f t="shared" si="556"/>
        <v>5494.8</v>
      </c>
      <c r="AB566" s="121">
        <f t="shared" si="557"/>
        <v>2892</v>
      </c>
      <c r="AC566" s="99">
        <f t="shared" si="8"/>
        <v>16680</v>
      </c>
      <c r="AD566" s="121">
        <f t="shared" si="558"/>
        <v>136213.20000000001</v>
      </c>
      <c r="AE566" s="99">
        <f t="shared" si="10"/>
        <v>150120</v>
      </c>
      <c r="AF566" s="121">
        <f t="shared" si="559"/>
        <v>1362.1320000000001</v>
      </c>
      <c r="AG566" s="100">
        <f t="shared" si="560"/>
        <v>23651.068000000014</v>
      </c>
      <c r="AH566" s="101">
        <f t="shared" si="29"/>
        <v>37557.868000000002</v>
      </c>
      <c r="AI566" s="102">
        <f t="shared" ref="AI566:AJ566" si="842">AG566/X566</f>
        <v>0.16356201936376219</v>
      </c>
      <c r="AJ566" s="102">
        <f t="shared" si="842"/>
        <v>0.2251670743405276</v>
      </c>
      <c r="AK566" s="103"/>
      <c r="AL566" s="104"/>
      <c r="AM566" s="17"/>
      <c r="AN566" s="17"/>
      <c r="AO566" s="17"/>
      <c r="AP566" s="17"/>
      <c r="AQ566" s="17"/>
      <c r="AR566" s="17"/>
      <c r="AS566" s="17"/>
      <c r="AT566" s="17"/>
      <c r="AU566" s="17"/>
      <c r="AV566" s="17"/>
      <c r="AW566" s="297"/>
    </row>
    <row r="567" spans="1:49" ht="13.2">
      <c r="A567" s="303">
        <f>HYPERLINK("https://smartstore.naver.com/brickstore2019/products/4708857268",AW:AW)</f>
        <v>4708857268</v>
      </c>
      <c r="B567" s="266"/>
      <c r="C567" s="304" t="s">
        <v>1158</v>
      </c>
      <c r="D567" s="117"/>
      <c r="E567" s="304" t="s">
        <v>1159</v>
      </c>
      <c r="F567" s="123" t="s">
        <v>135</v>
      </c>
      <c r="G567" s="124" t="str">
        <f>HYPERLINK("https://www.amazon.com/dp/B07CPK6D5F/ref=emc_b_5_i?th=1","A")</f>
        <v>A</v>
      </c>
      <c r="H567" s="125"/>
      <c r="I567" s="125"/>
      <c r="J567" s="125">
        <v>75</v>
      </c>
      <c r="K567" s="82">
        <v>1.2</v>
      </c>
      <c r="L567" s="82">
        <f t="shared" si="836"/>
        <v>19.2</v>
      </c>
      <c r="M567" s="82">
        <f t="shared" si="550"/>
        <v>0.54431039999999997</v>
      </c>
      <c r="N567" s="93">
        <v>0</v>
      </c>
      <c r="O567" s="93">
        <v>0</v>
      </c>
      <c r="P567" s="95">
        <f t="shared" si="731"/>
        <v>75</v>
      </c>
      <c r="Q567" s="96">
        <f t="shared" si="820"/>
        <v>93750</v>
      </c>
      <c r="R567" s="96">
        <v>0</v>
      </c>
      <c r="S567" s="97">
        <f t="shared" si="553"/>
        <v>93800</v>
      </c>
      <c r="T567" s="97">
        <f>ROUNDUP(HLOOKUP(ROUNDUP(K567,0),'배송비 조회'!A$10:U$22,7,0)*C$3,-2)</f>
        <v>11200</v>
      </c>
      <c r="U567" s="97">
        <v>0</v>
      </c>
      <c r="V567" s="97">
        <f t="shared" si="837"/>
        <v>31500</v>
      </c>
      <c r="W567" s="97">
        <f t="shared" si="729"/>
        <v>52500</v>
      </c>
      <c r="X567" s="98">
        <f t="shared" si="555"/>
        <v>136500</v>
      </c>
      <c r="Y567" s="98">
        <f t="shared" si="27"/>
        <v>157500</v>
      </c>
      <c r="Z567" s="121">
        <v>0</v>
      </c>
      <c r="AA567" s="121">
        <f t="shared" si="556"/>
        <v>5187</v>
      </c>
      <c r="AB567" s="121">
        <f t="shared" si="557"/>
        <v>2730</v>
      </c>
      <c r="AC567" s="99">
        <f t="shared" si="8"/>
        <v>15750</v>
      </c>
      <c r="AD567" s="121">
        <f t="shared" si="558"/>
        <v>128583</v>
      </c>
      <c r="AE567" s="99">
        <f t="shared" si="10"/>
        <v>141750</v>
      </c>
      <c r="AF567" s="121">
        <f t="shared" si="559"/>
        <v>1285.83</v>
      </c>
      <c r="AG567" s="100">
        <f t="shared" si="560"/>
        <v>22347.17</v>
      </c>
      <c r="AH567" s="101">
        <f t="shared" si="29"/>
        <v>35514.17</v>
      </c>
      <c r="AI567" s="102">
        <f t="shared" ref="AI567:AJ567" si="843">AG567/X567</f>
        <v>0.16371553113553111</v>
      </c>
      <c r="AJ567" s="102">
        <f t="shared" si="843"/>
        <v>0.22548679365079363</v>
      </c>
      <c r="AK567" s="103"/>
      <c r="AL567" s="104"/>
      <c r="AM567" s="17"/>
      <c r="AN567" s="17"/>
      <c r="AO567" s="17"/>
      <c r="AP567" s="17"/>
      <c r="AQ567" s="17"/>
      <c r="AR567" s="17"/>
      <c r="AS567" s="17"/>
      <c r="AT567" s="17"/>
      <c r="AU567" s="17"/>
      <c r="AV567" s="17"/>
      <c r="AW567" s="296">
        <v>4708857268</v>
      </c>
    </row>
    <row r="568" spans="1:49" ht="13.2">
      <c r="A568" s="302"/>
      <c r="B568" s="266"/>
      <c r="C568" s="302"/>
      <c r="D568" s="117"/>
      <c r="E568" s="302"/>
      <c r="F568" s="123" t="s">
        <v>612</v>
      </c>
      <c r="G568" s="124" t="str">
        <f>HYPERLINK("https://www.amazon.com/dp/B07CPFHSVB/ref=emc_b_5_i?th=1","A")</f>
        <v>A</v>
      </c>
      <c r="H568" s="125"/>
      <c r="I568" s="125"/>
      <c r="J568" s="125">
        <v>75</v>
      </c>
      <c r="K568" s="82">
        <v>1.2</v>
      </c>
      <c r="L568" s="82">
        <f t="shared" si="836"/>
        <v>19.2</v>
      </c>
      <c r="M568" s="82">
        <f t="shared" si="550"/>
        <v>0.54431039999999997</v>
      </c>
      <c r="N568" s="93">
        <v>0</v>
      </c>
      <c r="O568" s="93">
        <v>0</v>
      </c>
      <c r="P568" s="95">
        <f t="shared" si="731"/>
        <v>75</v>
      </c>
      <c r="Q568" s="96">
        <f t="shared" si="820"/>
        <v>93750</v>
      </c>
      <c r="R568" s="96">
        <v>0</v>
      </c>
      <c r="S568" s="97">
        <f t="shared" si="553"/>
        <v>93800</v>
      </c>
      <c r="T568" s="97">
        <f>ROUNDUP(HLOOKUP(ROUNDUP(K568,0),'배송비 조회'!A$10:U$22,7,0)*C$3,-2)</f>
        <v>11200</v>
      </c>
      <c r="U568" s="97">
        <v>0</v>
      </c>
      <c r="V568" s="97">
        <f t="shared" si="837"/>
        <v>31500</v>
      </c>
      <c r="W568" s="97">
        <f t="shared" si="729"/>
        <v>52500</v>
      </c>
      <c r="X568" s="98">
        <f t="shared" si="555"/>
        <v>136500</v>
      </c>
      <c r="Y568" s="98">
        <f t="shared" si="27"/>
        <v>157500</v>
      </c>
      <c r="Z568" s="121">
        <v>0</v>
      </c>
      <c r="AA568" s="121">
        <f t="shared" si="556"/>
        <v>5187</v>
      </c>
      <c r="AB568" s="121">
        <f t="shared" si="557"/>
        <v>2730</v>
      </c>
      <c r="AC568" s="99">
        <f t="shared" si="8"/>
        <v>15750</v>
      </c>
      <c r="AD568" s="121">
        <f t="shared" si="558"/>
        <v>128583</v>
      </c>
      <c r="AE568" s="99">
        <f t="shared" si="10"/>
        <v>141750</v>
      </c>
      <c r="AF568" s="121">
        <f t="shared" si="559"/>
        <v>1285.83</v>
      </c>
      <c r="AG568" s="100">
        <f t="shared" si="560"/>
        <v>22347.17</v>
      </c>
      <c r="AH568" s="101">
        <f t="shared" si="29"/>
        <v>35514.17</v>
      </c>
      <c r="AI568" s="102">
        <f t="shared" ref="AI568:AJ568" si="844">AG568/X568</f>
        <v>0.16371553113553111</v>
      </c>
      <c r="AJ568" s="102">
        <f t="shared" si="844"/>
        <v>0.22548679365079363</v>
      </c>
      <c r="AK568" s="103"/>
      <c r="AL568" s="104"/>
      <c r="AM568" s="17"/>
      <c r="AN568" s="17"/>
      <c r="AO568" s="17"/>
      <c r="AP568" s="17"/>
      <c r="AQ568" s="17"/>
      <c r="AR568" s="17"/>
      <c r="AS568" s="17"/>
      <c r="AT568" s="17"/>
      <c r="AU568" s="17"/>
      <c r="AV568" s="17"/>
      <c r="AW568" s="297"/>
    </row>
    <row r="569" spans="1:49" ht="13.2">
      <c r="A569" s="303">
        <f>HYPERLINK("https://smartstore.naver.com/brickstore2019/products/4710020640",AW:AW)</f>
        <v>4710020640</v>
      </c>
      <c r="B569" s="266"/>
      <c r="C569" s="304" t="s">
        <v>1160</v>
      </c>
      <c r="D569" s="117"/>
      <c r="E569" s="304" t="s">
        <v>1161</v>
      </c>
      <c r="F569" s="123" t="s">
        <v>1162</v>
      </c>
      <c r="G569" s="124" t="str">
        <f>HYPERLINK("https://www.amazon.com/gp/product/B07KCNCHR9?th=1","A")</f>
        <v>A</v>
      </c>
      <c r="H569" s="125"/>
      <c r="I569" s="125"/>
      <c r="J569" s="125">
        <v>15</v>
      </c>
      <c r="K569" s="82">
        <f t="shared" ref="K569:K572" si="845">IF(L569&gt;0,L569*0.0625,)</f>
        <v>0.6875</v>
      </c>
      <c r="L569" s="82">
        <v>11</v>
      </c>
      <c r="M569" s="82">
        <f t="shared" si="550"/>
        <v>0.31184449999999997</v>
      </c>
      <c r="N569" s="93">
        <v>0</v>
      </c>
      <c r="O569" s="93">
        <v>0</v>
      </c>
      <c r="P569" s="95">
        <f t="shared" si="731"/>
        <v>15</v>
      </c>
      <c r="Q569" s="96">
        <f t="shared" si="820"/>
        <v>18750</v>
      </c>
      <c r="R569" s="96">
        <v>0</v>
      </c>
      <c r="S569" s="97">
        <f t="shared" si="553"/>
        <v>18800</v>
      </c>
      <c r="T569" s="97">
        <f>ROUNDUP(HLOOKUP(ROUNDUP(K569,0),'배송비 조회'!A$10:U$22,7,0)*C$3,-2)</f>
        <v>9000</v>
      </c>
      <c r="U569" s="97">
        <v>0</v>
      </c>
      <c r="V569" s="97">
        <f t="shared" ref="V569:V573" si="846">ROUND(IF(R569&gt;0,0,(S569+T569)*0.5),-2)</f>
        <v>13900</v>
      </c>
      <c r="W569" s="97">
        <f t="shared" si="729"/>
        <v>13900</v>
      </c>
      <c r="X569" s="98">
        <f t="shared" si="555"/>
        <v>41700</v>
      </c>
      <c r="Y569" s="98">
        <f t="shared" si="27"/>
        <v>41700</v>
      </c>
      <c r="Z569" s="121">
        <v>0</v>
      </c>
      <c r="AA569" s="121">
        <f t="shared" si="556"/>
        <v>1584.6</v>
      </c>
      <c r="AB569" s="121">
        <f t="shared" si="557"/>
        <v>834</v>
      </c>
      <c r="AC569" s="99">
        <f t="shared" si="8"/>
        <v>4170</v>
      </c>
      <c r="AD569" s="121">
        <f t="shared" si="558"/>
        <v>39281.4</v>
      </c>
      <c r="AE569" s="99">
        <f t="shared" si="10"/>
        <v>37530</v>
      </c>
      <c r="AF569" s="121">
        <f t="shared" si="559"/>
        <v>392.81400000000002</v>
      </c>
      <c r="AG569" s="100">
        <f t="shared" si="560"/>
        <v>11138.586000000003</v>
      </c>
      <c r="AH569" s="101">
        <f t="shared" si="29"/>
        <v>9387.1860000000015</v>
      </c>
      <c r="AI569" s="102">
        <f t="shared" ref="AI569:AJ569" si="847">AG569/X569</f>
        <v>0.26711237410071947</v>
      </c>
      <c r="AJ569" s="102">
        <f t="shared" si="847"/>
        <v>0.22511237410071946</v>
      </c>
      <c r="AK569" s="103"/>
      <c r="AL569" s="104"/>
      <c r="AM569" s="17"/>
      <c r="AN569" s="17"/>
      <c r="AO569" s="17"/>
      <c r="AP569" s="17"/>
      <c r="AQ569" s="17"/>
      <c r="AR569" s="17"/>
      <c r="AS569" s="17"/>
      <c r="AT569" s="17"/>
      <c r="AU569" s="17"/>
      <c r="AV569" s="17"/>
      <c r="AW569" s="296">
        <v>4710020640</v>
      </c>
    </row>
    <row r="570" spans="1:49" ht="13.2">
      <c r="A570" s="302"/>
      <c r="B570" s="266"/>
      <c r="C570" s="302"/>
      <c r="D570" s="117"/>
      <c r="E570" s="302"/>
      <c r="F570" s="123" t="s">
        <v>1163</v>
      </c>
      <c r="G570" s="124" t="str">
        <f>HYPERLINK("https://www.amazon.com/gp/product/B07KCMF2YR?th=1","A")</f>
        <v>A</v>
      </c>
      <c r="H570" s="125"/>
      <c r="I570" s="125"/>
      <c r="J570" s="125">
        <v>15</v>
      </c>
      <c r="K570" s="82">
        <f t="shared" si="845"/>
        <v>0.6875</v>
      </c>
      <c r="L570" s="82">
        <v>11</v>
      </c>
      <c r="M570" s="82">
        <f t="shared" si="550"/>
        <v>0.31184449999999997</v>
      </c>
      <c r="N570" s="93">
        <v>0</v>
      </c>
      <c r="O570" s="93">
        <v>0</v>
      </c>
      <c r="P570" s="95">
        <f t="shared" si="731"/>
        <v>15</v>
      </c>
      <c r="Q570" s="96">
        <f t="shared" si="820"/>
        <v>18750</v>
      </c>
      <c r="R570" s="96">
        <v>0</v>
      </c>
      <c r="S570" s="97">
        <f t="shared" si="553"/>
        <v>18800</v>
      </c>
      <c r="T570" s="97">
        <f>ROUNDUP(HLOOKUP(ROUNDUP(K570,0),'배송비 조회'!A$10:U$22,7,0)*C$3,-2)</f>
        <v>9000</v>
      </c>
      <c r="U570" s="97">
        <v>0</v>
      </c>
      <c r="V570" s="97">
        <f t="shared" si="846"/>
        <v>13900</v>
      </c>
      <c r="W570" s="97">
        <f t="shared" si="729"/>
        <v>13900</v>
      </c>
      <c r="X570" s="98">
        <f t="shared" si="555"/>
        <v>41700</v>
      </c>
      <c r="Y570" s="98">
        <f t="shared" si="27"/>
        <v>41700</v>
      </c>
      <c r="Z570" s="121">
        <v>0</v>
      </c>
      <c r="AA570" s="121">
        <f t="shared" si="556"/>
        <v>1584.6</v>
      </c>
      <c r="AB570" s="121">
        <f t="shared" si="557"/>
        <v>834</v>
      </c>
      <c r="AC570" s="99">
        <f t="shared" si="8"/>
        <v>4170</v>
      </c>
      <c r="AD570" s="121">
        <f t="shared" si="558"/>
        <v>39281.4</v>
      </c>
      <c r="AE570" s="99">
        <f t="shared" si="10"/>
        <v>37530</v>
      </c>
      <c r="AF570" s="121">
        <f t="shared" si="559"/>
        <v>392.81400000000002</v>
      </c>
      <c r="AG570" s="100">
        <f t="shared" si="560"/>
        <v>11138.586000000003</v>
      </c>
      <c r="AH570" s="101">
        <f t="shared" si="29"/>
        <v>9387.1860000000015</v>
      </c>
      <c r="AI570" s="102">
        <f t="shared" ref="AI570:AJ570" si="848">AG570/X570</f>
        <v>0.26711237410071947</v>
      </c>
      <c r="AJ570" s="102">
        <f t="shared" si="848"/>
        <v>0.22511237410071946</v>
      </c>
      <c r="AK570" s="103"/>
      <c r="AL570" s="104"/>
      <c r="AM570" s="17"/>
      <c r="AN570" s="17"/>
      <c r="AO570" s="17"/>
      <c r="AP570" s="17"/>
      <c r="AQ570" s="17"/>
      <c r="AR570" s="17"/>
      <c r="AS570" s="17"/>
      <c r="AT570" s="17"/>
      <c r="AU570" s="17"/>
      <c r="AV570" s="17"/>
      <c r="AW570" s="297"/>
    </row>
    <row r="571" spans="1:49" ht="13.2">
      <c r="A571" s="302"/>
      <c r="B571" s="266"/>
      <c r="C571" s="302"/>
      <c r="D571" s="117"/>
      <c r="E571" s="302"/>
      <c r="F571" s="123" t="s">
        <v>1164</v>
      </c>
      <c r="G571" s="124" t="str">
        <f>HYPERLINK("https://www.amazon.com/gp/product/B076JJBRST?th=1","A")</f>
        <v>A</v>
      </c>
      <c r="H571" s="125"/>
      <c r="I571" s="125"/>
      <c r="J571" s="93">
        <v>15</v>
      </c>
      <c r="K571" s="82">
        <f t="shared" si="845"/>
        <v>0.6875</v>
      </c>
      <c r="L571" s="82">
        <v>11</v>
      </c>
      <c r="M571" s="82">
        <f t="shared" si="550"/>
        <v>0.31184449999999997</v>
      </c>
      <c r="N571" s="93">
        <v>0</v>
      </c>
      <c r="O571" s="93">
        <v>0</v>
      </c>
      <c r="P571" s="95">
        <f t="shared" si="731"/>
        <v>15</v>
      </c>
      <c r="Q571" s="96">
        <f t="shared" si="820"/>
        <v>18750</v>
      </c>
      <c r="R571" s="96">
        <v>0</v>
      </c>
      <c r="S571" s="97">
        <f t="shared" si="553"/>
        <v>18800</v>
      </c>
      <c r="T571" s="97">
        <f>ROUNDUP(HLOOKUP(ROUNDUP(K571,0),'배송비 조회'!A$10:U$22,7,0)*C$3,-2)</f>
        <v>9000</v>
      </c>
      <c r="U571" s="97">
        <v>0</v>
      </c>
      <c r="V571" s="97">
        <f t="shared" si="846"/>
        <v>13900</v>
      </c>
      <c r="W571" s="97">
        <f t="shared" si="729"/>
        <v>13900</v>
      </c>
      <c r="X571" s="98">
        <f t="shared" si="555"/>
        <v>41700</v>
      </c>
      <c r="Y571" s="98">
        <f t="shared" si="27"/>
        <v>41700</v>
      </c>
      <c r="Z571" s="121">
        <v>0</v>
      </c>
      <c r="AA571" s="121">
        <f t="shared" si="556"/>
        <v>1584.6</v>
      </c>
      <c r="AB571" s="121">
        <f t="shared" si="557"/>
        <v>834</v>
      </c>
      <c r="AC571" s="99">
        <f t="shared" si="8"/>
        <v>4170</v>
      </c>
      <c r="AD571" s="121">
        <f t="shared" si="558"/>
        <v>39281.4</v>
      </c>
      <c r="AE571" s="99">
        <f t="shared" si="10"/>
        <v>37530</v>
      </c>
      <c r="AF571" s="121">
        <f t="shared" si="559"/>
        <v>392.81400000000002</v>
      </c>
      <c r="AG571" s="100">
        <f t="shared" si="560"/>
        <v>11138.586000000003</v>
      </c>
      <c r="AH571" s="101">
        <f t="shared" si="29"/>
        <v>9387.1860000000015</v>
      </c>
      <c r="AI571" s="102">
        <f t="shared" ref="AI571:AJ571" si="849">AG571/X571</f>
        <v>0.26711237410071947</v>
      </c>
      <c r="AJ571" s="102">
        <f t="shared" si="849"/>
        <v>0.22511237410071946</v>
      </c>
      <c r="AK571" s="103"/>
      <c r="AL571" s="104"/>
      <c r="AM571" s="17"/>
      <c r="AN571" s="17"/>
      <c r="AO571" s="17"/>
      <c r="AP571" s="17"/>
      <c r="AQ571" s="17"/>
      <c r="AR571" s="17"/>
      <c r="AS571" s="17"/>
      <c r="AT571" s="17"/>
      <c r="AU571" s="17"/>
      <c r="AV571" s="17"/>
      <c r="AW571" s="297"/>
    </row>
    <row r="572" spans="1:49" ht="13.2">
      <c r="A572" s="302"/>
      <c r="B572" s="266"/>
      <c r="C572" s="302"/>
      <c r="D572" s="117"/>
      <c r="E572" s="302"/>
      <c r="F572" s="123" t="s">
        <v>1165</v>
      </c>
      <c r="G572" s="124" t="str">
        <f>HYPERLINK("https://www.amazon.com/gp/product/B07XG4Z5PP?th=1","A")</f>
        <v>A</v>
      </c>
      <c r="H572" s="125"/>
      <c r="I572" s="125"/>
      <c r="J572" s="125">
        <v>20</v>
      </c>
      <c r="K572" s="82">
        <f t="shared" si="845"/>
        <v>0.6875</v>
      </c>
      <c r="L572" s="82">
        <v>11</v>
      </c>
      <c r="M572" s="82">
        <f t="shared" si="550"/>
        <v>0.31184449999999997</v>
      </c>
      <c r="N572" s="93">
        <v>0</v>
      </c>
      <c r="O572" s="93">
        <v>0</v>
      </c>
      <c r="P572" s="95">
        <f t="shared" si="731"/>
        <v>20</v>
      </c>
      <c r="Q572" s="96">
        <f t="shared" si="820"/>
        <v>25000</v>
      </c>
      <c r="R572" s="96">
        <v>0</v>
      </c>
      <c r="S572" s="97">
        <f t="shared" si="553"/>
        <v>25000</v>
      </c>
      <c r="T572" s="97">
        <f>ROUNDUP(HLOOKUP(ROUNDUP(K572,0),'배송비 조회'!A$10:U$22,7,0)*C$3,-2)</f>
        <v>9000</v>
      </c>
      <c r="U572" s="97">
        <v>0</v>
      </c>
      <c r="V572" s="97">
        <f t="shared" si="846"/>
        <v>17000</v>
      </c>
      <c r="W572" s="97">
        <f t="shared" si="729"/>
        <v>17000</v>
      </c>
      <c r="X572" s="98">
        <f t="shared" si="555"/>
        <v>51000</v>
      </c>
      <c r="Y572" s="98">
        <f t="shared" si="27"/>
        <v>51000</v>
      </c>
      <c r="Z572" s="121">
        <v>0</v>
      </c>
      <c r="AA572" s="121">
        <f t="shared" si="556"/>
        <v>1938</v>
      </c>
      <c r="AB572" s="121">
        <f t="shared" si="557"/>
        <v>1020</v>
      </c>
      <c r="AC572" s="99">
        <f t="shared" si="8"/>
        <v>5100</v>
      </c>
      <c r="AD572" s="121">
        <f t="shared" si="558"/>
        <v>48042</v>
      </c>
      <c r="AE572" s="99">
        <f t="shared" si="10"/>
        <v>45900</v>
      </c>
      <c r="AF572" s="121">
        <f t="shared" si="559"/>
        <v>480.42</v>
      </c>
      <c r="AG572" s="100">
        <f t="shared" si="560"/>
        <v>13561.580000000002</v>
      </c>
      <c r="AH572" s="101">
        <f t="shared" si="29"/>
        <v>11419.580000000002</v>
      </c>
      <c r="AI572" s="102">
        <f t="shared" ref="AI572:AJ572" si="850">AG572/X572</f>
        <v>0.26591333333333339</v>
      </c>
      <c r="AJ572" s="102">
        <f t="shared" si="850"/>
        <v>0.22391333333333338</v>
      </c>
      <c r="AK572" s="103">
        <f>X572-X571</f>
        <v>9300</v>
      </c>
      <c r="AL572" s="104"/>
      <c r="AM572" s="17"/>
      <c r="AN572" s="17"/>
      <c r="AO572" s="17"/>
      <c r="AP572" s="17"/>
      <c r="AQ572" s="17"/>
      <c r="AR572" s="17"/>
      <c r="AS572" s="17"/>
      <c r="AT572" s="17"/>
      <c r="AU572" s="17"/>
      <c r="AV572" s="17"/>
      <c r="AW572" s="297"/>
    </row>
    <row r="573" spans="1:49" ht="13.2">
      <c r="A573" s="119">
        <f>HYPERLINK("https://smartstore.naver.com/brickstore2019/products/4710616109",AW:AW)</f>
        <v>4710616109</v>
      </c>
      <c r="B573" s="266"/>
      <c r="C573" s="117" t="s">
        <v>1166</v>
      </c>
      <c r="D573" s="117"/>
      <c r="E573" s="117" t="s">
        <v>1167</v>
      </c>
      <c r="F573" s="123"/>
      <c r="G573" s="124" t="str">
        <f>HYPERLINK("https://www.amazon.com/dp/B019YRJ2MQ/ref=cm_sw_r_other_apa_i_2zyQDb4PAPXQC","A")</f>
        <v>A</v>
      </c>
      <c r="H573" s="125"/>
      <c r="I573" s="125"/>
      <c r="J573" s="93">
        <v>19</v>
      </c>
      <c r="K573" s="82">
        <v>1.45</v>
      </c>
      <c r="L573" s="82">
        <f t="shared" ref="L573:L574" si="851">IF(K573&gt;0,K573*16,)</f>
        <v>23.2</v>
      </c>
      <c r="M573" s="82">
        <f t="shared" si="550"/>
        <v>0.65770839999999997</v>
      </c>
      <c r="N573" s="93">
        <v>0</v>
      </c>
      <c r="O573" s="93">
        <v>0</v>
      </c>
      <c r="P573" s="95">
        <f t="shared" si="731"/>
        <v>19</v>
      </c>
      <c r="Q573" s="96">
        <f t="shared" si="820"/>
        <v>23750</v>
      </c>
      <c r="R573" s="96">
        <v>0</v>
      </c>
      <c r="S573" s="97">
        <f t="shared" si="553"/>
        <v>23800</v>
      </c>
      <c r="T573" s="97">
        <f>ROUNDUP(HLOOKUP(ROUNDUP(K573,0),'배송비 조회'!A$10:U$22,7,0)*C$3,-2)</f>
        <v>11200</v>
      </c>
      <c r="U573" s="97">
        <v>0</v>
      </c>
      <c r="V573" s="97">
        <f t="shared" si="846"/>
        <v>17500</v>
      </c>
      <c r="W573" s="97">
        <f t="shared" si="729"/>
        <v>17500</v>
      </c>
      <c r="X573" s="98">
        <f t="shared" si="555"/>
        <v>52500</v>
      </c>
      <c r="Y573" s="98">
        <f t="shared" si="27"/>
        <v>52500</v>
      </c>
      <c r="Z573" s="121">
        <v>0</v>
      </c>
      <c r="AA573" s="121">
        <f t="shared" si="556"/>
        <v>1995</v>
      </c>
      <c r="AB573" s="121">
        <f t="shared" si="557"/>
        <v>1050</v>
      </c>
      <c r="AC573" s="99">
        <f t="shared" si="8"/>
        <v>5250</v>
      </c>
      <c r="AD573" s="121">
        <f t="shared" si="558"/>
        <v>49455</v>
      </c>
      <c r="AE573" s="99">
        <f t="shared" si="10"/>
        <v>47250</v>
      </c>
      <c r="AF573" s="121">
        <f t="shared" si="559"/>
        <v>494.55</v>
      </c>
      <c r="AG573" s="100">
        <f t="shared" si="560"/>
        <v>14010.45</v>
      </c>
      <c r="AH573" s="101">
        <f t="shared" si="29"/>
        <v>11805.45</v>
      </c>
      <c r="AI573" s="102">
        <f t="shared" ref="AI573:AJ573" si="852">AG573/X573</f>
        <v>0.26686571428571432</v>
      </c>
      <c r="AJ573" s="102">
        <f t="shared" si="852"/>
        <v>0.22486571428571431</v>
      </c>
      <c r="AK573" s="103"/>
      <c r="AL573" s="104"/>
      <c r="AM573" s="17"/>
      <c r="AN573" s="17"/>
      <c r="AO573" s="17"/>
      <c r="AP573" s="17"/>
      <c r="AQ573" s="17"/>
      <c r="AR573" s="17"/>
      <c r="AS573" s="17"/>
      <c r="AT573" s="17"/>
      <c r="AU573" s="17"/>
      <c r="AV573" s="17"/>
      <c r="AW573" s="22">
        <v>4710616109</v>
      </c>
    </row>
    <row r="574" spans="1:49" ht="13.2">
      <c r="A574" s="119">
        <f>HYPERLINK("https://smartstore.naver.com/brickstore2019/products/4710638946",AW:AW)</f>
        <v>4710638946</v>
      </c>
      <c r="B574" s="266"/>
      <c r="C574" s="117" t="s">
        <v>1168</v>
      </c>
      <c r="D574" s="117"/>
      <c r="E574" s="117" t="s">
        <v>1169</v>
      </c>
      <c r="F574" s="123"/>
      <c r="G574" s="124" t="str">
        <f>HYPERLINK("https://www.amazon.com/Philips-X2HR-Fidelio-Headphone-Black/dp/B06ZZXKZ25/ref=sr_1_2?keywords=Philips+X2HR+Fidelio&amp;qid=1571809345&amp;sr=8-2","A")</f>
        <v>A</v>
      </c>
      <c r="H574" s="125"/>
      <c r="I574" s="125"/>
      <c r="J574" s="93">
        <v>120</v>
      </c>
      <c r="K574" s="82">
        <v>2</v>
      </c>
      <c r="L574" s="82">
        <f t="shared" si="851"/>
        <v>32</v>
      </c>
      <c r="M574" s="82">
        <f t="shared" si="550"/>
        <v>0.90718399999999999</v>
      </c>
      <c r="N574" s="93">
        <v>0</v>
      </c>
      <c r="O574" s="93">
        <v>0</v>
      </c>
      <c r="P574" s="95">
        <f t="shared" si="731"/>
        <v>120</v>
      </c>
      <c r="Q574" s="96">
        <f t="shared" si="820"/>
        <v>150000</v>
      </c>
      <c r="R574" s="96">
        <v>0</v>
      </c>
      <c r="S574" s="97">
        <f t="shared" si="553"/>
        <v>150000</v>
      </c>
      <c r="T574" s="97">
        <f>ROUNDUP(HLOOKUP(ROUNDUP(K574,0),'배송비 조회'!A$10:U$22,7,0)*C$3,-2)</f>
        <v>11200</v>
      </c>
      <c r="U574" s="97">
        <v>0</v>
      </c>
      <c r="V574" s="97">
        <f t="shared" ref="V574:V579" si="853">ROUND(IF(R574&gt;0,0,(S574+T574)*0.3),-2)</f>
        <v>48400</v>
      </c>
      <c r="W574" s="97">
        <f t="shared" si="729"/>
        <v>80600</v>
      </c>
      <c r="X574" s="98">
        <f t="shared" si="555"/>
        <v>209600</v>
      </c>
      <c r="Y574" s="98">
        <f t="shared" si="27"/>
        <v>241800</v>
      </c>
      <c r="Z574" s="121">
        <v>0</v>
      </c>
      <c r="AA574" s="121">
        <f t="shared" si="556"/>
        <v>7964.8</v>
      </c>
      <c r="AB574" s="121">
        <f t="shared" si="557"/>
        <v>4192</v>
      </c>
      <c r="AC574" s="99">
        <f t="shared" si="8"/>
        <v>24180</v>
      </c>
      <c r="AD574" s="121">
        <f t="shared" si="558"/>
        <v>197443.20000000001</v>
      </c>
      <c r="AE574" s="99">
        <f t="shared" si="10"/>
        <v>217620</v>
      </c>
      <c r="AF574" s="121">
        <f t="shared" si="559"/>
        <v>1974.4320000000002</v>
      </c>
      <c r="AG574" s="100">
        <f t="shared" si="560"/>
        <v>34268.768000000011</v>
      </c>
      <c r="AH574" s="101">
        <f t="shared" si="29"/>
        <v>54445.567999999999</v>
      </c>
      <c r="AI574" s="102">
        <f t="shared" ref="AI574:AJ574" si="854">AG574/X574</f>
        <v>0.16349603053435119</v>
      </c>
      <c r="AJ574" s="102">
        <f t="shared" si="854"/>
        <v>0.22516777502067825</v>
      </c>
      <c r="AK574" s="103"/>
      <c r="AL574" s="104"/>
      <c r="AM574" s="17"/>
      <c r="AN574" s="17"/>
      <c r="AO574" s="17"/>
      <c r="AP574" s="17"/>
      <c r="AQ574" s="17"/>
      <c r="AR574" s="17"/>
      <c r="AS574" s="17"/>
      <c r="AT574" s="17"/>
      <c r="AU574" s="17"/>
      <c r="AV574" s="17"/>
      <c r="AW574" s="22">
        <v>4710638946</v>
      </c>
    </row>
    <row r="575" spans="1:49" ht="13.2">
      <c r="A575" s="303">
        <f>HYPERLINK("https://smartstore.naver.com/brickstore2019/products/4713653982",AW:AW)</f>
        <v>4713653982</v>
      </c>
      <c r="B575" s="266"/>
      <c r="C575" s="307" t="s">
        <v>1170</v>
      </c>
      <c r="D575" s="114"/>
      <c r="E575" s="304" t="s">
        <v>1171</v>
      </c>
      <c r="F575" s="123" t="s">
        <v>55</v>
      </c>
      <c r="G575" s="124" t="str">
        <f>HYPERLINK("https://www.amazon.com/Adonit-Dash-Capacitive-Samsung-Touchscreens/dp/B073YGD37Y/ref=sr_1_11?keywords=Adonit%2BNote&amp;qid=1572161756&amp;sr=8-11&amp;th=1","A")</f>
        <v>A</v>
      </c>
      <c r="H575" s="125"/>
      <c r="I575" s="125"/>
      <c r="J575" s="93">
        <v>40</v>
      </c>
      <c r="K575" s="82">
        <f t="shared" ref="K575:K577" si="855">IF(L575&gt;0,L575*0.0625,)</f>
        <v>0.04</v>
      </c>
      <c r="L575" s="82">
        <v>0.64</v>
      </c>
      <c r="M575" s="82">
        <f t="shared" si="550"/>
        <v>1.8143679999999999E-2</v>
      </c>
      <c r="N575" s="93">
        <v>0</v>
      </c>
      <c r="O575" s="93">
        <v>0</v>
      </c>
      <c r="P575" s="95">
        <f t="shared" si="731"/>
        <v>40</v>
      </c>
      <c r="Q575" s="96">
        <f t="shared" si="820"/>
        <v>50000</v>
      </c>
      <c r="R575" s="96">
        <v>0</v>
      </c>
      <c r="S575" s="97">
        <f t="shared" si="553"/>
        <v>50000</v>
      </c>
      <c r="T575" s="97">
        <f>ROUNDUP(HLOOKUP(ROUNDUP(K575,0),'배송비 조회'!A$10:U$22,7,0)*C$3,-2)</f>
        <v>9000</v>
      </c>
      <c r="U575" s="97">
        <v>0</v>
      </c>
      <c r="V575" s="97">
        <f t="shared" si="853"/>
        <v>17700</v>
      </c>
      <c r="W575" s="97">
        <f t="shared" si="729"/>
        <v>29500</v>
      </c>
      <c r="X575" s="98">
        <f t="shared" si="555"/>
        <v>76700</v>
      </c>
      <c r="Y575" s="98">
        <f t="shared" si="27"/>
        <v>88500</v>
      </c>
      <c r="Z575" s="121">
        <v>0</v>
      </c>
      <c r="AA575" s="121">
        <f t="shared" si="556"/>
        <v>2914.6</v>
      </c>
      <c r="AB575" s="121">
        <f t="shared" si="557"/>
        <v>1534</v>
      </c>
      <c r="AC575" s="99">
        <f t="shared" si="8"/>
        <v>8850</v>
      </c>
      <c r="AD575" s="121">
        <f t="shared" si="558"/>
        <v>72251.399999999994</v>
      </c>
      <c r="AE575" s="99">
        <f t="shared" si="10"/>
        <v>79650</v>
      </c>
      <c r="AF575" s="121">
        <f t="shared" si="559"/>
        <v>722.51400000000001</v>
      </c>
      <c r="AG575" s="100">
        <f t="shared" si="560"/>
        <v>12528.885999999995</v>
      </c>
      <c r="AH575" s="101">
        <f t="shared" si="29"/>
        <v>19927.486000000001</v>
      </c>
      <c r="AI575" s="102">
        <f t="shared" ref="AI575:AJ575" si="856">AG575/X575</f>
        <v>0.16334923076923069</v>
      </c>
      <c r="AJ575" s="102">
        <f t="shared" si="856"/>
        <v>0.22516933333333333</v>
      </c>
      <c r="AK575" s="103">
        <f>X575-X576</f>
        <v>0</v>
      </c>
      <c r="AL575" s="104"/>
      <c r="AM575" s="27">
        <v>10000</v>
      </c>
      <c r="AN575" s="27">
        <v>1000</v>
      </c>
      <c r="AO575" s="27">
        <v>330</v>
      </c>
      <c r="AP575" s="27">
        <v>1330</v>
      </c>
      <c r="AQ575" s="17"/>
      <c r="AR575" s="17"/>
      <c r="AS575" s="17"/>
      <c r="AT575" s="17"/>
      <c r="AU575" s="17"/>
      <c r="AV575" s="17"/>
      <c r="AW575" s="296">
        <v>4713653982</v>
      </c>
    </row>
    <row r="576" spans="1:49" ht="13.2">
      <c r="A576" s="302"/>
      <c r="B576" s="266"/>
      <c r="C576" s="302"/>
      <c r="D576" s="114"/>
      <c r="E576" s="302"/>
      <c r="F576" s="123" t="s">
        <v>135</v>
      </c>
      <c r="G576" s="124" t="str">
        <f>HYPERLINK("https://www.amazon.com/Adonit-Dash-Capacitive-Samsung-Touchscreens/dp/B073YG46Y8/ref=sr_1_11?keywords=Adonit%2BNote&amp;qid=1572161756&amp;sr=8-11&amp;th=1","A")</f>
        <v>A</v>
      </c>
      <c r="H576" s="125"/>
      <c r="I576" s="125"/>
      <c r="J576" s="93">
        <v>40</v>
      </c>
      <c r="K576" s="82">
        <f t="shared" si="855"/>
        <v>0.04</v>
      </c>
      <c r="L576" s="82">
        <v>0.64</v>
      </c>
      <c r="M576" s="82">
        <f t="shared" si="550"/>
        <v>1.8143679999999999E-2</v>
      </c>
      <c r="N576" s="93">
        <v>0</v>
      </c>
      <c r="O576" s="93">
        <v>0</v>
      </c>
      <c r="P576" s="95">
        <f t="shared" si="731"/>
        <v>40</v>
      </c>
      <c r="Q576" s="96">
        <f t="shared" si="820"/>
        <v>50000</v>
      </c>
      <c r="R576" s="96">
        <v>0</v>
      </c>
      <c r="S576" s="97">
        <f t="shared" si="553"/>
        <v>50000</v>
      </c>
      <c r="T576" s="97">
        <f>ROUNDUP(HLOOKUP(ROUNDUP(K576,0),'배송비 조회'!A$10:U$22,7,0)*C$3,-2)</f>
        <v>9000</v>
      </c>
      <c r="U576" s="97">
        <v>0</v>
      </c>
      <c r="V576" s="97">
        <f t="shared" si="853"/>
        <v>17700</v>
      </c>
      <c r="W576" s="97">
        <f t="shared" si="729"/>
        <v>29500</v>
      </c>
      <c r="X576" s="98">
        <f t="shared" si="555"/>
        <v>76700</v>
      </c>
      <c r="Y576" s="98">
        <f t="shared" si="27"/>
        <v>88500</v>
      </c>
      <c r="Z576" s="121">
        <v>0</v>
      </c>
      <c r="AA576" s="121">
        <f t="shared" si="556"/>
        <v>2914.6</v>
      </c>
      <c r="AB576" s="121">
        <f t="shared" si="557"/>
        <v>1534</v>
      </c>
      <c r="AC576" s="99">
        <f t="shared" si="8"/>
        <v>8850</v>
      </c>
      <c r="AD576" s="121">
        <f t="shared" si="558"/>
        <v>72251.399999999994</v>
      </c>
      <c r="AE576" s="99">
        <f t="shared" si="10"/>
        <v>79650</v>
      </c>
      <c r="AF576" s="121">
        <f t="shared" si="559"/>
        <v>722.51400000000001</v>
      </c>
      <c r="AG576" s="100">
        <f t="shared" si="560"/>
        <v>12528.885999999995</v>
      </c>
      <c r="AH576" s="101">
        <f t="shared" si="29"/>
        <v>19927.486000000001</v>
      </c>
      <c r="AI576" s="102">
        <f t="shared" ref="AI576:AJ576" si="857">AG576/X576</f>
        <v>0.16334923076923069</v>
      </c>
      <c r="AJ576" s="102">
        <f t="shared" si="857"/>
        <v>0.22516933333333333</v>
      </c>
      <c r="AK576" s="103"/>
      <c r="AL576" s="104"/>
      <c r="AM576" s="27">
        <v>20000</v>
      </c>
      <c r="AN576" s="27">
        <f>20000*0.1</f>
        <v>2000</v>
      </c>
      <c r="AO576" s="17">
        <f>20000*0.033</f>
        <v>660</v>
      </c>
      <c r="AP576" s="17">
        <f>SUM(AN576:AO576)</f>
        <v>2660</v>
      </c>
      <c r="AQ576" s="17">
        <f>AM576-AP576</f>
        <v>17340</v>
      </c>
      <c r="AR576" s="17"/>
      <c r="AS576" s="17"/>
      <c r="AT576" s="17"/>
      <c r="AU576" s="17"/>
      <c r="AV576" s="17"/>
      <c r="AW576" s="297"/>
    </row>
    <row r="577" spans="1:49" ht="13.2">
      <c r="A577" s="302"/>
      <c r="B577" s="266"/>
      <c r="C577" s="302"/>
      <c r="D577" s="114"/>
      <c r="E577" s="302"/>
      <c r="F577" s="123" t="s">
        <v>1172</v>
      </c>
      <c r="G577" s="124" t="str">
        <f>HYPERLINK("https://www.amazon.com/Adonit-Dash-Capacitive-Samsung-Touchscreens/dp/B073YGKCVD/ref=sr_1_11?keywords=Adonit%2BNote&amp;qid=1572161756&amp;sr=8-11&amp;th=1","A")</f>
        <v>A</v>
      </c>
      <c r="H577" s="125"/>
      <c r="I577" s="125"/>
      <c r="J577" s="93">
        <v>50</v>
      </c>
      <c r="K577" s="82">
        <f t="shared" si="855"/>
        <v>0.04</v>
      </c>
      <c r="L577" s="82">
        <v>0.64</v>
      </c>
      <c r="M577" s="82">
        <f t="shared" si="550"/>
        <v>1.8143679999999999E-2</v>
      </c>
      <c r="N577" s="93">
        <v>0</v>
      </c>
      <c r="O577" s="93">
        <v>0</v>
      </c>
      <c r="P577" s="95">
        <f t="shared" si="731"/>
        <v>50</v>
      </c>
      <c r="Q577" s="96">
        <f t="shared" si="820"/>
        <v>62500</v>
      </c>
      <c r="R577" s="96">
        <v>0</v>
      </c>
      <c r="S577" s="97">
        <f t="shared" si="553"/>
        <v>62500</v>
      </c>
      <c r="T577" s="97">
        <f>ROUNDUP(HLOOKUP(ROUNDUP(K577,0),'배송비 조회'!A$10:U$22,7,0)*C$3,-2)</f>
        <v>9000</v>
      </c>
      <c r="U577" s="97">
        <v>0</v>
      </c>
      <c r="V577" s="97">
        <f t="shared" si="853"/>
        <v>21500</v>
      </c>
      <c r="W577" s="97">
        <f t="shared" si="729"/>
        <v>35800</v>
      </c>
      <c r="X577" s="98">
        <f t="shared" si="555"/>
        <v>93000</v>
      </c>
      <c r="Y577" s="98">
        <f t="shared" si="27"/>
        <v>107300</v>
      </c>
      <c r="Z577" s="121">
        <v>0</v>
      </c>
      <c r="AA577" s="121">
        <f t="shared" si="556"/>
        <v>3534</v>
      </c>
      <c r="AB577" s="121">
        <f t="shared" si="557"/>
        <v>1860</v>
      </c>
      <c r="AC577" s="99">
        <f t="shared" si="8"/>
        <v>10730</v>
      </c>
      <c r="AD577" s="121">
        <f t="shared" si="558"/>
        <v>87606</v>
      </c>
      <c r="AE577" s="99">
        <f t="shared" si="10"/>
        <v>96570</v>
      </c>
      <c r="AF577" s="121">
        <f t="shared" si="559"/>
        <v>876.06000000000006</v>
      </c>
      <c r="AG577" s="100">
        <f t="shared" si="560"/>
        <v>15229.939999999999</v>
      </c>
      <c r="AH577" s="101">
        <f t="shared" si="29"/>
        <v>24193.940000000002</v>
      </c>
      <c r="AI577" s="102">
        <f t="shared" ref="AI577:AJ577" si="858">AG577/X577</f>
        <v>0.16376279569892471</v>
      </c>
      <c r="AJ577" s="102">
        <f t="shared" si="858"/>
        <v>0.22547940354147253</v>
      </c>
      <c r="AK577" s="103"/>
      <c r="AL577" s="104"/>
      <c r="AM577" s="17"/>
      <c r="AN577" s="17"/>
      <c r="AO577" s="17"/>
      <c r="AP577" s="17"/>
      <c r="AQ577" s="17"/>
      <c r="AR577" s="17"/>
      <c r="AS577" s="17"/>
      <c r="AT577" s="17"/>
      <c r="AU577" s="17"/>
      <c r="AV577" s="17"/>
      <c r="AW577" s="297"/>
    </row>
    <row r="578" spans="1:49" ht="13.2">
      <c r="A578" s="119">
        <f>HYPERLINK("https://smartstore.naver.com/brickstore2019/products/4715075258",AW:AW)</f>
        <v>4715075258</v>
      </c>
      <c r="B578" s="266"/>
      <c r="C578" s="117" t="s">
        <v>1173</v>
      </c>
      <c r="D578" s="117"/>
      <c r="E578" s="117" t="s">
        <v>1174</v>
      </c>
      <c r="F578" s="123" t="s">
        <v>55</v>
      </c>
      <c r="G578" s="218" t="s">
        <v>1293</v>
      </c>
      <c r="H578" s="125"/>
      <c r="I578" s="125"/>
      <c r="J578" s="125">
        <v>60</v>
      </c>
      <c r="K578" s="82">
        <v>20.100000000000001</v>
      </c>
      <c r="L578" s="82">
        <f t="shared" ref="L578:L587" si="859">IF(K578&gt;0,K578*16,)</f>
        <v>321.60000000000002</v>
      </c>
      <c r="M578" s="82">
        <f t="shared" si="550"/>
        <v>9.1171991999999999</v>
      </c>
      <c r="N578" s="93">
        <v>0</v>
      </c>
      <c r="O578" s="93">
        <v>0</v>
      </c>
      <c r="P578" s="95">
        <f t="shared" si="731"/>
        <v>60</v>
      </c>
      <c r="Q578" s="96">
        <f t="shared" si="820"/>
        <v>75000</v>
      </c>
      <c r="R578" s="96">
        <v>0</v>
      </c>
      <c r="S578" s="97">
        <f t="shared" si="553"/>
        <v>75000</v>
      </c>
      <c r="T578" s="97">
        <f>ROUNDUP(HLOOKUP(ROUNDUP(K578,0),'배송비 조회'!A$10:AE$22,7,0)*C$3,-2)</f>
        <v>52800</v>
      </c>
      <c r="U578" s="97">
        <v>0</v>
      </c>
      <c r="V578" s="97">
        <f t="shared" si="853"/>
        <v>38300</v>
      </c>
      <c r="W578" s="97">
        <f t="shared" si="729"/>
        <v>63900</v>
      </c>
      <c r="X578" s="98">
        <f t="shared" si="555"/>
        <v>166100</v>
      </c>
      <c r="Y578" s="98">
        <f t="shared" si="27"/>
        <v>191700</v>
      </c>
      <c r="Z578" s="121">
        <v>0</v>
      </c>
      <c r="AA578" s="121">
        <f t="shared" si="556"/>
        <v>6311.8</v>
      </c>
      <c r="AB578" s="121">
        <f t="shared" si="557"/>
        <v>3322</v>
      </c>
      <c r="AC578" s="99">
        <f t="shared" si="8"/>
        <v>19170</v>
      </c>
      <c r="AD578" s="121">
        <f t="shared" si="558"/>
        <v>156466.20000000001</v>
      </c>
      <c r="AE578" s="99">
        <f t="shared" si="10"/>
        <v>172530</v>
      </c>
      <c r="AF578" s="121">
        <f t="shared" si="559"/>
        <v>1564.6620000000003</v>
      </c>
      <c r="AG578" s="100">
        <f t="shared" si="560"/>
        <v>27101.538000000015</v>
      </c>
      <c r="AH578" s="101">
        <f t="shared" si="29"/>
        <v>43165.338000000003</v>
      </c>
      <c r="AI578" s="102">
        <f t="shared" ref="AI578:AJ578" si="860">AG578/X578</f>
        <v>0.16316398555087305</v>
      </c>
      <c r="AJ578" s="102">
        <f t="shared" si="860"/>
        <v>0.22517129890453835</v>
      </c>
      <c r="AK578" s="103"/>
      <c r="AL578" s="104"/>
      <c r="AM578" s="17"/>
      <c r="AN578" s="17"/>
      <c r="AO578" s="17"/>
      <c r="AP578" s="17"/>
      <c r="AQ578" s="17"/>
      <c r="AR578" s="17"/>
      <c r="AS578" s="17"/>
      <c r="AT578" s="17"/>
      <c r="AU578" s="17"/>
      <c r="AV578" s="17"/>
      <c r="AW578" s="22">
        <v>4715075258</v>
      </c>
    </row>
    <row r="579" spans="1:49" ht="13.2">
      <c r="A579" s="119">
        <f>HYPERLINK("https://smartstore.naver.com/brickstore2019/products/4715010509",AW:AW)</f>
        <v>4715010509</v>
      </c>
      <c r="B579" s="266"/>
      <c r="C579" s="117" t="s">
        <v>1175</v>
      </c>
      <c r="D579" s="117"/>
      <c r="E579" s="117" t="s">
        <v>1176</v>
      </c>
      <c r="F579" s="123"/>
      <c r="G579" s="218" t="s">
        <v>1293</v>
      </c>
      <c r="H579" s="125"/>
      <c r="I579" s="125"/>
      <c r="J579" s="125">
        <v>130</v>
      </c>
      <c r="K579" s="82">
        <v>2.1</v>
      </c>
      <c r="L579" s="82">
        <f t="shared" si="859"/>
        <v>33.6</v>
      </c>
      <c r="M579" s="82">
        <f t="shared" si="550"/>
        <v>0.95254320000000003</v>
      </c>
      <c r="N579" s="93">
        <v>0</v>
      </c>
      <c r="O579" s="93">
        <v>0</v>
      </c>
      <c r="P579" s="95">
        <f t="shared" si="731"/>
        <v>130</v>
      </c>
      <c r="Q579" s="96">
        <f t="shared" si="820"/>
        <v>162500</v>
      </c>
      <c r="R579" s="96">
        <v>0</v>
      </c>
      <c r="S579" s="97">
        <f t="shared" si="553"/>
        <v>162500</v>
      </c>
      <c r="T579" s="97">
        <f>ROUNDUP(HLOOKUP(ROUNDUP(K579,0),'배송비 조회'!A$10:AE$22,7,0)*C$3,-2)</f>
        <v>13400</v>
      </c>
      <c r="U579" s="97">
        <v>0</v>
      </c>
      <c r="V579" s="97">
        <f t="shared" si="853"/>
        <v>52800</v>
      </c>
      <c r="W579" s="97">
        <f t="shared" si="729"/>
        <v>88000</v>
      </c>
      <c r="X579" s="98">
        <f t="shared" si="555"/>
        <v>228700</v>
      </c>
      <c r="Y579" s="98">
        <f t="shared" si="27"/>
        <v>263900</v>
      </c>
      <c r="Z579" s="121">
        <v>0</v>
      </c>
      <c r="AA579" s="121">
        <f t="shared" si="556"/>
        <v>8690.6</v>
      </c>
      <c r="AB579" s="121">
        <f t="shared" si="557"/>
        <v>4574</v>
      </c>
      <c r="AC579" s="99">
        <f t="shared" si="8"/>
        <v>26390</v>
      </c>
      <c r="AD579" s="121">
        <f t="shared" si="558"/>
        <v>215435.4</v>
      </c>
      <c r="AE579" s="99">
        <f t="shared" si="10"/>
        <v>237510</v>
      </c>
      <c r="AF579" s="121">
        <f t="shared" si="559"/>
        <v>2154.3539999999998</v>
      </c>
      <c r="AG579" s="100">
        <f t="shared" si="560"/>
        <v>37381.045999999995</v>
      </c>
      <c r="AH579" s="101">
        <f t="shared" si="29"/>
        <v>59455.645999999993</v>
      </c>
      <c r="AI579" s="102">
        <f t="shared" ref="AI579:AJ579" si="861">AG579/X579</f>
        <v>0.16345013554875382</v>
      </c>
      <c r="AJ579" s="102">
        <f t="shared" si="861"/>
        <v>0.22529611974232661</v>
      </c>
      <c r="AK579" s="103"/>
      <c r="AL579" s="104"/>
      <c r="AM579" s="17"/>
      <c r="AN579" s="17"/>
      <c r="AO579" s="17"/>
      <c r="AP579" s="17"/>
      <c r="AQ579" s="17"/>
      <c r="AR579" s="17"/>
      <c r="AS579" s="17"/>
      <c r="AT579" s="17"/>
      <c r="AU579" s="17"/>
      <c r="AV579" s="17"/>
      <c r="AW579" s="22">
        <v>4715010509</v>
      </c>
    </row>
    <row r="580" spans="1:49" ht="13.2">
      <c r="A580" s="303">
        <f>HYPERLINK("https://smartstore.naver.com/brickstore2019/products/4716381720",AW:AW)</f>
        <v>4716381720</v>
      </c>
      <c r="B580" s="266"/>
      <c r="C580" s="304" t="s">
        <v>1177</v>
      </c>
      <c r="D580" s="117"/>
      <c r="E580" s="304" t="s">
        <v>1178</v>
      </c>
      <c r="F580" s="123" t="s">
        <v>1179</v>
      </c>
      <c r="G580" s="124" t="str">
        <f>HYPERLINK("https://www.amazon.com/dp/B07K1RZWMC/ref=cm_sw_r_cp_apa_i_-01MDbVDKR1YX?th=1","A")</f>
        <v>A</v>
      </c>
      <c r="H580" s="125"/>
      <c r="I580" s="125"/>
      <c r="J580" s="125">
        <v>150</v>
      </c>
      <c r="K580" s="82">
        <v>1.5</v>
      </c>
      <c r="L580" s="82">
        <f t="shared" si="859"/>
        <v>24</v>
      </c>
      <c r="M580" s="82">
        <f t="shared" si="550"/>
        <v>0.68038799999999999</v>
      </c>
      <c r="N580" s="93">
        <v>0</v>
      </c>
      <c r="O580" s="93">
        <v>0</v>
      </c>
      <c r="P580" s="95">
        <f t="shared" si="731"/>
        <v>150</v>
      </c>
      <c r="Q580" s="96">
        <f t="shared" si="820"/>
        <v>187500</v>
      </c>
      <c r="R580" s="96">
        <v>0</v>
      </c>
      <c r="S580" s="97">
        <f t="shared" si="553"/>
        <v>187500</v>
      </c>
      <c r="T580" s="97">
        <f>ROUNDUP(HLOOKUP(ROUNDUP(K580,0),'배송비 조회'!A$10:AE$22,7,0)*C$3,-2)</f>
        <v>11200</v>
      </c>
      <c r="U580" s="97">
        <v>0</v>
      </c>
      <c r="V580" s="97">
        <f t="shared" ref="V580:V587" si="862">ROUND(IF(R580&gt;0,0,(S580+T580)*0.2),-2)</f>
        <v>39700</v>
      </c>
      <c r="W580" s="97">
        <f t="shared" si="729"/>
        <v>99400</v>
      </c>
      <c r="X580" s="98">
        <f t="shared" si="555"/>
        <v>238400</v>
      </c>
      <c r="Y580" s="98">
        <f t="shared" si="27"/>
        <v>298100</v>
      </c>
      <c r="Z580" s="121">
        <v>0</v>
      </c>
      <c r="AA580" s="121">
        <f t="shared" si="556"/>
        <v>9059.1999999999989</v>
      </c>
      <c r="AB580" s="121">
        <f t="shared" si="557"/>
        <v>4768</v>
      </c>
      <c r="AC580" s="99">
        <f t="shared" si="8"/>
        <v>29810</v>
      </c>
      <c r="AD580" s="121">
        <f t="shared" si="558"/>
        <v>224572.79999999999</v>
      </c>
      <c r="AE580" s="99">
        <f t="shared" si="10"/>
        <v>268290</v>
      </c>
      <c r="AF580" s="121">
        <f t="shared" si="559"/>
        <v>2245.7280000000001</v>
      </c>
      <c r="AG580" s="100">
        <f t="shared" si="560"/>
        <v>23627.071999999986</v>
      </c>
      <c r="AH580" s="101">
        <f t="shared" si="29"/>
        <v>67344.271999999997</v>
      </c>
      <c r="AI580" s="102">
        <f t="shared" ref="AI580:AJ580" si="863">AG580/X580</f>
        <v>9.9106845637583832E-2</v>
      </c>
      <c r="AJ580" s="102">
        <f t="shared" si="863"/>
        <v>0.22591168064407915</v>
      </c>
      <c r="AK580" s="103"/>
      <c r="AL580" s="104"/>
      <c r="AM580" s="17"/>
      <c r="AN580" s="17"/>
      <c r="AO580" s="17"/>
      <c r="AP580" s="17"/>
      <c r="AQ580" s="17"/>
      <c r="AR580" s="17"/>
      <c r="AS580" s="17"/>
      <c r="AT580" s="17"/>
      <c r="AU580" s="17"/>
      <c r="AV580" s="17"/>
      <c r="AW580" s="296">
        <v>4716381720</v>
      </c>
    </row>
    <row r="581" spans="1:49" ht="13.2">
      <c r="A581" s="302"/>
      <c r="B581" s="266"/>
      <c r="C581" s="302"/>
      <c r="D581" s="117"/>
      <c r="E581" s="302"/>
      <c r="F581" s="123" t="s">
        <v>1180</v>
      </c>
      <c r="G581" s="124" t="str">
        <f t="shared" ref="G581:G582" si="864">HYPERLINK("https://www.amazon.com/dp/B07KD8R6HD/ref=cm_sw_r_cp_apa_i_-01MDbVDKR1YX?th=1","A")</f>
        <v>A</v>
      </c>
      <c r="H581" s="125"/>
      <c r="I581" s="125"/>
      <c r="J581" s="125">
        <v>150</v>
      </c>
      <c r="K581" s="82">
        <v>1.5</v>
      </c>
      <c r="L581" s="82">
        <f t="shared" si="859"/>
        <v>24</v>
      </c>
      <c r="M581" s="82">
        <f t="shared" si="550"/>
        <v>0.68038799999999999</v>
      </c>
      <c r="N581" s="93">
        <v>0</v>
      </c>
      <c r="O581" s="93">
        <v>0</v>
      </c>
      <c r="P581" s="95">
        <f t="shared" si="731"/>
        <v>150</v>
      </c>
      <c r="Q581" s="96">
        <f t="shared" si="820"/>
        <v>187500</v>
      </c>
      <c r="R581" s="96">
        <v>0</v>
      </c>
      <c r="S581" s="97">
        <f t="shared" si="553"/>
        <v>187500</v>
      </c>
      <c r="T581" s="97">
        <f>ROUNDUP(HLOOKUP(ROUNDUP(K581,0),'배송비 조회'!A$10:AE$22,7,0)*C$3,-2)</f>
        <v>11200</v>
      </c>
      <c r="U581" s="97">
        <v>0</v>
      </c>
      <c r="V581" s="97">
        <f t="shared" si="862"/>
        <v>39700</v>
      </c>
      <c r="W581" s="97">
        <f t="shared" si="729"/>
        <v>99400</v>
      </c>
      <c r="X581" s="98">
        <f t="shared" si="555"/>
        <v>238400</v>
      </c>
      <c r="Y581" s="98">
        <f t="shared" si="27"/>
        <v>298100</v>
      </c>
      <c r="Z581" s="121">
        <v>0</v>
      </c>
      <c r="AA581" s="121">
        <f t="shared" si="556"/>
        <v>9059.1999999999989</v>
      </c>
      <c r="AB581" s="121">
        <f t="shared" si="557"/>
        <v>4768</v>
      </c>
      <c r="AC581" s="99">
        <f t="shared" si="8"/>
        <v>29810</v>
      </c>
      <c r="AD581" s="121">
        <f t="shared" si="558"/>
        <v>224572.79999999999</v>
      </c>
      <c r="AE581" s="99">
        <f t="shared" si="10"/>
        <v>268290</v>
      </c>
      <c r="AF581" s="121">
        <f t="shared" si="559"/>
        <v>2245.7280000000001</v>
      </c>
      <c r="AG581" s="100">
        <f t="shared" si="560"/>
        <v>23627.071999999986</v>
      </c>
      <c r="AH581" s="101">
        <f t="shared" si="29"/>
        <v>67344.271999999997</v>
      </c>
      <c r="AI581" s="102">
        <f t="shared" ref="AI581:AJ581" si="865">AG581/X581</f>
        <v>9.9106845637583832E-2</v>
      </c>
      <c r="AJ581" s="102">
        <f t="shared" si="865"/>
        <v>0.22591168064407915</v>
      </c>
      <c r="AK581" s="103">
        <f>X581-X580</f>
        <v>0</v>
      </c>
      <c r="AL581" s="104"/>
      <c r="AM581" s="17"/>
      <c r="AN581" s="17"/>
      <c r="AO581" s="17"/>
      <c r="AP581" s="17"/>
      <c r="AQ581" s="17"/>
      <c r="AR581" s="17"/>
      <c r="AS581" s="17"/>
      <c r="AT581" s="17"/>
      <c r="AU581" s="17"/>
      <c r="AV581" s="17"/>
      <c r="AW581" s="297"/>
    </row>
    <row r="582" spans="1:49" ht="13.2">
      <c r="A582" s="302"/>
      <c r="B582" s="266"/>
      <c r="C582" s="302"/>
      <c r="D582" s="117"/>
      <c r="E582" s="302"/>
      <c r="F582" s="123" t="s">
        <v>1181</v>
      </c>
      <c r="G582" s="124" t="str">
        <f t="shared" si="864"/>
        <v>A</v>
      </c>
      <c r="H582" s="125"/>
      <c r="I582" s="125"/>
      <c r="J582" s="125">
        <v>150</v>
      </c>
      <c r="K582" s="82">
        <v>1.5</v>
      </c>
      <c r="L582" s="82">
        <f t="shared" si="859"/>
        <v>24</v>
      </c>
      <c r="M582" s="82">
        <f t="shared" si="550"/>
        <v>0.68038799999999999</v>
      </c>
      <c r="N582" s="93">
        <v>0</v>
      </c>
      <c r="O582" s="93">
        <v>0</v>
      </c>
      <c r="P582" s="95">
        <f t="shared" si="731"/>
        <v>150</v>
      </c>
      <c r="Q582" s="96">
        <f t="shared" si="820"/>
        <v>187500</v>
      </c>
      <c r="R582" s="96">
        <v>0</v>
      </c>
      <c r="S582" s="97">
        <f t="shared" si="553"/>
        <v>187500</v>
      </c>
      <c r="T582" s="97">
        <f>ROUNDUP(HLOOKUP(ROUNDUP(K582,0),'배송비 조회'!A$10:AE$22,7,0)*C$3,-2)</f>
        <v>11200</v>
      </c>
      <c r="U582" s="97">
        <v>0</v>
      </c>
      <c r="V582" s="97">
        <f t="shared" si="862"/>
        <v>39700</v>
      </c>
      <c r="W582" s="97">
        <f t="shared" si="729"/>
        <v>99400</v>
      </c>
      <c r="X582" s="98">
        <f t="shared" si="555"/>
        <v>238400</v>
      </c>
      <c r="Y582" s="98">
        <f t="shared" si="27"/>
        <v>298100</v>
      </c>
      <c r="Z582" s="121">
        <v>0</v>
      </c>
      <c r="AA582" s="121">
        <f t="shared" si="556"/>
        <v>9059.1999999999989</v>
      </c>
      <c r="AB582" s="121">
        <f t="shared" si="557"/>
        <v>4768</v>
      </c>
      <c r="AC582" s="99">
        <f t="shared" si="8"/>
        <v>29810</v>
      </c>
      <c r="AD582" s="121">
        <f t="shared" si="558"/>
        <v>224572.79999999999</v>
      </c>
      <c r="AE582" s="99">
        <f t="shared" si="10"/>
        <v>268290</v>
      </c>
      <c r="AF582" s="121">
        <f t="shared" si="559"/>
        <v>2245.7280000000001</v>
      </c>
      <c r="AG582" s="100">
        <f t="shared" si="560"/>
        <v>23627.071999999986</v>
      </c>
      <c r="AH582" s="101">
        <f t="shared" si="29"/>
        <v>67344.271999999997</v>
      </c>
      <c r="AI582" s="102">
        <f t="shared" ref="AI582:AJ582" si="866">AG582/X582</f>
        <v>9.9106845637583832E-2</v>
      </c>
      <c r="AJ582" s="102">
        <f t="shared" si="866"/>
        <v>0.22591168064407915</v>
      </c>
      <c r="AK582" s="103"/>
      <c r="AL582" s="104"/>
      <c r="AM582" s="17"/>
      <c r="AN582" s="17"/>
      <c r="AO582" s="17"/>
      <c r="AP582" s="17"/>
      <c r="AQ582" s="17"/>
      <c r="AR582" s="17"/>
      <c r="AS582" s="17"/>
      <c r="AT582" s="17"/>
      <c r="AU582" s="17"/>
      <c r="AV582" s="17"/>
      <c r="AW582" s="297"/>
    </row>
    <row r="583" spans="1:49" ht="13.2">
      <c r="A583" s="302"/>
      <c r="B583" s="266"/>
      <c r="C583" s="302"/>
      <c r="D583" s="117"/>
      <c r="E583" s="302"/>
      <c r="F583" s="123" t="s">
        <v>1182</v>
      </c>
      <c r="G583" s="124" t="str">
        <f>HYPERLINK("https://www.amazon.com/dp/B07KD6BTCZ/ref=cm_sw_r_cp_apa_i_-01MDbVDKR1YX?th=1","A")</f>
        <v>A</v>
      </c>
      <c r="H583" s="125"/>
      <c r="I583" s="125"/>
      <c r="J583" s="125">
        <v>150</v>
      </c>
      <c r="K583" s="82">
        <v>1.5</v>
      </c>
      <c r="L583" s="82">
        <f t="shared" si="859"/>
        <v>24</v>
      </c>
      <c r="M583" s="82">
        <f t="shared" si="550"/>
        <v>0.68038799999999999</v>
      </c>
      <c r="N583" s="93">
        <v>0</v>
      </c>
      <c r="O583" s="93">
        <v>0</v>
      </c>
      <c r="P583" s="95">
        <f t="shared" si="731"/>
        <v>150</v>
      </c>
      <c r="Q583" s="96">
        <f t="shared" si="820"/>
        <v>187500</v>
      </c>
      <c r="R583" s="96">
        <v>0</v>
      </c>
      <c r="S583" s="97">
        <f t="shared" si="553"/>
        <v>187500</v>
      </c>
      <c r="T583" s="97">
        <f>ROUNDUP(HLOOKUP(ROUNDUP(K583,0),'배송비 조회'!A$10:AE$22,7,0)*C$3,-2)</f>
        <v>11200</v>
      </c>
      <c r="U583" s="97">
        <v>0</v>
      </c>
      <c r="V583" s="97">
        <f t="shared" si="862"/>
        <v>39700</v>
      </c>
      <c r="W583" s="97">
        <f t="shared" si="729"/>
        <v>99400</v>
      </c>
      <c r="X583" s="98">
        <f t="shared" si="555"/>
        <v>238400</v>
      </c>
      <c r="Y583" s="98">
        <f t="shared" si="27"/>
        <v>298100</v>
      </c>
      <c r="Z583" s="121">
        <v>0</v>
      </c>
      <c r="AA583" s="121">
        <f t="shared" si="556"/>
        <v>9059.1999999999989</v>
      </c>
      <c r="AB583" s="121">
        <f t="shared" si="557"/>
        <v>4768</v>
      </c>
      <c r="AC583" s="99">
        <f t="shared" si="8"/>
        <v>29810</v>
      </c>
      <c r="AD583" s="121">
        <f t="shared" si="558"/>
        <v>224572.79999999999</v>
      </c>
      <c r="AE583" s="99">
        <f t="shared" si="10"/>
        <v>268290</v>
      </c>
      <c r="AF583" s="121">
        <f t="shared" si="559"/>
        <v>2245.7280000000001</v>
      </c>
      <c r="AG583" s="100">
        <f t="shared" si="560"/>
        <v>23627.071999999986</v>
      </c>
      <c r="AH583" s="101">
        <f t="shared" si="29"/>
        <v>67344.271999999997</v>
      </c>
      <c r="AI583" s="102">
        <f t="shared" ref="AI583:AJ583" si="867">AG583/X583</f>
        <v>9.9106845637583832E-2</v>
      </c>
      <c r="AJ583" s="102">
        <f t="shared" si="867"/>
        <v>0.22591168064407915</v>
      </c>
      <c r="AK583" s="103"/>
      <c r="AL583" s="104"/>
      <c r="AM583" s="17"/>
      <c r="AN583" s="17"/>
      <c r="AO583" s="17"/>
      <c r="AP583" s="17"/>
      <c r="AQ583" s="17"/>
      <c r="AR583" s="17"/>
      <c r="AS583" s="17"/>
      <c r="AT583" s="17"/>
      <c r="AU583" s="17"/>
      <c r="AV583" s="17"/>
      <c r="AW583" s="297"/>
    </row>
    <row r="584" spans="1:49" ht="13.2">
      <c r="A584" s="302"/>
      <c r="B584" s="266"/>
      <c r="C584" s="302"/>
      <c r="D584" s="117"/>
      <c r="E584" s="302"/>
      <c r="F584" s="123" t="s">
        <v>1183</v>
      </c>
      <c r="G584" s="124" t="str">
        <f>HYPERLINK("https://www.amazon.com/dp/B07K2HBB1H/ref=cm_sw_r_cp_apa_i_-01MDbVDKR1YX?th=1","A")</f>
        <v>A</v>
      </c>
      <c r="H584" s="125"/>
      <c r="I584" s="125"/>
      <c r="J584" s="125">
        <v>190</v>
      </c>
      <c r="K584" s="82">
        <v>1.5</v>
      </c>
      <c r="L584" s="82">
        <f t="shared" si="859"/>
        <v>24</v>
      </c>
      <c r="M584" s="82">
        <f t="shared" si="550"/>
        <v>0.68038799999999999</v>
      </c>
      <c r="N584" s="93">
        <v>0</v>
      </c>
      <c r="O584" s="93">
        <v>0</v>
      </c>
      <c r="P584" s="95">
        <f t="shared" si="731"/>
        <v>190</v>
      </c>
      <c r="Q584" s="96">
        <f t="shared" si="820"/>
        <v>237500</v>
      </c>
      <c r="R584" s="96">
        <v>0</v>
      </c>
      <c r="S584" s="97">
        <f t="shared" si="553"/>
        <v>237500</v>
      </c>
      <c r="T584" s="97">
        <f>ROUNDUP(HLOOKUP(ROUNDUP(K584,0),'배송비 조회'!A$10:AE$22,7,0)*C$3,-2)</f>
        <v>11200</v>
      </c>
      <c r="U584" s="97">
        <v>0</v>
      </c>
      <c r="V584" s="97">
        <f t="shared" si="862"/>
        <v>49700</v>
      </c>
      <c r="W584" s="97">
        <f t="shared" si="729"/>
        <v>124400</v>
      </c>
      <c r="X584" s="98">
        <f t="shared" si="555"/>
        <v>298400</v>
      </c>
      <c r="Y584" s="98">
        <f t="shared" si="27"/>
        <v>373100</v>
      </c>
      <c r="Z584" s="121">
        <v>0</v>
      </c>
      <c r="AA584" s="121">
        <f t="shared" si="556"/>
        <v>11339.199999999999</v>
      </c>
      <c r="AB584" s="121">
        <f t="shared" si="557"/>
        <v>5968</v>
      </c>
      <c r="AC584" s="99">
        <f t="shared" si="8"/>
        <v>37310</v>
      </c>
      <c r="AD584" s="121">
        <f t="shared" si="558"/>
        <v>281092.8</v>
      </c>
      <c r="AE584" s="99">
        <f t="shared" si="10"/>
        <v>335790</v>
      </c>
      <c r="AF584" s="121">
        <f t="shared" si="559"/>
        <v>2810.9279999999999</v>
      </c>
      <c r="AG584" s="100">
        <f t="shared" si="560"/>
        <v>29581.871999999988</v>
      </c>
      <c r="AH584" s="101">
        <f t="shared" si="29"/>
        <v>84279.072</v>
      </c>
      <c r="AI584" s="102">
        <f t="shared" ref="AI584:AJ584" si="868">AG584/X584</f>
        <v>9.9134959785522753E-2</v>
      </c>
      <c r="AJ584" s="102">
        <f t="shared" si="868"/>
        <v>0.22588869471991424</v>
      </c>
      <c r="AK584" s="103">
        <f>X584-X583</f>
        <v>60000</v>
      </c>
      <c r="AL584" s="104"/>
      <c r="AM584" s="17"/>
      <c r="AN584" s="17"/>
      <c r="AO584" s="17"/>
      <c r="AP584" s="17"/>
      <c r="AQ584" s="17"/>
      <c r="AR584" s="17"/>
      <c r="AS584" s="17"/>
      <c r="AT584" s="17"/>
      <c r="AU584" s="17"/>
      <c r="AV584" s="17"/>
      <c r="AW584" s="297"/>
    </row>
    <row r="585" spans="1:49" ht="13.2">
      <c r="A585" s="302"/>
      <c r="B585" s="266"/>
      <c r="C585" s="302"/>
      <c r="D585" s="117"/>
      <c r="E585" s="302"/>
      <c r="F585" s="123" t="s">
        <v>1184</v>
      </c>
      <c r="G585" s="124" t="str">
        <f>HYPERLINK("https://www.amazon.com/dp/B07KD7CW5T/ref=cm_sw_r_cp_apa_i_-01MDbVDKR1YX?th=1","A")</f>
        <v>A</v>
      </c>
      <c r="H585" s="125"/>
      <c r="I585" s="125"/>
      <c r="J585" s="125">
        <v>190</v>
      </c>
      <c r="K585" s="82">
        <v>1.5</v>
      </c>
      <c r="L585" s="82">
        <f t="shared" si="859"/>
        <v>24</v>
      </c>
      <c r="M585" s="82">
        <f t="shared" si="550"/>
        <v>0.68038799999999999</v>
      </c>
      <c r="N585" s="93">
        <v>0</v>
      </c>
      <c r="O585" s="93">
        <v>0</v>
      </c>
      <c r="P585" s="95">
        <f t="shared" si="731"/>
        <v>190</v>
      </c>
      <c r="Q585" s="96">
        <f t="shared" si="820"/>
        <v>237500</v>
      </c>
      <c r="R585" s="96">
        <v>0</v>
      </c>
      <c r="S585" s="97">
        <f t="shared" si="553"/>
        <v>237500</v>
      </c>
      <c r="T585" s="97">
        <f>ROUNDUP(HLOOKUP(ROUNDUP(K585,0),'배송비 조회'!A$10:AE$22,7,0)*C$3,-2)</f>
        <v>11200</v>
      </c>
      <c r="U585" s="97">
        <v>0</v>
      </c>
      <c r="V585" s="97">
        <f t="shared" si="862"/>
        <v>49700</v>
      </c>
      <c r="W585" s="97">
        <f t="shared" si="729"/>
        <v>124400</v>
      </c>
      <c r="X585" s="98">
        <f t="shared" si="555"/>
        <v>298400</v>
      </c>
      <c r="Y585" s="98">
        <f t="shared" si="27"/>
        <v>373100</v>
      </c>
      <c r="Z585" s="121">
        <v>0</v>
      </c>
      <c r="AA585" s="121">
        <f t="shared" si="556"/>
        <v>11339.199999999999</v>
      </c>
      <c r="AB585" s="121">
        <f t="shared" si="557"/>
        <v>5968</v>
      </c>
      <c r="AC585" s="99">
        <f t="shared" si="8"/>
        <v>37310</v>
      </c>
      <c r="AD585" s="121">
        <f t="shared" si="558"/>
        <v>281092.8</v>
      </c>
      <c r="AE585" s="99">
        <f t="shared" si="10"/>
        <v>335790</v>
      </c>
      <c r="AF585" s="121">
        <f t="shared" si="559"/>
        <v>2810.9279999999999</v>
      </c>
      <c r="AG585" s="100">
        <f t="shared" si="560"/>
        <v>29581.871999999988</v>
      </c>
      <c r="AH585" s="101">
        <f t="shared" si="29"/>
        <v>84279.072</v>
      </c>
      <c r="AI585" s="102">
        <f t="shared" ref="AI585:AJ585" si="869">AG585/X585</f>
        <v>9.9134959785522753E-2</v>
      </c>
      <c r="AJ585" s="102">
        <f t="shared" si="869"/>
        <v>0.22588869471991424</v>
      </c>
      <c r="AK585" s="103"/>
      <c r="AL585" s="104"/>
      <c r="AM585" s="17"/>
      <c r="AN585" s="17"/>
      <c r="AO585" s="17"/>
      <c r="AP585" s="17"/>
      <c r="AQ585" s="17"/>
      <c r="AR585" s="17"/>
      <c r="AS585" s="17"/>
      <c r="AT585" s="17"/>
      <c r="AU585" s="17"/>
      <c r="AV585" s="17"/>
      <c r="AW585" s="297"/>
    </row>
    <row r="586" spans="1:49" ht="13.2">
      <c r="A586" s="302"/>
      <c r="B586" s="266"/>
      <c r="C586" s="302"/>
      <c r="D586" s="117"/>
      <c r="E586" s="302"/>
      <c r="F586" s="123" t="s">
        <v>1185</v>
      </c>
      <c r="G586" s="124" t="str">
        <f>HYPERLINK("https://www.amazon.com/dp/B07KD7FB5L/ref=cm_sw_r_cp_apa_i_-01MDbVDKR1YX?th=1","A")</f>
        <v>A</v>
      </c>
      <c r="H586" s="125"/>
      <c r="I586" s="125"/>
      <c r="J586" s="125">
        <v>190</v>
      </c>
      <c r="K586" s="82">
        <v>1.5</v>
      </c>
      <c r="L586" s="82">
        <f t="shared" si="859"/>
        <v>24</v>
      </c>
      <c r="M586" s="82">
        <f t="shared" si="550"/>
        <v>0.68038799999999999</v>
      </c>
      <c r="N586" s="93">
        <v>0</v>
      </c>
      <c r="O586" s="93">
        <v>0</v>
      </c>
      <c r="P586" s="95">
        <f t="shared" si="731"/>
        <v>190</v>
      </c>
      <c r="Q586" s="96">
        <f t="shared" si="820"/>
        <v>237500</v>
      </c>
      <c r="R586" s="96">
        <v>0</v>
      </c>
      <c r="S586" s="97">
        <f t="shared" si="553"/>
        <v>237500</v>
      </c>
      <c r="T586" s="97">
        <f>ROUNDUP(HLOOKUP(ROUNDUP(K586,0),'배송비 조회'!A$10:AE$22,7,0)*C$3,-2)</f>
        <v>11200</v>
      </c>
      <c r="U586" s="97">
        <v>0</v>
      </c>
      <c r="V586" s="97">
        <f t="shared" si="862"/>
        <v>49700</v>
      </c>
      <c r="W586" s="97">
        <f t="shared" si="729"/>
        <v>124400</v>
      </c>
      <c r="X586" s="98">
        <f t="shared" si="555"/>
        <v>298400</v>
      </c>
      <c r="Y586" s="98">
        <f t="shared" si="27"/>
        <v>373100</v>
      </c>
      <c r="Z586" s="121">
        <v>0</v>
      </c>
      <c r="AA586" s="121">
        <f t="shared" si="556"/>
        <v>11339.199999999999</v>
      </c>
      <c r="AB586" s="121">
        <f t="shared" si="557"/>
        <v>5968</v>
      </c>
      <c r="AC586" s="99">
        <f t="shared" si="8"/>
        <v>37310</v>
      </c>
      <c r="AD586" s="121">
        <f t="shared" si="558"/>
        <v>281092.8</v>
      </c>
      <c r="AE586" s="99">
        <f t="shared" si="10"/>
        <v>335790</v>
      </c>
      <c r="AF586" s="121">
        <f t="shared" si="559"/>
        <v>2810.9279999999999</v>
      </c>
      <c r="AG586" s="100">
        <f t="shared" si="560"/>
        <v>29581.871999999988</v>
      </c>
      <c r="AH586" s="101">
        <f t="shared" si="29"/>
        <v>84279.072</v>
      </c>
      <c r="AI586" s="102">
        <f t="shared" ref="AI586:AJ586" si="870">AG586/X586</f>
        <v>9.9134959785522753E-2</v>
      </c>
      <c r="AJ586" s="102">
        <f t="shared" si="870"/>
        <v>0.22588869471991424</v>
      </c>
      <c r="AK586" s="103"/>
      <c r="AL586" s="104"/>
      <c r="AM586" s="17"/>
      <c r="AN586" s="17"/>
      <c r="AO586" s="17"/>
      <c r="AP586" s="17"/>
      <c r="AQ586" s="17"/>
      <c r="AR586" s="17"/>
      <c r="AS586" s="17"/>
      <c r="AT586" s="17"/>
      <c r="AU586" s="17"/>
      <c r="AV586" s="17"/>
      <c r="AW586" s="297"/>
    </row>
    <row r="587" spans="1:49" ht="13.2">
      <c r="A587" s="302"/>
      <c r="B587" s="266"/>
      <c r="C587" s="302"/>
      <c r="D587" s="117"/>
      <c r="E587" s="302"/>
      <c r="F587" s="123" t="s">
        <v>1186</v>
      </c>
      <c r="G587" s="124" t="str">
        <f>HYPERLINK("https://www.amazon.com/dp/B07KD58DQS/ref=cm_sw_r_cp_apa_i_-01MDbVDKR1YX?th=1","A")</f>
        <v>A</v>
      </c>
      <c r="H587" s="125"/>
      <c r="I587" s="125"/>
      <c r="J587" s="125">
        <v>190</v>
      </c>
      <c r="K587" s="82">
        <v>1.5</v>
      </c>
      <c r="L587" s="82">
        <f t="shared" si="859"/>
        <v>24</v>
      </c>
      <c r="M587" s="82">
        <f t="shared" si="550"/>
        <v>0.68038799999999999</v>
      </c>
      <c r="N587" s="93">
        <v>0</v>
      </c>
      <c r="O587" s="93">
        <v>0</v>
      </c>
      <c r="P587" s="95">
        <f t="shared" si="731"/>
        <v>190</v>
      </c>
      <c r="Q587" s="96">
        <f t="shared" si="820"/>
        <v>237500</v>
      </c>
      <c r="R587" s="96">
        <v>0</v>
      </c>
      <c r="S587" s="97">
        <f t="shared" si="553"/>
        <v>237500</v>
      </c>
      <c r="T587" s="97">
        <f>ROUNDUP(HLOOKUP(ROUNDUP(K587,0),'배송비 조회'!A$10:AE$22,7,0)*C$3,-2)</f>
        <v>11200</v>
      </c>
      <c r="U587" s="97">
        <v>0</v>
      </c>
      <c r="V587" s="97">
        <f t="shared" si="862"/>
        <v>49700</v>
      </c>
      <c r="W587" s="97">
        <f t="shared" si="729"/>
        <v>124400</v>
      </c>
      <c r="X587" s="98">
        <f t="shared" si="555"/>
        <v>298400</v>
      </c>
      <c r="Y587" s="98">
        <f t="shared" si="27"/>
        <v>373100</v>
      </c>
      <c r="Z587" s="121">
        <v>0</v>
      </c>
      <c r="AA587" s="121">
        <f t="shared" si="556"/>
        <v>11339.199999999999</v>
      </c>
      <c r="AB587" s="121">
        <f t="shared" si="557"/>
        <v>5968</v>
      </c>
      <c r="AC587" s="99">
        <f t="shared" si="8"/>
        <v>37310</v>
      </c>
      <c r="AD587" s="121">
        <f t="shared" si="558"/>
        <v>281092.8</v>
      </c>
      <c r="AE587" s="99">
        <f t="shared" si="10"/>
        <v>335790</v>
      </c>
      <c r="AF587" s="121">
        <f t="shared" si="559"/>
        <v>2810.9279999999999</v>
      </c>
      <c r="AG587" s="100">
        <f t="shared" si="560"/>
        <v>29581.871999999988</v>
      </c>
      <c r="AH587" s="101">
        <f t="shared" si="29"/>
        <v>84279.072</v>
      </c>
      <c r="AI587" s="102">
        <f t="shared" ref="AI587:AJ587" si="871">AG587/X587</f>
        <v>9.9134959785522753E-2</v>
      </c>
      <c r="AJ587" s="102">
        <f t="shared" si="871"/>
        <v>0.22588869471991424</v>
      </c>
      <c r="AK587" s="103"/>
      <c r="AL587" s="104"/>
      <c r="AM587" s="17"/>
      <c r="AN587" s="17"/>
      <c r="AO587" s="17"/>
      <c r="AP587" s="17"/>
      <c r="AQ587" s="17"/>
      <c r="AR587" s="17"/>
      <c r="AS587" s="17"/>
      <c r="AT587" s="17"/>
      <c r="AU587" s="17"/>
      <c r="AV587" s="17"/>
      <c r="AW587" s="297"/>
    </row>
    <row r="588" spans="1:49" ht="13.2">
      <c r="A588" s="119">
        <f>HYPERLINK("https://smartstore.naver.com/brickstore2019/products/4716255164",AW:AW)</f>
        <v>4716255164</v>
      </c>
      <c r="B588" s="266"/>
      <c r="C588" s="117" t="s">
        <v>1187</v>
      </c>
      <c r="D588" s="117"/>
      <c r="E588" s="117" t="s">
        <v>1188</v>
      </c>
      <c r="F588" s="123"/>
      <c r="G588" s="124" t="str">
        <f>HYPERLINK("https://www.amazon.com/SteelSeries-Sensei-Ten-Gaming-Mouse/dp/B07Y3Q2PYH/ref=sr_1_1?keywords=sensei+10&amp;qid=1571575911&amp;sr=8-1","A")</f>
        <v>A</v>
      </c>
      <c r="H588" s="125"/>
      <c r="I588" s="125"/>
      <c r="J588" s="125">
        <v>70</v>
      </c>
      <c r="K588" s="82">
        <f>IF(L588&gt;0,L588*0.0625,)</f>
        <v>0.3125</v>
      </c>
      <c r="L588" s="82">
        <v>5</v>
      </c>
      <c r="M588" s="82">
        <f t="shared" si="550"/>
        <v>0.1417475</v>
      </c>
      <c r="N588" s="93">
        <v>0</v>
      </c>
      <c r="O588" s="93">
        <v>0</v>
      </c>
      <c r="P588" s="95">
        <f t="shared" si="731"/>
        <v>70</v>
      </c>
      <c r="Q588" s="96">
        <f t="shared" si="820"/>
        <v>87500</v>
      </c>
      <c r="R588" s="96">
        <v>0</v>
      </c>
      <c r="S588" s="97">
        <f t="shared" si="553"/>
        <v>87500</v>
      </c>
      <c r="T588" s="97">
        <f>ROUNDUP(HLOOKUP(ROUNDUP(K588,0),'배송비 조회'!A$10:AE$22,7,0)*C$3,-2)</f>
        <v>9000</v>
      </c>
      <c r="U588" s="97">
        <v>0</v>
      </c>
      <c r="V588" s="97">
        <f t="shared" ref="V588:V592" si="872">ROUND(IF(R588&gt;0,0,(S588+T588)*0.3),-2)</f>
        <v>29000</v>
      </c>
      <c r="W588" s="97">
        <f t="shared" si="729"/>
        <v>48300</v>
      </c>
      <c r="X588" s="98">
        <f t="shared" si="555"/>
        <v>125500</v>
      </c>
      <c r="Y588" s="98">
        <f t="shared" si="27"/>
        <v>144800</v>
      </c>
      <c r="Z588" s="121">
        <v>0</v>
      </c>
      <c r="AA588" s="121">
        <f t="shared" si="556"/>
        <v>4769</v>
      </c>
      <c r="AB588" s="121">
        <f t="shared" si="557"/>
        <v>2510</v>
      </c>
      <c r="AC588" s="99">
        <f t="shared" si="8"/>
        <v>14480</v>
      </c>
      <c r="AD588" s="121">
        <f t="shared" si="558"/>
        <v>118221</v>
      </c>
      <c r="AE588" s="99">
        <f t="shared" si="10"/>
        <v>130320</v>
      </c>
      <c r="AF588" s="121">
        <f t="shared" si="559"/>
        <v>1182.21</v>
      </c>
      <c r="AG588" s="100">
        <f t="shared" si="560"/>
        <v>20538.79</v>
      </c>
      <c r="AH588" s="101">
        <f t="shared" si="29"/>
        <v>32637.79</v>
      </c>
      <c r="AI588" s="102">
        <f t="shared" ref="AI588:AJ588" si="873">AG588/X588</f>
        <v>0.16365569721115539</v>
      </c>
      <c r="AJ588" s="102">
        <f t="shared" si="873"/>
        <v>0.22539910220994475</v>
      </c>
      <c r="AK588" s="103"/>
      <c r="AL588" s="104"/>
      <c r="AM588" s="17"/>
      <c r="AN588" s="17"/>
      <c r="AO588" s="17"/>
      <c r="AP588" s="17"/>
      <c r="AQ588" s="17"/>
      <c r="AR588" s="17"/>
      <c r="AS588" s="17"/>
      <c r="AT588" s="17"/>
      <c r="AU588" s="17"/>
      <c r="AV588" s="17"/>
      <c r="AW588" s="22">
        <v>4716255164</v>
      </c>
    </row>
    <row r="589" spans="1:49" ht="13.2">
      <c r="A589" s="303">
        <f>HYPERLINK("https://smartstore.naver.com/brickstore2019/products/4717329582",AW:AW)</f>
        <v>4717329582</v>
      </c>
      <c r="B589" s="266"/>
      <c r="C589" s="304" t="s">
        <v>1189</v>
      </c>
      <c r="D589" s="117" t="s">
        <v>1190</v>
      </c>
      <c r="E589" s="304" t="s">
        <v>1191</v>
      </c>
      <c r="F589" s="123" t="s">
        <v>1192</v>
      </c>
      <c r="G589" s="124" t="str">
        <f>HYPERLINK("https://www.amazon.com/dp/B07NFP7KYJ/ref=twister_B07Z7V2CJ7?_encoding=UTF8&amp;th=1","A")</f>
        <v>A</v>
      </c>
      <c r="H589" s="125"/>
      <c r="I589" s="125"/>
      <c r="J589" s="125">
        <v>100</v>
      </c>
      <c r="K589" s="82">
        <v>1.36</v>
      </c>
      <c r="L589" s="82">
        <f t="shared" ref="L589:L598" si="874">IF(K589&gt;0,K589*16,)</f>
        <v>21.76</v>
      </c>
      <c r="M589" s="82">
        <f t="shared" si="550"/>
        <v>0.61688512000000006</v>
      </c>
      <c r="N589" s="93">
        <v>0</v>
      </c>
      <c r="O589" s="93">
        <v>0</v>
      </c>
      <c r="P589" s="95">
        <f t="shared" si="731"/>
        <v>100</v>
      </c>
      <c r="Q589" s="96">
        <f t="shared" si="820"/>
        <v>125000</v>
      </c>
      <c r="R589" s="96">
        <v>0</v>
      </c>
      <c r="S589" s="97">
        <f t="shared" si="553"/>
        <v>125000</v>
      </c>
      <c r="T589" s="97">
        <f>ROUNDUP(HLOOKUP(ROUNDUP(K589,0),'배송비 조회'!A$10:AE$22,7,0)*C$3,-2)</f>
        <v>11200</v>
      </c>
      <c r="U589" s="97">
        <v>0</v>
      </c>
      <c r="V589" s="97">
        <f t="shared" si="872"/>
        <v>40900</v>
      </c>
      <c r="W589" s="97">
        <f t="shared" si="729"/>
        <v>68100</v>
      </c>
      <c r="X589" s="98">
        <f t="shared" si="555"/>
        <v>177100</v>
      </c>
      <c r="Y589" s="98">
        <f t="shared" si="27"/>
        <v>204300</v>
      </c>
      <c r="Z589" s="121">
        <v>0</v>
      </c>
      <c r="AA589" s="121">
        <f t="shared" si="556"/>
        <v>6729.8</v>
      </c>
      <c r="AB589" s="121">
        <f t="shared" si="557"/>
        <v>3542</v>
      </c>
      <c r="AC589" s="99">
        <f t="shared" si="8"/>
        <v>20430</v>
      </c>
      <c r="AD589" s="121">
        <f t="shared" si="558"/>
        <v>166828.20000000001</v>
      </c>
      <c r="AE589" s="99">
        <f t="shared" si="10"/>
        <v>183870</v>
      </c>
      <c r="AF589" s="121">
        <f t="shared" si="559"/>
        <v>1668.2820000000002</v>
      </c>
      <c r="AG589" s="100">
        <f t="shared" si="560"/>
        <v>28959.918000000012</v>
      </c>
      <c r="AH589" s="101">
        <f t="shared" si="29"/>
        <v>46001.718000000001</v>
      </c>
      <c r="AI589" s="102">
        <f t="shared" ref="AI589:AJ589" si="875">AG589/X589</f>
        <v>0.16352297007340494</v>
      </c>
      <c r="AJ589" s="102">
        <f t="shared" si="875"/>
        <v>0.22516748898678415</v>
      </c>
      <c r="AK589" s="103"/>
      <c r="AL589" s="104"/>
      <c r="AM589" s="17"/>
      <c r="AN589" s="17"/>
      <c r="AO589" s="17"/>
      <c r="AP589" s="17"/>
      <c r="AQ589" s="17"/>
      <c r="AR589" s="17"/>
      <c r="AS589" s="17"/>
      <c r="AT589" s="17"/>
      <c r="AU589" s="17"/>
      <c r="AV589" s="17"/>
      <c r="AW589" s="296">
        <v>4717329582</v>
      </c>
    </row>
    <row r="590" spans="1:49" ht="13.2">
      <c r="A590" s="302"/>
      <c r="B590" s="266"/>
      <c r="C590" s="302"/>
      <c r="D590" s="117"/>
      <c r="E590" s="302"/>
      <c r="F590" s="123" t="s">
        <v>1193</v>
      </c>
      <c r="G590" s="124" t="str">
        <f>HYPERLINK("https://www.amazon.com/dp/B07NFPGNWD/ref=twister_B07Z7V2CJ7?_encoding=UTF8&amp;th=1","A")</f>
        <v>A</v>
      </c>
      <c r="H590" s="125"/>
      <c r="I590" s="125"/>
      <c r="J590" s="125">
        <v>80</v>
      </c>
      <c r="K590" s="82">
        <v>1.36</v>
      </c>
      <c r="L590" s="82">
        <f t="shared" si="874"/>
        <v>21.76</v>
      </c>
      <c r="M590" s="82">
        <f t="shared" si="550"/>
        <v>0.61688512000000006</v>
      </c>
      <c r="N590" s="93">
        <v>0</v>
      </c>
      <c r="O590" s="93">
        <v>0</v>
      </c>
      <c r="P590" s="95">
        <f t="shared" si="731"/>
        <v>80</v>
      </c>
      <c r="Q590" s="96">
        <f t="shared" si="820"/>
        <v>100000</v>
      </c>
      <c r="R590" s="96">
        <v>0</v>
      </c>
      <c r="S590" s="97">
        <f t="shared" si="553"/>
        <v>100000</v>
      </c>
      <c r="T590" s="97">
        <f>ROUNDUP(HLOOKUP(ROUNDUP(K590,0),'배송비 조회'!A$10:AE$22,7,0)*C$3,-2)</f>
        <v>11200</v>
      </c>
      <c r="U590" s="97">
        <v>0</v>
      </c>
      <c r="V590" s="97">
        <f t="shared" si="872"/>
        <v>33400</v>
      </c>
      <c r="W590" s="97">
        <f t="shared" si="729"/>
        <v>55600</v>
      </c>
      <c r="X590" s="98">
        <f t="shared" si="555"/>
        <v>144600</v>
      </c>
      <c r="Y590" s="98">
        <f t="shared" si="27"/>
        <v>166800</v>
      </c>
      <c r="Z590" s="121">
        <v>0</v>
      </c>
      <c r="AA590" s="121">
        <f t="shared" si="556"/>
        <v>5494.8</v>
      </c>
      <c r="AB590" s="121">
        <f t="shared" si="557"/>
        <v>2892</v>
      </c>
      <c r="AC590" s="99">
        <f t="shared" si="8"/>
        <v>16680</v>
      </c>
      <c r="AD590" s="121">
        <f t="shared" si="558"/>
        <v>136213.20000000001</v>
      </c>
      <c r="AE590" s="99">
        <f t="shared" si="10"/>
        <v>150120</v>
      </c>
      <c r="AF590" s="121">
        <f t="shared" si="559"/>
        <v>1362.1320000000001</v>
      </c>
      <c r="AG590" s="100">
        <f t="shared" si="560"/>
        <v>23651.068000000014</v>
      </c>
      <c r="AH590" s="101">
        <f t="shared" si="29"/>
        <v>37557.868000000002</v>
      </c>
      <c r="AI590" s="102">
        <f t="shared" ref="AI590:AJ590" si="876">AG590/X590</f>
        <v>0.16356201936376219</v>
      </c>
      <c r="AJ590" s="102">
        <f t="shared" si="876"/>
        <v>0.2251670743405276</v>
      </c>
      <c r="AK590" s="103"/>
      <c r="AL590" s="104"/>
      <c r="AM590" s="17"/>
      <c r="AN590" s="17"/>
      <c r="AO590" s="17"/>
      <c r="AP590" s="17"/>
      <c r="AQ590" s="17"/>
      <c r="AR590" s="17"/>
      <c r="AS590" s="17"/>
      <c r="AT590" s="17"/>
      <c r="AU590" s="17"/>
      <c r="AV590" s="17"/>
      <c r="AW590" s="297"/>
    </row>
    <row r="591" spans="1:49" ht="13.2">
      <c r="A591" s="302"/>
      <c r="B591" s="266"/>
      <c r="C591" s="302"/>
      <c r="D591" s="117"/>
      <c r="E591" s="302"/>
      <c r="F591" s="123" t="s">
        <v>1194</v>
      </c>
      <c r="G591" s="124" t="str">
        <f>HYPERLINK("https://www.amazon.com/dp/B07NFRCK7J/ref=twister_B07Z7V2CJ7?_encoding=UTF8&amp;th=1","A")</f>
        <v>A</v>
      </c>
      <c r="H591" s="125"/>
      <c r="I591" s="125"/>
      <c r="J591" s="93">
        <v>100</v>
      </c>
      <c r="K591" s="82">
        <v>1.36</v>
      </c>
      <c r="L591" s="82">
        <f t="shared" si="874"/>
        <v>21.76</v>
      </c>
      <c r="M591" s="82">
        <f t="shared" si="550"/>
        <v>0.61688512000000006</v>
      </c>
      <c r="N591" s="93">
        <v>0</v>
      </c>
      <c r="O591" s="93">
        <v>0</v>
      </c>
      <c r="P591" s="95">
        <f t="shared" si="731"/>
        <v>100</v>
      </c>
      <c r="Q591" s="96">
        <f t="shared" si="820"/>
        <v>125000</v>
      </c>
      <c r="R591" s="96">
        <v>0</v>
      </c>
      <c r="S591" s="97">
        <f t="shared" si="553"/>
        <v>125000</v>
      </c>
      <c r="T591" s="97">
        <f>ROUNDUP(HLOOKUP(ROUNDUP(K591,0),'배송비 조회'!A$10:AE$22,7,0)*C$3,-2)</f>
        <v>11200</v>
      </c>
      <c r="U591" s="97">
        <v>0</v>
      </c>
      <c r="V591" s="97">
        <f t="shared" si="872"/>
        <v>40900</v>
      </c>
      <c r="W591" s="97">
        <f t="shared" si="729"/>
        <v>68100</v>
      </c>
      <c r="X591" s="98">
        <f t="shared" si="555"/>
        <v>177100</v>
      </c>
      <c r="Y591" s="98">
        <f t="shared" si="27"/>
        <v>204300</v>
      </c>
      <c r="Z591" s="121">
        <v>0</v>
      </c>
      <c r="AA591" s="121">
        <f t="shared" si="556"/>
        <v>6729.8</v>
      </c>
      <c r="AB591" s="121">
        <f t="shared" si="557"/>
        <v>3542</v>
      </c>
      <c r="AC591" s="99">
        <f t="shared" si="8"/>
        <v>20430</v>
      </c>
      <c r="AD591" s="121">
        <f t="shared" si="558"/>
        <v>166828.20000000001</v>
      </c>
      <c r="AE591" s="99">
        <f t="shared" si="10"/>
        <v>183870</v>
      </c>
      <c r="AF591" s="121">
        <f t="shared" si="559"/>
        <v>1668.2820000000002</v>
      </c>
      <c r="AG591" s="100">
        <f t="shared" si="560"/>
        <v>28959.918000000012</v>
      </c>
      <c r="AH591" s="101">
        <f t="shared" si="29"/>
        <v>46001.718000000001</v>
      </c>
      <c r="AI591" s="102">
        <f t="shared" ref="AI591:AJ591" si="877">AG591/X591</f>
        <v>0.16352297007340494</v>
      </c>
      <c r="AJ591" s="102">
        <f t="shared" si="877"/>
        <v>0.22516748898678415</v>
      </c>
      <c r="AK591" s="103"/>
      <c r="AL591" s="104"/>
      <c r="AM591" s="18">
        <f>X591-X590</f>
        <v>32500</v>
      </c>
      <c r="AN591" s="17"/>
      <c r="AO591" s="17"/>
      <c r="AP591" s="17"/>
      <c r="AQ591" s="17"/>
      <c r="AR591" s="17"/>
      <c r="AS591" s="17"/>
      <c r="AT591" s="17"/>
      <c r="AU591" s="17"/>
      <c r="AV591" s="17"/>
      <c r="AW591" s="297"/>
    </row>
    <row r="592" spans="1:49" ht="13.2">
      <c r="A592" s="302"/>
      <c r="B592" s="266"/>
      <c r="C592" s="302"/>
      <c r="D592" s="117"/>
      <c r="E592" s="302"/>
      <c r="F592" s="123" t="s">
        <v>1195</v>
      </c>
      <c r="G592" s="124" t="str">
        <f>HYPERLINK("https://www.amazon.com/dp/B07NFPB958/ref=twister_B07Z7V2CJ7?_encoding=UTF8&amp;th=1","A")</f>
        <v>A</v>
      </c>
      <c r="H592" s="125"/>
      <c r="I592" s="125"/>
      <c r="J592" s="201">
        <v>100</v>
      </c>
      <c r="K592" s="82">
        <v>1.36</v>
      </c>
      <c r="L592" s="82">
        <f t="shared" si="874"/>
        <v>21.76</v>
      </c>
      <c r="M592" s="82">
        <f t="shared" si="550"/>
        <v>0.61688512000000006</v>
      </c>
      <c r="N592" s="93">
        <v>0</v>
      </c>
      <c r="O592" s="93">
        <v>0</v>
      </c>
      <c r="P592" s="95">
        <f t="shared" si="731"/>
        <v>100</v>
      </c>
      <c r="Q592" s="96">
        <f t="shared" si="820"/>
        <v>125000</v>
      </c>
      <c r="R592" s="96">
        <v>0</v>
      </c>
      <c r="S592" s="97">
        <f t="shared" si="553"/>
        <v>125000</v>
      </c>
      <c r="T592" s="97">
        <f>ROUNDUP(HLOOKUP(ROUNDUP(K592,0),'배송비 조회'!A$10:AE$22,7,0)*C$3,-2)</f>
        <v>11200</v>
      </c>
      <c r="U592" s="97">
        <v>0</v>
      </c>
      <c r="V592" s="97">
        <f t="shared" si="872"/>
        <v>40900</v>
      </c>
      <c r="W592" s="97">
        <f t="shared" si="729"/>
        <v>68100</v>
      </c>
      <c r="X592" s="98">
        <f t="shared" si="555"/>
        <v>177100</v>
      </c>
      <c r="Y592" s="98">
        <f t="shared" si="27"/>
        <v>204300</v>
      </c>
      <c r="Z592" s="121">
        <v>0</v>
      </c>
      <c r="AA592" s="121">
        <f t="shared" si="556"/>
        <v>6729.8</v>
      </c>
      <c r="AB592" s="121">
        <f t="shared" si="557"/>
        <v>3542</v>
      </c>
      <c r="AC592" s="99">
        <f t="shared" si="8"/>
        <v>20430</v>
      </c>
      <c r="AD592" s="121">
        <f t="shared" si="558"/>
        <v>166828.20000000001</v>
      </c>
      <c r="AE592" s="99">
        <f t="shared" si="10"/>
        <v>183870</v>
      </c>
      <c r="AF592" s="121">
        <f t="shared" si="559"/>
        <v>1668.2820000000002</v>
      </c>
      <c r="AG592" s="100">
        <f t="shared" si="560"/>
        <v>28959.918000000012</v>
      </c>
      <c r="AH592" s="101">
        <f t="shared" si="29"/>
        <v>46001.718000000001</v>
      </c>
      <c r="AI592" s="102">
        <f t="shared" ref="AI592:AJ592" si="878">AG592/X592</f>
        <v>0.16352297007340494</v>
      </c>
      <c r="AJ592" s="102">
        <f t="shared" si="878"/>
        <v>0.22516748898678415</v>
      </c>
      <c r="AK592" s="103"/>
      <c r="AL592" s="104"/>
      <c r="AM592" s="17"/>
      <c r="AN592" s="17"/>
      <c r="AO592" s="17"/>
      <c r="AP592" s="17"/>
      <c r="AQ592" s="17"/>
      <c r="AR592" s="17"/>
      <c r="AS592" s="17"/>
      <c r="AT592" s="17"/>
      <c r="AU592" s="17"/>
      <c r="AV592" s="17"/>
      <c r="AW592" s="297"/>
    </row>
    <row r="593" spans="1:49" ht="13.2">
      <c r="A593" s="302"/>
      <c r="B593" s="266"/>
      <c r="C593" s="302"/>
      <c r="D593" s="117"/>
      <c r="E593" s="302"/>
      <c r="F593" s="123" t="s">
        <v>1196</v>
      </c>
      <c r="G593" s="124" t="str">
        <f>HYPERLINK("https://www.amazon.com/dp/B07NFP6D7Q/ref=twister_B07Z7V2CJ7?_encoding=UTF8&amp;th=1","A")</f>
        <v>A</v>
      </c>
      <c r="H593" s="125"/>
      <c r="I593" s="125"/>
      <c r="J593" s="125">
        <v>100</v>
      </c>
      <c r="K593" s="82">
        <v>1.36</v>
      </c>
      <c r="L593" s="82">
        <f t="shared" si="874"/>
        <v>21.76</v>
      </c>
      <c r="M593" s="82">
        <f t="shared" si="550"/>
        <v>0.61688512000000006</v>
      </c>
      <c r="N593" s="93">
        <v>0</v>
      </c>
      <c r="O593" s="93">
        <v>0</v>
      </c>
      <c r="P593" s="95">
        <f t="shared" si="731"/>
        <v>100</v>
      </c>
      <c r="Q593" s="96">
        <f t="shared" si="820"/>
        <v>125000</v>
      </c>
      <c r="R593" s="96">
        <v>0</v>
      </c>
      <c r="S593" s="97">
        <f t="shared" si="553"/>
        <v>125000</v>
      </c>
      <c r="T593" s="97">
        <f>ROUNDUP(HLOOKUP(ROUNDUP(K593,0),'배송비 조회'!A$10:AE$22,7,0)*C$3,-2)</f>
        <v>11200</v>
      </c>
      <c r="U593" s="97">
        <v>0</v>
      </c>
      <c r="V593" s="97">
        <f t="shared" ref="V593:V597" si="879">ROUND((S593+T593)*0.3,-2)</f>
        <v>40900</v>
      </c>
      <c r="W593" s="97">
        <f t="shared" ref="W593:W597" si="880">ROUND((S593+T593)*0.5,-2)</f>
        <v>68100</v>
      </c>
      <c r="X593" s="98">
        <f t="shared" si="555"/>
        <v>177100</v>
      </c>
      <c r="Y593" s="98">
        <f t="shared" si="27"/>
        <v>204300</v>
      </c>
      <c r="Z593" s="121">
        <v>0</v>
      </c>
      <c r="AA593" s="121">
        <f t="shared" si="556"/>
        <v>6729.8</v>
      </c>
      <c r="AB593" s="121">
        <f t="shared" si="557"/>
        <v>3542</v>
      </c>
      <c r="AC593" s="99">
        <f t="shared" si="8"/>
        <v>20430</v>
      </c>
      <c r="AD593" s="121">
        <f t="shared" si="558"/>
        <v>166828.20000000001</v>
      </c>
      <c r="AE593" s="99">
        <f t="shared" si="10"/>
        <v>183870</v>
      </c>
      <c r="AF593" s="121">
        <f t="shared" si="559"/>
        <v>1668.2820000000002</v>
      </c>
      <c r="AG593" s="100">
        <f t="shared" si="560"/>
        <v>28959.918000000012</v>
      </c>
      <c r="AH593" s="101">
        <f t="shared" si="29"/>
        <v>46001.718000000001</v>
      </c>
      <c r="AI593" s="102">
        <f t="shared" ref="AI593:AJ593" si="881">AG593/X593</f>
        <v>0.16352297007340494</v>
      </c>
      <c r="AJ593" s="102">
        <f t="shared" si="881"/>
        <v>0.22516748898678415</v>
      </c>
      <c r="AK593" s="103"/>
      <c r="AL593" s="104"/>
      <c r="AM593" s="17"/>
      <c r="AN593" s="17"/>
      <c r="AO593" s="17"/>
      <c r="AP593" s="17"/>
      <c r="AQ593" s="17"/>
      <c r="AR593" s="17"/>
      <c r="AS593" s="17"/>
      <c r="AT593" s="17"/>
      <c r="AU593" s="17"/>
      <c r="AV593" s="17"/>
      <c r="AW593" s="297"/>
    </row>
    <row r="594" spans="1:49" ht="13.2">
      <c r="A594" s="303">
        <f>HYPERLINK("https://smartstore.naver.com/brickstore2019/products/4717365674",AW:AW)</f>
        <v>4717365674</v>
      </c>
      <c r="B594" s="266"/>
      <c r="C594" s="304" t="s">
        <v>1197</v>
      </c>
      <c r="D594" s="117"/>
      <c r="E594" s="304" t="s">
        <v>1198</v>
      </c>
      <c r="F594" s="123" t="s">
        <v>55</v>
      </c>
      <c r="G594" s="124" t="str">
        <f>HYPERLINK("https://www.amazon.com/Victrola-Bluetooth-Turntable-Speakers-Red/dp/B01G9CS7OS/ref=lp_12034490011_1_2?s=boost&amp;srs=12034490011&amp;ie=UTF8&amp;qid=1571927961&amp;sr=1-2&amp;th=1","A")</f>
        <v>A</v>
      </c>
      <c r="H594" s="125"/>
      <c r="I594" s="125"/>
      <c r="J594" s="125">
        <v>82.35</v>
      </c>
      <c r="K594" s="82">
        <v>11.15</v>
      </c>
      <c r="L594" s="82">
        <f t="shared" si="874"/>
        <v>178.4</v>
      </c>
      <c r="M594" s="82">
        <f t="shared" si="550"/>
        <v>5.0575508000000005</v>
      </c>
      <c r="N594" s="93">
        <v>0</v>
      </c>
      <c r="O594" s="93">
        <v>0</v>
      </c>
      <c r="P594" s="95">
        <f t="shared" si="731"/>
        <v>82.35</v>
      </c>
      <c r="Q594" s="96">
        <f t="shared" si="820"/>
        <v>102937.5</v>
      </c>
      <c r="R594" s="96">
        <v>0</v>
      </c>
      <c r="S594" s="97">
        <f t="shared" si="553"/>
        <v>102900</v>
      </c>
      <c r="T594" s="97">
        <f>ROUNDUP(HLOOKUP(ROUNDUP(K594,0),'배송비 조회'!A$10:AE$22,7,0)*C$3,-2)</f>
        <v>33100</v>
      </c>
      <c r="U594" s="97">
        <v>0</v>
      </c>
      <c r="V594" s="97">
        <f t="shared" si="879"/>
        <v>40800</v>
      </c>
      <c r="W594" s="97">
        <f t="shared" si="880"/>
        <v>68000</v>
      </c>
      <c r="X594" s="98">
        <f t="shared" ref="X594:X1018" si="882">SUM(S594:V594)</f>
        <v>176800</v>
      </c>
      <c r="Y594" s="98">
        <f t="shared" ref="Y594:Y1018" si="883">SUM(S594:U594)+W594</f>
        <v>204000</v>
      </c>
      <c r="Z594" s="121">
        <v>0</v>
      </c>
      <c r="AA594" s="121">
        <f t="shared" si="556"/>
        <v>6718.4</v>
      </c>
      <c r="AB594" s="121">
        <f t="shared" si="557"/>
        <v>3536</v>
      </c>
      <c r="AC594" s="99">
        <f t="shared" si="8"/>
        <v>20400</v>
      </c>
      <c r="AD594" s="121">
        <f t="shared" si="558"/>
        <v>166545.60000000001</v>
      </c>
      <c r="AE594" s="99">
        <f t="shared" si="10"/>
        <v>183600</v>
      </c>
      <c r="AF594" s="121">
        <f t="shared" si="559"/>
        <v>1665.4560000000001</v>
      </c>
      <c r="AG594" s="100">
        <f t="shared" si="560"/>
        <v>28842.644000000008</v>
      </c>
      <c r="AH594" s="101">
        <f t="shared" si="29"/>
        <v>45897.043999999994</v>
      </c>
      <c r="AI594" s="102">
        <f t="shared" ref="AI594:AJ594" si="884">AG594/X594</f>
        <v>0.16313712669683261</v>
      </c>
      <c r="AJ594" s="102">
        <f t="shared" si="884"/>
        <v>0.22498550980392154</v>
      </c>
      <c r="AK594" s="103"/>
      <c r="AL594" s="104"/>
      <c r="AM594" s="17"/>
      <c r="AN594" s="17"/>
      <c r="AO594" s="17"/>
      <c r="AP594" s="17"/>
      <c r="AQ594" s="17"/>
      <c r="AR594" s="17"/>
      <c r="AS594" s="17"/>
      <c r="AT594" s="17"/>
      <c r="AU594" s="17"/>
      <c r="AV594" s="17"/>
      <c r="AW594" s="296">
        <v>4717365674</v>
      </c>
    </row>
    <row r="595" spans="1:49" ht="13.2">
      <c r="A595" s="302"/>
      <c r="B595" s="266"/>
      <c r="C595" s="302"/>
      <c r="D595" s="117"/>
      <c r="E595" s="302"/>
      <c r="F595" s="123" t="s">
        <v>58</v>
      </c>
      <c r="G595" s="124" t="str">
        <f>HYPERLINK("https://www.amazon.com/Victrola-Bluetooth-Turntable-Speakers-Red/dp/B06XJ9K8CJ/ref=lp_12034490011_1_2?s=boost&amp;srs=12034490011&amp;ie=UTF8&amp;qid=1571927961&amp;sr=1-2&amp;th=1","A")</f>
        <v>A</v>
      </c>
      <c r="H595" s="125"/>
      <c r="I595" s="125"/>
      <c r="J595" s="93">
        <v>100</v>
      </c>
      <c r="K595" s="82">
        <v>11.15</v>
      </c>
      <c r="L595" s="82">
        <f t="shared" si="874"/>
        <v>178.4</v>
      </c>
      <c r="M595" s="82">
        <f t="shared" si="550"/>
        <v>5.0575508000000005</v>
      </c>
      <c r="N595" s="93">
        <v>0</v>
      </c>
      <c r="O595" s="93">
        <v>0</v>
      </c>
      <c r="P595" s="95">
        <f t="shared" si="731"/>
        <v>100</v>
      </c>
      <c r="Q595" s="96">
        <f t="shared" si="820"/>
        <v>125000</v>
      </c>
      <c r="R595" s="96">
        <v>0</v>
      </c>
      <c r="S595" s="97">
        <f t="shared" si="553"/>
        <v>125000</v>
      </c>
      <c r="T595" s="97">
        <f>ROUNDUP(HLOOKUP(ROUNDUP(K595,0),'배송비 조회'!A$10:AE$22,7,0)*C$3,-2)</f>
        <v>33100</v>
      </c>
      <c r="U595" s="97">
        <v>0</v>
      </c>
      <c r="V595" s="97">
        <f t="shared" si="879"/>
        <v>47400</v>
      </c>
      <c r="W595" s="97">
        <f t="shared" si="880"/>
        <v>79100</v>
      </c>
      <c r="X595" s="98">
        <f t="shared" si="882"/>
        <v>205500</v>
      </c>
      <c r="Y595" s="98">
        <f t="shared" si="883"/>
        <v>237200</v>
      </c>
      <c r="Z595" s="121">
        <v>0</v>
      </c>
      <c r="AA595" s="121">
        <f t="shared" si="556"/>
        <v>7809</v>
      </c>
      <c r="AB595" s="121">
        <f t="shared" si="557"/>
        <v>4110</v>
      </c>
      <c r="AC595" s="99">
        <f t="shared" si="8"/>
        <v>23720</v>
      </c>
      <c r="AD595" s="121">
        <f t="shared" si="558"/>
        <v>193581</v>
      </c>
      <c r="AE595" s="99">
        <f t="shared" si="10"/>
        <v>213480</v>
      </c>
      <c r="AF595" s="121">
        <f t="shared" si="559"/>
        <v>1935.81</v>
      </c>
      <c r="AG595" s="100">
        <f t="shared" si="560"/>
        <v>33545.19</v>
      </c>
      <c r="AH595" s="101">
        <f t="shared" si="29"/>
        <v>53444.19</v>
      </c>
      <c r="AI595" s="102">
        <f t="shared" ref="AI595:AJ595" si="885">AG595/X595</f>
        <v>0.16323693430656935</v>
      </c>
      <c r="AJ595" s="102">
        <f t="shared" si="885"/>
        <v>0.22531277403035413</v>
      </c>
      <c r="AK595" s="103"/>
      <c r="AL595" s="104"/>
      <c r="AM595" s="17"/>
      <c r="AN595" s="17"/>
      <c r="AO595" s="17"/>
      <c r="AP595" s="17"/>
      <c r="AQ595" s="17"/>
      <c r="AR595" s="17"/>
      <c r="AS595" s="17"/>
      <c r="AT595" s="17"/>
      <c r="AU595" s="17"/>
      <c r="AV595" s="17"/>
      <c r="AW595" s="297"/>
    </row>
    <row r="596" spans="1:49" ht="13.2">
      <c r="A596" s="302"/>
      <c r="B596" s="266"/>
      <c r="C596" s="302"/>
      <c r="D596" s="117"/>
      <c r="E596" s="302"/>
      <c r="F596" s="123" t="s">
        <v>92</v>
      </c>
      <c r="G596" s="124" t="str">
        <f>HYPERLINK("https://www.amazon.com/Victrola-Bluetooth-Turntable-Speakers-Red/dp/B01G9CTE18/ref=lp_12034490011_1_2?s=boost&amp;srs=12034490011&amp;ie=UTF8&amp;qid=1571927961&amp;sr=1-2&amp;th=1","A")</f>
        <v>A</v>
      </c>
      <c r="H596" s="125"/>
      <c r="I596" s="125"/>
      <c r="J596" s="93">
        <v>102</v>
      </c>
      <c r="K596" s="82">
        <v>11.15</v>
      </c>
      <c r="L596" s="82">
        <f t="shared" si="874"/>
        <v>178.4</v>
      </c>
      <c r="M596" s="82">
        <f t="shared" si="550"/>
        <v>5.0575508000000005</v>
      </c>
      <c r="N596" s="93">
        <v>0</v>
      </c>
      <c r="O596" s="93">
        <v>0</v>
      </c>
      <c r="P596" s="95">
        <f t="shared" si="731"/>
        <v>102</v>
      </c>
      <c r="Q596" s="96">
        <f t="shared" si="820"/>
        <v>127500</v>
      </c>
      <c r="R596" s="96">
        <v>0</v>
      </c>
      <c r="S596" s="97">
        <f t="shared" si="553"/>
        <v>127500</v>
      </c>
      <c r="T596" s="97">
        <f>ROUNDUP(HLOOKUP(ROUNDUP(K596,0),'배송비 조회'!A$10:AE$22,7,0)*C$3,-2)</f>
        <v>33100</v>
      </c>
      <c r="U596" s="97">
        <v>0</v>
      </c>
      <c r="V596" s="97">
        <f t="shared" si="879"/>
        <v>48200</v>
      </c>
      <c r="W596" s="97">
        <f t="shared" si="880"/>
        <v>80300</v>
      </c>
      <c r="X596" s="98">
        <f t="shared" si="882"/>
        <v>208800</v>
      </c>
      <c r="Y596" s="98">
        <f t="shared" si="883"/>
        <v>240900</v>
      </c>
      <c r="Z596" s="121">
        <v>0</v>
      </c>
      <c r="AA596" s="121">
        <f t="shared" si="556"/>
        <v>7934.4</v>
      </c>
      <c r="AB596" s="121">
        <f t="shared" si="557"/>
        <v>4176</v>
      </c>
      <c r="AC596" s="99">
        <f t="shared" si="8"/>
        <v>24090</v>
      </c>
      <c r="AD596" s="121">
        <f t="shared" si="558"/>
        <v>196689.6</v>
      </c>
      <c r="AE596" s="99">
        <f t="shared" si="10"/>
        <v>216810</v>
      </c>
      <c r="AF596" s="121">
        <f t="shared" si="559"/>
        <v>1966.8960000000002</v>
      </c>
      <c r="AG596" s="100">
        <f t="shared" si="560"/>
        <v>34122.704000000012</v>
      </c>
      <c r="AH596" s="101">
        <f t="shared" si="29"/>
        <v>54243.104000000007</v>
      </c>
      <c r="AI596" s="102">
        <f t="shared" ref="AI596:AJ596" si="886">AG596/X596</f>
        <v>0.16342291187739469</v>
      </c>
      <c r="AJ596" s="102">
        <f t="shared" si="886"/>
        <v>0.22516855126608554</v>
      </c>
      <c r="AK596" s="103">
        <f>X596-X595</f>
        <v>3300</v>
      </c>
      <c r="AL596" s="104"/>
      <c r="AM596" s="17"/>
      <c r="AN596" s="17"/>
      <c r="AO596" s="17"/>
      <c r="AP596" s="17"/>
      <c r="AQ596" s="17"/>
      <c r="AR596" s="17"/>
      <c r="AS596" s="17"/>
      <c r="AT596" s="17"/>
      <c r="AU596" s="17"/>
      <c r="AV596" s="17"/>
      <c r="AW596" s="297"/>
    </row>
    <row r="597" spans="1:49" ht="13.2">
      <c r="A597" s="302"/>
      <c r="B597" s="266"/>
      <c r="C597" s="302"/>
      <c r="D597" s="117"/>
      <c r="E597" s="302"/>
      <c r="F597" s="123" t="s">
        <v>1117</v>
      </c>
      <c r="G597" s="124" t="str">
        <f>HYPERLINK("https://www.amazon.com/Victrola-Bluetooth-Turntable-Speakers-Red/dp/B07CSNWYXT/ref=lp_12034490011_1_2?s=boost&amp;srs=12034490011&amp;ie=UTF8&amp;qid=1571927961&amp;sr=1-2&amp;th=1","A")</f>
        <v>A</v>
      </c>
      <c r="H597" s="125"/>
      <c r="I597" s="125"/>
      <c r="J597" s="125">
        <v>100</v>
      </c>
      <c r="K597" s="82">
        <v>11.15</v>
      </c>
      <c r="L597" s="82">
        <f t="shared" si="874"/>
        <v>178.4</v>
      </c>
      <c r="M597" s="82">
        <f t="shared" si="550"/>
        <v>5.0575508000000005</v>
      </c>
      <c r="N597" s="93">
        <v>0</v>
      </c>
      <c r="O597" s="93">
        <v>0</v>
      </c>
      <c r="P597" s="95">
        <f t="shared" si="731"/>
        <v>100</v>
      </c>
      <c r="Q597" s="96">
        <f t="shared" si="820"/>
        <v>125000</v>
      </c>
      <c r="R597" s="96">
        <v>0</v>
      </c>
      <c r="S597" s="97">
        <f t="shared" si="553"/>
        <v>125000</v>
      </c>
      <c r="T597" s="97">
        <f>ROUNDUP(HLOOKUP(ROUNDUP(K597,0),'배송비 조회'!A$10:AE$22,7,0)*C$3,-2)</f>
        <v>33100</v>
      </c>
      <c r="U597" s="97">
        <v>0</v>
      </c>
      <c r="V597" s="97">
        <f t="shared" si="879"/>
        <v>47400</v>
      </c>
      <c r="W597" s="97">
        <f t="shared" si="880"/>
        <v>79100</v>
      </c>
      <c r="X597" s="98">
        <f t="shared" si="882"/>
        <v>205500</v>
      </c>
      <c r="Y597" s="98">
        <f t="shared" si="883"/>
        <v>237200</v>
      </c>
      <c r="Z597" s="121">
        <v>0</v>
      </c>
      <c r="AA597" s="121">
        <f t="shared" si="556"/>
        <v>7809</v>
      </c>
      <c r="AB597" s="121">
        <f t="shared" si="557"/>
        <v>4110</v>
      </c>
      <c r="AC597" s="99">
        <f t="shared" si="8"/>
        <v>23720</v>
      </c>
      <c r="AD597" s="121">
        <f t="shared" si="558"/>
        <v>193581</v>
      </c>
      <c r="AE597" s="99">
        <f t="shared" si="10"/>
        <v>213480</v>
      </c>
      <c r="AF597" s="121">
        <f t="shared" si="559"/>
        <v>1935.81</v>
      </c>
      <c r="AG597" s="100">
        <f t="shared" si="560"/>
        <v>33545.19</v>
      </c>
      <c r="AH597" s="101">
        <f t="shared" si="29"/>
        <v>53444.19</v>
      </c>
      <c r="AI597" s="102">
        <f t="shared" ref="AI597:AJ597" si="887">AG597/X597</f>
        <v>0.16323693430656935</v>
      </c>
      <c r="AJ597" s="102">
        <f t="shared" si="887"/>
        <v>0.22531277403035413</v>
      </c>
      <c r="AK597" s="103"/>
      <c r="AL597" s="104"/>
      <c r="AM597" s="17"/>
      <c r="AN597" s="17"/>
      <c r="AO597" s="17"/>
      <c r="AP597" s="17"/>
      <c r="AQ597" s="17"/>
      <c r="AR597" s="17"/>
      <c r="AS597" s="17"/>
      <c r="AT597" s="17"/>
      <c r="AU597" s="17"/>
      <c r="AV597" s="17"/>
      <c r="AW597" s="297"/>
    </row>
    <row r="598" spans="1:49" ht="13.2">
      <c r="A598" s="119" t="str">
        <f>HYPERLINK("https://smartstore.naver.com/brickstore2019/products/4720262413","4720262413")</f>
        <v>4720262413</v>
      </c>
      <c r="B598" s="266"/>
      <c r="C598" s="117" t="s">
        <v>1199</v>
      </c>
      <c r="D598" s="117"/>
      <c r="E598" s="117" t="s">
        <v>1200</v>
      </c>
      <c r="F598" s="123"/>
      <c r="G598" s="124" t="str">
        <f>HYPERLINK("https://www.bhphotovideo.com/c/product/1470706-REG/switchpod_switchpod_dslr_smartphone_handheld_stabilized.html","A")</f>
        <v>A</v>
      </c>
      <c r="H598" s="124" t="str">
        <f>HYPERLINK("https://www.shopmoment.com/shop/switchpod","M")</f>
        <v>M</v>
      </c>
      <c r="I598" s="124"/>
      <c r="J598" s="125">
        <v>100</v>
      </c>
      <c r="K598" s="82">
        <v>2.7</v>
      </c>
      <c r="L598" s="82">
        <f t="shared" si="874"/>
        <v>43.2</v>
      </c>
      <c r="M598" s="82">
        <f t="shared" si="550"/>
        <v>1.2246984000000001</v>
      </c>
      <c r="N598" s="93">
        <v>0</v>
      </c>
      <c r="O598" s="93">
        <v>0</v>
      </c>
      <c r="P598" s="95">
        <f t="shared" si="731"/>
        <v>100</v>
      </c>
      <c r="Q598" s="96">
        <f t="shared" si="820"/>
        <v>125000</v>
      </c>
      <c r="R598" s="96">
        <v>0</v>
      </c>
      <c r="S598" s="97">
        <f t="shared" si="553"/>
        <v>125000</v>
      </c>
      <c r="T598" s="97">
        <f>ROUNDUP(HLOOKUP(ROUNDUP(K598,0),'배송비 조회'!A$10:AE$22,7,0)*C$3,-2)</f>
        <v>13400</v>
      </c>
      <c r="U598" s="97">
        <v>0</v>
      </c>
      <c r="V598" s="97">
        <f>ROUND(IF(R594&gt;0,0,(S598+T598)*0.22),-2)</f>
        <v>30400</v>
      </c>
      <c r="W598" s="97">
        <f>ROUND(IF(R594&gt;0,0,(S598+T598)*0.32),-2)</f>
        <v>44300</v>
      </c>
      <c r="X598" s="98">
        <f t="shared" si="882"/>
        <v>168800</v>
      </c>
      <c r="Y598" s="98">
        <f t="shared" si="883"/>
        <v>182700</v>
      </c>
      <c r="Z598" s="121">
        <v>0</v>
      </c>
      <c r="AA598" s="121">
        <f t="shared" si="556"/>
        <v>6414.4</v>
      </c>
      <c r="AB598" s="121">
        <f t="shared" si="557"/>
        <v>3376</v>
      </c>
      <c r="AC598" s="99">
        <f t="shared" si="8"/>
        <v>18270</v>
      </c>
      <c r="AD598" s="121">
        <f t="shared" si="558"/>
        <v>159009.60000000001</v>
      </c>
      <c r="AE598" s="99">
        <f t="shared" si="10"/>
        <v>164430</v>
      </c>
      <c r="AF598" s="121">
        <f t="shared" si="559"/>
        <v>1590.096</v>
      </c>
      <c r="AG598" s="100">
        <f t="shared" si="560"/>
        <v>19019.504000000004</v>
      </c>
      <c r="AH598" s="101">
        <f>AE598-S598-AF598-T598</f>
        <v>24439.904000000002</v>
      </c>
      <c r="AI598" s="102">
        <f t="shared" ref="AI598:AJ598" si="888">AG598/X598</f>
        <v>0.11267478672985784</v>
      </c>
      <c r="AJ598" s="102">
        <f t="shared" si="888"/>
        <v>0.13377068418171867</v>
      </c>
      <c r="AK598" s="103"/>
      <c r="AL598" s="104"/>
      <c r="AM598" s="17"/>
      <c r="AN598" s="17"/>
      <c r="AO598" s="17"/>
      <c r="AP598" s="17"/>
      <c r="AQ598" s="17"/>
      <c r="AR598" s="17"/>
      <c r="AS598" s="17"/>
      <c r="AT598" s="17"/>
      <c r="AU598" s="17"/>
      <c r="AV598" s="17"/>
      <c r="AW598" s="17"/>
    </row>
    <row r="599" spans="1:49" ht="13.2">
      <c r="A599" s="119" t="str">
        <f>HYPERLINK("https://smartstore.naver.com/brickstore2019/products/4721648315","4721648315")</f>
        <v>4721648315</v>
      </c>
      <c r="B599" s="266"/>
      <c r="C599" s="117" t="s">
        <v>1201</v>
      </c>
      <c r="D599" s="117"/>
      <c r="E599" s="117" t="s">
        <v>1202</v>
      </c>
      <c r="F599" s="123"/>
      <c r="G599" s="124" t="str">
        <f>HYPERLINK("https://www.amazon.com/Roku-Premiere-HDR-Streaming-Player-Premium/dp/B07HDBZN7Q?ref_=ast_sto_dp","A")</f>
        <v>A</v>
      </c>
      <c r="H599" s="125"/>
      <c r="I599" s="125"/>
      <c r="J599" s="93">
        <v>39</v>
      </c>
      <c r="K599" s="82">
        <f t="shared" ref="K599:K600" si="889">IF(L599&gt;0,L599*0.0625,)</f>
        <v>0.61875000000000002</v>
      </c>
      <c r="L599" s="82">
        <v>9.9</v>
      </c>
      <c r="M599" s="82">
        <f t="shared" si="550"/>
        <v>0.28066004999999999</v>
      </c>
      <c r="N599" s="93">
        <v>0</v>
      </c>
      <c r="O599" s="93">
        <v>0</v>
      </c>
      <c r="P599" s="95">
        <f t="shared" si="731"/>
        <v>39</v>
      </c>
      <c r="Q599" s="96">
        <f t="shared" si="820"/>
        <v>48750</v>
      </c>
      <c r="R599" s="96">
        <v>0</v>
      </c>
      <c r="S599" s="97">
        <f t="shared" si="553"/>
        <v>48800</v>
      </c>
      <c r="T599" s="97">
        <f>ROUNDUP(HLOOKUP(ROUNDUP(K599,0),'배송비 조회'!A$10:AE$22,7,0)*C$3,-2)</f>
        <v>9000</v>
      </c>
      <c r="U599" s="97">
        <v>0</v>
      </c>
      <c r="V599" s="97">
        <f>ROUND(IF(R595&gt;0,0,(S599+T599)*0.3),-2)</f>
        <v>17300</v>
      </c>
      <c r="W599" s="97">
        <f t="shared" ref="W599:W620" si="890">ROUND(IF(R595&gt;0,0,(S599+T599)*0.5),-2)</f>
        <v>28900</v>
      </c>
      <c r="X599" s="98">
        <f t="shared" si="882"/>
        <v>75100</v>
      </c>
      <c r="Y599" s="98">
        <f t="shared" si="883"/>
        <v>86700</v>
      </c>
      <c r="Z599" s="121">
        <v>0</v>
      </c>
      <c r="AA599" s="121">
        <f t="shared" si="556"/>
        <v>2853.7999999999997</v>
      </c>
      <c r="AB599" s="121">
        <f t="shared" si="557"/>
        <v>1502</v>
      </c>
      <c r="AC599" s="99">
        <f t="shared" si="8"/>
        <v>8670</v>
      </c>
      <c r="AD599" s="121">
        <f t="shared" si="558"/>
        <v>70744.2</v>
      </c>
      <c r="AE599" s="99">
        <f t="shared" si="10"/>
        <v>78030</v>
      </c>
      <c r="AF599" s="121">
        <f t="shared" si="559"/>
        <v>707.44200000000001</v>
      </c>
      <c r="AG599" s="100">
        <f t="shared" si="560"/>
        <v>12286.757999999998</v>
      </c>
      <c r="AH599" s="101">
        <f t="shared" ref="AH599:AH1018" si="891">AE599-Q599-AF599-T599</f>
        <v>19572.558000000001</v>
      </c>
      <c r="AI599" s="102">
        <f t="shared" ref="AI599:AJ599" si="892">AG599/X599</f>
        <v>0.16360529960053261</v>
      </c>
      <c r="AJ599" s="102">
        <f t="shared" si="892"/>
        <v>0.22575038062283739</v>
      </c>
      <c r="AK599" s="103"/>
      <c r="AL599" s="104"/>
      <c r="AM599" s="17"/>
      <c r="AN599" s="17"/>
      <c r="AO599" s="17"/>
      <c r="AP599" s="17"/>
      <c r="AQ599" s="17"/>
      <c r="AR599" s="17"/>
      <c r="AS599" s="17"/>
      <c r="AT599" s="17"/>
      <c r="AU599" s="17"/>
      <c r="AV599" s="17"/>
      <c r="AW599" s="17"/>
    </row>
    <row r="600" spans="1:49" ht="13.2">
      <c r="A600" s="119" t="str">
        <f>HYPERLINK("https://smartstore.naver.com/brickstore2019/products/4723106193","4723106193")</f>
        <v>4723106193</v>
      </c>
      <c r="B600" s="266"/>
      <c r="C600" s="117" t="s">
        <v>1203</v>
      </c>
      <c r="D600" s="117"/>
      <c r="E600" s="117" t="s">
        <v>1204</v>
      </c>
      <c r="F600" s="123"/>
      <c r="G600" s="124" t="str">
        <f>HYPERLINK("https://www.amazon.com/Timex-T2N720-Intelligent-Compass-Silicone/dp/B005DKHDPC/ref=sr_1_1?keywords=Timex+T2N720&amp;qid=1573010350&amp;sr=8-1","A")</f>
        <v>A</v>
      </c>
      <c r="H600" s="125"/>
      <c r="I600" s="125"/>
      <c r="J600" s="201">
        <v>155</v>
      </c>
      <c r="K600" s="82">
        <f t="shared" si="889"/>
        <v>0.625</v>
      </c>
      <c r="L600" s="82">
        <v>10</v>
      </c>
      <c r="M600" s="82">
        <f t="shared" si="550"/>
        <v>0.283495</v>
      </c>
      <c r="N600" s="93">
        <v>0</v>
      </c>
      <c r="O600" s="93">
        <v>0</v>
      </c>
      <c r="P600" s="95">
        <f t="shared" si="731"/>
        <v>155</v>
      </c>
      <c r="Q600" s="96">
        <f t="shared" si="820"/>
        <v>193750</v>
      </c>
      <c r="R600" s="96">
        <v>0</v>
      </c>
      <c r="S600" s="97">
        <f t="shared" si="553"/>
        <v>193800</v>
      </c>
      <c r="T600" s="97">
        <f>ROUNDUP(HLOOKUP(ROUNDUP(K600,0),'배송비 조회'!A$10:AE$22,7,0)*C$3,-2)</f>
        <v>9000</v>
      </c>
      <c r="U600" s="97">
        <v>0</v>
      </c>
      <c r="V600" s="97">
        <f>ROUND(IF(R596&gt;0,0,(S600+T600)*0.2),-2)</f>
        <v>40600</v>
      </c>
      <c r="W600" s="97">
        <f t="shared" si="890"/>
        <v>101400</v>
      </c>
      <c r="X600" s="98">
        <f t="shared" si="882"/>
        <v>243400</v>
      </c>
      <c r="Y600" s="98">
        <f t="shared" si="883"/>
        <v>304200</v>
      </c>
      <c r="Z600" s="121">
        <v>0</v>
      </c>
      <c r="AA600" s="121">
        <f t="shared" si="556"/>
        <v>9249.1999999999989</v>
      </c>
      <c r="AB600" s="121">
        <f t="shared" si="557"/>
        <v>4868</v>
      </c>
      <c r="AC600" s="99">
        <f t="shared" si="8"/>
        <v>30420</v>
      </c>
      <c r="AD600" s="121">
        <f t="shared" si="558"/>
        <v>229282.8</v>
      </c>
      <c r="AE600" s="99">
        <f t="shared" si="10"/>
        <v>273780</v>
      </c>
      <c r="AF600" s="121">
        <f t="shared" si="559"/>
        <v>2292.828</v>
      </c>
      <c r="AG600" s="100">
        <f t="shared" si="560"/>
        <v>24239.971999999987</v>
      </c>
      <c r="AH600" s="101">
        <f t="shared" si="891"/>
        <v>68737.172000000006</v>
      </c>
      <c r="AI600" s="102">
        <f t="shared" ref="AI600:AJ600" si="893">AG600/X600</f>
        <v>9.958903861955623E-2</v>
      </c>
      <c r="AJ600" s="102">
        <f t="shared" si="893"/>
        <v>0.22596046022353716</v>
      </c>
      <c r="AK600" s="103"/>
      <c r="AL600" s="104"/>
      <c r="AM600" s="17"/>
      <c r="AN600" s="17"/>
      <c r="AO600" s="17"/>
      <c r="AP600" s="17"/>
      <c r="AQ600" s="17"/>
      <c r="AR600" s="17"/>
      <c r="AS600" s="17"/>
      <c r="AT600" s="17"/>
      <c r="AU600" s="17"/>
      <c r="AV600" s="17"/>
      <c r="AW600" s="17"/>
    </row>
    <row r="601" spans="1:49" ht="13.2">
      <c r="A601" s="119" t="str">
        <f>HYPERLINK("https://smartstore.naver.com/brickstore2019/products/4724140010","4724140010")</f>
        <v>4724140010</v>
      </c>
      <c r="B601" s="266"/>
      <c r="C601" s="117" t="s">
        <v>1205</v>
      </c>
      <c r="D601" s="117"/>
      <c r="E601" s="117" t="s">
        <v>1206</v>
      </c>
      <c r="F601" s="123"/>
      <c r="G601" s="124" t="str">
        <f>HYPERLINK("https://www.amazon.com/Victrola-Bluetooth-Turntable-Speakers-White/dp/B01G9CS8V0/ref=sr_1_1?keywords=Victrola%2BModern&amp;qid=1573132750&amp;s=boost&amp;sr=1-1&amp;srs=12034488011&amp;th=1","A")</f>
        <v>A</v>
      </c>
      <c r="H601" s="125"/>
      <c r="I601" s="125"/>
      <c r="J601" s="93">
        <v>110</v>
      </c>
      <c r="K601" s="82">
        <v>10.1</v>
      </c>
      <c r="L601" s="82">
        <f t="shared" ref="L601:L606" si="894">IF(K601&gt;0,K601*16,)</f>
        <v>161.6</v>
      </c>
      <c r="M601" s="82">
        <f t="shared" si="550"/>
        <v>4.5812792</v>
      </c>
      <c r="N601" s="93">
        <v>0</v>
      </c>
      <c r="O601" s="93">
        <v>0</v>
      </c>
      <c r="P601" s="95">
        <f t="shared" si="731"/>
        <v>110</v>
      </c>
      <c r="Q601" s="96">
        <f t="shared" si="820"/>
        <v>137500</v>
      </c>
      <c r="R601" s="96">
        <v>0</v>
      </c>
      <c r="S601" s="97">
        <f t="shared" si="553"/>
        <v>137500</v>
      </c>
      <c r="T601" s="97">
        <f>ROUNDUP(HLOOKUP(ROUNDUP(K601,0),'배송비 조회'!A$10:AE$22,7,0)*C$3,-2)</f>
        <v>30900</v>
      </c>
      <c r="U601" s="97">
        <v>0</v>
      </c>
      <c r="V601" s="97">
        <f t="shared" ref="V601:V604" si="895">ROUND(IF(R597&gt;0,0,(S601+T601)*0.3),-2)</f>
        <v>50500</v>
      </c>
      <c r="W601" s="97">
        <f t="shared" si="890"/>
        <v>84200</v>
      </c>
      <c r="X601" s="98">
        <f t="shared" si="882"/>
        <v>218900</v>
      </c>
      <c r="Y601" s="98">
        <f t="shared" si="883"/>
        <v>252600</v>
      </c>
      <c r="Z601" s="121">
        <v>0</v>
      </c>
      <c r="AA601" s="121">
        <f t="shared" si="556"/>
        <v>8318.1999999999989</v>
      </c>
      <c r="AB601" s="121">
        <f t="shared" si="557"/>
        <v>4378</v>
      </c>
      <c r="AC601" s="99">
        <f t="shared" si="8"/>
        <v>25260</v>
      </c>
      <c r="AD601" s="121">
        <f t="shared" si="558"/>
        <v>206203.8</v>
      </c>
      <c r="AE601" s="99">
        <f t="shared" si="10"/>
        <v>227340</v>
      </c>
      <c r="AF601" s="121">
        <f t="shared" si="559"/>
        <v>2062.038</v>
      </c>
      <c r="AG601" s="100">
        <f t="shared" si="560"/>
        <v>35741.761999999988</v>
      </c>
      <c r="AH601" s="101">
        <f t="shared" si="891"/>
        <v>56877.962</v>
      </c>
      <c r="AI601" s="102">
        <f t="shared" ref="AI601:AJ601" si="896">AG601/X601</f>
        <v>0.16327894929191406</v>
      </c>
      <c r="AJ601" s="102">
        <f t="shared" si="896"/>
        <v>0.22517007917656373</v>
      </c>
      <c r="AK601" s="103"/>
      <c r="AL601" s="104"/>
      <c r="AM601" s="17"/>
      <c r="AN601" s="17"/>
      <c r="AO601" s="17"/>
      <c r="AP601" s="17"/>
      <c r="AQ601" s="17"/>
      <c r="AR601" s="17"/>
      <c r="AS601" s="17"/>
      <c r="AT601" s="17"/>
      <c r="AU601" s="17"/>
      <c r="AV601" s="17"/>
      <c r="AW601" s="17"/>
    </row>
    <row r="602" spans="1:49" ht="13.2">
      <c r="A602" s="119" t="str">
        <f>HYPERLINK("https://smartstore.naver.com/brickstore2019/products/4724152520","4724152520")</f>
        <v>4724152520</v>
      </c>
      <c r="B602" s="266"/>
      <c r="C602" s="117" t="s">
        <v>1207</v>
      </c>
      <c r="D602" s="117"/>
      <c r="E602" s="117" t="s">
        <v>1208</v>
      </c>
      <c r="F602" s="123"/>
      <c r="G602" s="124" t="str">
        <f>HYPERLINK("https://www.amazon.com/Victrola-Bluetooth-Turntable-Speakers-White/dp/B06XJ9VDK2/ref=sr_1_1?keywords=Victrola%2BModern&amp;qid=1573132750&amp;s=boost&amp;sr=1-1&amp;srs=12034488011&amp;th=1","A")</f>
        <v>A</v>
      </c>
      <c r="H602" s="125"/>
      <c r="I602" s="125"/>
      <c r="J602" s="201">
        <v>64</v>
      </c>
      <c r="K602" s="82">
        <v>10.1</v>
      </c>
      <c r="L602" s="82">
        <f t="shared" si="894"/>
        <v>161.6</v>
      </c>
      <c r="M602" s="82">
        <f t="shared" si="550"/>
        <v>4.5812792</v>
      </c>
      <c r="N602" s="93">
        <v>0</v>
      </c>
      <c r="O602" s="93">
        <v>0</v>
      </c>
      <c r="P602" s="95">
        <f t="shared" si="731"/>
        <v>64</v>
      </c>
      <c r="Q602" s="96">
        <f t="shared" si="820"/>
        <v>80000</v>
      </c>
      <c r="R602" s="96">
        <v>0</v>
      </c>
      <c r="S602" s="97">
        <f t="shared" si="553"/>
        <v>80000</v>
      </c>
      <c r="T602" s="97">
        <f>ROUNDUP(HLOOKUP(ROUNDUP(K602,0),'배송비 조회'!A$10:AE$22,7,0)*C$3,-2)</f>
        <v>30900</v>
      </c>
      <c r="U602" s="97">
        <v>0</v>
      </c>
      <c r="V602" s="97">
        <f t="shared" si="895"/>
        <v>33300</v>
      </c>
      <c r="W602" s="97">
        <f t="shared" si="890"/>
        <v>55500</v>
      </c>
      <c r="X602" s="98">
        <f t="shared" si="882"/>
        <v>144200</v>
      </c>
      <c r="Y602" s="98">
        <f t="shared" si="883"/>
        <v>166400</v>
      </c>
      <c r="Z602" s="121">
        <v>0</v>
      </c>
      <c r="AA602" s="121">
        <f t="shared" si="556"/>
        <v>5479.5999999999995</v>
      </c>
      <c r="AB602" s="121">
        <f t="shared" si="557"/>
        <v>2884</v>
      </c>
      <c r="AC602" s="99">
        <f t="shared" si="8"/>
        <v>16640</v>
      </c>
      <c r="AD602" s="121">
        <f t="shared" si="558"/>
        <v>135836.4</v>
      </c>
      <c r="AE602" s="99">
        <f t="shared" si="10"/>
        <v>149760</v>
      </c>
      <c r="AF602" s="121">
        <f t="shared" si="559"/>
        <v>1358.364</v>
      </c>
      <c r="AG602" s="100">
        <f t="shared" si="560"/>
        <v>23578.035999999993</v>
      </c>
      <c r="AH602" s="101">
        <f t="shared" si="891"/>
        <v>37501.635999999999</v>
      </c>
      <c r="AI602" s="102">
        <f t="shared" ref="AI602:AJ602" si="897">AG602/X602</f>
        <v>0.16350926490984738</v>
      </c>
      <c r="AJ602" s="102">
        <f t="shared" si="897"/>
        <v>0.22537040865384614</v>
      </c>
      <c r="AK602" s="212"/>
      <c r="AL602" s="213"/>
      <c r="AM602" s="4"/>
      <c r="AN602" s="4"/>
      <c r="AO602" s="4"/>
      <c r="AP602" s="4"/>
      <c r="AQ602" s="4"/>
      <c r="AR602" s="4"/>
      <c r="AS602" s="4"/>
      <c r="AT602" s="4"/>
      <c r="AU602" s="4"/>
      <c r="AV602" s="4"/>
      <c r="AW602" s="4"/>
    </row>
    <row r="603" spans="1:49" ht="13.2">
      <c r="A603" s="119" t="str">
        <f>HYPERLINK("https://smartstore.naver.com/brickstore2019/products/4724177335","4724177335")</f>
        <v>4724177335</v>
      </c>
      <c r="B603" s="266"/>
      <c r="C603" s="117" t="s">
        <v>1209</v>
      </c>
      <c r="D603" s="117"/>
      <c r="E603" s="117" t="s">
        <v>1210</v>
      </c>
      <c r="F603" s="123"/>
      <c r="G603" s="124" t="str">
        <f>HYPERLINK("https://www.amazon.com/Victrola-Bluetooth-Turntable-Speakers-White/dp/B06XJ7DXFV/ref=lp_12034490011_1_13?s=boost&amp;srs=12034490011&amp;ie=UTF8&amp;qid=1571927961&amp;sr=1-13&amp;th=1","A")</f>
        <v>A</v>
      </c>
      <c r="H603" s="125"/>
      <c r="I603" s="125"/>
      <c r="J603" s="95">
        <v>57.42</v>
      </c>
      <c r="K603" s="82">
        <v>10.1</v>
      </c>
      <c r="L603" s="82">
        <f t="shared" si="894"/>
        <v>161.6</v>
      </c>
      <c r="M603" s="82">
        <f t="shared" si="550"/>
        <v>4.5812792</v>
      </c>
      <c r="N603" s="93">
        <v>0</v>
      </c>
      <c r="O603" s="93">
        <v>0</v>
      </c>
      <c r="P603" s="95">
        <v>57.42</v>
      </c>
      <c r="Q603" s="96">
        <f t="shared" si="820"/>
        <v>71775</v>
      </c>
      <c r="R603" s="96">
        <v>0</v>
      </c>
      <c r="S603" s="97">
        <f t="shared" si="553"/>
        <v>71800</v>
      </c>
      <c r="T603" s="97">
        <f>ROUNDUP(HLOOKUP(ROUNDUP(K603,0),'배송비 조회'!A$10:AE$22,7,0)*C$3,-2)</f>
        <v>30900</v>
      </c>
      <c r="U603" s="97">
        <v>0</v>
      </c>
      <c r="V603" s="97">
        <f t="shared" si="895"/>
        <v>30800</v>
      </c>
      <c r="W603" s="97">
        <f t="shared" si="890"/>
        <v>51400</v>
      </c>
      <c r="X603" s="98">
        <f t="shared" si="882"/>
        <v>133500</v>
      </c>
      <c r="Y603" s="98">
        <f t="shared" si="883"/>
        <v>154100</v>
      </c>
      <c r="Z603" s="121">
        <v>0</v>
      </c>
      <c r="AA603" s="121">
        <f t="shared" si="556"/>
        <v>5073</v>
      </c>
      <c r="AB603" s="121">
        <f t="shared" si="557"/>
        <v>2670</v>
      </c>
      <c r="AC603" s="99">
        <f t="shared" si="8"/>
        <v>15410</v>
      </c>
      <c r="AD603" s="121">
        <f t="shared" si="558"/>
        <v>125757</v>
      </c>
      <c r="AE603" s="99">
        <f t="shared" si="10"/>
        <v>138690</v>
      </c>
      <c r="AF603" s="121">
        <f t="shared" si="559"/>
        <v>1257.57</v>
      </c>
      <c r="AG603" s="100">
        <f t="shared" si="560"/>
        <v>21824.43</v>
      </c>
      <c r="AH603" s="101">
        <f t="shared" si="891"/>
        <v>34757.429999999993</v>
      </c>
      <c r="AI603" s="102">
        <f t="shared" ref="AI603:AJ603" si="898">AG603/X603</f>
        <v>0.16347887640449438</v>
      </c>
      <c r="AJ603" s="102">
        <f t="shared" si="898"/>
        <v>0.2255511356262167</v>
      </c>
      <c r="AK603" s="212"/>
      <c r="AL603" s="213"/>
      <c r="AM603" s="4"/>
      <c r="AN603" s="4"/>
      <c r="AO603" s="4"/>
      <c r="AP603" s="4"/>
      <c r="AQ603" s="4"/>
      <c r="AR603" s="4"/>
      <c r="AS603" s="4"/>
      <c r="AT603" s="4"/>
      <c r="AU603" s="4"/>
      <c r="AV603" s="4"/>
      <c r="AW603" s="4"/>
    </row>
    <row r="604" spans="1:49" ht="13.2">
      <c r="A604" s="119" t="str">
        <f>HYPERLINK("https://smartstore.naver.com/brickstore2019/products/4724184178","4724184178")</f>
        <v>4724184178</v>
      </c>
      <c r="B604" s="266"/>
      <c r="C604" s="117" t="s">
        <v>1211</v>
      </c>
      <c r="D604" s="117"/>
      <c r="E604" s="117" t="s">
        <v>1212</v>
      </c>
      <c r="F604" s="123"/>
      <c r="G604" s="124" t="str">
        <f>HYPERLINK("https://www.amazon.com/Victrola-Bluetooth-Turntable-Speakers-White/dp/B01G9CU1GK/ref=lp_12034490011_1_13?s=boost&amp;srs=12034490011&amp;ie=UTF8&amp;qid=1571927961&amp;sr=1-13&amp;th=1","A")</f>
        <v>A</v>
      </c>
      <c r="H604" s="125"/>
      <c r="I604" s="125"/>
      <c r="J604" s="93">
        <v>120</v>
      </c>
      <c r="K604" s="82">
        <v>10.1</v>
      </c>
      <c r="L604" s="82">
        <f t="shared" si="894"/>
        <v>161.6</v>
      </c>
      <c r="M604" s="82">
        <f t="shared" si="550"/>
        <v>4.5812792</v>
      </c>
      <c r="N604" s="93">
        <v>0</v>
      </c>
      <c r="O604" s="93">
        <v>0</v>
      </c>
      <c r="P604" s="95">
        <f t="shared" ref="P604:P645" si="899">J604+O604+N604</f>
        <v>120</v>
      </c>
      <c r="Q604" s="96">
        <f t="shared" si="820"/>
        <v>150000</v>
      </c>
      <c r="R604" s="96">
        <v>0</v>
      </c>
      <c r="S604" s="97">
        <f t="shared" si="553"/>
        <v>150000</v>
      </c>
      <c r="T604" s="97">
        <f>ROUNDUP(HLOOKUP(ROUNDUP(K604,0),'배송비 조회'!A$10:AE$22,7,0)*C$3,-2)</f>
        <v>30900</v>
      </c>
      <c r="U604" s="97">
        <v>0</v>
      </c>
      <c r="V604" s="97">
        <f t="shared" si="895"/>
        <v>54300</v>
      </c>
      <c r="W604" s="97">
        <f t="shared" si="890"/>
        <v>90500</v>
      </c>
      <c r="X604" s="98">
        <f t="shared" si="882"/>
        <v>235200</v>
      </c>
      <c r="Y604" s="98">
        <f t="shared" si="883"/>
        <v>271400</v>
      </c>
      <c r="Z604" s="121">
        <v>0</v>
      </c>
      <c r="AA604" s="121">
        <f t="shared" si="556"/>
        <v>8937.6</v>
      </c>
      <c r="AB604" s="121">
        <f t="shared" si="557"/>
        <v>4704</v>
      </c>
      <c r="AC604" s="99">
        <f t="shared" si="8"/>
        <v>27140</v>
      </c>
      <c r="AD604" s="121">
        <f t="shared" si="558"/>
        <v>221558.39999999999</v>
      </c>
      <c r="AE604" s="99">
        <f t="shared" si="10"/>
        <v>244260</v>
      </c>
      <c r="AF604" s="121">
        <f t="shared" si="559"/>
        <v>2215.5839999999998</v>
      </c>
      <c r="AG604" s="100">
        <f t="shared" si="560"/>
        <v>38442.815999999992</v>
      </c>
      <c r="AH604" s="101">
        <f t="shared" si="891"/>
        <v>61144.415999999997</v>
      </c>
      <c r="AI604" s="102">
        <f t="shared" ref="AI604:AJ604" si="900">AG604/X604</f>
        <v>0.16344734693877547</v>
      </c>
      <c r="AJ604" s="102">
        <f t="shared" si="900"/>
        <v>0.22529261606484893</v>
      </c>
      <c r="AK604" s="212"/>
      <c r="AL604" s="213"/>
      <c r="AM604" s="4"/>
      <c r="AN604" s="4"/>
      <c r="AO604" s="4"/>
      <c r="AP604" s="4"/>
      <c r="AQ604" s="4"/>
      <c r="AR604" s="4"/>
      <c r="AS604" s="4"/>
      <c r="AT604" s="4"/>
      <c r="AU604" s="4"/>
      <c r="AV604" s="4"/>
      <c r="AW604" s="4"/>
    </row>
    <row r="605" spans="1:49" ht="13.2">
      <c r="A605" s="120"/>
      <c r="B605" s="266"/>
      <c r="C605" s="117" t="s">
        <v>1213</v>
      </c>
      <c r="D605" s="117"/>
      <c r="E605" s="117" t="s">
        <v>1214</v>
      </c>
      <c r="F605" s="123"/>
      <c r="G605" s="124" t="str">
        <f>HYPERLINK("https://www.amazon.com/gp/product/B07F6VM1S3/?_encoding=UTF8&amp;tag=clien04-20&amp;linkCode=ur2&amp;linkId=4ef926e41eaa57b3dcfc48b2660f5024&amp;camp=1789&amp;creative=9325","A")</f>
        <v>A</v>
      </c>
      <c r="H605" s="125"/>
      <c r="I605" s="125"/>
      <c r="J605" s="125">
        <v>130</v>
      </c>
      <c r="K605" s="82">
        <v>1</v>
      </c>
      <c r="L605" s="82">
        <f t="shared" si="894"/>
        <v>16</v>
      </c>
      <c r="M605" s="82">
        <f t="shared" si="550"/>
        <v>0.453592</v>
      </c>
      <c r="N605" s="93">
        <v>0</v>
      </c>
      <c r="O605" s="93">
        <v>0</v>
      </c>
      <c r="P605" s="95">
        <f t="shared" si="899"/>
        <v>130</v>
      </c>
      <c r="Q605" s="96">
        <f t="shared" si="820"/>
        <v>162500</v>
      </c>
      <c r="R605" s="96">
        <v>0</v>
      </c>
      <c r="S605" s="97">
        <f t="shared" si="553"/>
        <v>162500</v>
      </c>
      <c r="T605" s="97">
        <f>ROUNDUP(HLOOKUP(ROUNDUP(K605,0),'배송비 조회'!A$10:AE$22,7,0)*C$3,-2)</f>
        <v>9000</v>
      </c>
      <c r="U605" s="97">
        <v>0</v>
      </c>
      <c r="V605" s="97">
        <f>ROUND(IF(R601&gt;0,0,(S605+T605)*0.15),-2)</f>
        <v>25700</v>
      </c>
      <c r="W605" s="97">
        <f t="shared" si="890"/>
        <v>85800</v>
      </c>
      <c r="X605" s="98">
        <f t="shared" si="882"/>
        <v>197200</v>
      </c>
      <c r="Y605" s="98">
        <f t="shared" si="883"/>
        <v>257300</v>
      </c>
      <c r="Z605" s="121">
        <v>0</v>
      </c>
      <c r="AA605" s="121">
        <f t="shared" si="556"/>
        <v>7493.5999999999995</v>
      </c>
      <c r="AB605" s="121">
        <f t="shared" si="557"/>
        <v>3944</v>
      </c>
      <c r="AC605" s="99">
        <f t="shared" si="8"/>
        <v>25730</v>
      </c>
      <c r="AD605" s="121">
        <f t="shared" si="558"/>
        <v>185762.4</v>
      </c>
      <c r="AE605" s="99">
        <f t="shared" si="10"/>
        <v>231570</v>
      </c>
      <c r="AF605" s="121">
        <f t="shared" si="559"/>
        <v>1857.624</v>
      </c>
      <c r="AG605" s="100">
        <f t="shared" si="560"/>
        <v>12404.775999999994</v>
      </c>
      <c r="AH605" s="101">
        <f t="shared" si="891"/>
        <v>58212.376000000004</v>
      </c>
      <c r="AI605" s="102">
        <f t="shared" ref="AI605:AJ605" si="901">AG605/X605</f>
        <v>6.2904543610547634E-2</v>
      </c>
      <c r="AJ605" s="102">
        <f t="shared" si="901"/>
        <v>0.22624320248736884</v>
      </c>
      <c r="AK605" s="212"/>
      <c r="AL605" s="213"/>
      <c r="AM605" s="4"/>
      <c r="AN605" s="4"/>
      <c r="AO605" s="4"/>
      <c r="AP605" s="4"/>
      <c r="AQ605" s="4"/>
      <c r="AR605" s="4"/>
      <c r="AS605" s="4"/>
      <c r="AT605" s="4"/>
      <c r="AU605" s="4"/>
      <c r="AV605" s="4"/>
      <c r="AW605" s="4"/>
    </row>
    <row r="606" spans="1:49" ht="13.2">
      <c r="A606" s="119" t="str">
        <f>HYPERLINK("https://smartstore.naver.com/brickstore2019/products/4727820542","4727820542")</f>
        <v>4727820542</v>
      </c>
      <c r="B606" s="266"/>
      <c r="C606" s="117" t="s">
        <v>1215</v>
      </c>
      <c r="D606" s="117"/>
      <c r="E606" s="117" t="s">
        <v>1216</v>
      </c>
      <c r="F606" s="123"/>
      <c r="G606" s="124" t="str">
        <f>HYPERLINK("https://www.amazon.com/Incase-INCP300218-BLK-Camera-Sling-Pack/dp/B071NJKQZ3/ref=sr_1_6?crid=3OF9YHUYQIWNQ&amp;keywords=incase+sling+pack&amp;qid=1573482189&amp;refinements=p_89%3AIncase&amp;rnid=2528832011&amp;sprefix=incase+sling%2Caps%2C341&amp;sr=8-6","A")</f>
        <v>A</v>
      </c>
      <c r="H606" s="125"/>
      <c r="I606" s="125"/>
      <c r="J606" s="93">
        <v>50</v>
      </c>
      <c r="K606" s="82">
        <v>2</v>
      </c>
      <c r="L606" s="82">
        <f t="shared" si="894"/>
        <v>32</v>
      </c>
      <c r="M606" s="82">
        <f t="shared" si="550"/>
        <v>0.90718399999999999</v>
      </c>
      <c r="N606" s="93">
        <v>0</v>
      </c>
      <c r="O606" s="93">
        <v>0</v>
      </c>
      <c r="P606" s="95">
        <f t="shared" si="899"/>
        <v>50</v>
      </c>
      <c r="Q606" s="96">
        <f t="shared" si="820"/>
        <v>62500</v>
      </c>
      <c r="R606" s="96">
        <v>0</v>
      </c>
      <c r="S606" s="97">
        <f t="shared" si="553"/>
        <v>62500</v>
      </c>
      <c r="T606" s="97">
        <f>ROUNDUP(HLOOKUP(ROUNDUP(K606,0),'배송비 조회'!A$10:AE$22,7,0)*C$3,-2)</f>
        <v>11200</v>
      </c>
      <c r="U606" s="97">
        <v>0</v>
      </c>
      <c r="V606" s="97">
        <f>ROUND(IF(R602&gt;0,0,(S606+T606)*0.3),-2)</f>
        <v>22100</v>
      </c>
      <c r="W606" s="97">
        <f t="shared" si="890"/>
        <v>36900</v>
      </c>
      <c r="X606" s="98">
        <f t="shared" si="882"/>
        <v>95800</v>
      </c>
      <c r="Y606" s="98">
        <f t="shared" si="883"/>
        <v>110600</v>
      </c>
      <c r="Z606" s="121">
        <v>0</v>
      </c>
      <c r="AA606" s="121">
        <f t="shared" si="556"/>
        <v>3640.4</v>
      </c>
      <c r="AB606" s="121">
        <f t="shared" si="557"/>
        <v>1916</v>
      </c>
      <c r="AC606" s="99">
        <f t="shared" si="8"/>
        <v>11060</v>
      </c>
      <c r="AD606" s="121">
        <f t="shared" si="558"/>
        <v>90243.6</v>
      </c>
      <c r="AE606" s="99">
        <f t="shared" si="10"/>
        <v>99540</v>
      </c>
      <c r="AF606" s="121">
        <f t="shared" si="559"/>
        <v>902.43600000000004</v>
      </c>
      <c r="AG606" s="100">
        <f t="shared" si="560"/>
        <v>15641.164000000004</v>
      </c>
      <c r="AH606" s="101">
        <f t="shared" si="891"/>
        <v>24937.563999999998</v>
      </c>
      <c r="AI606" s="102">
        <f t="shared" ref="AI606:AJ606" si="902">AG606/X606</f>
        <v>0.1632689352818372</v>
      </c>
      <c r="AJ606" s="102">
        <f t="shared" si="902"/>
        <v>0.22547526220614827</v>
      </c>
      <c r="AK606" s="212"/>
      <c r="AL606" s="213"/>
      <c r="AM606" s="4"/>
      <c r="AN606" s="4"/>
      <c r="AO606" s="4"/>
      <c r="AP606" s="4"/>
      <c r="AQ606" s="4"/>
      <c r="AR606" s="4"/>
      <c r="AS606" s="4"/>
      <c r="AT606" s="4"/>
      <c r="AU606" s="4"/>
      <c r="AV606" s="4"/>
      <c r="AW606" s="4"/>
    </row>
    <row r="607" spans="1:49" ht="13.2">
      <c r="A607" s="119" t="str">
        <f>HYPERLINK("https://smartstore.naver.com/brickstore2019/products/4727836954","4727836954")</f>
        <v>4727836954</v>
      </c>
      <c r="B607" s="266"/>
      <c r="C607" s="117" t="s">
        <v>1217</v>
      </c>
      <c r="D607" s="117"/>
      <c r="E607" s="117" t="s">
        <v>1218</v>
      </c>
      <c r="F607" s="123"/>
      <c r="G607" s="124" t="str">
        <f>HYPERLINK("https://www.amazon.com/Incase-Side-Bag/dp/B076B46TVK/ref=sr_1_2?crid=3OF9YHUYQIWNQ&amp;keywords=incase+sling+pack&amp;qid=1573484080&amp;refinements=p_89%3AIncase&amp;rnid=2528832011&amp;sprefix=incase+sling%2Caps%2C341&amp;sr=8-2","A")</f>
        <v>A</v>
      </c>
      <c r="H607" s="125"/>
      <c r="I607" s="125"/>
      <c r="J607" s="125">
        <v>35</v>
      </c>
      <c r="K607" s="82">
        <f>IF(L607&gt;0,L607*0.0625,)</f>
        <v>0.625</v>
      </c>
      <c r="L607" s="82">
        <v>10</v>
      </c>
      <c r="M607" s="82">
        <f t="shared" si="550"/>
        <v>0.283495</v>
      </c>
      <c r="N607" s="93">
        <v>0</v>
      </c>
      <c r="O607" s="93">
        <v>0</v>
      </c>
      <c r="P607" s="95">
        <f t="shared" si="899"/>
        <v>35</v>
      </c>
      <c r="Q607" s="96">
        <f t="shared" si="820"/>
        <v>43750</v>
      </c>
      <c r="R607" s="96">
        <v>0</v>
      </c>
      <c r="S607" s="97">
        <f t="shared" si="553"/>
        <v>43800</v>
      </c>
      <c r="T607" s="97">
        <f>ROUNDUP(HLOOKUP(ROUNDUP(K607,0),'배송비 조회'!A$10:AE$22,7,0)*C$3,-2)</f>
        <v>9000</v>
      </c>
      <c r="U607" s="97">
        <v>0</v>
      </c>
      <c r="V607" s="97">
        <f>ROUND(IF(R603&gt;0,0,(S607+T607)*0.4),-2)</f>
        <v>21100</v>
      </c>
      <c r="W607" s="97">
        <f t="shared" si="890"/>
        <v>26400</v>
      </c>
      <c r="X607" s="98">
        <f t="shared" si="882"/>
        <v>73900</v>
      </c>
      <c r="Y607" s="98">
        <f t="shared" si="883"/>
        <v>79200</v>
      </c>
      <c r="Z607" s="121">
        <v>0</v>
      </c>
      <c r="AA607" s="121">
        <f t="shared" si="556"/>
        <v>2808.2</v>
      </c>
      <c r="AB607" s="121">
        <f t="shared" si="557"/>
        <v>1478</v>
      </c>
      <c r="AC607" s="99">
        <f t="shared" si="8"/>
        <v>7920</v>
      </c>
      <c r="AD607" s="121">
        <f t="shared" si="558"/>
        <v>69613.8</v>
      </c>
      <c r="AE607" s="99">
        <f t="shared" si="10"/>
        <v>71280</v>
      </c>
      <c r="AF607" s="121">
        <f t="shared" si="559"/>
        <v>696.13800000000003</v>
      </c>
      <c r="AG607" s="100">
        <f t="shared" si="560"/>
        <v>16167.662000000004</v>
      </c>
      <c r="AH607" s="101">
        <f t="shared" si="891"/>
        <v>17833.862000000001</v>
      </c>
      <c r="AI607" s="102">
        <f t="shared" ref="AI607:AJ607" si="903">AG607/X607</f>
        <v>0.21877756427604877</v>
      </c>
      <c r="AJ607" s="102">
        <f t="shared" si="903"/>
        <v>0.22517502525252525</v>
      </c>
      <c r="AK607" s="212"/>
      <c r="AL607" s="213"/>
      <c r="AM607" s="4"/>
      <c r="AN607" s="4"/>
      <c r="AO607" s="4"/>
      <c r="AP607" s="4"/>
      <c r="AQ607" s="4"/>
      <c r="AR607" s="4"/>
      <c r="AS607" s="4"/>
      <c r="AT607" s="4"/>
      <c r="AU607" s="4"/>
      <c r="AV607" s="4"/>
      <c r="AW607" s="4"/>
    </row>
    <row r="608" spans="1:49" ht="13.2">
      <c r="A608" s="303" t="str">
        <f>HYPERLINK("https://smartstore.naver.com/brickstore2019/products/4728957732","4728957732")</f>
        <v>4728957732</v>
      </c>
      <c r="B608" s="305"/>
      <c r="C608" s="304" t="s">
        <v>1219</v>
      </c>
      <c r="D608" s="304"/>
      <c r="E608" s="304" t="s">
        <v>1220</v>
      </c>
      <c r="F608" s="123" t="s">
        <v>55</v>
      </c>
      <c r="G608" s="124" t="str">
        <f>HYPERLINK("https://www.amazon.com/Fintie-Microsoft-Ultra-Slim-Two-Button-Rechargeable/dp/B075XCVYZR/ref=sr_1_13?keywords=surface%2Bpro%2B7%2Bkeyboard&amp;qid=1573563650&amp;sr=8-13&amp;th=1","A")</f>
        <v>A</v>
      </c>
      <c r="H608" s="125"/>
      <c r="I608" s="125"/>
      <c r="J608" s="93">
        <v>53</v>
      </c>
      <c r="K608" s="82">
        <v>1.1499999999999999</v>
      </c>
      <c r="L608" s="82">
        <f t="shared" ref="L608:L619" si="904">IF(K608&gt;0,K608*16,)</f>
        <v>18.399999999999999</v>
      </c>
      <c r="M608" s="82">
        <f t="shared" si="550"/>
        <v>0.52163079999999995</v>
      </c>
      <c r="N608" s="93">
        <v>0</v>
      </c>
      <c r="O608" s="93">
        <v>0</v>
      </c>
      <c r="P608" s="95">
        <f t="shared" si="899"/>
        <v>53</v>
      </c>
      <c r="Q608" s="96">
        <f t="shared" si="820"/>
        <v>66250</v>
      </c>
      <c r="R608" s="96">
        <v>0</v>
      </c>
      <c r="S608" s="97">
        <f t="shared" si="553"/>
        <v>66300</v>
      </c>
      <c r="T608" s="97">
        <f>ROUNDUP(HLOOKUP(ROUNDUP(K608,0),'배송비 조회'!A$10:AE$22,7,0)*C$3,-2)</f>
        <v>11200</v>
      </c>
      <c r="U608" s="97">
        <v>0</v>
      </c>
      <c r="V608" s="97">
        <f t="shared" ref="V608:V619" si="905">ROUND(IF(R604&gt;0,0,(S608+T608)*0.3),-2)</f>
        <v>23300</v>
      </c>
      <c r="W608" s="97">
        <f t="shared" si="890"/>
        <v>38800</v>
      </c>
      <c r="X608" s="98">
        <f t="shared" si="882"/>
        <v>100800</v>
      </c>
      <c r="Y608" s="98">
        <f t="shared" si="883"/>
        <v>116300</v>
      </c>
      <c r="Z608" s="121">
        <v>0</v>
      </c>
      <c r="AA608" s="121">
        <f t="shared" si="556"/>
        <v>3830.4</v>
      </c>
      <c r="AB608" s="121">
        <f t="shared" si="557"/>
        <v>2016</v>
      </c>
      <c r="AC608" s="99">
        <f t="shared" si="8"/>
        <v>11630</v>
      </c>
      <c r="AD608" s="121">
        <f t="shared" si="558"/>
        <v>94953.600000000006</v>
      </c>
      <c r="AE608" s="99">
        <f t="shared" si="10"/>
        <v>104670</v>
      </c>
      <c r="AF608" s="121">
        <f t="shared" si="559"/>
        <v>949.53600000000006</v>
      </c>
      <c r="AG608" s="100">
        <f t="shared" si="560"/>
        <v>16554.064000000006</v>
      </c>
      <c r="AH608" s="101">
        <f t="shared" si="891"/>
        <v>26270.464</v>
      </c>
      <c r="AI608" s="102">
        <f t="shared" ref="AI608:AJ608" si="906">AG608/X608</f>
        <v>0.16422682539682545</v>
      </c>
      <c r="AJ608" s="102">
        <f t="shared" si="906"/>
        <v>0.22588533104041272</v>
      </c>
      <c r="AK608" s="212"/>
      <c r="AL608" s="213"/>
      <c r="AM608" s="4"/>
      <c r="AN608" s="4"/>
      <c r="AO608" s="4"/>
      <c r="AP608" s="4"/>
      <c r="AQ608" s="4"/>
      <c r="AR608" s="4"/>
      <c r="AS608" s="4"/>
      <c r="AT608" s="4"/>
      <c r="AU608" s="4"/>
      <c r="AV608" s="4"/>
      <c r="AW608" s="4"/>
    </row>
    <row r="609" spans="1:49" ht="13.2">
      <c r="A609" s="302"/>
      <c r="B609" s="306"/>
      <c r="C609" s="302"/>
      <c r="D609" s="302"/>
      <c r="E609" s="302"/>
      <c r="F609" s="108" t="s">
        <v>363</v>
      </c>
      <c r="G609" s="259" t="str">
        <f>HYPERLINK("https://www.amazon.com/Fintie-Microsoft-Ultra-Slim-Two-Button-Rechargeable/dp/B07HNY6JNY/ref=sr_1_13?keywords=surface%2Bpro%2B7%2Bkeyboard&amp;qid=1573563650&amp;sr=8-13&amp;th=1","A")</f>
        <v>A</v>
      </c>
      <c r="H609" s="110" t="s">
        <v>60</v>
      </c>
      <c r="I609" s="110"/>
      <c r="J609" s="110">
        <v>52</v>
      </c>
      <c r="K609" s="82">
        <v>1.1499999999999999</v>
      </c>
      <c r="L609" s="82">
        <f t="shared" si="904"/>
        <v>18.399999999999999</v>
      </c>
      <c r="M609" s="82">
        <f t="shared" si="550"/>
        <v>0.52163079999999995</v>
      </c>
      <c r="N609" s="93">
        <v>0</v>
      </c>
      <c r="O609" s="93">
        <v>0</v>
      </c>
      <c r="P609" s="95">
        <f t="shared" si="899"/>
        <v>52</v>
      </c>
      <c r="Q609" s="96">
        <f t="shared" si="820"/>
        <v>65000</v>
      </c>
      <c r="R609" s="96">
        <v>0</v>
      </c>
      <c r="S609" s="97">
        <f t="shared" si="553"/>
        <v>65000</v>
      </c>
      <c r="T609" s="97">
        <f>ROUNDUP(HLOOKUP(ROUNDUP(K609,0),'배송비 조회'!A$10:AE$22,7,0)*C$3,-2)</f>
        <v>11200</v>
      </c>
      <c r="U609" s="97">
        <v>0</v>
      </c>
      <c r="V609" s="97">
        <f t="shared" si="905"/>
        <v>22900</v>
      </c>
      <c r="W609" s="97">
        <f t="shared" si="890"/>
        <v>38100</v>
      </c>
      <c r="X609" s="98">
        <f t="shared" si="882"/>
        <v>99100</v>
      </c>
      <c r="Y609" s="98">
        <f t="shared" si="883"/>
        <v>114300</v>
      </c>
      <c r="Z609" s="121">
        <v>0</v>
      </c>
      <c r="AA609" s="121">
        <f t="shared" si="556"/>
        <v>3765.7999999999997</v>
      </c>
      <c r="AB609" s="121">
        <f t="shared" si="557"/>
        <v>1982</v>
      </c>
      <c r="AC609" s="99">
        <f t="shared" si="8"/>
        <v>11430</v>
      </c>
      <c r="AD609" s="121">
        <f t="shared" si="558"/>
        <v>93352.2</v>
      </c>
      <c r="AE609" s="99">
        <f t="shared" si="10"/>
        <v>102870</v>
      </c>
      <c r="AF609" s="121">
        <f t="shared" si="559"/>
        <v>933.52199999999993</v>
      </c>
      <c r="AG609" s="100">
        <f t="shared" si="560"/>
        <v>16218.677999999996</v>
      </c>
      <c r="AH609" s="101">
        <f t="shared" si="891"/>
        <v>25736.478000000003</v>
      </c>
      <c r="AI609" s="102">
        <f t="shared" ref="AI609:AJ609" si="907">AG609/X609</f>
        <v>0.163659717457114</v>
      </c>
      <c r="AJ609" s="102">
        <f t="shared" si="907"/>
        <v>0.22516603674540686</v>
      </c>
      <c r="AK609" s="212"/>
      <c r="AL609" s="213"/>
      <c r="AM609" s="4"/>
      <c r="AN609" s="4"/>
      <c r="AO609" s="4"/>
      <c r="AP609" s="4"/>
      <c r="AQ609" s="4"/>
      <c r="AR609" s="4"/>
      <c r="AS609" s="4"/>
      <c r="AT609" s="4"/>
      <c r="AU609" s="4"/>
      <c r="AV609" s="4"/>
      <c r="AW609" s="4"/>
    </row>
    <row r="610" spans="1:49" ht="13.2">
      <c r="A610" s="303" t="str">
        <f>HYPERLINK("https://smartstore.naver.com/brickstore2019/products/4731109509","4731109509")</f>
        <v>4731109509</v>
      </c>
      <c r="B610" s="305"/>
      <c r="C610" s="304" t="s">
        <v>1221</v>
      </c>
      <c r="D610" s="304"/>
      <c r="E610" s="304" t="s">
        <v>1222</v>
      </c>
      <c r="F610" s="123" t="s">
        <v>98</v>
      </c>
      <c r="G610" s="218" t="s">
        <v>1293</v>
      </c>
      <c r="H610" s="125"/>
      <c r="I610" s="125"/>
      <c r="J610" s="93">
        <v>130</v>
      </c>
      <c r="K610" s="82">
        <v>1.8</v>
      </c>
      <c r="L610" s="82">
        <f t="shared" si="904"/>
        <v>28.8</v>
      </c>
      <c r="M610" s="82">
        <f t="shared" si="550"/>
        <v>0.81646560000000001</v>
      </c>
      <c r="N610" s="93">
        <v>0</v>
      </c>
      <c r="O610" s="93">
        <v>0</v>
      </c>
      <c r="P610" s="95">
        <f t="shared" si="899"/>
        <v>130</v>
      </c>
      <c r="Q610" s="96">
        <f t="shared" si="820"/>
        <v>162500</v>
      </c>
      <c r="R610" s="96">
        <v>0</v>
      </c>
      <c r="S610" s="97">
        <f t="shared" si="553"/>
        <v>162500</v>
      </c>
      <c r="T610" s="97">
        <f>ROUNDUP(HLOOKUP(ROUNDUP(K610,0),'배송비 조회'!A$10:AE$22,7,0)*C$3,-2)</f>
        <v>11200</v>
      </c>
      <c r="U610" s="97">
        <v>0</v>
      </c>
      <c r="V610" s="97">
        <f t="shared" si="905"/>
        <v>52100</v>
      </c>
      <c r="W610" s="97">
        <f t="shared" si="890"/>
        <v>86900</v>
      </c>
      <c r="X610" s="98">
        <f t="shared" si="882"/>
        <v>225800</v>
      </c>
      <c r="Y610" s="98">
        <f t="shared" si="883"/>
        <v>260600</v>
      </c>
      <c r="Z610" s="121">
        <v>0</v>
      </c>
      <c r="AA610" s="121">
        <f t="shared" si="556"/>
        <v>8580.4</v>
      </c>
      <c r="AB610" s="121">
        <f t="shared" si="557"/>
        <v>4516</v>
      </c>
      <c r="AC610" s="99">
        <f t="shared" si="8"/>
        <v>26060</v>
      </c>
      <c r="AD610" s="121">
        <f t="shared" si="558"/>
        <v>212703.6</v>
      </c>
      <c r="AE610" s="99">
        <f t="shared" si="10"/>
        <v>234540</v>
      </c>
      <c r="AF610" s="121">
        <f t="shared" si="559"/>
        <v>2127.0360000000001</v>
      </c>
      <c r="AG610" s="100">
        <f t="shared" si="560"/>
        <v>36876.564000000006</v>
      </c>
      <c r="AH610" s="101">
        <f t="shared" si="891"/>
        <v>58712.964000000007</v>
      </c>
      <c r="AI610" s="102">
        <f t="shared" ref="AI610:AJ610" si="908">AG610/X610</f>
        <v>0.16331516386182465</v>
      </c>
      <c r="AJ610" s="102">
        <f t="shared" si="908"/>
        <v>0.225299171143515</v>
      </c>
      <c r="AK610" s="212"/>
      <c r="AL610" s="213"/>
      <c r="AM610" s="16">
        <f>X610-X611</f>
        <v>16200</v>
      </c>
      <c r="AN610" s="4"/>
      <c r="AO610" s="4"/>
      <c r="AP610" s="4"/>
      <c r="AQ610" s="4"/>
      <c r="AR610" s="4"/>
      <c r="AS610" s="4"/>
      <c r="AT610" s="4"/>
      <c r="AU610" s="4"/>
      <c r="AV610" s="4"/>
      <c r="AW610" s="4"/>
    </row>
    <row r="611" spans="1:49" ht="13.2">
      <c r="A611" s="302"/>
      <c r="B611" s="306"/>
      <c r="C611" s="302"/>
      <c r="D611" s="302"/>
      <c r="E611" s="302"/>
      <c r="F611" s="123" t="s">
        <v>1223</v>
      </c>
      <c r="G611" s="218" t="s">
        <v>1293</v>
      </c>
      <c r="H611" s="125"/>
      <c r="I611" s="125"/>
      <c r="J611" s="93">
        <v>120</v>
      </c>
      <c r="K611" s="82">
        <v>1.8</v>
      </c>
      <c r="L611" s="82">
        <f t="shared" si="904"/>
        <v>28.8</v>
      </c>
      <c r="M611" s="82">
        <f t="shared" si="550"/>
        <v>0.81646560000000001</v>
      </c>
      <c r="N611" s="93">
        <v>0</v>
      </c>
      <c r="O611" s="93">
        <v>0</v>
      </c>
      <c r="P611" s="95">
        <f t="shared" si="899"/>
        <v>120</v>
      </c>
      <c r="Q611" s="96">
        <f t="shared" si="820"/>
        <v>150000</v>
      </c>
      <c r="R611" s="96">
        <v>0</v>
      </c>
      <c r="S611" s="97">
        <f t="shared" si="553"/>
        <v>150000</v>
      </c>
      <c r="T611" s="97">
        <f>ROUNDUP(HLOOKUP(ROUNDUP(K611,0),'배송비 조회'!A$10:AE$22,7,0)*C$3,-2)</f>
        <v>11200</v>
      </c>
      <c r="U611" s="97">
        <v>0</v>
      </c>
      <c r="V611" s="97">
        <f t="shared" si="905"/>
        <v>48400</v>
      </c>
      <c r="W611" s="97">
        <f t="shared" si="890"/>
        <v>80600</v>
      </c>
      <c r="X611" s="98">
        <f t="shared" si="882"/>
        <v>209600</v>
      </c>
      <c r="Y611" s="98">
        <f t="shared" si="883"/>
        <v>241800</v>
      </c>
      <c r="Z611" s="121">
        <v>0</v>
      </c>
      <c r="AA611" s="121">
        <f t="shared" si="556"/>
        <v>7964.8</v>
      </c>
      <c r="AB611" s="121">
        <f t="shared" si="557"/>
        <v>4192</v>
      </c>
      <c r="AC611" s="99">
        <f t="shared" si="8"/>
        <v>24180</v>
      </c>
      <c r="AD611" s="121">
        <f t="shared" si="558"/>
        <v>197443.20000000001</v>
      </c>
      <c r="AE611" s="99">
        <f t="shared" si="10"/>
        <v>217620</v>
      </c>
      <c r="AF611" s="121">
        <f t="shared" si="559"/>
        <v>1974.4320000000002</v>
      </c>
      <c r="AG611" s="100">
        <f t="shared" si="560"/>
        <v>34268.768000000011</v>
      </c>
      <c r="AH611" s="101">
        <f t="shared" si="891"/>
        <v>54445.567999999999</v>
      </c>
      <c r="AI611" s="102">
        <f t="shared" ref="AI611:AJ611" si="909">AG611/X611</f>
        <v>0.16349603053435119</v>
      </c>
      <c r="AJ611" s="102">
        <f t="shared" si="909"/>
        <v>0.22516777502067825</v>
      </c>
      <c r="AK611" s="212"/>
      <c r="AL611" s="213"/>
      <c r="AN611" s="4"/>
      <c r="AO611" s="4"/>
      <c r="AP611" s="4"/>
      <c r="AQ611" s="4"/>
      <c r="AR611" s="4"/>
      <c r="AS611" s="4"/>
      <c r="AT611" s="4"/>
      <c r="AU611" s="4"/>
      <c r="AV611" s="4"/>
      <c r="AW611" s="4"/>
    </row>
    <row r="612" spans="1:49" ht="13.2">
      <c r="A612" s="302"/>
      <c r="B612" s="306"/>
      <c r="C612" s="302"/>
      <c r="D612" s="302"/>
      <c r="E612" s="302"/>
      <c r="F612" s="123" t="s">
        <v>976</v>
      </c>
      <c r="G612" s="218" t="s">
        <v>1293</v>
      </c>
      <c r="H612" s="125"/>
      <c r="I612" s="125"/>
      <c r="J612" s="93">
        <v>120</v>
      </c>
      <c r="K612" s="82">
        <v>1.8</v>
      </c>
      <c r="L612" s="82">
        <f t="shared" si="904"/>
        <v>28.8</v>
      </c>
      <c r="M612" s="82">
        <f t="shared" si="550"/>
        <v>0.81646560000000001</v>
      </c>
      <c r="N612" s="93">
        <v>0</v>
      </c>
      <c r="O612" s="93">
        <v>0</v>
      </c>
      <c r="P612" s="95">
        <f t="shared" si="899"/>
        <v>120</v>
      </c>
      <c r="Q612" s="96">
        <f t="shared" si="820"/>
        <v>150000</v>
      </c>
      <c r="R612" s="96">
        <v>0</v>
      </c>
      <c r="S612" s="97">
        <f t="shared" si="553"/>
        <v>150000</v>
      </c>
      <c r="T612" s="97">
        <f>ROUNDUP(HLOOKUP(ROUNDUP(K612,0),'배송비 조회'!A$10:AE$22,7,0)*C$3,-2)</f>
        <v>11200</v>
      </c>
      <c r="U612" s="97">
        <v>0</v>
      </c>
      <c r="V612" s="97">
        <f t="shared" si="905"/>
        <v>48400</v>
      </c>
      <c r="W612" s="97">
        <f t="shared" si="890"/>
        <v>80600</v>
      </c>
      <c r="X612" s="98">
        <f t="shared" si="882"/>
        <v>209600</v>
      </c>
      <c r="Y612" s="98">
        <f t="shared" si="883"/>
        <v>241800</v>
      </c>
      <c r="Z612" s="121">
        <v>0</v>
      </c>
      <c r="AA612" s="121">
        <f t="shared" si="556"/>
        <v>7964.8</v>
      </c>
      <c r="AB612" s="121">
        <f t="shared" si="557"/>
        <v>4192</v>
      </c>
      <c r="AC612" s="99">
        <f t="shared" si="8"/>
        <v>24180</v>
      </c>
      <c r="AD612" s="121">
        <f t="shared" si="558"/>
        <v>197443.20000000001</v>
      </c>
      <c r="AE612" s="99">
        <f t="shared" si="10"/>
        <v>217620</v>
      </c>
      <c r="AF612" s="121">
        <f t="shared" si="559"/>
        <v>1974.4320000000002</v>
      </c>
      <c r="AG612" s="100">
        <f t="shared" si="560"/>
        <v>34268.768000000011</v>
      </c>
      <c r="AH612" s="101">
        <f t="shared" si="891"/>
        <v>54445.567999999999</v>
      </c>
      <c r="AI612" s="102">
        <f t="shared" ref="AI612:AJ612" si="910">AG612/X612</f>
        <v>0.16349603053435119</v>
      </c>
      <c r="AJ612" s="102">
        <f t="shared" si="910"/>
        <v>0.22516777502067825</v>
      </c>
      <c r="AK612" s="212"/>
      <c r="AL612" s="213"/>
      <c r="AM612" s="4"/>
      <c r="AN612" s="4"/>
      <c r="AO612" s="4"/>
      <c r="AP612" s="4"/>
      <c r="AQ612" s="4"/>
      <c r="AR612" s="4"/>
      <c r="AS612" s="4"/>
      <c r="AT612" s="4"/>
      <c r="AU612" s="4"/>
      <c r="AV612" s="4"/>
      <c r="AW612" s="4"/>
    </row>
    <row r="613" spans="1:49" ht="13.2">
      <c r="A613" s="303" t="str">
        <f>HYPERLINK("https://smartstore.naver.com/brickstore2019/products/4731133575","4731133575")</f>
        <v>4731133575</v>
      </c>
      <c r="B613" s="305"/>
      <c r="C613" s="304" t="s">
        <v>1224</v>
      </c>
      <c r="D613" s="304"/>
      <c r="E613" s="304" t="s">
        <v>1225</v>
      </c>
      <c r="F613" s="123" t="s">
        <v>597</v>
      </c>
      <c r="G613" s="124" t="str">
        <f>HYPERLINK("https://www.amazon.com/dp/B07T8BJ4MC/ref=psdc_291227_t1_B07PKR18QB?th=1","A")</f>
        <v>A</v>
      </c>
      <c r="H613" s="125"/>
      <c r="I613" s="125"/>
      <c r="J613" s="125">
        <v>100</v>
      </c>
      <c r="K613" s="82">
        <v>1.55</v>
      </c>
      <c r="L613" s="82">
        <f t="shared" si="904"/>
        <v>24.8</v>
      </c>
      <c r="M613" s="82">
        <f t="shared" si="550"/>
        <v>0.70306760000000001</v>
      </c>
      <c r="N613" s="93">
        <v>0</v>
      </c>
      <c r="O613" s="93">
        <v>0</v>
      </c>
      <c r="P613" s="95">
        <f t="shared" si="899"/>
        <v>100</v>
      </c>
      <c r="Q613" s="96">
        <f t="shared" si="820"/>
        <v>125000</v>
      </c>
      <c r="R613" s="96">
        <v>0</v>
      </c>
      <c r="S613" s="97">
        <f t="shared" si="553"/>
        <v>125000</v>
      </c>
      <c r="T613" s="97">
        <f>ROUNDUP(HLOOKUP(ROUNDUP(K613,0),'배송비 조회'!A$10:AE$22,7,0)*C$3,-2)</f>
        <v>11200</v>
      </c>
      <c r="U613" s="97">
        <v>0</v>
      </c>
      <c r="V613" s="97">
        <f t="shared" si="905"/>
        <v>40900</v>
      </c>
      <c r="W613" s="97">
        <f t="shared" si="890"/>
        <v>68100</v>
      </c>
      <c r="X613" s="98">
        <f t="shared" si="882"/>
        <v>177100</v>
      </c>
      <c r="Y613" s="98">
        <f t="shared" si="883"/>
        <v>204300</v>
      </c>
      <c r="Z613" s="121">
        <v>0</v>
      </c>
      <c r="AA613" s="121">
        <f t="shared" si="556"/>
        <v>6729.8</v>
      </c>
      <c r="AB613" s="121">
        <f t="shared" si="557"/>
        <v>3542</v>
      </c>
      <c r="AC613" s="99">
        <f t="shared" si="8"/>
        <v>20430</v>
      </c>
      <c r="AD613" s="121">
        <f t="shared" si="558"/>
        <v>166828.20000000001</v>
      </c>
      <c r="AE613" s="99">
        <f t="shared" si="10"/>
        <v>183870</v>
      </c>
      <c r="AF613" s="121">
        <f t="shared" si="559"/>
        <v>1668.2820000000002</v>
      </c>
      <c r="AG613" s="100">
        <f t="shared" si="560"/>
        <v>28959.918000000012</v>
      </c>
      <c r="AH613" s="101">
        <f t="shared" si="891"/>
        <v>46001.718000000001</v>
      </c>
      <c r="AI613" s="102">
        <f t="shared" ref="AI613:AJ613" si="911">AG613/X613</f>
        <v>0.16352297007340494</v>
      </c>
      <c r="AJ613" s="102">
        <f t="shared" si="911"/>
        <v>0.22516748898678415</v>
      </c>
      <c r="AK613" s="212">
        <f>X613-X615</f>
        <v>26000</v>
      </c>
      <c r="AL613" s="213"/>
      <c r="AM613" s="4"/>
      <c r="AN613" s="4"/>
      <c r="AO613" s="4"/>
      <c r="AP613" s="4"/>
      <c r="AQ613" s="4"/>
      <c r="AR613" s="4"/>
      <c r="AS613" s="4"/>
      <c r="AT613" s="4"/>
      <c r="AU613" s="4"/>
      <c r="AV613" s="4"/>
      <c r="AW613" s="4"/>
    </row>
    <row r="614" spans="1:49" ht="13.2">
      <c r="A614" s="302"/>
      <c r="B614" s="306"/>
      <c r="C614" s="302"/>
      <c r="D614" s="302"/>
      <c r="E614" s="302"/>
      <c r="F614" s="123" t="s">
        <v>976</v>
      </c>
      <c r="G614" s="124" t="str">
        <f>HYPERLINK("https://www.amazon.com/dp/B07C5FVGHZ/ref=psdc_291227_t1_B07PKR18QB?th=1","A")</f>
        <v>A</v>
      </c>
      <c r="H614" s="125"/>
      <c r="I614" s="125"/>
      <c r="J614" s="125">
        <v>88</v>
      </c>
      <c r="K614" s="82">
        <v>1.55</v>
      </c>
      <c r="L614" s="82">
        <f t="shared" si="904"/>
        <v>24.8</v>
      </c>
      <c r="M614" s="82">
        <f t="shared" si="550"/>
        <v>0.70306760000000001</v>
      </c>
      <c r="N614" s="93">
        <v>0</v>
      </c>
      <c r="O614" s="93">
        <v>0</v>
      </c>
      <c r="P614" s="95">
        <f t="shared" si="899"/>
        <v>88</v>
      </c>
      <c r="Q614" s="96">
        <f t="shared" si="820"/>
        <v>110000</v>
      </c>
      <c r="R614" s="96">
        <v>0</v>
      </c>
      <c r="S614" s="97">
        <f t="shared" si="553"/>
        <v>110000</v>
      </c>
      <c r="T614" s="97">
        <f>ROUNDUP(HLOOKUP(ROUNDUP(K614,0),'배송비 조회'!A$10:AE$22,7,0)*C$3,-2)</f>
        <v>11200</v>
      </c>
      <c r="U614" s="97">
        <v>0</v>
      </c>
      <c r="V614" s="97">
        <f t="shared" si="905"/>
        <v>36400</v>
      </c>
      <c r="W614" s="97">
        <f t="shared" si="890"/>
        <v>60600</v>
      </c>
      <c r="X614" s="98">
        <f t="shared" si="882"/>
        <v>157600</v>
      </c>
      <c r="Y614" s="98">
        <f t="shared" si="883"/>
        <v>181800</v>
      </c>
      <c r="Z614" s="121">
        <v>0</v>
      </c>
      <c r="AA614" s="121">
        <f t="shared" si="556"/>
        <v>5988.8</v>
      </c>
      <c r="AB614" s="121">
        <f t="shared" si="557"/>
        <v>3152</v>
      </c>
      <c r="AC614" s="99">
        <f t="shared" si="8"/>
        <v>18180</v>
      </c>
      <c r="AD614" s="121">
        <f t="shared" si="558"/>
        <v>148459.20000000001</v>
      </c>
      <c r="AE614" s="99">
        <f t="shared" si="10"/>
        <v>163620</v>
      </c>
      <c r="AF614" s="121">
        <f t="shared" si="559"/>
        <v>1484.5920000000001</v>
      </c>
      <c r="AG614" s="100">
        <f t="shared" si="560"/>
        <v>25774.608000000015</v>
      </c>
      <c r="AH614" s="101">
        <f t="shared" si="891"/>
        <v>40935.408000000003</v>
      </c>
      <c r="AI614" s="102">
        <f t="shared" ref="AI614:AJ614" si="912">AG614/X614</f>
        <v>0.16354446700507624</v>
      </c>
      <c r="AJ614" s="102">
        <f t="shared" si="912"/>
        <v>0.22516726072607263</v>
      </c>
      <c r="AK614" s="212">
        <f>X614-X615</f>
        <v>6500</v>
      </c>
      <c r="AL614" s="213"/>
      <c r="AM614" s="4"/>
      <c r="AN614" s="4"/>
      <c r="AO614" s="4"/>
      <c r="AP614" s="4"/>
      <c r="AQ614" s="4"/>
      <c r="AR614" s="4"/>
      <c r="AS614" s="4"/>
      <c r="AT614" s="4"/>
      <c r="AU614" s="4"/>
      <c r="AV614" s="4"/>
      <c r="AW614" s="4"/>
    </row>
    <row r="615" spans="1:49" ht="12.75" customHeight="1">
      <c r="A615" s="302"/>
      <c r="B615" s="306"/>
      <c r="C615" s="302"/>
      <c r="D615" s="302"/>
      <c r="E615" s="302"/>
      <c r="F615" s="123" t="s">
        <v>122</v>
      </c>
      <c r="G615" s="124" t="str">
        <f>HYPERLINK("https://www.amazon.com/dp/B07F1QKK6H/ref=psdc_291227_t1_B07PKR18QB?th=1","A")</f>
        <v>A</v>
      </c>
      <c r="H615" s="125"/>
      <c r="I615" s="125"/>
      <c r="J615" s="125">
        <v>84</v>
      </c>
      <c r="K615" s="82">
        <v>1.55</v>
      </c>
      <c r="L615" s="82">
        <f t="shared" si="904"/>
        <v>24.8</v>
      </c>
      <c r="M615" s="82">
        <f t="shared" si="550"/>
        <v>0.70306760000000001</v>
      </c>
      <c r="N615" s="93">
        <v>0</v>
      </c>
      <c r="O615" s="93">
        <v>0</v>
      </c>
      <c r="P615" s="95">
        <f t="shared" si="899"/>
        <v>84</v>
      </c>
      <c r="Q615" s="96">
        <f t="shared" ref="Q615:Q678" si="913">P615*C$3</f>
        <v>105000</v>
      </c>
      <c r="R615" s="96">
        <v>0</v>
      </c>
      <c r="S615" s="97">
        <f t="shared" si="553"/>
        <v>105000</v>
      </c>
      <c r="T615" s="97">
        <f>ROUNDUP(HLOOKUP(ROUNDUP(K615,0),'배송비 조회'!A$10:AE$22,7,0)*C$3,-2)</f>
        <v>11200</v>
      </c>
      <c r="U615" s="97">
        <v>0</v>
      </c>
      <c r="V615" s="97">
        <f t="shared" si="905"/>
        <v>34900</v>
      </c>
      <c r="W615" s="97">
        <f t="shared" si="890"/>
        <v>58100</v>
      </c>
      <c r="X615" s="98">
        <f t="shared" si="882"/>
        <v>151100</v>
      </c>
      <c r="Y615" s="98">
        <f t="shared" si="883"/>
        <v>174300</v>
      </c>
      <c r="Z615" s="121">
        <v>0</v>
      </c>
      <c r="AA615" s="121">
        <f t="shared" si="556"/>
        <v>5741.8</v>
      </c>
      <c r="AB615" s="121">
        <f t="shared" si="557"/>
        <v>3022</v>
      </c>
      <c r="AC615" s="99">
        <f t="shared" si="8"/>
        <v>17430</v>
      </c>
      <c r="AD615" s="121">
        <f t="shared" si="558"/>
        <v>142336.20000000001</v>
      </c>
      <c r="AE615" s="99">
        <f t="shared" si="10"/>
        <v>156870</v>
      </c>
      <c r="AF615" s="121">
        <f t="shared" si="559"/>
        <v>1423.3620000000001</v>
      </c>
      <c r="AG615" s="100">
        <f t="shared" si="560"/>
        <v>24712.838000000011</v>
      </c>
      <c r="AH615" s="101">
        <f t="shared" si="891"/>
        <v>39246.637999999999</v>
      </c>
      <c r="AI615" s="102">
        <f t="shared" ref="AI615:AJ615" si="914">AG615/X615</f>
        <v>0.16355286565188623</v>
      </c>
      <c r="AJ615" s="102">
        <f t="shared" si="914"/>
        <v>0.22516717154331611</v>
      </c>
      <c r="AK615" s="212"/>
      <c r="AL615" s="213"/>
      <c r="AM615" s="4"/>
      <c r="AN615" s="4"/>
      <c r="AO615" s="4"/>
      <c r="AP615" s="4"/>
      <c r="AQ615" s="4"/>
      <c r="AR615" s="4"/>
      <c r="AS615" s="4"/>
      <c r="AT615" s="4"/>
      <c r="AU615" s="4"/>
      <c r="AV615" s="4"/>
      <c r="AW615" s="4"/>
    </row>
    <row r="616" spans="1:49" ht="13.2">
      <c r="A616" s="302"/>
      <c r="B616" s="306"/>
      <c r="C616" s="302"/>
      <c r="D616" s="302"/>
      <c r="E616" s="302"/>
      <c r="F616" s="123" t="s">
        <v>92</v>
      </c>
      <c r="G616" s="124" t="str">
        <f>HYPERLINK("https://www.amazon.com/dp/B07WJQYVYN/ref=psdc_291227_t1_B07PKR18QB?th=1","A")</f>
        <v>A</v>
      </c>
      <c r="H616" s="125"/>
      <c r="I616" s="125"/>
      <c r="J616" s="125">
        <v>100</v>
      </c>
      <c r="K616" s="82">
        <v>1.55</v>
      </c>
      <c r="L616" s="82">
        <f t="shared" si="904"/>
        <v>24.8</v>
      </c>
      <c r="M616" s="82">
        <f t="shared" si="550"/>
        <v>0.70306760000000001</v>
      </c>
      <c r="N616" s="93">
        <v>0</v>
      </c>
      <c r="O616" s="93">
        <v>0</v>
      </c>
      <c r="P616" s="95">
        <f t="shared" si="899"/>
        <v>100</v>
      </c>
      <c r="Q616" s="96">
        <f t="shared" si="913"/>
        <v>125000</v>
      </c>
      <c r="R616" s="96">
        <v>0</v>
      </c>
      <c r="S616" s="97">
        <f t="shared" si="553"/>
        <v>125000</v>
      </c>
      <c r="T616" s="97">
        <f>ROUNDUP(HLOOKUP(ROUNDUP(K616,0),'배송비 조회'!A$10:AE$22,7,0)*C$3,-2)</f>
        <v>11200</v>
      </c>
      <c r="U616" s="97">
        <v>0</v>
      </c>
      <c r="V616" s="97">
        <f t="shared" si="905"/>
        <v>40900</v>
      </c>
      <c r="W616" s="97">
        <f t="shared" si="890"/>
        <v>68100</v>
      </c>
      <c r="X616" s="98">
        <f t="shared" si="882"/>
        <v>177100</v>
      </c>
      <c r="Y616" s="98">
        <f t="shared" si="883"/>
        <v>204300</v>
      </c>
      <c r="Z616" s="121">
        <v>0</v>
      </c>
      <c r="AA616" s="121">
        <f t="shared" si="556"/>
        <v>6729.8</v>
      </c>
      <c r="AB616" s="121">
        <f t="shared" si="557"/>
        <v>3542</v>
      </c>
      <c r="AC616" s="99">
        <f t="shared" si="8"/>
        <v>20430</v>
      </c>
      <c r="AD616" s="121">
        <f t="shared" si="558"/>
        <v>166828.20000000001</v>
      </c>
      <c r="AE616" s="99">
        <f t="shared" si="10"/>
        <v>183870</v>
      </c>
      <c r="AF616" s="121">
        <f t="shared" si="559"/>
        <v>1668.2820000000002</v>
      </c>
      <c r="AG616" s="100">
        <f t="shared" si="560"/>
        <v>28959.918000000012</v>
      </c>
      <c r="AH616" s="101">
        <f t="shared" si="891"/>
        <v>46001.718000000001</v>
      </c>
      <c r="AI616" s="102">
        <f t="shared" ref="AI616:AJ616" si="915">AG616/X616</f>
        <v>0.16352297007340494</v>
      </c>
      <c r="AJ616" s="102">
        <f t="shared" si="915"/>
        <v>0.22516748898678415</v>
      </c>
      <c r="AK616" s="212">
        <f t="shared" ref="AK616:AK618" si="916">X616-X615</f>
        <v>26000</v>
      </c>
      <c r="AL616" s="213"/>
      <c r="AM616" s="4"/>
      <c r="AN616" s="4"/>
      <c r="AO616" s="4"/>
      <c r="AP616" s="4"/>
      <c r="AQ616" s="4"/>
      <c r="AR616" s="4"/>
      <c r="AS616" s="4"/>
      <c r="AT616" s="4"/>
      <c r="AU616" s="4"/>
      <c r="AV616" s="4"/>
      <c r="AW616" s="4"/>
    </row>
    <row r="617" spans="1:49" ht="13.2">
      <c r="A617" s="302"/>
      <c r="B617" s="306"/>
      <c r="C617" s="302"/>
      <c r="D617" s="302"/>
      <c r="E617" s="302"/>
      <c r="F617" s="123" t="s">
        <v>1226</v>
      </c>
      <c r="G617" s="124" t="str">
        <f>HYPERLINK("https://www.amazon.com/dp/B07QJ7S561/ref=psdc_291227_t1_B07PKR18QB?th=1","A")</f>
        <v>A</v>
      </c>
      <c r="H617" s="125"/>
      <c r="I617" s="125"/>
      <c r="J617" s="125">
        <v>100</v>
      </c>
      <c r="K617" s="82">
        <v>1.55</v>
      </c>
      <c r="L617" s="82">
        <f t="shared" si="904"/>
        <v>24.8</v>
      </c>
      <c r="M617" s="82">
        <f t="shared" si="550"/>
        <v>0.70306760000000001</v>
      </c>
      <c r="N617" s="93">
        <v>0</v>
      </c>
      <c r="O617" s="93">
        <v>0</v>
      </c>
      <c r="P617" s="95">
        <f t="shared" si="899"/>
        <v>100</v>
      </c>
      <c r="Q617" s="96">
        <f t="shared" si="913"/>
        <v>125000</v>
      </c>
      <c r="R617" s="96">
        <v>0</v>
      </c>
      <c r="S617" s="97">
        <f t="shared" si="553"/>
        <v>125000</v>
      </c>
      <c r="T617" s="97">
        <f>ROUNDUP(HLOOKUP(ROUNDUP(K617,0),'배송비 조회'!A$10:AE$22,7,0)*C$3,-2)</f>
        <v>11200</v>
      </c>
      <c r="U617" s="97">
        <v>0</v>
      </c>
      <c r="V617" s="97">
        <f t="shared" si="905"/>
        <v>40900</v>
      </c>
      <c r="W617" s="97">
        <f t="shared" si="890"/>
        <v>68100</v>
      </c>
      <c r="X617" s="98">
        <f t="shared" si="882"/>
        <v>177100</v>
      </c>
      <c r="Y617" s="98">
        <f t="shared" si="883"/>
        <v>204300</v>
      </c>
      <c r="Z617" s="121">
        <v>0</v>
      </c>
      <c r="AA617" s="121">
        <f t="shared" si="556"/>
        <v>6729.8</v>
      </c>
      <c r="AB617" s="121">
        <f t="shared" si="557"/>
        <v>3542</v>
      </c>
      <c r="AC617" s="99">
        <f t="shared" si="8"/>
        <v>20430</v>
      </c>
      <c r="AD617" s="121">
        <f t="shared" si="558"/>
        <v>166828.20000000001</v>
      </c>
      <c r="AE617" s="99">
        <f t="shared" si="10"/>
        <v>183870</v>
      </c>
      <c r="AF617" s="121">
        <f t="shared" si="559"/>
        <v>1668.2820000000002</v>
      </c>
      <c r="AG617" s="100">
        <f t="shared" si="560"/>
        <v>28959.918000000012</v>
      </c>
      <c r="AH617" s="101">
        <f t="shared" si="891"/>
        <v>46001.718000000001</v>
      </c>
      <c r="AI617" s="102">
        <f t="shared" ref="AI617:AJ617" si="917">AG617/X617</f>
        <v>0.16352297007340494</v>
      </c>
      <c r="AJ617" s="102">
        <f t="shared" si="917"/>
        <v>0.22516748898678415</v>
      </c>
      <c r="AK617" s="212">
        <f t="shared" si="916"/>
        <v>0</v>
      </c>
      <c r="AL617" s="213"/>
      <c r="AM617" s="4"/>
      <c r="AN617" s="4"/>
      <c r="AO617" s="4"/>
      <c r="AP617" s="4"/>
      <c r="AQ617" s="4"/>
      <c r="AR617" s="4"/>
      <c r="AS617" s="4"/>
      <c r="AT617" s="4"/>
      <c r="AU617" s="4"/>
      <c r="AV617" s="4"/>
      <c r="AW617" s="4"/>
    </row>
    <row r="618" spans="1:49" ht="13.2">
      <c r="A618" s="302"/>
      <c r="B618" s="306"/>
      <c r="C618" s="302"/>
      <c r="D618" s="302"/>
      <c r="E618" s="302"/>
      <c r="F618" s="123" t="s">
        <v>1223</v>
      </c>
      <c r="G618" s="124" t="str">
        <f>HYPERLINK("https://www.amazon.com/dp/B07NDDFKBC/ref=psdc_291227_t1_B07PKR18QB?th=1","A")</f>
        <v>A</v>
      </c>
      <c r="H618" s="125"/>
      <c r="I618" s="125"/>
      <c r="J618" s="125">
        <v>100</v>
      </c>
      <c r="K618" s="82">
        <v>1.55</v>
      </c>
      <c r="L618" s="82">
        <f t="shared" si="904"/>
        <v>24.8</v>
      </c>
      <c r="M618" s="82">
        <f t="shared" si="550"/>
        <v>0.70306760000000001</v>
      </c>
      <c r="N618" s="93">
        <v>0</v>
      </c>
      <c r="O618" s="93">
        <v>0</v>
      </c>
      <c r="P618" s="95">
        <f t="shared" si="899"/>
        <v>100</v>
      </c>
      <c r="Q618" s="96">
        <f t="shared" si="913"/>
        <v>125000</v>
      </c>
      <c r="R618" s="96">
        <v>0</v>
      </c>
      <c r="S618" s="97">
        <f t="shared" si="553"/>
        <v>125000</v>
      </c>
      <c r="T618" s="97">
        <f>ROUNDUP(HLOOKUP(ROUNDUP(K618,0),'배송비 조회'!A$10:AE$22,7,0)*C$3,-2)</f>
        <v>11200</v>
      </c>
      <c r="U618" s="97">
        <v>0</v>
      </c>
      <c r="V618" s="97">
        <f t="shared" si="905"/>
        <v>40900</v>
      </c>
      <c r="W618" s="97">
        <f t="shared" si="890"/>
        <v>68100</v>
      </c>
      <c r="X618" s="98">
        <f t="shared" si="882"/>
        <v>177100</v>
      </c>
      <c r="Y618" s="98">
        <f t="shared" si="883"/>
        <v>204300</v>
      </c>
      <c r="Z618" s="121">
        <v>0</v>
      </c>
      <c r="AA618" s="121">
        <f t="shared" si="556"/>
        <v>6729.8</v>
      </c>
      <c r="AB618" s="121">
        <f t="shared" si="557"/>
        <v>3542</v>
      </c>
      <c r="AC618" s="99">
        <f t="shared" si="8"/>
        <v>20430</v>
      </c>
      <c r="AD618" s="121">
        <f t="shared" si="558"/>
        <v>166828.20000000001</v>
      </c>
      <c r="AE618" s="99">
        <f t="shared" si="10"/>
        <v>183870</v>
      </c>
      <c r="AF618" s="121">
        <f t="shared" si="559"/>
        <v>1668.2820000000002</v>
      </c>
      <c r="AG618" s="100">
        <f t="shared" si="560"/>
        <v>28959.918000000012</v>
      </c>
      <c r="AH618" s="101">
        <f t="shared" si="891"/>
        <v>46001.718000000001</v>
      </c>
      <c r="AI618" s="102">
        <f t="shared" ref="AI618:AJ618" si="918">AG618/X618</f>
        <v>0.16352297007340494</v>
      </c>
      <c r="AJ618" s="102">
        <f t="shared" si="918"/>
        <v>0.22516748898678415</v>
      </c>
      <c r="AK618" s="212">
        <f t="shared" si="916"/>
        <v>0</v>
      </c>
      <c r="AL618" s="213"/>
      <c r="AM618" s="4"/>
      <c r="AN618" s="4"/>
      <c r="AO618" s="4"/>
      <c r="AP618" s="4"/>
      <c r="AQ618" s="4"/>
      <c r="AR618" s="4"/>
      <c r="AS618" s="4"/>
      <c r="AT618" s="4"/>
      <c r="AU618" s="4"/>
      <c r="AV618" s="4"/>
      <c r="AW618" s="4"/>
    </row>
    <row r="619" spans="1:49" ht="13.2">
      <c r="A619" s="302"/>
      <c r="B619" s="306"/>
      <c r="C619" s="302"/>
      <c r="D619" s="302"/>
      <c r="E619" s="302"/>
      <c r="F619" s="123" t="s">
        <v>98</v>
      </c>
      <c r="G619" s="124" t="str">
        <f>HYPERLINK("https://www.amazon.com/dp/B07C5HY1HJ/ref=psdc_291227_t1_B07PKR18QB?th=1","A")</f>
        <v>A</v>
      </c>
      <c r="H619" s="125"/>
      <c r="I619" s="125"/>
      <c r="J619" s="125">
        <v>88</v>
      </c>
      <c r="K619" s="82">
        <v>1.55</v>
      </c>
      <c r="L619" s="82">
        <f t="shared" si="904"/>
        <v>24.8</v>
      </c>
      <c r="M619" s="82">
        <f t="shared" si="550"/>
        <v>0.70306760000000001</v>
      </c>
      <c r="N619" s="93">
        <v>0</v>
      </c>
      <c r="O619" s="93">
        <v>0</v>
      </c>
      <c r="P619" s="95">
        <f t="shared" si="899"/>
        <v>88</v>
      </c>
      <c r="Q619" s="96">
        <f t="shared" si="913"/>
        <v>110000</v>
      </c>
      <c r="R619" s="96">
        <v>0</v>
      </c>
      <c r="S619" s="97">
        <f t="shared" si="553"/>
        <v>110000</v>
      </c>
      <c r="T619" s="97">
        <f>ROUNDUP(HLOOKUP(ROUNDUP(K619,0),'배송비 조회'!A$10:AE$22,7,0)*C$3,-2)</f>
        <v>11200</v>
      </c>
      <c r="U619" s="97">
        <v>0</v>
      </c>
      <c r="V619" s="97">
        <f t="shared" si="905"/>
        <v>36400</v>
      </c>
      <c r="W619" s="97">
        <f t="shared" si="890"/>
        <v>60600</v>
      </c>
      <c r="X619" s="98">
        <f t="shared" si="882"/>
        <v>157600</v>
      </c>
      <c r="Y619" s="98">
        <f t="shared" si="883"/>
        <v>181800</v>
      </c>
      <c r="Z619" s="121">
        <v>0</v>
      </c>
      <c r="AA619" s="121">
        <f t="shared" si="556"/>
        <v>5988.8</v>
      </c>
      <c r="AB619" s="121">
        <f t="shared" si="557"/>
        <v>3152</v>
      </c>
      <c r="AC619" s="99">
        <f t="shared" si="8"/>
        <v>18180</v>
      </c>
      <c r="AD619" s="121">
        <f t="shared" si="558"/>
        <v>148459.20000000001</v>
      </c>
      <c r="AE619" s="99">
        <f t="shared" si="10"/>
        <v>163620</v>
      </c>
      <c r="AF619" s="121">
        <f t="shared" si="559"/>
        <v>1484.5920000000001</v>
      </c>
      <c r="AG619" s="100">
        <f t="shared" si="560"/>
        <v>25774.608000000015</v>
      </c>
      <c r="AH619" s="101">
        <f t="shared" si="891"/>
        <v>40935.408000000003</v>
      </c>
      <c r="AI619" s="102">
        <f t="shared" ref="AI619:AJ619" si="919">AG619/X619</f>
        <v>0.16354446700507624</v>
      </c>
      <c r="AJ619" s="102">
        <f t="shared" si="919"/>
        <v>0.22516726072607263</v>
      </c>
      <c r="AK619" s="212">
        <f>X619-X615</f>
        <v>6500</v>
      </c>
      <c r="AL619" s="213"/>
      <c r="AM619" s="4"/>
      <c r="AN619" s="4"/>
      <c r="AO619" s="4"/>
      <c r="AP619" s="4"/>
      <c r="AQ619" s="4"/>
      <c r="AR619" s="4"/>
      <c r="AS619" s="4"/>
      <c r="AT619" s="4"/>
      <c r="AU619" s="4"/>
      <c r="AV619" s="4"/>
      <c r="AW619" s="4"/>
    </row>
    <row r="620" spans="1:49" ht="13.2">
      <c r="A620" s="119" t="str">
        <f>HYPERLINK("https://smartstore.naver.com/brickstore2019/products/4732191866","4732191866")</f>
        <v>4732191866</v>
      </c>
      <c r="B620" s="266"/>
      <c r="C620" s="117" t="s">
        <v>1227</v>
      </c>
      <c r="D620" s="117"/>
      <c r="E620" s="117" t="s">
        <v>1228</v>
      </c>
      <c r="F620" s="123"/>
      <c r="G620" s="124" t="str">
        <f>HYPERLINK("https://www.amazon.com/Vacu-Vin-Saver-Vacuum-Stoppers/dp/B00IZ882W2/ref=sr_1_4?keywords=wine+stoppers&amp;qid=1573793176&amp;sr=8-4","A")</f>
        <v>A</v>
      </c>
      <c r="H620" s="125"/>
      <c r="I620" s="125"/>
      <c r="J620" s="93">
        <v>14</v>
      </c>
      <c r="K620" s="82">
        <f>IF(L620&gt;0,L620*0.0625,)</f>
        <v>0.25</v>
      </c>
      <c r="L620" s="82">
        <v>4</v>
      </c>
      <c r="M620" s="82">
        <f t="shared" si="550"/>
        <v>0.113398</v>
      </c>
      <c r="N620" s="93">
        <v>0</v>
      </c>
      <c r="O620" s="93">
        <v>0</v>
      </c>
      <c r="P620" s="95">
        <f t="shared" si="899"/>
        <v>14</v>
      </c>
      <c r="Q620" s="96">
        <f t="shared" si="913"/>
        <v>17500</v>
      </c>
      <c r="R620" s="96">
        <v>0</v>
      </c>
      <c r="S620" s="97">
        <f t="shared" si="553"/>
        <v>17500</v>
      </c>
      <c r="T620" s="97">
        <f>ROUNDUP(HLOOKUP(ROUNDUP(K620,0),'배송비 조회'!A$10:AE$22,7,0)*C$3,-2)</f>
        <v>9000</v>
      </c>
      <c r="U620" s="97">
        <v>0</v>
      </c>
      <c r="V620" s="97">
        <f>ROUND(IF(R616&gt;0,0,(S620+T620)*0.6),-2)</f>
        <v>15900</v>
      </c>
      <c r="W620" s="97">
        <f t="shared" si="890"/>
        <v>13300</v>
      </c>
      <c r="X620" s="98">
        <f t="shared" si="882"/>
        <v>42400</v>
      </c>
      <c r="Y620" s="98">
        <f t="shared" si="883"/>
        <v>39800</v>
      </c>
      <c r="Z620" s="121">
        <v>0</v>
      </c>
      <c r="AA620" s="121">
        <f t="shared" si="556"/>
        <v>1611.2</v>
      </c>
      <c r="AB620" s="121">
        <f t="shared" si="557"/>
        <v>848</v>
      </c>
      <c r="AC620" s="99">
        <f t="shared" si="8"/>
        <v>3980</v>
      </c>
      <c r="AD620" s="121">
        <f t="shared" si="558"/>
        <v>39940.800000000003</v>
      </c>
      <c r="AE620" s="99">
        <f t="shared" si="10"/>
        <v>35820</v>
      </c>
      <c r="AF620" s="121">
        <f t="shared" si="559"/>
        <v>399.40800000000002</v>
      </c>
      <c r="AG620" s="100">
        <f t="shared" si="560"/>
        <v>13041.392000000003</v>
      </c>
      <c r="AH620" s="101">
        <f t="shared" si="891"/>
        <v>8920.5920000000006</v>
      </c>
      <c r="AI620" s="102">
        <f t="shared" ref="AI620:AJ620" si="920">AG620/X620</f>
        <v>0.30758000000000008</v>
      </c>
      <c r="AJ620" s="102">
        <f t="shared" si="920"/>
        <v>0.22413547738693468</v>
      </c>
      <c r="AK620" s="212"/>
      <c r="AL620" s="213"/>
      <c r="AM620" s="4"/>
      <c r="AN620" s="4"/>
      <c r="AO620" s="4"/>
      <c r="AP620" s="4"/>
      <c r="AQ620" s="4"/>
      <c r="AR620" s="4"/>
      <c r="AS620" s="4"/>
      <c r="AT620" s="4"/>
      <c r="AU620" s="4"/>
      <c r="AV620" s="4"/>
      <c r="AW620" s="4"/>
    </row>
    <row r="621" spans="1:49" ht="13.2">
      <c r="A621" s="119" t="str">
        <f>HYPERLINK("https://smartstore.naver.com/brickstore2019/products/4736390294","4736390294")</f>
        <v>4736390294</v>
      </c>
      <c r="B621" s="266"/>
      <c r="C621" s="117" t="s">
        <v>1229</v>
      </c>
      <c r="D621" s="117"/>
      <c r="E621" s="117" t="s">
        <v>1230</v>
      </c>
      <c r="F621" s="123"/>
      <c r="G621" s="124" t="str">
        <f>HYPERLINK("https://www.amazon.com/dp/B07YMKD6SM/ref=cm_sw_r_cp_apa_i_sRr1Db1KJ5H5M?th=1","A")</f>
        <v>A</v>
      </c>
      <c r="H621" s="125"/>
      <c r="I621" s="125"/>
      <c r="J621" s="125">
        <v>170</v>
      </c>
      <c r="K621" s="82">
        <v>2</v>
      </c>
      <c r="L621" s="82">
        <f>IF(K621&gt;0,K621*16,)</f>
        <v>32</v>
      </c>
      <c r="M621" s="82">
        <f t="shared" si="550"/>
        <v>0.90718399999999999</v>
      </c>
      <c r="N621" s="93">
        <v>0</v>
      </c>
      <c r="O621" s="93">
        <v>0</v>
      </c>
      <c r="P621" s="95">
        <f t="shared" si="899"/>
        <v>170</v>
      </c>
      <c r="Q621" s="96">
        <f t="shared" si="913"/>
        <v>212500</v>
      </c>
      <c r="R621" s="96">
        <v>0</v>
      </c>
      <c r="S621" s="97">
        <f t="shared" si="553"/>
        <v>212500</v>
      </c>
      <c r="T621" s="97">
        <f>ROUNDUP(HLOOKUP(ROUNDUP(K621,0),'배송비 조회'!A$10:AE$22,7,0)*C$3,-2)</f>
        <v>11200</v>
      </c>
      <c r="U621" s="97">
        <v>0</v>
      </c>
      <c r="V621" s="97">
        <f>ROUND(IF(R618&gt;0,0,(S621+T621)*0.2),-2)</f>
        <v>44700</v>
      </c>
      <c r="W621" s="97">
        <f t="shared" ref="W621:W622" si="921">ROUND(IF(R618&gt;0,0,(S621+T621)*0.5),-2)</f>
        <v>111900</v>
      </c>
      <c r="X621" s="98">
        <f t="shared" si="882"/>
        <v>268400</v>
      </c>
      <c r="Y621" s="98">
        <f t="shared" si="883"/>
        <v>335600</v>
      </c>
      <c r="Z621" s="121">
        <v>0</v>
      </c>
      <c r="AA621" s="121">
        <f t="shared" si="556"/>
        <v>10199.199999999999</v>
      </c>
      <c r="AB621" s="121">
        <f t="shared" si="557"/>
        <v>5368</v>
      </c>
      <c r="AC621" s="99">
        <f t="shared" si="8"/>
        <v>33560</v>
      </c>
      <c r="AD621" s="121">
        <f t="shared" si="558"/>
        <v>252832.8</v>
      </c>
      <c r="AE621" s="99">
        <f t="shared" si="10"/>
        <v>302040</v>
      </c>
      <c r="AF621" s="121">
        <f t="shared" si="559"/>
        <v>2528.328</v>
      </c>
      <c r="AG621" s="100">
        <f t="shared" si="560"/>
        <v>26604.471999999987</v>
      </c>
      <c r="AH621" s="101">
        <f t="shared" si="891"/>
        <v>75811.672000000006</v>
      </c>
      <c r="AI621" s="102">
        <f t="shared" ref="AI621:AJ621" si="922">AG621/X621</f>
        <v>9.9122473919523058E-2</v>
      </c>
      <c r="AJ621" s="102">
        <f t="shared" si="922"/>
        <v>0.22589890345649585</v>
      </c>
      <c r="AK621" s="212"/>
      <c r="AL621" s="213"/>
      <c r="AM621" s="4"/>
      <c r="AN621" s="4"/>
      <c r="AO621" s="4"/>
      <c r="AP621" s="4"/>
      <c r="AQ621" s="4"/>
      <c r="AR621" s="4"/>
      <c r="AS621" s="4"/>
      <c r="AT621" s="4"/>
      <c r="AU621" s="4"/>
      <c r="AV621" s="4"/>
      <c r="AW621" s="4"/>
    </row>
    <row r="622" spans="1:49" ht="13.2">
      <c r="A622" s="119" t="str">
        <f>HYPERLINK("https://smartstore.naver.com/brickstore2019/products/4736413862","4736413862")</f>
        <v>4736413862</v>
      </c>
      <c r="B622" s="266"/>
      <c r="C622" s="117" t="s">
        <v>1231</v>
      </c>
      <c r="D622" s="117"/>
      <c r="E622" s="117" t="s">
        <v>1232</v>
      </c>
      <c r="F622" s="123"/>
      <c r="G622" s="124" t="str">
        <f>HYPERLINK("https://www.amazon.com/Adonit-Rejection-Pressure-Sensitivity-Programmable/dp/B07YB65VC8/ref=sr_1_12?keywords=Adonit+Note&amp;qid=1572161756&amp;sr=8-12","A")</f>
        <v>A</v>
      </c>
      <c r="H622" s="125"/>
      <c r="I622" s="125"/>
      <c r="J622" s="125">
        <v>70</v>
      </c>
      <c r="K622" s="82">
        <f>IF(L622&gt;0,L622*0.0625,)</f>
        <v>0.3125</v>
      </c>
      <c r="L622" s="82">
        <v>5</v>
      </c>
      <c r="M622" s="82">
        <f t="shared" si="550"/>
        <v>0.1417475</v>
      </c>
      <c r="N622" s="93">
        <v>0</v>
      </c>
      <c r="O622" s="93">
        <v>0</v>
      </c>
      <c r="P622" s="95">
        <f t="shared" si="899"/>
        <v>70</v>
      </c>
      <c r="Q622" s="96">
        <f t="shared" si="913"/>
        <v>87500</v>
      </c>
      <c r="R622" s="96">
        <v>0</v>
      </c>
      <c r="S622" s="97">
        <f t="shared" si="553"/>
        <v>87500</v>
      </c>
      <c r="T622" s="97">
        <f>ROUNDUP(HLOOKUP(ROUNDUP(K622,0),'배송비 조회'!A$10:AE$22,7,0)*C$3,-2)</f>
        <v>9000</v>
      </c>
      <c r="U622" s="97">
        <v>0</v>
      </c>
      <c r="V622" s="97">
        <f t="shared" ref="V622:V625" si="923">ROUND(IF(R619&gt;0,0,(S622+T622)*0.3),-2)</f>
        <v>29000</v>
      </c>
      <c r="W622" s="97">
        <f t="shared" si="921"/>
        <v>48300</v>
      </c>
      <c r="X622" s="98">
        <f t="shared" si="882"/>
        <v>125500</v>
      </c>
      <c r="Y622" s="98">
        <f t="shared" si="883"/>
        <v>144800</v>
      </c>
      <c r="Z622" s="121">
        <v>0</v>
      </c>
      <c r="AA622" s="121">
        <f t="shared" si="556"/>
        <v>4769</v>
      </c>
      <c r="AB622" s="121">
        <f t="shared" si="557"/>
        <v>2510</v>
      </c>
      <c r="AC622" s="99">
        <f t="shared" si="8"/>
        <v>14480</v>
      </c>
      <c r="AD622" s="121">
        <f t="shared" si="558"/>
        <v>118221</v>
      </c>
      <c r="AE622" s="99">
        <f t="shared" si="10"/>
        <v>130320</v>
      </c>
      <c r="AF622" s="121">
        <f t="shared" si="559"/>
        <v>1182.21</v>
      </c>
      <c r="AG622" s="100">
        <f t="shared" si="560"/>
        <v>20538.79</v>
      </c>
      <c r="AH622" s="101">
        <f t="shared" si="891"/>
        <v>32637.79</v>
      </c>
      <c r="AI622" s="102">
        <f t="shared" ref="AI622:AJ622" si="924">AG622/X622</f>
        <v>0.16365569721115539</v>
      </c>
      <c r="AJ622" s="102">
        <f t="shared" si="924"/>
        <v>0.22539910220994475</v>
      </c>
      <c r="AK622" s="212"/>
      <c r="AL622" s="213"/>
      <c r="AM622" s="4"/>
      <c r="AN622" s="4"/>
      <c r="AO622" s="4"/>
      <c r="AP622" s="4"/>
      <c r="AQ622" s="4"/>
      <c r="AR622" s="4"/>
      <c r="AS622" s="4"/>
      <c r="AT622" s="4"/>
      <c r="AU622" s="4"/>
      <c r="AV622" s="4"/>
      <c r="AW622" s="4"/>
    </row>
    <row r="623" spans="1:49" ht="13.2">
      <c r="A623" s="303" t="str">
        <f>HYPERLINK("https://smartstore.naver.com/brickstore2019/products/4736548629","4736548629")</f>
        <v>4736548629</v>
      </c>
      <c r="B623" s="305"/>
      <c r="C623" s="304" t="s">
        <v>1233</v>
      </c>
      <c r="D623" s="304"/>
      <c r="E623" s="304" t="s">
        <v>1234</v>
      </c>
      <c r="F623" s="123" t="s">
        <v>58</v>
      </c>
      <c r="G623" s="124" t="str">
        <f>HYPERLINK("https://www.amazon.com/Wickedbone-Automatic-Interactive-Durable-App-Enabled/dp/B07MR8HC3X/ref=sr_1_1?keywords=Wickedbone%2BSmart%2BBone%2C%2BAutomatic%2B%26%2BInteractive%2BToys%2Bfor%2BDogs&amp;qid=1575526577&amp;sr=8-1&amp;th=1","A")</f>
        <v>A</v>
      </c>
      <c r="H623" s="125"/>
      <c r="I623" s="125"/>
      <c r="J623" s="125">
        <v>99</v>
      </c>
      <c r="K623" s="82">
        <v>1.2</v>
      </c>
      <c r="L623" s="82">
        <f t="shared" ref="L623:L626" si="925">IF(K623&gt;0,K623*16,)</f>
        <v>19.2</v>
      </c>
      <c r="M623" s="82">
        <f t="shared" si="550"/>
        <v>0.54431039999999997</v>
      </c>
      <c r="N623" s="93">
        <v>0</v>
      </c>
      <c r="O623" s="93">
        <v>0</v>
      </c>
      <c r="P623" s="95">
        <f t="shared" si="899"/>
        <v>99</v>
      </c>
      <c r="Q623" s="96">
        <f t="shared" si="913"/>
        <v>123750</v>
      </c>
      <c r="R623" s="96">
        <v>0</v>
      </c>
      <c r="S623" s="97">
        <f t="shared" si="553"/>
        <v>123800</v>
      </c>
      <c r="T623" s="97">
        <f>ROUNDUP(HLOOKUP(ROUNDUP(K623,0),'배송비 조회'!A$10:AE$22,7,0)*C$3,-2)</f>
        <v>11200</v>
      </c>
      <c r="U623" s="97">
        <v>0</v>
      </c>
      <c r="V623" s="97">
        <f t="shared" si="923"/>
        <v>40500</v>
      </c>
      <c r="W623" s="97">
        <f t="shared" ref="W623:W625" si="926">ROUND(IF(R620&gt;0,0,(S623+T623)*0.4),-2)</f>
        <v>54000</v>
      </c>
      <c r="X623" s="98">
        <f t="shared" si="882"/>
        <v>175500</v>
      </c>
      <c r="Y623" s="98">
        <f t="shared" si="883"/>
        <v>189000</v>
      </c>
      <c r="Z623" s="121">
        <v>0</v>
      </c>
      <c r="AA623" s="121">
        <f t="shared" si="556"/>
        <v>6669</v>
      </c>
      <c r="AB623" s="121">
        <f t="shared" si="557"/>
        <v>3510</v>
      </c>
      <c r="AC623" s="99">
        <f t="shared" si="8"/>
        <v>18900</v>
      </c>
      <c r="AD623" s="121">
        <f t="shared" si="558"/>
        <v>165321</v>
      </c>
      <c r="AE623" s="99">
        <f t="shared" si="10"/>
        <v>170100</v>
      </c>
      <c r="AF623" s="121">
        <f t="shared" si="559"/>
        <v>1653.21</v>
      </c>
      <c r="AG623" s="100">
        <f t="shared" si="560"/>
        <v>28717.79</v>
      </c>
      <c r="AH623" s="101">
        <f t="shared" si="891"/>
        <v>33496.79</v>
      </c>
      <c r="AI623" s="102">
        <f t="shared" ref="AI623:AJ623" si="927">AG623/X623</f>
        <v>0.16363413105413105</v>
      </c>
      <c r="AJ623" s="102">
        <f t="shared" si="927"/>
        <v>0.17723169312169312</v>
      </c>
      <c r="AK623" s="212"/>
      <c r="AL623" s="213"/>
      <c r="AM623" s="4"/>
      <c r="AN623" s="4"/>
      <c r="AO623" s="4"/>
      <c r="AP623" s="4"/>
      <c r="AQ623" s="4"/>
      <c r="AR623" s="4"/>
      <c r="AS623" s="4"/>
      <c r="AT623" s="4"/>
      <c r="AU623" s="4"/>
      <c r="AV623" s="4"/>
      <c r="AW623" s="4"/>
    </row>
    <row r="624" spans="1:49" ht="13.2">
      <c r="A624" s="302"/>
      <c r="B624" s="306"/>
      <c r="C624" s="302"/>
      <c r="D624" s="302"/>
      <c r="E624" s="302"/>
      <c r="F624" s="123" t="s">
        <v>98</v>
      </c>
      <c r="G624" s="125" t="s">
        <v>145</v>
      </c>
      <c r="H624" s="125"/>
      <c r="I624" s="125"/>
      <c r="J624" s="125">
        <v>99</v>
      </c>
      <c r="K624" s="82">
        <v>1.2</v>
      </c>
      <c r="L624" s="82">
        <f t="shared" si="925"/>
        <v>19.2</v>
      </c>
      <c r="M624" s="82">
        <f t="shared" si="550"/>
        <v>0.54431039999999997</v>
      </c>
      <c r="N624" s="93">
        <v>0</v>
      </c>
      <c r="O624" s="93">
        <v>0</v>
      </c>
      <c r="P624" s="95">
        <f t="shared" si="899"/>
        <v>99</v>
      </c>
      <c r="Q624" s="96">
        <f t="shared" si="913"/>
        <v>123750</v>
      </c>
      <c r="R624" s="96">
        <v>0</v>
      </c>
      <c r="S624" s="97">
        <f t="shared" si="553"/>
        <v>123800</v>
      </c>
      <c r="T624" s="97">
        <f>ROUNDUP(HLOOKUP(ROUNDUP(K624,0),'배송비 조회'!A$10:AE$22,7,0)*C$3,-2)</f>
        <v>11200</v>
      </c>
      <c r="U624" s="97">
        <v>0</v>
      </c>
      <c r="V624" s="97">
        <f t="shared" si="923"/>
        <v>40500</v>
      </c>
      <c r="W624" s="97">
        <f t="shared" si="926"/>
        <v>54000</v>
      </c>
      <c r="X624" s="98">
        <f t="shared" si="882"/>
        <v>175500</v>
      </c>
      <c r="Y624" s="98">
        <f t="shared" si="883"/>
        <v>189000</v>
      </c>
      <c r="Z624" s="121">
        <v>0</v>
      </c>
      <c r="AA624" s="121">
        <f t="shared" si="556"/>
        <v>6669</v>
      </c>
      <c r="AB624" s="121">
        <f t="shared" si="557"/>
        <v>3510</v>
      </c>
      <c r="AC624" s="99">
        <f t="shared" si="8"/>
        <v>18900</v>
      </c>
      <c r="AD624" s="121">
        <f t="shared" si="558"/>
        <v>165321</v>
      </c>
      <c r="AE624" s="99">
        <f t="shared" si="10"/>
        <v>170100</v>
      </c>
      <c r="AF624" s="121">
        <f t="shared" si="559"/>
        <v>1653.21</v>
      </c>
      <c r="AG624" s="100">
        <f t="shared" si="560"/>
        <v>28717.79</v>
      </c>
      <c r="AH624" s="101">
        <f t="shared" si="891"/>
        <v>33496.79</v>
      </c>
      <c r="AI624" s="102">
        <f t="shared" ref="AI624:AJ624" si="928">AG624/X624</f>
        <v>0.16363413105413105</v>
      </c>
      <c r="AJ624" s="102">
        <f t="shared" si="928"/>
        <v>0.17723169312169312</v>
      </c>
      <c r="AK624" s="212"/>
      <c r="AL624" s="213"/>
      <c r="AM624" s="4"/>
      <c r="AN624" s="4"/>
      <c r="AO624" s="4"/>
      <c r="AP624" s="4"/>
      <c r="AQ624" s="4"/>
      <c r="AR624" s="4"/>
      <c r="AS624" s="4"/>
      <c r="AT624" s="4"/>
      <c r="AU624" s="4"/>
      <c r="AV624" s="4"/>
      <c r="AW624" s="4"/>
    </row>
    <row r="625" spans="1:49" ht="13.2">
      <c r="A625" s="119" t="str">
        <f>HYPERLINK("https://smartstore.naver.com/brickstore2019/products/4736557121","4736557121")</f>
        <v>4736557121</v>
      </c>
      <c r="B625" s="266"/>
      <c r="C625" s="117" t="s">
        <v>1235</v>
      </c>
      <c r="D625" s="117"/>
      <c r="E625" s="117" t="s">
        <v>1236</v>
      </c>
      <c r="F625" s="123"/>
      <c r="G625" s="124" t="str">
        <f>HYPERLINK("https://www.amazon.com/dp/B07H981BSK/ref=twister_B07L69WXT8?_encoding=UTF8&amp;th=1","A")</f>
        <v>A</v>
      </c>
      <c r="H625" s="125"/>
      <c r="I625" s="125"/>
      <c r="J625" s="93">
        <v>80</v>
      </c>
      <c r="K625" s="82">
        <v>1.2</v>
      </c>
      <c r="L625" s="82">
        <f t="shared" si="925"/>
        <v>19.2</v>
      </c>
      <c r="M625" s="82">
        <f t="shared" si="550"/>
        <v>0.54431039999999997</v>
      </c>
      <c r="N625" s="93">
        <v>0</v>
      </c>
      <c r="O625" s="93">
        <v>0</v>
      </c>
      <c r="P625" s="95">
        <f t="shared" si="899"/>
        <v>80</v>
      </c>
      <c r="Q625" s="96">
        <f t="shared" si="913"/>
        <v>100000</v>
      </c>
      <c r="R625" s="96">
        <v>0</v>
      </c>
      <c r="S625" s="97">
        <f t="shared" si="553"/>
        <v>100000</v>
      </c>
      <c r="T625" s="97">
        <f>ROUNDUP(HLOOKUP(ROUNDUP(K625,0),'배송비 조회'!A$10:AE$22,7,0)*C$3,-2)</f>
        <v>11200</v>
      </c>
      <c r="U625" s="97">
        <v>0</v>
      </c>
      <c r="V625" s="97">
        <f t="shared" si="923"/>
        <v>33400</v>
      </c>
      <c r="W625" s="97">
        <f t="shared" si="926"/>
        <v>44500</v>
      </c>
      <c r="X625" s="98">
        <f t="shared" si="882"/>
        <v>144600</v>
      </c>
      <c r="Y625" s="98">
        <f t="shared" si="883"/>
        <v>155700</v>
      </c>
      <c r="Z625" s="121">
        <v>0</v>
      </c>
      <c r="AA625" s="121">
        <f t="shared" si="556"/>
        <v>5494.8</v>
      </c>
      <c r="AB625" s="121">
        <f t="shared" si="557"/>
        <v>2892</v>
      </c>
      <c r="AC625" s="99">
        <f t="shared" si="8"/>
        <v>15570</v>
      </c>
      <c r="AD625" s="121">
        <f t="shared" si="558"/>
        <v>136213.20000000001</v>
      </c>
      <c r="AE625" s="99">
        <f t="shared" si="10"/>
        <v>140130</v>
      </c>
      <c r="AF625" s="121">
        <f t="shared" si="559"/>
        <v>1362.1320000000001</v>
      </c>
      <c r="AG625" s="100">
        <f t="shared" si="560"/>
        <v>23651.068000000014</v>
      </c>
      <c r="AH625" s="101">
        <f t="shared" si="891"/>
        <v>27567.868000000002</v>
      </c>
      <c r="AI625" s="102">
        <f t="shared" ref="AI625:AJ625" si="929">AG625/X625</f>
        <v>0.16356201936376219</v>
      </c>
      <c r="AJ625" s="102">
        <f t="shared" si="929"/>
        <v>0.17705759794476558</v>
      </c>
      <c r="AK625" s="212"/>
      <c r="AL625" s="213"/>
      <c r="AM625" s="4"/>
      <c r="AN625" s="4"/>
      <c r="AO625" s="4"/>
      <c r="AP625" s="4"/>
      <c r="AQ625" s="4"/>
      <c r="AR625" s="4"/>
      <c r="AS625" s="4"/>
      <c r="AT625" s="4"/>
      <c r="AU625" s="4"/>
      <c r="AV625" s="4"/>
      <c r="AW625" s="4"/>
    </row>
    <row r="626" spans="1:49" ht="13.2">
      <c r="A626" s="119" t="str">
        <f>HYPERLINK("https://smartstore.naver.com/brickstore2019/products/4743345075","4743345075")</f>
        <v>4743345075</v>
      </c>
      <c r="B626" s="266"/>
      <c r="C626" s="117" t="s">
        <v>1237</v>
      </c>
      <c r="D626" s="117"/>
      <c r="E626" s="117" t="s">
        <v>1238</v>
      </c>
      <c r="F626" s="123"/>
      <c r="G626" s="124" t="str">
        <f>HYPERLINK("https://www.amazon.com/Inateck-Keyboard-Flexible-Kickstand-Detachable/dp/B07Y21VZF9/ref=sr_1_5?keywords=inateck%2Bkb02010&amp;qid=1574840658&amp;smid=A3C6FYH2UWE3LL&amp;sr=8-5&amp;th=1","A")</f>
        <v>A</v>
      </c>
      <c r="H626" s="125"/>
      <c r="I626" s="125"/>
      <c r="J626" s="125">
        <v>40</v>
      </c>
      <c r="K626" s="82">
        <v>2.5</v>
      </c>
      <c r="L626" s="82">
        <f t="shared" si="925"/>
        <v>40</v>
      </c>
      <c r="M626" s="82">
        <f t="shared" si="550"/>
        <v>1.13398</v>
      </c>
      <c r="N626" s="93">
        <v>0</v>
      </c>
      <c r="O626" s="93">
        <v>0</v>
      </c>
      <c r="P626" s="95">
        <f t="shared" si="899"/>
        <v>40</v>
      </c>
      <c r="Q626" s="96">
        <f t="shared" si="913"/>
        <v>50000</v>
      </c>
      <c r="R626" s="96">
        <v>0</v>
      </c>
      <c r="S626" s="97">
        <f t="shared" si="553"/>
        <v>50000</v>
      </c>
      <c r="T626" s="97">
        <f>ROUNDUP(HLOOKUP(ROUNDUP(K626,0),'배송비 조회'!A$10:AE$22,7,0)*C$3,-2)</f>
        <v>13400</v>
      </c>
      <c r="U626" s="97">
        <v>0</v>
      </c>
      <c r="V626" s="97">
        <f t="shared" ref="V626:V627" si="930">ROUND(IF(R623&gt;0,0,(S626+T626)*0.4),-2)</f>
        <v>25400</v>
      </c>
      <c r="W626" s="97">
        <f t="shared" ref="W626:W627" si="931">ROUND(IF(R623&gt;0,0,(S626+T626)*0.5),-2)</f>
        <v>31700</v>
      </c>
      <c r="X626" s="98">
        <f t="shared" si="882"/>
        <v>88800</v>
      </c>
      <c r="Y626" s="98">
        <f t="shared" si="883"/>
        <v>95100</v>
      </c>
      <c r="Z626" s="121">
        <v>0</v>
      </c>
      <c r="AA626" s="121">
        <f t="shared" si="556"/>
        <v>3374.4</v>
      </c>
      <c r="AB626" s="121">
        <f t="shared" si="557"/>
        <v>1776</v>
      </c>
      <c r="AC626" s="99">
        <f t="shared" si="8"/>
        <v>9510</v>
      </c>
      <c r="AD626" s="121">
        <f t="shared" si="558"/>
        <v>83649.600000000006</v>
      </c>
      <c r="AE626" s="99">
        <f t="shared" si="10"/>
        <v>85590</v>
      </c>
      <c r="AF626" s="121">
        <f t="shared" si="559"/>
        <v>836.49600000000009</v>
      </c>
      <c r="AG626" s="100">
        <f t="shared" si="560"/>
        <v>19413.104000000007</v>
      </c>
      <c r="AH626" s="101">
        <f t="shared" si="891"/>
        <v>21353.504000000001</v>
      </c>
      <c r="AI626" s="102">
        <f t="shared" ref="AI626:AJ626" si="932">AG626/X626</f>
        <v>0.2186160360360361</v>
      </c>
      <c r="AJ626" s="102">
        <f t="shared" si="932"/>
        <v>0.22453737118822292</v>
      </c>
      <c r="AK626" s="212"/>
      <c r="AL626" s="213"/>
      <c r="AM626" s="4"/>
      <c r="AN626" s="4"/>
      <c r="AO626" s="4"/>
      <c r="AP626" s="4"/>
      <c r="AQ626" s="4"/>
      <c r="AR626" s="4"/>
      <c r="AS626" s="4"/>
      <c r="AT626" s="4"/>
      <c r="AU626" s="4"/>
      <c r="AV626" s="4"/>
      <c r="AW626" s="4"/>
    </row>
    <row r="627" spans="1:49" ht="13.2">
      <c r="A627" s="303" t="str">
        <f>HYPERLINK("https://smartstore.naver.com/brickstore2019/products/4743477377","4743477377")</f>
        <v>4743477377</v>
      </c>
      <c r="B627" s="305"/>
      <c r="C627" s="307" t="s">
        <v>1239</v>
      </c>
      <c r="D627" s="304"/>
      <c r="E627" s="304"/>
      <c r="F627" s="123" t="s">
        <v>1240</v>
      </c>
      <c r="G627" s="124" t="str">
        <f>HYPERLINK("https://www.amazon.com/Bezall-Aluminum-Cupcake-Cookie-Baking/dp/B00S0Z8162/ref=sr_1_4?keywords=Egg%2BTart&amp;qid=1574862559&amp;refinements=p_72%3A1248915011&amp;rnid=1248913011&amp;s=home-garden&amp;sr=1-4&amp;th=1","A")</f>
        <v>A</v>
      </c>
      <c r="H627" s="125"/>
      <c r="I627" s="125"/>
      <c r="J627" s="125">
        <v>10</v>
      </c>
      <c r="K627" s="82">
        <f t="shared" ref="K627:K630" si="933">IF(L627&gt;0,L627*0.0625,)</f>
        <v>0.375</v>
      </c>
      <c r="L627" s="82">
        <v>6</v>
      </c>
      <c r="M627" s="82">
        <f t="shared" si="550"/>
        <v>0.170097</v>
      </c>
      <c r="N627" s="93">
        <v>0</v>
      </c>
      <c r="O627" s="93">
        <v>0</v>
      </c>
      <c r="P627" s="95">
        <f t="shared" si="899"/>
        <v>10</v>
      </c>
      <c r="Q627" s="96">
        <f t="shared" si="913"/>
        <v>12500</v>
      </c>
      <c r="R627" s="96">
        <v>0</v>
      </c>
      <c r="S627" s="97">
        <f t="shared" si="553"/>
        <v>12500</v>
      </c>
      <c r="T627" s="97">
        <f>ROUNDUP(HLOOKUP(ROUNDUP(K627,0),'배송비 조회'!A$10:AE$22,7,0)*C$3,-2)</f>
        <v>9000</v>
      </c>
      <c r="U627" s="97">
        <v>0</v>
      </c>
      <c r="V627" s="97">
        <f t="shared" si="930"/>
        <v>8600</v>
      </c>
      <c r="W627" s="97">
        <f t="shared" si="931"/>
        <v>10800</v>
      </c>
      <c r="X627" s="98">
        <f t="shared" si="882"/>
        <v>30100</v>
      </c>
      <c r="Y627" s="98">
        <f t="shared" si="883"/>
        <v>32300</v>
      </c>
      <c r="Z627" s="121">
        <v>0</v>
      </c>
      <c r="AA627" s="121">
        <f t="shared" si="556"/>
        <v>1143.8</v>
      </c>
      <c r="AB627" s="121">
        <f t="shared" si="557"/>
        <v>602</v>
      </c>
      <c r="AC627" s="99">
        <f t="shared" si="8"/>
        <v>3230</v>
      </c>
      <c r="AD627" s="121">
        <f t="shared" si="558"/>
        <v>28354.2</v>
      </c>
      <c r="AE627" s="99">
        <f t="shared" si="10"/>
        <v>29070</v>
      </c>
      <c r="AF627" s="121">
        <f t="shared" si="559"/>
        <v>283.54200000000003</v>
      </c>
      <c r="AG627" s="100">
        <f t="shared" si="560"/>
        <v>6570.6580000000013</v>
      </c>
      <c r="AH627" s="101">
        <f t="shared" si="891"/>
        <v>7286.4580000000005</v>
      </c>
      <c r="AI627" s="102">
        <f t="shared" ref="AI627:AJ627" si="934">AG627/X627</f>
        <v>0.21829428571428575</v>
      </c>
      <c r="AJ627" s="102">
        <f t="shared" si="934"/>
        <v>0.22558693498452015</v>
      </c>
      <c r="AK627" s="212">
        <f t="shared" ref="AK627:AK628" si="935">X627-T627</f>
        <v>21100</v>
      </c>
      <c r="AL627" s="168" t="s">
        <v>1241</v>
      </c>
      <c r="AM627" s="4"/>
      <c r="AN627" s="4"/>
      <c r="AO627" s="4"/>
      <c r="AP627" s="4"/>
      <c r="AQ627" s="4"/>
      <c r="AR627" s="4"/>
      <c r="AS627" s="4"/>
      <c r="AT627" s="4"/>
      <c r="AU627" s="4"/>
      <c r="AV627" s="4"/>
      <c r="AW627" s="4"/>
    </row>
    <row r="628" spans="1:49" ht="13.2">
      <c r="A628" s="302"/>
      <c r="B628" s="306"/>
      <c r="C628" s="302"/>
      <c r="D628" s="302"/>
      <c r="E628" s="302"/>
      <c r="F628" s="123" t="s">
        <v>1242</v>
      </c>
      <c r="G628" s="124" t="str">
        <f>HYPERLINK("https://www.amazon.com/Bezall-Aluminum-Cupcake-Cookie-Baking/dp/B00SKX0M3E/ref=sr_1_4?keywords=Egg%2BTart&amp;qid=1574862559&amp;refinements=p_72%3A1248915011&amp;rnid=1248913011&amp;s=home-garden&amp;sr=1-4&amp;th=1","A")</f>
        <v>A</v>
      </c>
      <c r="H628" s="125"/>
      <c r="I628" s="125"/>
      <c r="J628" s="125">
        <v>10</v>
      </c>
      <c r="K628" s="82">
        <f t="shared" si="933"/>
        <v>0.375</v>
      </c>
      <c r="L628" s="82">
        <v>6</v>
      </c>
      <c r="M628" s="82">
        <f t="shared" si="550"/>
        <v>0.170097</v>
      </c>
      <c r="N628" s="93">
        <v>0</v>
      </c>
      <c r="O628" s="93">
        <v>0</v>
      </c>
      <c r="P628" s="95">
        <f t="shared" si="899"/>
        <v>10</v>
      </c>
      <c r="Q628" s="96">
        <f t="shared" si="913"/>
        <v>12500</v>
      </c>
      <c r="R628" s="96">
        <v>0</v>
      </c>
      <c r="S628" s="97">
        <f t="shared" si="553"/>
        <v>12500</v>
      </c>
      <c r="T628" s="97">
        <f>ROUNDUP(HLOOKUP(ROUNDUP(K628,0),'배송비 조회'!A$10:AE$22,7,0)*C$3,-2)</f>
        <v>9000</v>
      </c>
      <c r="U628" s="97">
        <v>0</v>
      </c>
      <c r="V628" s="97">
        <f t="shared" ref="V628:V630" si="936">ROUND(IF(R624&gt;0,0,(S628+T628)*0.4),-2)</f>
        <v>8600</v>
      </c>
      <c r="W628" s="97">
        <f t="shared" ref="W628:W638" si="937">ROUND(IF(R624&gt;0,0,(S628+T628)*0.5),-2)</f>
        <v>10800</v>
      </c>
      <c r="X628" s="98">
        <f t="shared" si="882"/>
        <v>30100</v>
      </c>
      <c r="Y628" s="98">
        <f t="shared" si="883"/>
        <v>32300</v>
      </c>
      <c r="Z628" s="121">
        <v>0</v>
      </c>
      <c r="AA628" s="121">
        <f t="shared" si="556"/>
        <v>1143.8</v>
      </c>
      <c r="AB628" s="121">
        <f t="shared" si="557"/>
        <v>602</v>
      </c>
      <c r="AC628" s="99">
        <f t="shared" si="8"/>
        <v>3230</v>
      </c>
      <c r="AD628" s="121">
        <f t="shared" si="558"/>
        <v>28354.2</v>
      </c>
      <c r="AE628" s="99">
        <f t="shared" si="10"/>
        <v>29070</v>
      </c>
      <c r="AF628" s="121">
        <f t="shared" si="559"/>
        <v>283.54200000000003</v>
      </c>
      <c r="AG628" s="100">
        <f t="shared" si="560"/>
        <v>6570.6580000000013</v>
      </c>
      <c r="AH628" s="101">
        <f t="shared" si="891"/>
        <v>7286.4580000000005</v>
      </c>
      <c r="AI628" s="102">
        <f t="shared" ref="AI628:AJ628" si="938">AG628/X628</f>
        <v>0.21829428571428575</v>
      </c>
      <c r="AJ628" s="102">
        <f t="shared" si="938"/>
        <v>0.22558693498452015</v>
      </c>
      <c r="AK628" s="212">
        <f t="shared" si="935"/>
        <v>21100</v>
      </c>
      <c r="AL628" s="213"/>
      <c r="AM628" s="4"/>
      <c r="AN628" s="4"/>
      <c r="AO628" s="4"/>
      <c r="AP628" s="4"/>
      <c r="AQ628" s="4"/>
      <c r="AR628" s="4"/>
      <c r="AS628" s="4"/>
      <c r="AT628" s="4"/>
      <c r="AU628" s="4"/>
      <c r="AV628" s="4"/>
      <c r="AW628" s="4"/>
    </row>
    <row r="629" spans="1:49" ht="13.2">
      <c r="A629" s="303" t="str">
        <f>HYPERLINK("https://smartstore.naver.com/brickstore2019/products/4743529376","4743529376")</f>
        <v>4743529376</v>
      </c>
      <c r="B629" s="305"/>
      <c r="C629" s="304" t="s">
        <v>1243</v>
      </c>
      <c r="D629" s="304"/>
      <c r="E629" s="304" t="s">
        <v>1244</v>
      </c>
      <c r="F629" s="123" t="s">
        <v>1245</v>
      </c>
      <c r="G629" s="124" t="str">
        <f>HYPERLINK("https://www.amazon.com/Amytalk-Upgrade-Bigger-0-9inch-Cupcake/dp/B07L5TT6LR/ref=sr_1_9?keywords=Egg%2BTart&amp;qid=1574862559&amp;refinements=p_72%3A1248915011&amp;rnid=1248913011&amp;s=home-garden&amp;sr=1-9&amp;th=1","A")</f>
        <v>A</v>
      </c>
      <c r="H629" s="125"/>
      <c r="I629" s="125"/>
      <c r="J629" s="125">
        <v>15</v>
      </c>
      <c r="K629" s="82">
        <f t="shared" si="933"/>
        <v>0.6875</v>
      </c>
      <c r="L629" s="82">
        <v>11</v>
      </c>
      <c r="M629" s="82">
        <f t="shared" si="550"/>
        <v>0.31184449999999997</v>
      </c>
      <c r="N629" s="93">
        <v>0</v>
      </c>
      <c r="O629" s="93">
        <v>0</v>
      </c>
      <c r="P629" s="95">
        <f t="shared" si="899"/>
        <v>15</v>
      </c>
      <c r="Q629" s="96">
        <f t="shared" si="913"/>
        <v>18750</v>
      </c>
      <c r="R629" s="96">
        <v>0</v>
      </c>
      <c r="S629" s="97">
        <f t="shared" si="553"/>
        <v>18800</v>
      </c>
      <c r="T629" s="97">
        <f>ROUNDUP(HLOOKUP(ROUNDUP(K629,0),'배송비 조회'!A$10:AE$22,7,0)*C$3,-2)</f>
        <v>9000</v>
      </c>
      <c r="U629" s="97">
        <v>0</v>
      </c>
      <c r="V629" s="97">
        <f t="shared" si="936"/>
        <v>11100</v>
      </c>
      <c r="W629" s="97">
        <f t="shared" si="937"/>
        <v>13900</v>
      </c>
      <c r="X629" s="98">
        <f t="shared" si="882"/>
        <v>38900</v>
      </c>
      <c r="Y629" s="98">
        <f t="shared" si="883"/>
        <v>41700</v>
      </c>
      <c r="Z629" s="121">
        <v>0</v>
      </c>
      <c r="AA629" s="121">
        <f t="shared" si="556"/>
        <v>1478.2</v>
      </c>
      <c r="AB629" s="121">
        <f t="shared" si="557"/>
        <v>778</v>
      </c>
      <c r="AC629" s="99">
        <f t="shared" si="8"/>
        <v>4170</v>
      </c>
      <c r="AD629" s="121">
        <f t="shared" si="558"/>
        <v>36643.800000000003</v>
      </c>
      <c r="AE629" s="99">
        <f t="shared" si="10"/>
        <v>37530</v>
      </c>
      <c r="AF629" s="121">
        <f t="shared" si="559"/>
        <v>366.43800000000005</v>
      </c>
      <c r="AG629" s="100">
        <f t="shared" si="560"/>
        <v>8527.3620000000046</v>
      </c>
      <c r="AH629" s="101">
        <f t="shared" si="891"/>
        <v>9413.5620000000017</v>
      </c>
      <c r="AI629" s="102">
        <f t="shared" ref="AI629:AJ629" si="939">AG629/X629</f>
        <v>0.21921239074550142</v>
      </c>
      <c r="AJ629" s="102">
        <f t="shared" si="939"/>
        <v>0.22574489208633097</v>
      </c>
      <c r="AK629" s="212"/>
      <c r="AL629" s="213"/>
      <c r="AM629" s="4"/>
      <c r="AN629" s="4"/>
      <c r="AO629" s="4"/>
      <c r="AP629" s="4"/>
      <c r="AQ629" s="4"/>
      <c r="AR629" s="4"/>
      <c r="AS629" s="4"/>
      <c r="AT629" s="4"/>
      <c r="AU629" s="4"/>
      <c r="AV629" s="4"/>
      <c r="AW629" s="4"/>
    </row>
    <row r="630" spans="1:49" ht="13.2">
      <c r="A630" s="302"/>
      <c r="B630" s="306"/>
      <c r="C630" s="302"/>
      <c r="D630" s="302"/>
      <c r="E630" s="302"/>
      <c r="F630" s="123" t="s">
        <v>1246</v>
      </c>
      <c r="G630" s="124" t="str">
        <f>HYPERLINK("https://www.amazon.com/Amytalk-Upgrade-Bigger-0-9inch-Cupcake/dp/B07RFKNLXT/ref=sr_1_9?keywords=Egg%2BTart&amp;qid=1574862559&amp;refinements=p_72%3A1248915011&amp;rnid=1248913011&amp;s=home-garden&amp;sr=1-9&amp;th=1","A")</f>
        <v>A</v>
      </c>
      <c r="H630" s="125"/>
      <c r="I630" s="125"/>
      <c r="J630" s="125">
        <v>17</v>
      </c>
      <c r="K630" s="82">
        <f t="shared" si="933"/>
        <v>0.6875</v>
      </c>
      <c r="L630" s="82">
        <v>11</v>
      </c>
      <c r="M630" s="82">
        <f t="shared" si="550"/>
        <v>0.31184449999999997</v>
      </c>
      <c r="N630" s="93">
        <v>0</v>
      </c>
      <c r="O630" s="93">
        <v>0</v>
      </c>
      <c r="P630" s="95">
        <f t="shared" si="899"/>
        <v>17</v>
      </c>
      <c r="Q630" s="96">
        <f t="shared" si="913"/>
        <v>21250</v>
      </c>
      <c r="R630" s="96">
        <v>0</v>
      </c>
      <c r="S630" s="97">
        <f t="shared" si="553"/>
        <v>21300</v>
      </c>
      <c r="T630" s="97">
        <f>ROUNDUP(HLOOKUP(ROUNDUP(K630,0),'배송비 조회'!A$10:AE$22,7,0)*C$3,-2)</f>
        <v>9000</v>
      </c>
      <c r="U630" s="97">
        <v>0</v>
      </c>
      <c r="V630" s="97">
        <f t="shared" si="936"/>
        <v>12100</v>
      </c>
      <c r="W630" s="97">
        <f t="shared" si="937"/>
        <v>15200</v>
      </c>
      <c r="X630" s="98">
        <f t="shared" si="882"/>
        <v>42400</v>
      </c>
      <c r="Y630" s="98">
        <f t="shared" si="883"/>
        <v>45500</v>
      </c>
      <c r="Z630" s="121">
        <v>0</v>
      </c>
      <c r="AA630" s="121">
        <f t="shared" si="556"/>
        <v>1611.2</v>
      </c>
      <c r="AB630" s="121">
        <f t="shared" si="557"/>
        <v>848</v>
      </c>
      <c r="AC630" s="99">
        <f t="shared" si="8"/>
        <v>4550</v>
      </c>
      <c r="AD630" s="121">
        <f t="shared" si="558"/>
        <v>39940.800000000003</v>
      </c>
      <c r="AE630" s="99">
        <f t="shared" si="10"/>
        <v>40950</v>
      </c>
      <c r="AF630" s="121">
        <f t="shared" si="559"/>
        <v>399.40800000000002</v>
      </c>
      <c r="AG630" s="100">
        <f t="shared" si="560"/>
        <v>9291.3920000000035</v>
      </c>
      <c r="AH630" s="101">
        <f t="shared" si="891"/>
        <v>10300.592000000001</v>
      </c>
      <c r="AI630" s="102">
        <f t="shared" ref="AI630:AJ630" si="940">AG630/X630</f>
        <v>0.21913660377358499</v>
      </c>
      <c r="AJ630" s="102">
        <f t="shared" si="940"/>
        <v>0.22638663736263737</v>
      </c>
      <c r="AK630" s="212"/>
      <c r="AL630" s="213"/>
      <c r="AM630" s="4"/>
      <c r="AN630" s="4"/>
      <c r="AO630" s="4"/>
      <c r="AP630" s="4"/>
      <c r="AQ630" s="4"/>
      <c r="AR630" s="4"/>
      <c r="AS630" s="4"/>
      <c r="AT630" s="4"/>
      <c r="AU630" s="4"/>
      <c r="AV630" s="4"/>
      <c r="AW630" s="4"/>
    </row>
    <row r="631" spans="1:49" ht="13.2">
      <c r="A631" s="119" t="str">
        <f>HYPERLINK("https://smartstore.naver.com/brickstore2019/products/4744641840","4744641840")</f>
        <v>4744641840</v>
      </c>
      <c r="B631" s="266"/>
      <c r="C631" s="117" t="s">
        <v>1247</v>
      </c>
      <c r="D631" s="117"/>
      <c r="E631" s="117" t="s">
        <v>1248</v>
      </c>
      <c r="F631" s="123"/>
      <c r="G631" s="124" t="str">
        <f>HYPERLINK("https://www.amazon.com/dp/B07YSWZNNW/ref=cm_sw_r_cp_apa_i_bQ63Db61JCSW5","A")</f>
        <v>A</v>
      </c>
      <c r="H631" s="125"/>
      <c r="I631" s="125"/>
      <c r="J631" s="125">
        <v>80</v>
      </c>
      <c r="K631" s="82">
        <v>2</v>
      </c>
      <c r="L631" s="82">
        <f t="shared" ref="L631:L638" si="941">IF(K631&gt;0,K631*16,)</f>
        <v>32</v>
      </c>
      <c r="M631" s="82">
        <f t="shared" si="550"/>
        <v>0.90718399999999999</v>
      </c>
      <c r="N631" s="93">
        <v>0</v>
      </c>
      <c r="O631" s="93">
        <v>0</v>
      </c>
      <c r="P631" s="95">
        <f t="shared" si="899"/>
        <v>80</v>
      </c>
      <c r="Q631" s="96">
        <f t="shared" si="913"/>
        <v>100000</v>
      </c>
      <c r="R631" s="96">
        <v>0</v>
      </c>
      <c r="S631" s="97">
        <f t="shared" si="553"/>
        <v>100000</v>
      </c>
      <c r="T631" s="97">
        <f>ROUNDUP(HLOOKUP(ROUNDUP(K631,0),'배송비 조회'!A$10:AE$22,7,0)*C$3,-2)</f>
        <v>11200</v>
      </c>
      <c r="U631" s="97">
        <v>0</v>
      </c>
      <c r="V631" s="97">
        <f>ROUND(IF(R627&gt;0,0,(S631+T631)*0.3),-2)</f>
        <v>33400</v>
      </c>
      <c r="W631" s="97">
        <f t="shared" si="937"/>
        <v>55600</v>
      </c>
      <c r="X631" s="98">
        <f t="shared" si="882"/>
        <v>144600</v>
      </c>
      <c r="Y631" s="98">
        <f t="shared" si="883"/>
        <v>166800</v>
      </c>
      <c r="Z631" s="121">
        <v>0</v>
      </c>
      <c r="AA631" s="121">
        <f t="shared" si="556"/>
        <v>5494.8</v>
      </c>
      <c r="AB631" s="121">
        <f t="shared" si="557"/>
        <v>2892</v>
      </c>
      <c r="AC631" s="99">
        <f t="shared" si="8"/>
        <v>16680</v>
      </c>
      <c r="AD631" s="121">
        <f t="shared" si="558"/>
        <v>136213.20000000001</v>
      </c>
      <c r="AE631" s="99">
        <f t="shared" si="10"/>
        <v>150120</v>
      </c>
      <c r="AF631" s="121">
        <f t="shared" si="559"/>
        <v>1362.1320000000001</v>
      </c>
      <c r="AG631" s="100">
        <f t="shared" si="560"/>
        <v>23651.068000000014</v>
      </c>
      <c r="AH631" s="101">
        <f t="shared" si="891"/>
        <v>37557.868000000002</v>
      </c>
      <c r="AI631" s="102">
        <f t="shared" ref="AI631:AJ631" si="942">AG631/X631</f>
        <v>0.16356201936376219</v>
      </c>
      <c r="AJ631" s="102">
        <f t="shared" si="942"/>
        <v>0.2251670743405276</v>
      </c>
      <c r="AK631" s="212"/>
      <c r="AL631" s="213"/>
      <c r="AM631" s="4"/>
      <c r="AN631" s="4"/>
      <c r="AO631" s="4"/>
      <c r="AP631" s="4"/>
      <c r="AQ631" s="4"/>
      <c r="AR631" s="4"/>
      <c r="AS631" s="4"/>
      <c r="AT631" s="4"/>
      <c r="AU631" s="4"/>
      <c r="AV631" s="4"/>
      <c r="AW631" s="4"/>
    </row>
    <row r="632" spans="1:49" ht="13.2">
      <c r="A632" s="303" t="str">
        <f>HYPERLINK("https://smartstore.naver.com/brickstore2019/products/4744701679","4744701679")</f>
        <v>4744701679</v>
      </c>
      <c r="B632" s="305"/>
      <c r="C632" s="304" t="s">
        <v>1249</v>
      </c>
      <c r="D632" s="304"/>
      <c r="E632" s="304" t="s">
        <v>1250</v>
      </c>
      <c r="F632" s="123" t="s">
        <v>1251</v>
      </c>
      <c r="G632" s="124" t="str">
        <f>HYPERLINK("https://www.amazon.com/LARQ-Bottle-Self-Cleaning-Purification-System/dp/B00CWXPEPE/ref=zg_bsnr_boost_6?_encoding=UTF8&amp;refRID=3FJY8B1DR64G62RCYGX4&amp;th=1&amp;psc=1","A")</f>
        <v>A</v>
      </c>
      <c r="H632" s="125"/>
      <c r="I632" s="125"/>
      <c r="J632" s="201">
        <v>95</v>
      </c>
      <c r="K632" s="82">
        <v>1.4</v>
      </c>
      <c r="L632" s="82">
        <f t="shared" si="941"/>
        <v>22.4</v>
      </c>
      <c r="M632" s="82">
        <f t="shared" si="550"/>
        <v>0.63502879999999995</v>
      </c>
      <c r="N632" s="93">
        <v>0</v>
      </c>
      <c r="O632" s="93">
        <v>0</v>
      </c>
      <c r="P632" s="95">
        <f t="shared" si="899"/>
        <v>95</v>
      </c>
      <c r="Q632" s="96">
        <f t="shared" si="913"/>
        <v>118750</v>
      </c>
      <c r="R632" s="96">
        <v>0</v>
      </c>
      <c r="S632" s="97">
        <f t="shared" si="553"/>
        <v>118800</v>
      </c>
      <c r="T632" s="97">
        <f>ROUNDUP(HLOOKUP(ROUNDUP(K632,0),'배송비 조회'!A$10:AE$22,7,0)*C$3,-2)</f>
        <v>11200</v>
      </c>
      <c r="U632" s="97">
        <v>0</v>
      </c>
      <c r="V632" s="97">
        <f t="shared" ref="V632:V637" si="943">ROUND(IF(R628&gt;0,0,(S632+T632)*0.2),-2)</f>
        <v>26000</v>
      </c>
      <c r="W632" s="97">
        <f t="shared" si="937"/>
        <v>65000</v>
      </c>
      <c r="X632" s="98">
        <f t="shared" si="882"/>
        <v>156000</v>
      </c>
      <c r="Y632" s="98">
        <f t="shared" si="883"/>
        <v>195000</v>
      </c>
      <c r="Z632" s="121">
        <v>0</v>
      </c>
      <c r="AA632" s="121">
        <f t="shared" si="556"/>
        <v>5928</v>
      </c>
      <c r="AB632" s="121">
        <f t="shared" si="557"/>
        <v>3120</v>
      </c>
      <c r="AC632" s="99">
        <f t="shared" si="8"/>
        <v>19500</v>
      </c>
      <c r="AD632" s="121">
        <f t="shared" si="558"/>
        <v>146952</v>
      </c>
      <c r="AE632" s="99">
        <f t="shared" si="10"/>
        <v>175500</v>
      </c>
      <c r="AF632" s="121">
        <f t="shared" si="559"/>
        <v>1469.52</v>
      </c>
      <c r="AG632" s="100">
        <f t="shared" si="560"/>
        <v>15532.48</v>
      </c>
      <c r="AH632" s="101">
        <f t="shared" si="891"/>
        <v>44080.480000000003</v>
      </c>
      <c r="AI632" s="102">
        <f t="shared" ref="AI632:AJ632" si="944">AG632/X632</f>
        <v>9.9567179487179483E-2</v>
      </c>
      <c r="AJ632" s="102">
        <f t="shared" si="944"/>
        <v>0.22605374358974362</v>
      </c>
      <c r="AK632" s="212"/>
      <c r="AL632" s="213"/>
      <c r="AM632" s="4"/>
      <c r="AN632" s="4"/>
      <c r="AO632" s="4"/>
      <c r="AP632" s="4"/>
      <c r="AQ632" s="4"/>
      <c r="AR632" s="4"/>
      <c r="AS632" s="4"/>
      <c r="AT632" s="4"/>
      <c r="AU632" s="4"/>
      <c r="AV632" s="4"/>
      <c r="AW632" s="4"/>
    </row>
    <row r="633" spans="1:49" ht="13.2">
      <c r="A633" s="302"/>
      <c r="B633" s="306"/>
      <c r="C633" s="302"/>
      <c r="D633" s="302"/>
      <c r="E633" s="302"/>
      <c r="F633" s="123" t="s">
        <v>1252</v>
      </c>
      <c r="G633" s="124" t="str">
        <f>HYPERLINK("https://www.amazon.com/LARQ-Bottle-Self-Cleaning-Purification-System/dp/B07YGWVGPD/ref=zg_bsnr_boost_6?_encoding=UTF8&amp;refRID=3FJY8B1DR64G62RCYGX4&amp;th=1&amp;psc=1","A")</f>
        <v>A</v>
      </c>
      <c r="H633" s="125"/>
      <c r="I633" s="125"/>
      <c r="J633" s="201">
        <v>95</v>
      </c>
      <c r="K633" s="82">
        <v>1.4</v>
      </c>
      <c r="L633" s="82">
        <f t="shared" si="941"/>
        <v>22.4</v>
      </c>
      <c r="M633" s="82">
        <f t="shared" si="550"/>
        <v>0.63502879999999995</v>
      </c>
      <c r="N633" s="93">
        <v>0</v>
      </c>
      <c r="O633" s="93">
        <v>0</v>
      </c>
      <c r="P633" s="95">
        <f t="shared" si="899"/>
        <v>95</v>
      </c>
      <c r="Q633" s="96">
        <f t="shared" si="913"/>
        <v>118750</v>
      </c>
      <c r="R633" s="96">
        <v>0</v>
      </c>
      <c r="S633" s="97">
        <f t="shared" si="553"/>
        <v>118800</v>
      </c>
      <c r="T633" s="97">
        <f>ROUNDUP(HLOOKUP(ROUNDUP(K633,0),'배송비 조회'!A$10:AE$22,7,0)*C$3,-2)</f>
        <v>11200</v>
      </c>
      <c r="U633" s="97">
        <v>0</v>
      </c>
      <c r="V633" s="97">
        <f t="shared" si="943"/>
        <v>26000</v>
      </c>
      <c r="W633" s="97">
        <f t="shared" si="937"/>
        <v>65000</v>
      </c>
      <c r="X633" s="98">
        <f t="shared" si="882"/>
        <v>156000</v>
      </c>
      <c r="Y633" s="98">
        <f t="shared" si="883"/>
        <v>195000</v>
      </c>
      <c r="Z633" s="121">
        <v>0</v>
      </c>
      <c r="AA633" s="121">
        <f t="shared" si="556"/>
        <v>5928</v>
      </c>
      <c r="AB633" s="121">
        <f t="shared" si="557"/>
        <v>3120</v>
      </c>
      <c r="AC633" s="99">
        <f t="shared" si="8"/>
        <v>19500</v>
      </c>
      <c r="AD633" s="121">
        <f t="shared" si="558"/>
        <v>146952</v>
      </c>
      <c r="AE633" s="99">
        <f t="shared" si="10"/>
        <v>175500</v>
      </c>
      <c r="AF633" s="121">
        <f t="shared" si="559"/>
        <v>1469.52</v>
      </c>
      <c r="AG633" s="100">
        <f t="shared" si="560"/>
        <v>15532.48</v>
      </c>
      <c r="AH633" s="101">
        <f t="shared" si="891"/>
        <v>44080.480000000003</v>
      </c>
      <c r="AI633" s="102">
        <f t="shared" ref="AI633:AJ633" si="945">AG633/X633</f>
        <v>9.9567179487179483E-2</v>
      </c>
      <c r="AJ633" s="102">
        <f t="shared" si="945"/>
        <v>0.22605374358974362</v>
      </c>
      <c r="AK633" s="212"/>
      <c r="AL633" s="213"/>
      <c r="AM633" s="4"/>
      <c r="AN633" s="4"/>
      <c r="AO633" s="4"/>
      <c r="AP633" s="4"/>
      <c r="AQ633" s="4"/>
      <c r="AR633" s="4"/>
      <c r="AS633" s="4"/>
      <c r="AT633" s="4"/>
      <c r="AU633" s="4"/>
      <c r="AV633" s="4"/>
      <c r="AW633" s="4"/>
    </row>
    <row r="634" spans="1:49" ht="13.2">
      <c r="A634" s="302"/>
      <c r="B634" s="306"/>
      <c r="C634" s="302"/>
      <c r="D634" s="302"/>
      <c r="E634" s="302"/>
      <c r="F634" s="123" t="s">
        <v>1253</v>
      </c>
      <c r="G634" s="124" t="str">
        <f>HYPERLINK("https://www.amazon.com/LARQ-Bottle-Self-Cleaning-Purification-System/dp/B07YGVR8QL/ref=zg_bsnr_boost_6?_encoding=UTF8&amp;refRID=3FJY8B1DR64G62RCYGX4&amp;th=1&amp;psc=1","A")</f>
        <v>A</v>
      </c>
      <c r="H634" s="125"/>
      <c r="I634" s="125"/>
      <c r="J634" s="201">
        <v>95</v>
      </c>
      <c r="K634" s="82">
        <v>1.4</v>
      </c>
      <c r="L634" s="82">
        <f t="shared" si="941"/>
        <v>22.4</v>
      </c>
      <c r="M634" s="82">
        <f t="shared" si="550"/>
        <v>0.63502879999999995</v>
      </c>
      <c r="N634" s="93">
        <v>0</v>
      </c>
      <c r="O634" s="93">
        <v>0</v>
      </c>
      <c r="P634" s="95">
        <f t="shared" si="899"/>
        <v>95</v>
      </c>
      <c r="Q634" s="96">
        <f t="shared" si="913"/>
        <v>118750</v>
      </c>
      <c r="R634" s="96">
        <v>0</v>
      </c>
      <c r="S634" s="97">
        <f t="shared" si="553"/>
        <v>118800</v>
      </c>
      <c r="T634" s="97">
        <f>ROUNDUP(HLOOKUP(ROUNDUP(K634,0),'배송비 조회'!A$10:AE$22,7,0)*C$3,-2)</f>
        <v>11200</v>
      </c>
      <c r="U634" s="97">
        <v>0</v>
      </c>
      <c r="V634" s="97">
        <f t="shared" si="943"/>
        <v>26000</v>
      </c>
      <c r="W634" s="97">
        <f t="shared" si="937"/>
        <v>65000</v>
      </c>
      <c r="X634" s="98">
        <f t="shared" si="882"/>
        <v>156000</v>
      </c>
      <c r="Y634" s="98">
        <f t="shared" si="883"/>
        <v>195000</v>
      </c>
      <c r="Z634" s="121">
        <v>0</v>
      </c>
      <c r="AA634" s="121">
        <f t="shared" si="556"/>
        <v>5928</v>
      </c>
      <c r="AB634" s="121">
        <f t="shared" si="557"/>
        <v>3120</v>
      </c>
      <c r="AC634" s="99">
        <f t="shared" si="8"/>
        <v>19500</v>
      </c>
      <c r="AD634" s="121">
        <f t="shared" si="558"/>
        <v>146952</v>
      </c>
      <c r="AE634" s="99">
        <f t="shared" si="10"/>
        <v>175500</v>
      </c>
      <c r="AF634" s="121">
        <f t="shared" si="559"/>
        <v>1469.52</v>
      </c>
      <c r="AG634" s="100">
        <f t="shared" si="560"/>
        <v>15532.48</v>
      </c>
      <c r="AH634" s="101">
        <f t="shared" si="891"/>
        <v>44080.480000000003</v>
      </c>
      <c r="AI634" s="102">
        <f t="shared" ref="AI634:AJ634" si="946">AG634/X634</f>
        <v>9.9567179487179483E-2</v>
      </c>
      <c r="AJ634" s="102">
        <f t="shared" si="946"/>
        <v>0.22605374358974362</v>
      </c>
      <c r="AK634" s="212"/>
      <c r="AL634" s="213"/>
      <c r="AM634" s="4"/>
      <c r="AN634" s="4"/>
      <c r="AO634" s="4"/>
      <c r="AP634" s="4"/>
      <c r="AQ634" s="4"/>
      <c r="AR634" s="4"/>
      <c r="AS634" s="4"/>
      <c r="AT634" s="4"/>
      <c r="AU634" s="4"/>
      <c r="AV634" s="4"/>
      <c r="AW634" s="4"/>
    </row>
    <row r="635" spans="1:49" ht="13.2">
      <c r="A635" s="302"/>
      <c r="B635" s="306"/>
      <c r="C635" s="302"/>
      <c r="D635" s="302"/>
      <c r="E635" s="302"/>
      <c r="F635" s="123" t="s">
        <v>1145</v>
      </c>
      <c r="G635" s="124" t="str">
        <f>HYPERLINK("https://www.amazon.com/LARQ-Bottle-Self-Cleaning-Purification-System/dp/B07YGYKWVQ/ref=zg_bsnr_boost_6?_encoding=UTF8&amp;refRID=3FJY8B1DR64G62RCYGX4&amp;th=1&amp;psc=1","A")</f>
        <v>A</v>
      </c>
      <c r="H635" s="125"/>
      <c r="I635" s="125"/>
      <c r="J635" s="93">
        <v>102</v>
      </c>
      <c r="K635" s="82">
        <v>1.4</v>
      </c>
      <c r="L635" s="82">
        <f t="shared" si="941"/>
        <v>22.4</v>
      </c>
      <c r="M635" s="82">
        <f t="shared" si="550"/>
        <v>0.63502879999999995</v>
      </c>
      <c r="N635" s="93">
        <v>0</v>
      </c>
      <c r="O635" s="93">
        <v>0</v>
      </c>
      <c r="P635" s="95">
        <f t="shared" si="899"/>
        <v>102</v>
      </c>
      <c r="Q635" s="96">
        <f t="shared" si="913"/>
        <v>127500</v>
      </c>
      <c r="R635" s="96">
        <v>0</v>
      </c>
      <c r="S635" s="97">
        <f t="shared" si="553"/>
        <v>127500</v>
      </c>
      <c r="T635" s="97">
        <f>ROUNDUP(HLOOKUP(ROUNDUP(K635,0),'배송비 조회'!A$10:AE$22,7,0)*C$3,-2)</f>
        <v>11200</v>
      </c>
      <c r="U635" s="97">
        <v>0</v>
      </c>
      <c r="V635" s="97">
        <f t="shared" si="943"/>
        <v>27700</v>
      </c>
      <c r="W635" s="97">
        <f t="shared" si="937"/>
        <v>69400</v>
      </c>
      <c r="X635" s="98">
        <f t="shared" si="882"/>
        <v>166400</v>
      </c>
      <c r="Y635" s="98">
        <f t="shared" si="883"/>
        <v>208100</v>
      </c>
      <c r="Z635" s="121">
        <v>0</v>
      </c>
      <c r="AA635" s="121">
        <f t="shared" si="556"/>
        <v>6323.2</v>
      </c>
      <c r="AB635" s="121">
        <f t="shared" si="557"/>
        <v>3328</v>
      </c>
      <c r="AC635" s="99">
        <f t="shared" si="8"/>
        <v>20810</v>
      </c>
      <c r="AD635" s="121">
        <f t="shared" si="558"/>
        <v>156748.79999999999</v>
      </c>
      <c r="AE635" s="99">
        <f t="shared" si="10"/>
        <v>187290</v>
      </c>
      <c r="AF635" s="121">
        <f t="shared" si="559"/>
        <v>1567.4879999999998</v>
      </c>
      <c r="AG635" s="100">
        <f t="shared" si="560"/>
        <v>16481.311999999987</v>
      </c>
      <c r="AH635" s="101">
        <f t="shared" si="891"/>
        <v>47022.512000000002</v>
      </c>
      <c r="AI635" s="102">
        <f t="shared" ref="AI635:AJ635" si="947">AG635/X635</f>
        <v>9.9046346153846082E-2</v>
      </c>
      <c r="AJ635" s="102">
        <f t="shared" si="947"/>
        <v>0.22596113407015858</v>
      </c>
      <c r="AK635" s="212"/>
      <c r="AL635" s="213"/>
      <c r="AM635" s="4"/>
      <c r="AN635" s="4"/>
      <c r="AO635" s="4"/>
      <c r="AP635" s="4"/>
      <c r="AQ635" s="4"/>
      <c r="AR635" s="4"/>
      <c r="AS635" s="4"/>
      <c r="AT635" s="4"/>
      <c r="AU635" s="4"/>
      <c r="AV635" s="4"/>
      <c r="AW635" s="4"/>
    </row>
    <row r="636" spans="1:49" ht="13.2">
      <c r="A636" s="302"/>
      <c r="B636" s="306"/>
      <c r="C636" s="302"/>
      <c r="D636" s="302"/>
      <c r="E636" s="302"/>
      <c r="F636" s="123" t="s">
        <v>1254</v>
      </c>
      <c r="G636" s="124" t="str">
        <f>HYPERLINK("https://www.amazon.com/LARQ-Bottle-Self-Cleaning-Purification-System/dp/B07YGWV4T2/ref=zg_bsnr_boost_6?_encoding=UTF8&amp;refRID=3FJY8B1DR64G62RCYGX4&amp;th=1&amp;psc=1","A")</f>
        <v>A</v>
      </c>
      <c r="H636" s="125"/>
      <c r="I636" s="125"/>
      <c r="J636" s="201">
        <v>95</v>
      </c>
      <c r="K636" s="82">
        <v>1.4</v>
      </c>
      <c r="L636" s="82">
        <f t="shared" si="941"/>
        <v>22.4</v>
      </c>
      <c r="M636" s="82">
        <f t="shared" si="550"/>
        <v>0.63502879999999995</v>
      </c>
      <c r="N636" s="93">
        <v>0</v>
      </c>
      <c r="O636" s="93">
        <v>0</v>
      </c>
      <c r="P636" s="95">
        <f t="shared" si="899"/>
        <v>95</v>
      </c>
      <c r="Q636" s="96">
        <f t="shared" si="913"/>
        <v>118750</v>
      </c>
      <c r="R636" s="96">
        <v>0</v>
      </c>
      <c r="S636" s="97">
        <f t="shared" si="553"/>
        <v>118800</v>
      </c>
      <c r="T636" s="97">
        <f>ROUNDUP(HLOOKUP(ROUNDUP(K636,0),'배송비 조회'!A$10:AE$22,7,0)*C$3,-2)</f>
        <v>11200</v>
      </c>
      <c r="U636" s="97">
        <v>0</v>
      </c>
      <c r="V636" s="97">
        <f t="shared" si="943"/>
        <v>26000</v>
      </c>
      <c r="W636" s="97">
        <f t="shared" si="937"/>
        <v>65000</v>
      </c>
      <c r="X636" s="98">
        <f t="shared" si="882"/>
        <v>156000</v>
      </c>
      <c r="Y636" s="98">
        <f t="shared" si="883"/>
        <v>195000</v>
      </c>
      <c r="Z636" s="121">
        <v>0</v>
      </c>
      <c r="AA636" s="121">
        <f t="shared" si="556"/>
        <v>5928</v>
      </c>
      <c r="AB636" s="121">
        <f t="shared" si="557"/>
        <v>3120</v>
      </c>
      <c r="AC636" s="99">
        <f t="shared" si="8"/>
        <v>19500</v>
      </c>
      <c r="AD636" s="121">
        <f t="shared" si="558"/>
        <v>146952</v>
      </c>
      <c r="AE636" s="99">
        <f t="shared" si="10"/>
        <v>175500</v>
      </c>
      <c r="AF636" s="121">
        <f t="shared" si="559"/>
        <v>1469.52</v>
      </c>
      <c r="AG636" s="100">
        <f t="shared" si="560"/>
        <v>15532.48</v>
      </c>
      <c r="AH636" s="101">
        <f t="shared" si="891"/>
        <v>44080.480000000003</v>
      </c>
      <c r="AI636" s="102">
        <f t="shared" ref="AI636:AJ636" si="948">AG636/X636</f>
        <v>9.9567179487179483E-2</v>
      </c>
      <c r="AJ636" s="102">
        <f t="shared" si="948"/>
        <v>0.22605374358974362</v>
      </c>
      <c r="AK636" s="212"/>
      <c r="AL636" s="213"/>
      <c r="AM636" s="4"/>
      <c r="AN636" s="4"/>
      <c r="AO636" s="4"/>
      <c r="AP636" s="4"/>
      <c r="AQ636" s="4"/>
      <c r="AR636" s="4"/>
      <c r="AS636" s="4"/>
      <c r="AT636" s="4"/>
      <c r="AU636" s="4"/>
      <c r="AV636" s="4"/>
      <c r="AW636" s="4"/>
    </row>
    <row r="637" spans="1:49" ht="13.2">
      <c r="A637" s="119" t="str">
        <f>HYPERLINK("https://smartstore.naver.com/brickstore2019/products/4744694105","4744694105")</f>
        <v>4744694105</v>
      </c>
      <c r="B637" s="266"/>
      <c r="C637" s="117" t="s">
        <v>1255</v>
      </c>
      <c r="D637" s="117"/>
      <c r="E637" s="117" t="s">
        <v>1256</v>
      </c>
      <c r="F637" s="123"/>
      <c r="G637" s="124" t="str">
        <f>HYPERLINK("https://www.amazon.com/dp/B01N5VHLUG/ref=cm_sw_r_cp_apa_i_nB73DbDY80AZM","A")</f>
        <v>A</v>
      </c>
      <c r="H637" s="125"/>
      <c r="I637" s="125"/>
      <c r="J637" s="93">
        <v>120</v>
      </c>
      <c r="K637" s="82">
        <v>2</v>
      </c>
      <c r="L637" s="82">
        <f t="shared" si="941"/>
        <v>32</v>
      </c>
      <c r="M637" s="82">
        <f t="shared" si="550"/>
        <v>0.90718399999999999</v>
      </c>
      <c r="N637" s="93">
        <v>0</v>
      </c>
      <c r="O637" s="93">
        <v>0</v>
      </c>
      <c r="P637" s="95">
        <f t="shared" si="899"/>
        <v>120</v>
      </c>
      <c r="Q637" s="96">
        <f t="shared" si="913"/>
        <v>150000</v>
      </c>
      <c r="R637" s="96">
        <v>0</v>
      </c>
      <c r="S637" s="97">
        <f t="shared" si="553"/>
        <v>150000</v>
      </c>
      <c r="T637" s="97">
        <f>ROUNDUP(HLOOKUP(ROUNDUP(K637,0),'배송비 조회'!A$10:AE$22,7,0)*C$3,-2)</f>
        <v>11200</v>
      </c>
      <c r="U637" s="97">
        <v>0</v>
      </c>
      <c r="V637" s="97">
        <f t="shared" si="943"/>
        <v>32200</v>
      </c>
      <c r="W637" s="97">
        <f t="shared" si="937"/>
        <v>80600</v>
      </c>
      <c r="X637" s="98">
        <f t="shared" si="882"/>
        <v>193400</v>
      </c>
      <c r="Y637" s="98">
        <f t="shared" si="883"/>
        <v>241800</v>
      </c>
      <c r="Z637" s="121">
        <v>0</v>
      </c>
      <c r="AA637" s="121">
        <f t="shared" si="556"/>
        <v>7349.2</v>
      </c>
      <c r="AB637" s="121">
        <f t="shared" si="557"/>
        <v>3868</v>
      </c>
      <c r="AC637" s="99">
        <f t="shared" si="8"/>
        <v>24180</v>
      </c>
      <c r="AD637" s="121">
        <f t="shared" si="558"/>
        <v>182182.8</v>
      </c>
      <c r="AE637" s="99">
        <f t="shared" si="10"/>
        <v>217620</v>
      </c>
      <c r="AF637" s="121">
        <f t="shared" si="559"/>
        <v>1821.828</v>
      </c>
      <c r="AG637" s="100">
        <f t="shared" si="560"/>
        <v>19160.971999999987</v>
      </c>
      <c r="AH637" s="101">
        <f t="shared" si="891"/>
        <v>54598.172000000006</v>
      </c>
      <c r="AI637" s="102">
        <f t="shared" ref="AI637:AJ637" si="949">AG637/X637</f>
        <v>9.9074312306101281E-2</v>
      </c>
      <c r="AJ637" s="102">
        <f t="shared" si="949"/>
        <v>0.22579889164598843</v>
      </c>
      <c r="AK637" s="212"/>
      <c r="AL637" s="213"/>
      <c r="AM637" s="4"/>
      <c r="AN637" s="4"/>
      <c r="AO637" s="4"/>
      <c r="AP637" s="4"/>
      <c r="AQ637" s="4"/>
      <c r="AR637" s="4"/>
      <c r="AS637" s="4"/>
      <c r="AT637" s="4"/>
      <c r="AU637" s="4"/>
      <c r="AV637" s="4"/>
      <c r="AW637" s="4"/>
    </row>
    <row r="638" spans="1:49" ht="13.2">
      <c r="A638" s="119" t="str">
        <f>HYPERLINK("https://smartstore.naver.com/brickstore2019/products/4745494034","4745494034")</f>
        <v>4745494034</v>
      </c>
      <c r="B638" s="266"/>
      <c r="C638" s="117" t="s">
        <v>1257</v>
      </c>
      <c r="D638" s="117"/>
      <c r="E638" s="117" t="s">
        <v>1258</v>
      </c>
      <c r="F638" s="123"/>
      <c r="G638" s="124" t="str">
        <f>HYPERLINK("https://www.amazon.com/Roku-Streaming-Player-Premium-Headphones/dp/B07WVF9SL5/ref=zg_bsnr_electronics_home_2?_encoding=UTF8&amp;psc=1&amp;refRID=JTZ3YKRJJ29MTYS9NXFN","A")</f>
        <v>A</v>
      </c>
      <c r="H638" s="125"/>
      <c r="I638" s="125"/>
      <c r="J638" s="93">
        <v>80</v>
      </c>
      <c r="K638" s="82">
        <v>1.45</v>
      </c>
      <c r="L638" s="82">
        <f t="shared" si="941"/>
        <v>23.2</v>
      </c>
      <c r="M638" s="82">
        <f t="shared" si="550"/>
        <v>0.65770839999999997</v>
      </c>
      <c r="N638" s="93">
        <v>0</v>
      </c>
      <c r="O638" s="93">
        <v>0</v>
      </c>
      <c r="P638" s="95">
        <f t="shared" si="899"/>
        <v>80</v>
      </c>
      <c r="Q638" s="96">
        <f t="shared" si="913"/>
        <v>100000</v>
      </c>
      <c r="R638" s="96">
        <v>0</v>
      </c>
      <c r="S638" s="97">
        <f t="shared" si="553"/>
        <v>100000</v>
      </c>
      <c r="T638" s="97">
        <f>ROUNDUP(HLOOKUP(ROUNDUP(K638,0),'배송비 조회'!A$10:AE$22,7,0)*C$3,-2)</f>
        <v>11200</v>
      </c>
      <c r="U638" s="97">
        <v>0</v>
      </c>
      <c r="V638" s="97">
        <f>ROUND(IF(R634&gt;0,0,(S638+T638)*0.3),-2)</f>
        <v>33400</v>
      </c>
      <c r="W638" s="97">
        <f t="shared" si="937"/>
        <v>55600</v>
      </c>
      <c r="X638" s="98">
        <f t="shared" si="882"/>
        <v>144600</v>
      </c>
      <c r="Y638" s="98">
        <f t="shared" si="883"/>
        <v>166800</v>
      </c>
      <c r="Z638" s="121">
        <v>0</v>
      </c>
      <c r="AA638" s="121">
        <f t="shared" si="556"/>
        <v>5494.8</v>
      </c>
      <c r="AB638" s="121">
        <f t="shared" si="557"/>
        <v>2892</v>
      </c>
      <c r="AC638" s="99">
        <f t="shared" si="8"/>
        <v>16680</v>
      </c>
      <c r="AD638" s="121">
        <f t="shared" si="558"/>
        <v>136213.20000000001</v>
      </c>
      <c r="AE638" s="99">
        <f t="shared" si="10"/>
        <v>150120</v>
      </c>
      <c r="AF638" s="121">
        <f t="shared" si="559"/>
        <v>1362.1320000000001</v>
      </c>
      <c r="AG638" s="100">
        <f t="shared" si="560"/>
        <v>23651.068000000014</v>
      </c>
      <c r="AH638" s="101">
        <f t="shared" si="891"/>
        <v>37557.868000000002</v>
      </c>
      <c r="AI638" s="102">
        <f t="shared" ref="AI638:AJ638" si="950">AG638/X638</f>
        <v>0.16356201936376219</v>
      </c>
      <c r="AJ638" s="102">
        <f t="shared" si="950"/>
        <v>0.2251670743405276</v>
      </c>
      <c r="AK638" s="212"/>
      <c r="AL638" s="213"/>
      <c r="AM638" s="4"/>
      <c r="AN638" s="4"/>
      <c r="AO638" s="4"/>
      <c r="AP638" s="4"/>
      <c r="AQ638" s="4"/>
      <c r="AR638" s="4"/>
      <c r="AS638" s="4"/>
      <c r="AT638" s="4"/>
      <c r="AU638" s="4"/>
      <c r="AV638" s="4"/>
      <c r="AW638" s="4"/>
    </row>
    <row r="639" spans="1:49" ht="13.2">
      <c r="A639" s="214" t="str">
        <f>HYPERLINK("https://smartstore.naver.com/brickstore2019/products/4749026802","4749026802")</f>
        <v>4749026802</v>
      </c>
      <c r="B639" s="266"/>
      <c r="C639" s="117" t="s">
        <v>404</v>
      </c>
      <c r="D639" s="117"/>
      <c r="E639" s="117" t="s">
        <v>1259</v>
      </c>
      <c r="F639" s="123"/>
      <c r="G639" s="124" t="str">
        <f>HYPERLINK("https://www.amazon.com/Sea-Summit-Lite-Line-Clothesline/dp/B000T28X4E","A")</f>
        <v>A</v>
      </c>
      <c r="H639" s="124" t="str">
        <f>HYPERLINK("https://item.taobao.com/item.htm?spm=a230r.1.14.86.715e7a524fghF8&amp;id=42751683623&amp;ns=1&amp;abbucket=13#detail","T")</f>
        <v>T</v>
      </c>
      <c r="I639" s="124"/>
      <c r="J639" s="125">
        <v>14</v>
      </c>
      <c r="K639" s="82">
        <f>IF(L639&gt;0,L639*0.0625,)</f>
        <v>0.21875</v>
      </c>
      <c r="L639" s="82">
        <v>3.5</v>
      </c>
      <c r="M639" s="82">
        <f t="shared" si="550"/>
        <v>9.9223249999999999E-2</v>
      </c>
      <c r="N639" s="93">
        <v>0</v>
      </c>
      <c r="O639" s="93">
        <v>0</v>
      </c>
      <c r="P639" s="95">
        <f t="shared" si="899"/>
        <v>14</v>
      </c>
      <c r="Q639" s="96">
        <f t="shared" si="913"/>
        <v>17500</v>
      </c>
      <c r="R639" s="96">
        <v>0</v>
      </c>
      <c r="S639" s="97">
        <f t="shared" si="553"/>
        <v>17500</v>
      </c>
      <c r="T639" s="97">
        <f>ROUNDUP(HLOOKUP(ROUNDUP(K639,0),'배송비 조회'!A$10:AE$22,7,0)*C$3,-2)</f>
        <v>9000</v>
      </c>
      <c r="U639" s="97">
        <v>0</v>
      </c>
      <c r="V639" s="97">
        <f>ROUND(IF(R636&gt;0,0,(S639+T639)*0.3),-2)</f>
        <v>8000</v>
      </c>
      <c r="W639" s="97">
        <f t="shared" ref="W639:W641" si="951">ROUND(IF(R636&gt;0,0,(S639+T639)*0.5),-2)</f>
        <v>13300</v>
      </c>
      <c r="X639" s="98">
        <f t="shared" si="882"/>
        <v>34500</v>
      </c>
      <c r="Y639" s="98">
        <f t="shared" si="883"/>
        <v>39800</v>
      </c>
      <c r="Z639" s="121">
        <v>0</v>
      </c>
      <c r="AA639" s="121">
        <f t="shared" si="556"/>
        <v>1311</v>
      </c>
      <c r="AB639" s="121">
        <f t="shared" si="557"/>
        <v>690</v>
      </c>
      <c r="AC639" s="99">
        <f t="shared" si="8"/>
        <v>3980</v>
      </c>
      <c r="AD639" s="121">
        <f t="shared" si="558"/>
        <v>32499</v>
      </c>
      <c r="AE639" s="99">
        <f t="shared" si="10"/>
        <v>35820</v>
      </c>
      <c r="AF639" s="121">
        <f t="shared" si="559"/>
        <v>324.99</v>
      </c>
      <c r="AG639" s="100">
        <f t="shared" si="560"/>
        <v>5674.01</v>
      </c>
      <c r="AH639" s="101">
        <f t="shared" si="891"/>
        <v>8995.0099999999984</v>
      </c>
      <c r="AI639" s="102">
        <f t="shared" ref="AI639:AJ639" si="952">AG639/X639</f>
        <v>0.16446405797101449</v>
      </c>
      <c r="AJ639" s="102">
        <f t="shared" si="952"/>
        <v>0.22600527638190951</v>
      </c>
      <c r="AK639" s="215">
        <v>10000</v>
      </c>
      <c r="AL639" s="212">
        <f t="shared" ref="AL639:AL640" si="953">X639-AK639</f>
        <v>24500</v>
      </c>
      <c r="AM639" s="4"/>
      <c r="AN639" s="4"/>
      <c r="AO639" s="4"/>
      <c r="AP639" s="4"/>
      <c r="AQ639" s="4"/>
      <c r="AR639" s="4"/>
      <c r="AS639" s="4"/>
      <c r="AT639" s="4"/>
      <c r="AU639" s="4"/>
      <c r="AV639" s="4"/>
      <c r="AW639" s="4"/>
    </row>
    <row r="640" spans="1:49" ht="13.2">
      <c r="A640" s="119" t="str">
        <f>HYPERLINK("https://smartstore.naver.com/brickstore2019/products/4750209951","4750209951")</f>
        <v>4750209951</v>
      </c>
      <c r="B640" s="266"/>
      <c r="C640" s="117" t="s">
        <v>1260</v>
      </c>
      <c r="D640" s="117"/>
      <c r="E640" s="117" t="s">
        <v>1261</v>
      </c>
      <c r="F640" s="123"/>
      <c r="G640" s="124" t="str">
        <f>HYPERLINK("https://www.amazon.com/NVIDIA-Shield-Streaming-Player-Performance/dp/B07YP94PBJ/ref=sr_1_5?keywords=2019+NVIDIA+Shield+TV&amp;qid=1575171123&amp;sr=8-5","A")</f>
        <v>A</v>
      </c>
      <c r="H640" s="125"/>
      <c r="I640" s="125"/>
      <c r="J640" s="125">
        <v>150</v>
      </c>
      <c r="K640" s="82">
        <v>1.5</v>
      </c>
      <c r="L640" s="82">
        <f>IF(K640&gt;0,K640*16,)</f>
        <v>24</v>
      </c>
      <c r="M640" s="82">
        <f t="shared" si="550"/>
        <v>0.68038799999999999</v>
      </c>
      <c r="N640" s="93">
        <v>0</v>
      </c>
      <c r="O640" s="93">
        <v>0</v>
      </c>
      <c r="P640" s="95">
        <f t="shared" si="899"/>
        <v>150</v>
      </c>
      <c r="Q640" s="96">
        <f t="shared" si="913"/>
        <v>187500</v>
      </c>
      <c r="R640" s="96">
        <v>0</v>
      </c>
      <c r="S640" s="97">
        <f t="shared" si="553"/>
        <v>187500</v>
      </c>
      <c r="T640" s="97">
        <f>ROUNDUP(HLOOKUP(ROUNDUP(K640,0),'배송비 조회'!A$10:AE$22,7,0)*C$3,-2)</f>
        <v>11200</v>
      </c>
      <c r="U640" s="97">
        <v>0</v>
      </c>
      <c r="V640" s="97">
        <f>ROUND(IF(R637&gt;0,0,(S640+T640)*0.2),-2)</f>
        <v>39700</v>
      </c>
      <c r="W640" s="97">
        <f t="shared" si="951"/>
        <v>99400</v>
      </c>
      <c r="X640" s="98">
        <f t="shared" si="882"/>
        <v>238400</v>
      </c>
      <c r="Y640" s="98">
        <f t="shared" si="883"/>
        <v>298100</v>
      </c>
      <c r="Z640" s="121">
        <v>0</v>
      </c>
      <c r="AA640" s="121">
        <f t="shared" si="556"/>
        <v>9059.1999999999989</v>
      </c>
      <c r="AB640" s="121">
        <f t="shared" si="557"/>
        <v>4768</v>
      </c>
      <c r="AC640" s="99">
        <f t="shared" si="8"/>
        <v>29810</v>
      </c>
      <c r="AD640" s="121">
        <f t="shared" si="558"/>
        <v>224572.79999999999</v>
      </c>
      <c r="AE640" s="99">
        <f t="shared" si="10"/>
        <v>268290</v>
      </c>
      <c r="AF640" s="121">
        <f t="shared" si="559"/>
        <v>2245.7280000000001</v>
      </c>
      <c r="AG640" s="100">
        <f t="shared" si="560"/>
        <v>23627.071999999986</v>
      </c>
      <c r="AH640" s="101">
        <f t="shared" si="891"/>
        <v>67344.271999999997</v>
      </c>
      <c r="AI640" s="102">
        <f t="shared" ref="AI640:AJ640" si="954">AG640/X640</f>
        <v>9.9106845637583832E-2</v>
      </c>
      <c r="AJ640" s="102">
        <f t="shared" si="954"/>
        <v>0.22591168064407915</v>
      </c>
      <c r="AK640" s="215">
        <v>40000</v>
      </c>
      <c r="AL640" s="212">
        <f t="shared" si="953"/>
        <v>198400</v>
      </c>
      <c r="AM640" s="4"/>
      <c r="AN640" s="4"/>
      <c r="AO640" s="4"/>
      <c r="AP640" s="4"/>
      <c r="AQ640" s="4"/>
      <c r="AR640" s="4"/>
      <c r="AS640" s="4"/>
      <c r="AT640" s="4"/>
      <c r="AU640" s="4"/>
      <c r="AV640" s="4"/>
      <c r="AW640" s="4"/>
    </row>
    <row r="641" spans="1:49" ht="13.2">
      <c r="A641" s="119" t="str">
        <f>HYPERLINK("https://smartstore.naver.com/brickstore2019/products/4750213107","4750213107")</f>
        <v>4750213107</v>
      </c>
      <c r="B641" s="266"/>
      <c r="C641" s="117" t="s">
        <v>1262</v>
      </c>
      <c r="D641" s="117"/>
      <c r="E641" s="117" t="s">
        <v>1263</v>
      </c>
      <c r="F641" s="123"/>
      <c r="G641" s="124" t="str">
        <f>HYPERLINK("https://www.amazon.com/Nellies-Blue-Dryerballs-Naturally-Non-Toxic/dp/B0045Z12LW/ref=sr_1_1?keywords=nellie%27s+ball&amp;qid=1575466677&amp;sr=8-1","A")</f>
        <v>A</v>
      </c>
      <c r="H641" s="125"/>
      <c r="I641" s="125"/>
      <c r="J641" s="125">
        <v>14.4</v>
      </c>
      <c r="K641" s="82">
        <f>IF(L641&gt;0,L641*0.0625,)</f>
        <v>0.45</v>
      </c>
      <c r="L641" s="82">
        <v>7.2</v>
      </c>
      <c r="M641" s="82">
        <f t="shared" si="550"/>
        <v>0.2041164</v>
      </c>
      <c r="N641" s="93">
        <v>0</v>
      </c>
      <c r="O641" s="93">
        <v>0</v>
      </c>
      <c r="P641" s="95">
        <f t="shared" si="899"/>
        <v>14.4</v>
      </c>
      <c r="Q641" s="96">
        <f t="shared" si="913"/>
        <v>18000</v>
      </c>
      <c r="R641" s="96">
        <v>0</v>
      </c>
      <c r="S641" s="97">
        <f t="shared" si="553"/>
        <v>18000</v>
      </c>
      <c r="T641" s="97">
        <f>ROUNDUP(HLOOKUP(ROUNDUP(K641,0),'배송비 조회'!A$10:AE$22,7,0)*C$3,-2)</f>
        <v>9000</v>
      </c>
      <c r="U641" s="97">
        <v>0</v>
      </c>
      <c r="V641" s="97">
        <f>ROUND(IF(R638&gt;0,0,(S641+T641)*0.3),-2)</f>
        <v>8100</v>
      </c>
      <c r="W641" s="97">
        <f t="shared" si="951"/>
        <v>13500</v>
      </c>
      <c r="X641" s="98">
        <f t="shared" si="882"/>
        <v>35100</v>
      </c>
      <c r="Y641" s="98">
        <f t="shared" si="883"/>
        <v>40500</v>
      </c>
      <c r="Z641" s="121">
        <v>0</v>
      </c>
      <c r="AA641" s="121">
        <f t="shared" si="556"/>
        <v>1333.8</v>
      </c>
      <c r="AB641" s="121">
        <f t="shared" si="557"/>
        <v>702</v>
      </c>
      <c r="AC641" s="99">
        <f t="shared" si="8"/>
        <v>4050</v>
      </c>
      <c r="AD641" s="121">
        <f t="shared" si="558"/>
        <v>33064.199999999997</v>
      </c>
      <c r="AE641" s="99">
        <f t="shared" si="10"/>
        <v>36450</v>
      </c>
      <c r="AF641" s="121">
        <f t="shared" si="559"/>
        <v>330.642</v>
      </c>
      <c r="AG641" s="100">
        <f t="shared" si="560"/>
        <v>5733.5579999999973</v>
      </c>
      <c r="AH641" s="101">
        <f t="shared" si="891"/>
        <v>9119.3580000000002</v>
      </c>
      <c r="AI641" s="102">
        <f t="shared" ref="AI641:AJ641" si="955">AG641/X641</f>
        <v>0.16334923076923069</v>
      </c>
      <c r="AJ641" s="102">
        <f t="shared" si="955"/>
        <v>0.22516933333333333</v>
      </c>
      <c r="AK641" s="212"/>
      <c r="AL641" s="213"/>
      <c r="AM641" s="4"/>
      <c r="AN641" s="4"/>
      <c r="AO641" s="4"/>
      <c r="AP641" s="4"/>
      <c r="AQ641" s="4"/>
      <c r="AR641" s="4"/>
      <c r="AS641" s="4"/>
      <c r="AT641" s="4"/>
      <c r="AU641" s="4"/>
      <c r="AV641" s="4"/>
      <c r="AW641" s="4"/>
    </row>
    <row r="642" spans="1:49" ht="13.2">
      <c r="A642" s="120"/>
      <c r="B642" s="266"/>
      <c r="C642" s="117"/>
      <c r="D642" s="117"/>
      <c r="E642" s="117"/>
      <c r="F642" s="123"/>
      <c r="G642" s="125" t="s">
        <v>145</v>
      </c>
      <c r="H642" s="125"/>
      <c r="I642" s="125"/>
      <c r="J642" s="125">
        <v>100</v>
      </c>
      <c r="K642" s="82">
        <v>3</v>
      </c>
      <c r="L642" s="82">
        <f>IF(K642&gt;0,K642*16,)</f>
        <v>48</v>
      </c>
      <c r="M642" s="82">
        <f t="shared" si="550"/>
        <v>1.360776</v>
      </c>
      <c r="N642" s="93"/>
      <c r="O642" s="93"/>
      <c r="P642" s="95">
        <f t="shared" si="899"/>
        <v>100</v>
      </c>
      <c r="Q642" s="96">
        <f t="shared" si="913"/>
        <v>125000</v>
      </c>
      <c r="R642" s="96">
        <v>0</v>
      </c>
      <c r="S642" s="97">
        <f t="shared" si="553"/>
        <v>125000</v>
      </c>
      <c r="T642" s="97">
        <f>ROUNDUP(HLOOKUP(ROUNDUP(K642,0),'배송비 조회'!A$10:AE$22,7,0)*C$3,-2)</f>
        <v>13400</v>
      </c>
      <c r="U642" s="97">
        <v>0</v>
      </c>
      <c r="V642" s="97">
        <f>ROUND(IF(R643&gt;0,0,(S642+T642)*0.2),-2)</f>
        <v>27700</v>
      </c>
      <c r="W642" s="97">
        <f>ROUND(IF(R643&gt;0,0,(S642+T642)*0.5),-2)</f>
        <v>69200</v>
      </c>
      <c r="X642" s="98">
        <f t="shared" si="882"/>
        <v>166100</v>
      </c>
      <c r="Y642" s="98">
        <f t="shared" si="883"/>
        <v>207600</v>
      </c>
      <c r="Z642" s="121">
        <v>0</v>
      </c>
      <c r="AA642" s="121">
        <f t="shared" si="556"/>
        <v>6311.8</v>
      </c>
      <c r="AB642" s="121">
        <f t="shared" si="557"/>
        <v>3322</v>
      </c>
      <c r="AC642" s="99">
        <f t="shared" si="8"/>
        <v>20760</v>
      </c>
      <c r="AD642" s="121">
        <f t="shared" si="558"/>
        <v>156466.20000000001</v>
      </c>
      <c r="AE642" s="99">
        <f t="shared" si="10"/>
        <v>186840</v>
      </c>
      <c r="AF642" s="121">
        <f t="shared" si="559"/>
        <v>1564.6620000000003</v>
      </c>
      <c r="AG642" s="100">
        <f t="shared" si="560"/>
        <v>16501.538000000011</v>
      </c>
      <c r="AH642" s="101">
        <f t="shared" si="891"/>
        <v>46875.338000000003</v>
      </c>
      <c r="AI642" s="102">
        <f t="shared" ref="AI642:AJ642" si="956">AG642/X642</f>
        <v>9.9347007826610545E-2</v>
      </c>
      <c r="AJ642" s="102">
        <f t="shared" si="956"/>
        <v>0.22579642581888248</v>
      </c>
      <c r="AK642" s="212"/>
      <c r="AL642" s="213"/>
      <c r="AM642" s="4"/>
      <c r="AN642" s="4"/>
      <c r="AO642" s="4"/>
      <c r="AP642" s="4"/>
      <c r="AQ642" s="4"/>
      <c r="AR642" s="4"/>
      <c r="AS642" s="4"/>
      <c r="AT642" s="4"/>
      <c r="AU642" s="4"/>
      <c r="AV642" s="4"/>
      <c r="AW642" s="4"/>
    </row>
    <row r="643" spans="1:49" ht="13.2">
      <c r="A643" s="120"/>
      <c r="B643" s="266"/>
      <c r="C643" s="117" t="s">
        <v>1264</v>
      </c>
      <c r="D643" s="117"/>
      <c r="E643" s="117" t="s">
        <v>1265</v>
      </c>
      <c r="F643" s="123"/>
      <c r="G643" s="124" t="str">
        <f>HYPERLINK("https://www.amazon.com/Echo-Dot-3rd-Gen-speaker/dp/B07W95GZNH/ref=zg_bsnr_electronics_1?_encoding=UTF8&amp;psc=1&amp;refRID=01Y9T4CVFWZ94W3TGQYK","A")</f>
        <v>A</v>
      </c>
      <c r="H643" s="125"/>
      <c r="I643" s="125"/>
      <c r="J643" s="125">
        <v>8.24</v>
      </c>
      <c r="K643" s="82">
        <f>IF(L643&gt;0,L643*0.0625,)</f>
        <v>0.71875</v>
      </c>
      <c r="L643" s="82">
        <v>11.5</v>
      </c>
      <c r="M643" s="82">
        <f t="shared" si="550"/>
        <v>0.32601924999999998</v>
      </c>
      <c r="N643" s="93">
        <v>0</v>
      </c>
      <c r="O643" s="93">
        <v>0</v>
      </c>
      <c r="P643" s="95">
        <f t="shared" si="899"/>
        <v>8.24</v>
      </c>
      <c r="Q643" s="96">
        <f t="shared" si="913"/>
        <v>10300</v>
      </c>
      <c r="R643" s="96">
        <v>0</v>
      </c>
      <c r="S643" s="97">
        <f t="shared" si="553"/>
        <v>10300</v>
      </c>
      <c r="T643" s="97">
        <f>ROUNDUP(HLOOKUP(ROUNDUP(K643,0),'배송비 조회'!A$10:AE$22,7,0)*C$3,-2)</f>
        <v>9000</v>
      </c>
      <c r="U643" s="97">
        <v>0</v>
      </c>
      <c r="V643" s="97">
        <f>ROUND(IF(R635&gt;0,0,(S643+T643)*0.3),-2)</f>
        <v>5800</v>
      </c>
      <c r="W643" s="97">
        <f>ROUND(IF(R635&gt;0,0,(S643+T643)*0.4),-2)</f>
        <v>7700</v>
      </c>
      <c r="X643" s="98">
        <f t="shared" si="882"/>
        <v>25100</v>
      </c>
      <c r="Y643" s="98">
        <f t="shared" si="883"/>
        <v>27000</v>
      </c>
      <c r="Z643" s="121">
        <v>0</v>
      </c>
      <c r="AA643" s="121">
        <f t="shared" si="556"/>
        <v>953.8</v>
      </c>
      <c r="AB643" s="121">
        <f t="shared" si="557"/>
        <v>502</v>
      </c>
      <c r="AC643" s="99">
        <f t="shared" si="8"/>
        <v>2700</v>
      </c>
      <c r="AD643" s="121">
        <f t="shared" si="558"/>
        <v>23644.2</v>
      </c>
      <c r="AE643" s="99">
        <f t="shared" si="10"/>
        <v>24300</v>
      </c>
      <c r="AF643" s="121">
        <f t="shared" si="559"/>
        <v>236.44200000000001</v>
      </c>
      <c r="AG643" s="100">
        <f t="shared" si="560"/>
        <v>4107.7580000000016</v>
      </c>
      <c r="AH643" s="101">
        <f t="shared" si="891"/>
        <v>4763.5580000000009</v>
      </c>
      <c r="AI643" s="102">
        <f t="shared" ref="AI643:AJ643" si="957">AG643/X643</f>
        <v>0.16365569721115544</v>
      </c>
      <c r="AJ643" s="102">
        <f t="shared" si="957"/>
        <v>0.1764280740740741</v>
      </c>
      <c r="AK643" s="212"/>
      <c r="AL643" s="213"/>
      <c r="AM643" s="4"/>
      <c r="AN643" s="4"/>
      <c r="AO643" s="4"/>
      <c r="AP643" s="4"/>
      <c r="AQ643" s="4"/>
      <c r="AR643" s="4"/>
      <c r="AS643" s="4"/>
      <c r="AT643" s="4"/>
      <c r="AU643" s="4"/>
      <c r="AV643" s="4"/>
      <c r="AW643" s="4"/>
    </row>
    <row r="644" spans="1:49" ht="13.2">
      <c r="A644" s="303" t="str">
        <f>HYPERLINK("https://smartstore.naver.com/brickstore2019/products/4755052024","4755052024")</f>
        <v>4755052024</v>
      </c>
      <c r="B644" s="266"/>
      <c r="C644" s="304" t="s">
        <v>1266</v>
      </c>
      <c r="D644" s="117"/>
      <c r="E644" s="304" t="s">
        <v>1267</v>
      </c>
      <c r="F644" s="123" t="s">
        <v>1268</v>
      </c>
      <c r="G644" s="124" t="str">
        <f>HYPERLINK("https://www.amazon.com/dp/B0769RPR52/ref=twister_B0769YLRSV?_encoding=UTF8&amp;th=1","A")</f>
        <v>A</v>
      </c>
      <c r="H644" s="125"/>
      <c r="I644" s="125"/>
      <c r="J644" s="125">
        <v>80</v>
      </c>
      <c r="K644" s="82">
        <v>2</v>
      </c>
      <c r="L644" s="82">
        <f t="shared" ref="L644:L648" si="958">IF(K644&gt;0,K644*16,)</f>
        <v>32</v>
      </c>
      <c r="M644" s="82">
        <f t="shared" si="550"/>
        <v>0.90718399999999999</v>
      </c>
      <c r="N644" s="93">
        <v>0</v>
      </c>
      <c r="O644" s="93">
        <v>0</v>
      </c>
      <c r="P644" s="95">
        <f t="shared" si="899"/>
        <v>80</v>
      </c>
      <c r="Q644" s="96">
        <f t="shared" si="913"/>
        <v>100000</v>
      </c>
      <c r="R644" s="96">
        <v>0</v>
      </c>
      <c r="S644" s="97">
        <f t="shared" si="553"/>
        <v>100000</v>
      </c>
      <c r="T644" s="97">
        <f>ROUNDUP(HLOOKUP(ROUNDUP(K644,0),'배송비 조회'!A$10:AE$22,7,0)*C$3,-2)</f>
        <v>11200</v>
      </c>
      <c r="U644" s="97">
        <v>0</v>
      </c>
      <c r="V644" s="97">
        <f t="shared" ref="V644:V645" si="959">ROUND(IF(R639&gt;0,0,(S644+T644)*0.25),-2)</f>
        <v>27800</v>
      </c>
      <c r="W644" s="97">
        <f t="shared" ref="W644:W647" si="960">ROUND(IF(R639&gt;0,0,(S644+T644)*0.5),-2)</f>
        <v>55600</v>
      </c>
      <c r="X644" s="98">
        <f t="shared" si="882"/>
        <v>139000</v>
      </c>
      <c r="Y644" s="98">
        <f t="shared" si="883"/>
        <v>166800</v>
      </c>
      <c r="Z644" s="121">
        <v>0</v>
      </c>
      <c r="AA644" s="121">
        <f t="shared" si="556"/>
        <v>5282</v>
      </c>
      <c r="AB644" s="121">
        <f t="shared" si="557"/>
        <v>2780</v>
      </c>
      <c r="AC644" s="99">
        <f t="shared" si="8"/>
        <v>16680</v>
      </c>
      <c r="AD644" s="121">
        <f t="shared" si="558"/>
        <v>130938</v>
      </c>
      <c r="AE644" s="99">
        <f t="shared" si="10"/>
        <v>150120</v>
      </c>
      <c r="AF644" s="121">
        <f t="shared" si="559"/>
        <v>1309.3800000000001</v>
      </c>
      <c r="AG644" s="100">
        <f t="shared" si="560"/>
        <v>18428.62</v>
      </c>
      <c r="AH644" s="101">
        <f t="shared" si="891"/>
        <v>37610.620000000003</v>
      </c>
      <c r="AI644" s="102">
        <f t="shared" ref="AI644:AJ644" si="961">AG644/X644</f>
        <v>0.13258</v>
      </c>
      <c r="AJ644" s="102">
        <f t="shared" si="961"/>
        <v>0.22548333333333334</v>
      </c>
      <c r="AK644" s="212"/>
      <c r="AL644" s="213"/>
      <c r="AM644" s="4"/>
      <c r="AN644" s="4"/>
      <c r="AO644" s="4"/>
      <c r="AP644" s="4"/>
      <c r="AQ644" s="4"/>
      <c r="AR644" s="4"/>
      <c r="AS644" s="4"/>
      <c r="AT644" s="4"/>
      <c r="AU644" s="4"/>
      <c r="AV644" s="4"/>
      <c r="AW644" s="4"/>
    </row>
    <row r="645" spans="1:49" ht="13.2">
      <c r="A645" s="302"/>
      <c r="B645" s="266"/>
      <c r="C645" s="302"/>
      <c r="D645" s="117"/>
      <c r="E645" s="302"/>
      <c r="F645" s="123" t="s">
        <v>55</v>
      </c>
      <c r="G645" s="124" t="str">
        <f>HYPERLINK("https://www.amazon.com/dp/B076B2NYGC/ref=twister_B0769YLRSV?_encoding=UTF8&amp;th=1","A")</f>
        <v>A</v>
      </c>
      <c r="H645" s="125"/>
      <c r="I645" s="125"/>
      <c r="J645" s="125">
        <v>80</v>
      </c>
      <c r="K645" s="203">
        <v>2</v>
      </c>
      <c r="L645" s="203">
        <f t="shared" si="958"/>
        <v>32</v>
      </c>
      <c r="M645" s="203">
        <f t="shared" si="550"/>
        <v>0.90718399999999999</v>
      </c>
      <c r="N645" s="93">
        <v>0</v>
      </c>
      <c r="O645" s="93">
        <v>0</v>
      </c>
      <c r="P645" s="95">
        <f t="shared" si="899"/>
        <v>80</v>
      </c>
      <c r="Q645" s="96">
        <f t="shared" si="913"/>
        <v>100000</v>
      </c>
      <c r="R645" s="96">
        <v>0</v>
      </c>
      <c r="S645" s="97">
        <f t="shared" si="553"/>
        <v>100000</v>
      </c>
      <c r="T645" s="97">
        <f>ROUNDUP(HLOOKUP(ROUNDUP(K645,0),'배송비 조회'!A$10:AE$22,7,0)*C$3,-2)</f>
        <v>11200</v>
      </c>
      <c r="U645" s="97">
        <v>0</v>
      </c>
      <c r="V645" s="97">
        <f t="shared" si="959"/>
        <v>27800</v>
      </c>
      <c r="W645" s="97">
        <f t="shared" si="960"/>
        <v>55600</v>
      </c>
      <c r="X645" s="98">
        <f t="shared" si="882"/>
        <v>139000</v>
      </c>
      <c r="Y645" s="98">
        <f t="shared" si="883"/>
        <v>166800</v>
      </c>
      <c r="Z645" s="121">
        <v>0</v>
      </c>
      <c r="AA645" s="121">
        <f t="shared" si="556"/>
        <v>5282</v>
      </c>
      <c r="AB645" s="121">
        <f t="shared" si="557"/>
        <v>2780</v>
      </c>
      <c r="AC645" s="99">
        <f t="shared" si="8"/>
        <v>16680</v>
      </c>
      <c r="AD645" s="121">
        <f t="shared" si="558"/>
        <v>130938</v>
      </c>
      <c r="AE645" s="99">
        <f t="shared" si="10"/>
        <v>150120</v>
      </c>
      <c r="AF645" s="121">
        <f t="shared" si="559"/>
        <v>1309.3800000000001</v>
      </c>
      <c r="AG645" s="100">
        <f t="shared" si="560"/>
        <v>18428.62</v>
      </c>
      <c r="AH645" s="101">
        <f t="shared" si="891"/>
        <v>37610.620000000003</v>
      </c>
      <c r="AI645" s="102">
        <f t="shared" ref="AI645:AJ645" si="962">AG645/X645</f>
        <v>0.13258</v>
      </c>
      <c r="AJ645" s="102">
        <f t="shared" si="962"/>
        <v>0.22548333333333334</v>
      </c>
      <c r="AK645" s="212"/>
      <c r="AL645" s="213"/>
      <c r="AM645" s="4"/>
      <c r="AN645" s="4"/>
      <c r="AO645" s="4"/>
      <c r="AP645" s="4"/>
      <c r="AQ645" s="4"/>
      <c r="AR645" s="4"/>
      <c r="AS645" s="4"/>
      <c r="AT645" s="4"/>
      <c r="AU645" s="4"/>
      <c r="AV645" s="4"/>
      <c r="AW645" s="4"/>
    </row>
    <row r="646" spans="1:49" ht="13.2">
      <c r="A646" s="163" t="str">
        <f>HYPERLINK("https://smartstore.naver.com/brickstore2019/products/4756465274","4756465274")</f>
        <v>4756465274</v>
      </c>
      <c r="B646" s="266"/>
      <c r="C646" s="117" t="s">
        <v>1269</v>
      </c>
      <c r="D646" s="117"/>
      <c r="E646" s="117" t="s">
        <v>1270</v>
      </c>
      <c r="F646" s="123"/>
      <c r="G646" s="218" t="s">
        <v>1293</v>
      </c>
      <c r="H646" s="125"/>
      <c r="I646" s="125"/>
      <c r="J646" s="93">
        <v>90</v>
      </c>
      <c r="K646" s="82">
        <v>11</v>
      </c>
      <c r="L646" s="82">
        <f t="shared" si="958"/>
        <v>176</v>
      </c>
      <c r="M646" s="82">
        <f t="shared" si="550"/>
        <v>4.9895119999999995</v>
      </c>
      <c r="N646" s="93">
        <v>0</v>
      </c>
      <c r="O646" s="93">
        <v>0</v>
      </c>
      <c r="P646" s="95">
        <f>J646+O645+N646</f>
        <v>90</v>
      </c>
      <c r="Q646" s="96">
        <f t="shared" si="913"/>
        <v>112500</v>
      </c>
      <c r="R646" s="96">
        <v>0</v>
      </c>
      <c r="S646" s="97">
        <f t="shared" si="553"/>
        <v>112500</v>
      </c>
      <c r="T646" s="97">
        <f>ROUNDUP(HLOOKUP(ROUNDUP(K646,0),'배송비 조회'!A$10:AE$22,7,0)*C$3,-2)</f>
        <v>30900</v>
      </c>
      <c r="U646" s="97">
        <v>0</v>
      </c>
      <c r="V646" s="97">
        <f>ROUND(IF(R641&gt;0,0,(S646+T646)*0.3),-2)</f>
        <v>43000</v>
      </c>
      <c r="W646" s="97">
        <f t="shared" si="960"/>
        <v>71700</v>
      </c>
      <c r="X646" s="98">
        <f t="shared" si="882"/>
        <v>186400</v>
      </c>
      <c r="Y646" s="98">
        <f t="shared" si="883"/>
        <v>215100</v>
      </c>
      <c r="Z646" s="121">
        <v>0</v>
      </c>
      <c r="AA646" s="121">
        <f t="shared" si="556"/>
        <v>7083.2</v>
      </c>
      <c r="AB646" s="121">
        <f t="shared" si="557"/>
        <v>3728</v>
      </c>
      <c r="AC646" s="99">
        <f t="shared" si="8"/>
        <v>21510</v>
      </c>
      <c r="AD646" s="121">
        <f t="shared" si="558"/>
        <v>175588.8</v>
      </c>
      <c r="AE646" s="99">
        <f t="shared" si="10"/>
        <v>193590</v>
      </c>
      <c r="AF646" s="121">
        <f t="shared" si="559"/>
        <v>1755.8879999999999</v>
      </c>
      <c r="AG646" s="100">
        <f t="shared" si="560"/>
        <v>30432.911999999989</v>
      </c>
      <c r="AH646" s="101">
        <f t="shared" si="891"/>
        <v>48434.111999999994</v>
      </c>
      <c r="AI646" s="102">
        <f t="shared" ref="AI646:AJ646" si="963">AG646/X646</f>
        <v>0.16326669527896989</v>
      </c>
      <c r="AJ646" s="102">
        <f t="shared" si="963"/>
        <v>0.2251702092050209</v>
      </c>
      <c r="AK646" s="215">
        <v>40000</v>
      </c>
      <c r="AL646" s="212">
        <f t="shared" ref="AL646:AL647" si="964">X646-AK646</f>
        <v>146400</v>
      </c>
      <c r="AM646" s="4"/>
      <c r="AN646" s="4"/>
      <c r="AO646" s="4"/>
      <c r="AP646" s="4"/>
      <c r="AQ646" s="4"/>
      <c r="AR646" s="4"/>
      <c r="AS646" s="4"/>
      <c r="AT646" s="4"/>
      <c r="AU646" s="4"/>
      <c r="AV646" s="4"/>
      <c r="AW646" s="4"/>
    </row>
    <row r="647" spans="1:49" ht="13.2">
      <c r="A647" s="119" t="str">
        <f>HYPERLINK("https://smartstore.naver.com/brickstore2019/products/4760230409","4760230409")</f>
        <v>4760230409</v>
      </c>
      <c r="B647" s="266"/>
      <c r="C647" s="117" t="s">
        <v>1271</v>
      </c>
      <c r="D647" s="117"/>
      <c r="E647" s="117" t="s">
        <v>1272</v>
      </c>
      <c r="F647" s="123"/>
      <c r="G647" s="124" t="str">
        <f>HYPERLINK("https://www.amazon.com/ROG-Playstation-Teamspeak-Quad-DAC-Microphone/dp/B07KK31T7T/ref=sr_1_1?keywords=asus%2Brog%2Bdelta&amp;qid=1576259739&amp;sr=8-1&amp;th=1","A")</f>
        <v>A</v>
      </c>
      <c r="H647" s="125"/>
      <c r="I647" s="125"/>
      <c r="J647" s="93">
        <v>178.17</v>
      </c>
      <c r="K647" s="82">
        <v>2.56</v>
      </c>
      <c r="L647" s="82">
        <f t="shared" si="958"/>
        <v>40.96</v>
      </c>
      <c r="M647" s="82">
        <f t="shared" si="550"/>
        <v>1.1611955199999999</v>
      </c>
      <c r="N647" s="93">
        <v>0</v>
      </c>
      <c r="O647" s="93">
        <v>0</v>
      </c>
      <c r="P647" s="95">
        <f t="shared" ref="P647:P1018" si="965">J647+O647+N647</f>
        <v>178.17</v>
      </c>
      <c r="Q647" s="96">
        <f t="shared" si="913"/>
        <v>222712.49999999997</v>
      </c>
      <c r="R647" s="96">
        <v>0</v>
      </c>
      <c r="S647" s="97">
        <f t="shared" si="553"/>
        <v>222700</v>
      </c>
      <c r="T647" s="97">
        <f>ROUNDUP(HLOOKUP(ROUNDUP(K647,0),'배송비 조회'!A$10:AE$22,7,0)*C$3,-2)</f>
        <v>13400</v>
      </c>
      <c r="U647" s="97">
        <v>0</v>
      </c>
      <c r="V647" s="97">
        <f>ROUND(IF(R642&gt;0,0,(S647+T647)*0.2),-2)</f>
        <v>47200</v>
      </c>
      <c r="W647" s="97">
        <f t="shared" si="960"/>
        <v>118100</v>
      </c>
      <c r="X647" s="98">
        <f t="shared" si="882"/>
        <v>283300</v>
      </c>
      <c r="Y647" s="98">
        <f t="shared" si="883"/>
        <v>354200</v>
      </c>
      <c r="Z647" s="121">
        <v>0</v>
      </c>
      <c r="AA647" s="121">
        <f t="shared" si="556"/>
        <v>10765.4</v>
      </c>
      <c r="AB647" s="121">
        <f t="shared" si="557"/>
        <v>5666</v>
      </c>
      <c r="AC647" s="99">
        <f t="shared" si="8"/>
        <v>35420</v>
      </c>
      <c r="AD647" s="121">
        <f t="shared" si="558"/>
        <v>266868.59999999998</v>
      </c>
      <c r="AE647" s="99">
        <f t="shared" si="10"/>
        <v>318780</v>
      </c>
      <c r="AF647" s="121">
        <f t="shared" si="559"/>
        <v>2668.6859999999997</v>
      </c>
      <c r="AG647" s="100">
        <f t="shared" si="560"/>
        <v>28087.414000000004</v>
      </c>
      <c r="AH647" s="101">
        <f t="shared" si="891"/>
        <v>79998.814000000028</v>
      </c>
      <c r="AI647" s="102">
        <f t="shared" ref="AI647:AJ647" si="966">AG647/X647</f>
        <v>9.9143713378044493E-2</v>
      </c>
      <c r="AJ647" s="102">
        <f t="shared" si="966"/>
        <v>0.22585774703557321</v>
      </c>
      <c r="AK647" s="215">
        <v>30000</v>
      </c>
      <c r="AL647" s="212">
        <f t="shared" si="964"/>
        <v>253300</v>
      </c>
      <c r="AM647" s="4"/>
      <c r="AN647" s="4"/>
      <c r="AO647" s="4"/>
      <c r="AP647" s="4"/>
      <c r="AQ647" s="4"/>
      <c r="AR647" s="4"/>
      <c r="AS647" s="4"/>
      <c r="AT647" s="4"/>
      <c r="AU647" s="4"/>
      <c r="AV647" s="4"/>
      <c r="AW647" s="4"/>
    </row>
    <row r="648" spans="1:49" ht="13.2">
      <c r="A648" s="119" t="str">
        <f>HYPERLINK("https://smartstore.naver.com/brickstore2019/products/4763422782","4763422782")</f>
        <v>4763422782</v>
      </c>
      <c r="B648" s="266"/>
      <c r="C648" s="165" t="s">
        <v>1273</v>
      </c>
      <c r="D648" s="117"/>
      <c r="E648" s="117" t="s">
        <v>1274</v>
      </c>
      <c r="F648" s="123"/>
      <c r="G648" s="124" t="str">
        <f>HYPERLINK("https://www.amazon.com/ROG-Playstation-Teamspeak-Quad-DAC-Microphone/dp/B07S5QJWQ5/ref=sr_1_1?keywords=asus%2Brog%2Bdelta&amp;qid=1576259739&amp;sr=8-1&amp;th=1","A")</f>
        <v>A</v>
      </c>
      <c r="H648" s="125"/>
      <c r="I648" s="125"/>
      <c r="J648" s="93">
        <v>80</v>
      </c>
      <c r="K648" s="82">
        <v>2.15</v>
      </c>
      <c r="L648" s="82">
        <f t="shared" si="958"/>
        <v>34.4</v>
      </c>
      <c r="M648" s="82">
        <f t="shared" si="550"/>
        <v>0.97522279999999995</v>
      </c>
      <c r="N648" s="93">
        <v>0</v>
      </c>
      <c r="O648" s="93">
        <v>0</v>
      </c>
      <c r="P648" s="95">
        <f t="shared" si="965"/>
        <v>80</v>
      </c>
      <c r="Q648" s="96">
        <f t="shared" si="913"/>
        <v>100000</v>
      </c>
      <c r="R648" s="96">
        <v>0</v>
      </c>
      <c r="S648" s="97">
        <f t="shared" si="553"/>
        <v>100000</v>
      </c>
      <c r="T648" s="97">
        <f>ROUNDUP(HLOOKUP(ROUNDUP(K648,0),'배송비 조회'!A$10:AE$22,7,0)*C$3,-2)</f>
        <v>13400</v>
      </c>
      <c r="U648" s="97">
        <v>0</v>
      </c>
      <c r="V648" s="97">
        <f>ROUND(IF(R644&gt;0,0,(S648+T648)*0.3),-2)</f>
        <v>34000</v>
      </c>
      <c r="W648" s="97">
        <f t="shared" ref="W648:W651" si="967">ROUND(IF(R644&gt;0,0,(S648+T648)*0.5),-2)</f>
        <v>56700</v>
      </c>
      <c r="X648" s="98">
        <f t="shared" si="882"/>
        <v>147400</v>
      </c>
      <c r="Y648" s="98">
        <f t="shared" si="883"/>
        <v>170100</v>
      </c>
      <c r="Z648" s="121">
        <v>0</v>
      </c>
      <c r="AA648" s="121">
        <f t="shared" si="556"/>
        <v>5601.2</v>
      </c>
      <c r="AB648" s="121">
        <f t="shared" si="557"/>
        <v>2948</v>
      </c>
      <c r="AC648" s="99">
        <f t="shared" si="8"/>
        <v>17010</v>
      </c>
      <c r="AD648" s="121">
        <f t="shared" si="558"/>
        <v>138850.79999999999</v>
      </c>
      <c r="AE648" s="99">
        <f t="shared" si="10"/>
        <v>153090</v>
      </c>
      <c r="AF648" s="121">
        <f t="shared" si="559"/>
        <v>1388.5079999999998</v>
      </c>
      <c r="AG648" s="100">
        <f t="shared" si="560"/>
        <v>24062.291999999987</v>
      </c>
      <c r="AH648" s="101">
        <f t="shared" si="891"/>
        <v>38301.491999999998</v>
      </c>
      <c r="AI648" s="102">
        <f t="shared" ref="AI648:AJ648" si="968">AG648/X648</f>
        <v>0.16324485753052909</v>
      </c>
      <c r="AJ648" s="102">
        <f t="shared" si="968"/>
        <v>0.22517044091710758</v>
      </c>
      <c r="AK648" s="212"/>
      <c r="AL648" s="213"/>
      <c r="AM648" s="4"/>
      <c r="AN648" s="4"/>
      <c r="AO648" s="4"/>
      <c r="AP648" s="4"/>
      <c r="AQ648" s="4"/>
      <c r="AR648" s="4"/>
      <c r="AS648" s="4"/>
      <c r="AT648" s="4"/>
      <c r="AU648" s="4"/>
      <c r="AV648" s="4"/>
      <c r="AW648" s="4"/>
    </row>
    <row r="649" spans="1:49" ht="13.2">
      <c r="A649" s="163" t="str">
        <f>HYPERLINK("https://smartstore.naver.com/brickstore2019/products/4763573896","4763573896")</f>
        <v>4763573896</v>
      </c>
      <c r="B649" s="266"/>
      <c r="C649" s="117" t="s">
        <v>1275</v>
      </c>
      <c r="D649" s="117"/>
      <c r="E649" s="117"/>
      <c r="F649" s="123"/>
      <c r="G649" s="124" t="str">
        <f>HYPERLINK("https://www.amazon.com/Logitech-G-910-005728-G502-Hero/dp/B07PHLBBQR/ref=sr_1_1?keywords=g502se&amp;qid=1576385933&amp;sr=8-1","A")</f>
        <v>A</v>
      </c>
      <c r="H649" s="125"/>
      <c r="I649" s="125"/>
      <c r="J649" s="93">
        <v>35</v>
      </c>
      <c r="K649" s="82">
        <f t="shared" ref="K649:K650" si="969">IF(L649&gt;0,L649*0.0625,)</f>
        <v>0.625</v>
      </c>
      <c r="L649" s="82">
        <v>10</v>
      </c>
      <c r="M649" s="82">
        <f t="shared" si="550"/>
        <v>0.283495</v>
      </c>
      <c r="N649" s="93">
        <v>0</v>
      </c>
      <c r="O649" s="93">
        <v>0</v>
      </c>
      <c r="P649" s="95">
        <f t="shared" si="965"/>
        <v>35</v>
      </c>
      <c r="Q649" s="96">
        <f t="shared" si="913"/>
        <v>43750</v>
      </c>
      <c r="R649" s="96">
        <v>0</v>
      </c>
      <c r="S649" s="97">
        <f t="shared" si="553"/>
        <v>43800</v>
      </c>
      <c r="T649" s="97">
        <f>ROUNDUP(HLOOKUP(ROUNDUP(K649,0),'배송비 조회'!A$10:AE$22,7,0)*C$3,-2)</f>
        <v>9000</v>
      </c>
      <c r="U649" s="97">
        <v>0</v>
      </c>
      <c r="V649" s="97">
        <f>ROUND(IF(R645&gt;0,0,(S649+T649)*0.25),-2)</f>
        <v>13200</v>
      </c>
      <c r="W649" s="97">
        <f t="shared" si="967"/>
        <v>26400</v>
      </c>
      <c r="X649" s="98">
        <f t="shared" si="882"/>
        <v>66000</v>
      </c>
      <c r="Y649" s="98">
        <f t="shared" si="883"/>
        <v>79200</v>
      </c>
      <c r="Z649" s="121">
        <v>0</v>
      </c>
      <c r="AA649" s="121">
        <f t="shared" si="556"/>
        <v>2508</v>
      </c>
      <c r="AB649" s="121">
        <f t="shared" si="557"/>
        <v>1320</v>
      </c>
      <c r="AC649" s="99">
        <f t="shared" si="8"/>
        <v>7920</v>
      </c>
      <c r="AD649" s="121">
        <f t="shared" si="558"/>
        <v>62172</v>
      </c>
      <c r="AE649" s="99">
        <f t="shared" si="10"/>
        <v>71280</v>
      </c>
      <c r="AF649" s="121">
        <f t="shared" si="559"/>
        <v>621.72</v>
      </c>
      <c r="AG649" s="100">
        <f t="shared" si="560"/>
        <v>8800.2799999999988</v>
      </c>
      <c r="AH649" s="101">
        <f t="shared" si="891"/>
        <v>17908.28</v>
      </c>
      <c r="AI649" s="102">
        <f t="shared" ref="AI649:AJ649" si="970">AG649/X649</f>
        <v>0.13333757575757574</v>
      </c>
      <c r="AJ649" s="102">
        <f t="shared" si="970"/>
        <v>0.22611464646464646</v>
      </c>
      <c r="AK649" s="215">
        <v>20000</v>
      </c>
      <c r="AL649" s="212">
        <f>X649-AK649</f>
        <v>46000</v>
      </c>
      <c r="AM649" s="4"/>
      <c r="AN649" s="4"/>
      <c r="AO649" s="4"/>
      <c r="AP649" s="4"/>
      <c r="AQ649" s="4"/>
      <c r="AR649" s="4"/>
      <c r="AS649" s="4"/>
      <c r="AT649" s="4"/>
      <c r="AU649" s="4"/>
      <c r="AV649" s="4"/>
      <c r="AW649" s="4"/>
    </row>
    <row r="650" spans="1:49" ht="13.2">
      <c r="A650" s="216" t="str">
        <f>HYPERLINK("https://smartstore.naver.com/brickstore2019/products/4764754370","4764754370")</f>
        <v>4764754370</v>
      </c>
      <c r="B650" s="266"/>
      <c r="C650" s="117" t="s">
        <v>1276</v>
      </c>
      <c r="D650" s="117"/>
      <c r="E650" s="117" t="s">
        <v>1277</v>
      </c>
      <c r="F650" s="123"/>
      <c r="G650" s="124" t="str">
        <f>HYPERLINK("https://www.amazon.com/Razer-Mamba-Wireless-Programmable-Gaming/dp/B07GBYYSMF/ref=sr_1_2?keywords=razer%2Bmamba%2Bwireless&amp;qid=1576259063&amp;sr=8-2&amp;th=1","A")</f>
        <v>A</v>
      </c>
      <c r="H650" s="124" t="str">
        <f>HYPERLINK("https://detail.tmall.com/item.htm?spm=a230r.1.14.27.46661f15QtvQYu&amp;id=578587029836&amp;ns=1&amp;abbucket=7","T")</f>
        <v>T</v>
      </c>
      <c r="I650" s="124"/>
      <c r="J650" s="125">
        <v>50</v>
      </c>
      <c r="K650" s="82">
        <f t="shared" si="969"/>
        <v>0.61875000000000002</v>
      </c>
      <c r="L650" s="82">
        <v>9.9</v>
      </c>
      <c r="M650" s="82">
        <f t="shared" si="550"/>
        <v>0.28066004999999999</v>
      </c>
      <c r="N650" s="93">
        <v>0</v>
      </c>
      <c r="O650" s="93">
        <v>0</v>
      </c>
      <c r="P650" s="95">
        <f t="shared" si="965"/>
        <v>50</v>
      </c>
      <c r="Q650" s="96">
        <f t="shared" si="913"/>
        <v>62500</v>
      </c>
      <c r="R650" s="96">
        <v>0</v>
      </c>
      <c r="S650" s="97">
        <f t="shared" si="553"/>
        <v>62500</v>
      </c>
      <c r="T650" s="97">
        <f>ROUNDUP(HLOOKUP(ROUNDUP(K650,0),'배송비 조회'!A$10:AE$22,7,0)*C$3,-2)</f>
        <v>9000</v>
      </c>
      <c r="U650" s="97">
        <v>0</v>
      </c>
      <c r="V650" s="97">
        <f>ROUND(IF(R646&gt;0,0,(S650+T650)*0.3),-2)</f>
        <v>21500</v>
      </c>
      <c r="W650" s="97">
        <f t="shared" si="967"/>
        <v>35800</v>
      </c>
      <c r="X650" s="98">
        <f t="shared" si="882"/>
        <v>93000</v>
      </c>
      <c r="Y650" s="98">
        <f t="shared" si="883"/>
        <v>107300</v>
      </c>
      <c r="Z650" s="121">
        <v>0</v>
      </c>
      <c r="AA650" s="121">
        <f t="shared" si="556"/>
        <v>3534</v>
      </c>
      <c r="AB650" s="121">
        <f t="shared" si="557"/>
        <v>1860</v>
      </c>
      <c r="AC650" s="99">
        <f t="shared" si="8"/>
        <v>10730</v>
      </c>
      <c r="AD650" s="121">
        <f t="shared" si="558"/>
        <v>87606</v>
      </c>
      <c r="AE650" s="99">
        <f t="shared" si="10"/>
        <v>96570</v>
      </c>
      <c r="AF650" s="121">
        <f t="shared" si="559"/>
        <v>876.06000000000006</v>
      </c>
      <c r="AG650" s="100">
        <f t="shared" si="560"/>
        <v>15229.939999999999</v>
      </c>
      <c r="AH650" s="101">
        <f t="shared" si="891"/>
        <v>24193.940000000002</v>
      </c>
      <c r="AI650" s="102">
        <f t="shared" ref="AI650:AJ650" si="971">AG650/X650</f>
        <v>0.16376279569892471</v>
      </c>
      <c r="AJ650" s="102">
        <f t="shared" si="971"/>
        <v>0.22547940354147253</v>
      </c>
      <c r="AK650" s="212"/>
      <c r="AL650" s="213"/>
      <c r="AM650" s="4"/>
      <c r="AN650" s="4"/>
      <c r="AO650" s="4"/>
      <c r="AP650" s="4"/>
      <c r="AQ650" s="4"/>
      <c r="AR650" s="4"/>
      <c r="AS650" s="4"/>
      <c r="AT650" s="4"/>
      <c r="AU650" s="4"/>
      <c r="AV650" s="4"/>
      <c r="AW650" s="4"/>
    </row>
    <row r="651" spans="1:49" ht="13.2">
      <c r="A651" s="349" t="s">
        <v>738</v>
      </c>
      <c r="B651" s="302"/>
      <c r="C651" s="117" t="s">
        <v>1278</v>
      </c>
      <c r="D651" s="117"/>
      <c r="E651" s="117"/>
      <c r="F651" s="123"/>
      <c r="G651" s="124" t="str">
        <f>HYPERLINK("https://www.amazon.com/Razer-Mamba-Wireless-Programmable-Gaming/dp/B07VGTKKZZ/ref=sr_1_2?keywords=razer%2Bmamba%2Bwireless&amp;qid=1576259063&amp;sr=8-2&amp;th=1","A")</f>
        <v>A</v>
      </c>
      <c r="H651" s="125"/>
      <c r="I651" s="125"/>
      <c r="J651" s="125">
        <v>42</v>
      </c>
      <c r="K651" s="82">
        <v>3.25</v>
      </c>
      <c r="L651" s="82">
        <f>IF(K651&gt;0,K651*16,)</f>
        <v>52</v>
      </c>
      <c r="M651" s="82">
        <f t="shared" si="550"/>
        <v>1.4741740000000001</v>
      </c>
      <c r="N651" s="93">
        <v>0</v>
      </c>
      <c r="O651" s="93">
        <v>0</v>
      </c>
      <c r="P651" s="95">
        <f t="shared" si="965"/>
        <v>42</v>
      </c>
      <c r="Q651" s="96">
        <f t="shared" si="913"/>
        <v>52500</v>
      </c>
      <c r="R651" s="96">
        <v>0</v>
      </c>
      <c r="S651" s="97">
        <f t="shared" si="553"/>
        <v>52500</v>
      </c>
      <c r="T651" s="97">
        <f>ROUNDUP(HLOOKUP(ROUNDUP(K651,0),'배송비 조회'!A$10:AE$22,7,0)*C$3,-2)</f>
        <v>15600</v>
      </c>
      <c r="U651" s="97">
        <v>0</v>
      </c>
      <c r="V651" s="97">
        <f t="shared" ref="V651:V655" si="972">ROUND(IF(R651&gt;0,0,(S651+T651)*0.3),-2)</f>
        <v>20400</v>
      </c>
      <c r="W651" s="97">
        <f t="shared" si="967"/>
        <v>34100</v>
      </c>
      <c r="X651" s="98">
        <f t="shared" si="882"/>
        <v>88500</v>
      </c>
      <c r="Y651" s="98">
        <f t="shared" si="883"/>
        <v>102200</v>
      </c>
      <c r="Z651" s="121">
        <v>0</v>
      </c>
      <c r="AA651" s="121">
        <f t="shared" si="556"/>
        <v>3363</v>
      </c>
      <c r="AB651" s="121">
        <f t="shared" si="557"/>
        <v>1770</v>
      </c>
      <c r="AC651" s="99">
        <f t="shared" si="8"/>
        <v>10220</v>
      </c>
      <c r="AD651" s="121">
        <f t="shared" si="558"/>
        <v>83367</v>
      </c>
      <c r="AE651" s="99">
        <f t="shared" si="10"/>
        <v>91980</v>
      </c>
      <c r="AF651" s="121">
        <f t="shared" si="559"/>
        <v>833.67000000000007</v>
      </c>
      <c r="AG651" s="100">
        <f t="shared" si="560"/>
        <v>14433.330000000002</v>
      </c>
      <c r="AH651" s="101">
        <f t="shared" si="891"/>
        <v>23046.33</v>
      </c>
      <c r="AI651" s="102">
        <f t="shared" ref="AI651:AJ651" si="973">AG651/X651</f>
        <v>0.16308847457627121</v>
      </c>
      <c r="AJ651" s="102">
        <f t="shared" si="973"/>
        <v>0.22550225048923681</v>
      </c>
      <c r="AK651" s="212"/>
      <c r="AL651" s="213"/>
      <c r="AM651" s="4"/>
      <c r="AN651" s="4"/>
      <c r="AO651" s="4"/>
      <c r="AP651" s="4"/>
      <c r="AQ651" s="4"/>
      <c r="AR651" s="4"/>
      <c r="AS651" s="4"/>
      <c r="AT651" s="4"/>
      <c r="AU651" s="4"/>
      <c r="AV651" s="4"/>
      <c r="AW651" s="4"/>
    </row>
    <row r="652" spans="1:49" ht="13.2">
      <c r="A652" s="163" t="str">
        <f>HYPERLINK("https://smartstore.naver.com/brickstore2019/products/4764802192","4764802192")</f>
        <v>4764802192</v>
      </c>
      <c r="B652" s="266"/>
      <c r="C652" s="117" t="s">
        <v>1279</v>
      </c>
      <c r="D652" s="117"/>
      <c r="E652" s="117" t="s">
        <v>1280</v>
      </c>
      <c r="F652" s="123"/>
      <c r="G652" s="124" t="str">
        <f>HYPERLINK("https://www.amazon.com/Evoluent-VM4SW-VerticalMouse-Ergonomic-Connection/dp/B00EZCCVTM?ref_=ast_sto_dp","A")</f>
        <v>A</v>
      </c>
      <c r="H652" s="125"/>
      <c r="I652" s="125"/>
      <c r="J652" s="125">
        <v>110</v>
      </c>
      <c r="K652" s="82">
        <f>IF(L652&gt;0,L652*0.0625,)</f>
        <v>0.625</v>
      </c>
      <c r="L652" s="82">
        <v>10</v>
      </c>
      <c r="M652" s="82">
        <f t="shared" si="550"/>
        <v>0.283495</v>
      </c>
      <c r="N652" s="93">
        <v>0</v>
      </c>
      <c r="O652" s="93">
        <v>0</v>
      </c>
      <c r="P652" s="95">
        <f t="shared" si="965"/>
        <v>110</v>
      </c>
      <c r="Q652" s="96">
        <f t="shared" si="913"/>
        <v>137500</v>
      </c>
      <c r="R652" s="96">
        <v>0</v>
      </c>
      <c r="S652" s="97">
        <f t="shared" si="553"/>
        <v>137500</v>
      </c>
      <c r="T652" s="97">
        <f>ROUNDUP(HLOOKUP(ROUNDUP(K652,0),'배송비 조회'!A$10:AE$22,7,0)*C$3,-2)</f>
        <v>9000</v>
      </c>
      <c r="U652" s="97">
        <v>0</v>
      </c>
      <c r="V652" s="97">
        <f t="shared" si="972"/>
        <v>44000</v>
      </c>
      <c r="W652" s="97">
        <f t="shared" ref="W652:W655" si="974">ROUND(IF(R649&gt;0,0,(S652+T652)*0.5),-2)</f>
        <v>73300</v>
      </c>
      <c r="X652" s="98">
        <f t="shared" si="882"/>
        <v>190500</v>
      </c>
      <c r="Y652" s="98">
        <f t="shared" si="883"/>
        <v>219800</v>
      </c>
      <c r="Z652" s="121">
        <v>0</v>
      </c>
      <c r="AA652" s="121">
        <f t="shared" si="556"/>
        <v>7239</v>
      </c>
      <c r="AB652" s="121">
        <f t="shared" si="557"/>
        <v>3810</v>
      </c>
      <c r="AC652" s="99">
        <f t="shared" si="8"/>
        <v>21980</v>
      </c>
      <c r="AD652" s="121">
        <f t="shared" si="558"/>
        <v>179451</v>
      </c>
      <c r="AE652" s="99">
        <f t="shared" si="10"/>
        <v>197820</v>
      </c>
      <c r="AF652" s="121">
        <f t="shared" si="559"/>
        <v>1794.51</v>
      </c>
      <c r="AG652" s="100">
        <f t="shared" si="560"/>
        <v>31156.489999999998</v>
      </c>
      <c r="AH652" s="101">
        <f t="shared" si="891"/>
        <v>49525.49</v>
      </c>
      <c r="AI652" s="102">
        <f t="shared" ref="AI652:AJ652" si="975">AG652/X652</f>
        <v>0.16355112860892387</v>
      </c>
      <c r="AJ652" s="102">
        <f t="shared" si="975"/>
        <v>0.22532070063694268</v>
      </c>
      <c r="AK652" s="215">
        <v>10000</v>
      </c>
      <c r="AL652" s="212">
        <f t="shared" ref="AL652:AL658" si="976">X652-AK652</f>
        <v>180500</v>
      </c>
      <c r="AM652" s="4"/>
      <c r="AN652" s="4"/>
      <c r="AO652" s="4"/>
      <c r="AP652" s="4"/>
      <c r="AQ652" s="4"/>
      <c r="AR652" s="4"/>
      <c r="AS652" s="4"/>
      <c r="AT652" s="4"/>
      <c r="AU652" s="4"/>
      <c r="AV652" s="4"/>
      <c r="AW652" s="4"/>
    </row>
    <row r="653" spans="1:49" ht="13.2">
      <c r="A653" s="163" t="str">
        <f>HYPERLINK("https://smartstore.naver.com/brickstore2019/products/4765987389","4765987389")</f>
        <v>4765987389</v>
      </c>
      <c r="B653" s="266"/>
      <c r="C653" s="117" t="s">
        <v>1281</v>
      </c>
      <c r="D653" s="117"/>
      <c r="E653" s="117"/>
      <c r="F653" s="123" t="s">
        <v>1282</v>
      </c>
      <c r="G653" s="218" t="s">
        <v>1293</v>
      </c>
      <c r="H653" s="125"/>
      <c r="I653" s="125"/>
      <c r="J653" s="125">
        <v>12</v>
      </c>
      <c r="K653" s="82">
        <v>1.5</v>
      </c>
      <c r="L653" s="82">
        <f t="shared" ref="L653:L793" si="977">IF(K653&gt;0,K653*16,)</f>
        <v>24</v>
      </c>
      <c r="M653" s="82">
        <f t="shared" si="550"/>
        <v>0.68038799999999999</v>
      </c>
      <c r="N653" s="93">
        <v>0</v>
      </c>
      <c r="O653" s="93">
        <v>0</v>
      </c>
      <c r="P653" s="95">
        <f t="shared" si="965"/>
        <v>12</v>
      </c>
      <c r="Q653" s="96">
        <f t="shared" si="913"/>
        <v>15000</v>
      </c>
      <c r="R653" s="96">
        <v>0</v>
      </c>
      <c r="S653" s="97">
        <f t="shared" si="553"/>
        <v>15000</v>
      </c>
      <c r="T653" s="97">
        <f>ROUNDUP(HLOOKUP(ROUNDUP(K653,0),'배송비 조회'!A$10:AE$22,7,0)*C$3,-2)</f>
        <v>11200</v>
      </c>
      <c r="U653" s="97">
        <v>0</v>
      </c>
      <c r="V653" s="97">
        <f t="shared" si="972"/>
        <v>7900</v>
      </c>
      <c r="W653" s="97">
        <f t="shared" si="974"/>
        <v>13100</v>
      </c>
      <c r="X653" s="98">
        <f t="shared" si="882"/>
        <v>34100</v>
      </c>
      <c r="Y653" s="98">
        <f t="shared" si="883"/>
        <v>39300</v>
      </c>
      <c r="Z653" s="121">
        <v>0</v>
      </c>
      <c r="AA653" s="121">
        <f t="shared" si="556"/>
        <v>1295.8</v>
      </c>
      <c r="AB653" s="121">
        <f t="shared" si="557"/>
        <v>682</v>
      </c>
      <c r="AC653" s="99">
        <f t="shared" si="8"/>
        <v>3930</v>
      </c>
      <c r="AD653" s="121">
        <f t="shared" si="558"/>
        <v>32122.199999999997</v>
      </c>
      <c r="AE653" s="99">
        <f t="shared" si="10"/>
        <v>35370</v>
      </c>
      <c r="AF653" s="121">
        <f t="shared" si="559"/>
        <v>321.22199999999998</v>
      </c>
      <c r="AG653" s="100">
        <f t="shared" si="560"/>
        <v>5600.9779999999955</v>
      </c>
      <c r="AH653" s="101">
        <f t="shared" si="891"/>
        <v>8848.7779999999984</v>
      </c>
      <c r="AI653" s="102">
        <f t="shared" ref="AI653:AJ653" si="978">AG653/X653</f>
        <v>0.16425155425219928</v>
      </c>
      <c r="AJ653" s="102">
        <f t="shared" si="978"/>
        <v>0.22515974554707374</v>
      </c>
      <c r="AK653" s="215">
        <v>15000</v>
      </c>
      <c r="AL653" s="212">
        <f t="shared" si="976"/>
        <v>19100</v>
      </c>
      <c r="AM653" s="4"/>
      <c r="AN653" s="4"/>
      <c r="AO653" s="4"/>
      <c r="AP653" s="4"/>
      <c r="AQ653" s="4"/>
      <c r="AR653" s="4"/>
      <c r="AS653" s="4"/>
      <c r="AT653" s="4"/>
      <c r="AU653" s="4"/>
      <c r="AV653" s="4"/>
      <c r="AW653" s="4"/>
    </row>
    <row r="654" spans="1:49" ht="13.2">
      <c r="A654" s="163" t="str">
        <f>HYPERLINK("https://smartstore.naver.com/brickstore2019/products/4765987753","4765987753")</f>
        <v>4765987753</v>
      </c>
      <c r="B654" s="266"/>
      <c r="C654" s="117" t="s">
        <v>1283</v>
      </c>
      <c r="D654" s="117" t="s">
        <v>1284</v>
      </c>
      <c r="E654" s="117"/>
      <c r="F654" s="123" t="s">
        <v>1285</v>
      </c>
      <c r="G654" s="218" t="s">
        <v>1293</v>
      </c>
      <c r="H654" s="125"/>
      <c r="I654" s="125"/>
      <c r="J654" s="125">
        <v>24</v>
      </c>
      <c r="K654" s="82">
        <v>1.5</v>
      </c>
      <c r="L654" s="82">
        <f t="shared" si="977"/>
        <v>24</v>
      </c>
      <c r="M654" s="82">
        <f t="shared" si="550"/>
        <v>0.68038799999999999</v>
      </c>
      <c r="N654" s="93">
        <v>0</v>
      </c>
      <c r="O654" s="93">
        <v>0</v>
      </c>
      <c r="P654" s="95">
        <f t="shared" si="965"/>
        <v>24</v>
      </c>
      <c r="Q654" s="96">
        <f t="shared" si="913"/>
        <v>30000</v>
      </c>
      <c r="R654" s="96">
        <v>0</v>
      </c>
      <c r="S654" s="97">
        <f t="shared" si="553"/>
        <v>30000</v>
      </c>
      <c r="T654" s="97">
        <f>ROUNDUP(HLOOKUP(ROUNDUP(K654,0),'배송비 조회'!A$10:AE$22,7,0)*C$3,-2)</f>
        <v>11200</v>
      </c>
      <c r="U654" s="97">
        <v>0</v>
      </c>
      <c r="V654" s="97">
        <f t="shared" si="972"/>
        <v>12400</v>
      </c>
      <c r="W654" s="97">
        <f t="shared" si="974"/>
        <v>20600</v>
      </c>
      <c r="X654" s="98">
        <f t="shared" si="882"/>
        <v>53600</v>
      </c>
      <c r="Y654" s="98">
        <f t="shared" si="883"/>
        <v>61800</v>
      </c>
      <c r="Z654" s="121">
        <v>0</v>
      </c>
      <c r="AA654" s="121">
        <f t="shared" si="556"/>
        <v>2036.8</v>
      </c>
      <c r="AB654" s="121">
        <f t="shared" si="557"/>
        <v>1072</v>
      </c>
      <c r="AC654" s="99">
        <f t="shared" si="8"/>
        <v>6180</v>
      </c>
      <c r="AD654" s="121">
        <f t="shared" si="558"/>
        <v>50491.199999999997</v>
      </c>
      <c r="AE654" s="99">
        <f t="shared" si="10"/>
        <v>55620</v>
      </c>
      <c r="AF654" s="121">
        <f t="shared" si="559"/>
        <v>504.91199999999998</v>
      </c>
      <c r="AG654" s="100">
        <f t="shared" si="560"/>
        <v>8786.2879999999968</v>
      </c>
      <c r="AH654" s="101">
        <f t="shared" si="891"/>
        <v>13915.088</v>
      </c>
      <c r="AI654" s="102">
        <f t="shared" ref="AI654:AJ654" si="979">AG654/X654</f>
        <v>0.16392328358208949</v>
      </c>
      <c r="AJ654" s="102">
        <f t="shared" si="979"/>
        <v>0.22516323624595469</v>
      </c>
      <c r="AK654" s="215">
        <v>15000</v>
      </c>
      <c r="AL654" s="212">
        <f t="shared" si="976"/>
        <v>38600</v>
      </c>
      <c r="AM654" s="16">
        <f>AL654-AL653</f>
        <v>19500</v>
      </c>
      <c r="AN654" s="4"/>
      <c r="AO654" s="4"/>
      <c r="AP654" s="4"/>
      <c r="AQ654" s="4"/>
      <c r="AR654" s="4"/>
      <c r="AS654" s="4"/>
      <c r="AT654" s="4"/>
      <c r="AU654" s="4"/>
      <c r="AV654" s="4"/>
      <c r="AW654" s="4"/>
    </row>
    <row r="655" spans="1:49" ht="13.2">
      <c r="A655" s="163" t="str">
        <f>HYPERLINK("https://smartstore.naver.com/brickstore2019/products/4768152640","4768152640")</f>
        <v>4768152640</v>
      </c>
      <c r="B655" s="266"/>
      <c r="C655" s="117" t="s">
        <v>1286</v>
      </c>
      <c r="D655" s="117"/>
      <c r="E655" s="117" t="s">
        <v>1287</v>
      </c>
      <c r="F655" s="123"/>
      <c r="G655" s="124" t="str">
        <f>HYPERLINK("https://www.amazon.com/Incase-DSLR-Sling-Backpack-Black/dp/B00T6SIRAC/ref=sr_1_7?crid=YRFQ20OJBNQN&amp;dchild=1&amp;keywords=incase+camera+side+bag&amp;qid=1576989213&amp;sprefix=incase+ca%2Caps%2C376&amp;sr=8-7","A")</f>
        <v>A</v>
      </c>
      <c r="H655" s="125"/>
      <c r="I655" s="125"/>
      <c r="J655" s="125">
        <v>70</v>
      </c>
      <c r="K655" s="82">
        <v>1.8</v>
      </c>
      <c r="L655" s="82">
        <f t="shared" si="977"/>
        <v>28.8</v>
      </c>
      <c r="M655" s="82">
        <f t="shared" si="550"/>
        <v>0.81646560000000001</v>
      </c>
      <c r="N655" s="93">
        <v>0</v>
      </c>
      <c r="O655" s="93">
        <v>0</v>
      </c>
      <c r="P655" s="95">
        <f t="shared" si="965"/>
        <v>70</v>
      </c>
      <c r="Q655" s="96">
        <f t="shared" si="913"/>
        <v>87500</v>
      </c>
      <c r="R655" s="96">
        <v>0</v>
      </c>
      <c r="S655" s="97">
        <f t="shared" si="553"/>
        <v>87500</v>
      </c>
      <c r="T655" s="97">
        <f>ROUNDUP(HLOOKUP(ROUNDUP(K655,0),'배송비 조회'!A$10:AE$22,7,0)*C$3,-2)</f>
        <v>11200</v>
      </c>
      <c r="U655" s="97">
        <v>0</v>
      </c>
      <c r="V655" s="97">
        <f t="shared" si="972"/>
        <v>29600</v>
      </c>
      <c r="W655" s="97">
        <f t="shared" si="974"/>
        <v>49400</v>
      </c>
      <c r="X655" s="98">
        <f t="shared" si="882"/>
        <v>128300</v>
      </c>
      <c r="Y655" s="98">
        <f t="shared" si="883"/>
        <v>148100</v>
      </c>
      <c r="Z655" s="121">
        <v>0</v>
      </c>
      <c r="AA655" s="121">
        <f t="shared" si="556"/>
        <v>4875.3999999999996</v>
      </c>
      <c r="AB655" s="121">
        <f t="shared" si="557"/>
        <v>2566</v>
      </c>
      <c r="AC655" s="99">
        <f t="shared" si="8"/>
        <v>14810</v>
      </c>
      <c r="AD655" s="121">
        <f t="shared" si="558"/>
        <v>120858.6</v>
      </c>
      <c r="AE655" s="99">
        <f t="shared" si="10"/>
        <v>133290</v>
      </c>
      <c r="AF655" s="121">
        <f t="shared" si="559"/>
        <v>1208.586</v>
      </c>
      <c r="AG655" s="100">
        <f t="shared" si="560"/>
        <v>20950.014000000006</v>
      </c>
      <c r="AH655" s="101">
        <f t="shared" si="891"/>
        <v>33381.413999999997</v>
      </c>
      <c r="AI655" s="102">
        <f t="shared" ref="AI655:AJ655" si="980">AG655/X655</f>
        <v>0.16328927513639913</v>
      </c>
      <c r="AJ655" s="102">
        <f t="shared" si="980"/>
        <v>0.22539779878460497</v>
      </c>
      <c r="AK655" s="215">
        <v>20000</v>
      </c>
      <c r="AL655" s="212">
        <f t="shared" si="976"/>
        <v>108300</v>
      </c>
      <c r="AM655" s="4"/>
      <c r="AN655" s="4"/>
      <c r="AO655" s="4"/>
      <c r="AP655" s="4"/>
      <c r="AQ655" s="4"/>
      <c r="AR655" s="4"/>
      <c r="AS655" s="4"/>
      <c r="AT655" s="4"/>
      <c r="AU655" s="4"/>
      <c r="AV655" s="4"/>
      <c r="AW655" s="4"/>
    </row>
    <row r="656" spans="1:49" ht="13.2">
      <c r="A656" s="350" t="str">
        <f>HYPERLINK("https://smartstore.naver.com/brickstore2019/products/4768174627","4768174627")</f>
        <v>4768174627</v>
      </c>
      <c r="B656" s="266"/>
      <c r="C656" s="304" t="s">
        <v>1288</v>
      </c>
      <c r="D656" s="117"/>
      <c r="E656" s="304" t="s">
        <v>1289</v>
      </c>
      <c r="F656" s="123" t="s">
        <v>55</v>
      </c>
      <c r="G656" s="218" t="s">
        <v>1293</v>
      </c>
      <c r="H656" s="125"/>
      <c r="I656" s="125"/>
      <c r="J656" s="125">
        <v>63</v>
      </c>
      <c r="K656" s="82">
        <v>2</v>
      </c>
      <c r="L656" s="82">
        <f t="shared" si="977"/>
        <v>32</v>
      </c>
      <c r="M656" s="82">
        <f t="shared" si="550"/>
        <v>0.90718399999999999</v>
      </c>
      <c r="N656" s="93">
        <v>0</v>
      </c>
      <c r="O656" s="93">
        <v>0</v>
      </c>
      <c r="P656" s="95">
        <f t="shared" si="965"/>
        <v>63</v>
      </c>
      <c r="Q656" s="96">
        <f t="shared" si="913"/>
        <v>78750</v>
      </c>
      <c r="R656" s="96">
        <v>0</v>
      </c>
      <c r="S656" s="97">
        <f t="shared" si="553"/>
        <v>78800</v>
      </c>
      <c r="T656" s="97">
        <f>ROUNDUP(HLOOKUP(ROUNDUP(K656,0),'배송비 조회'!A$10:AE$22,7,0)*C$3,-2)</f>
        <v>11200</v>
      </c>
      <c r="U656" s="97">
        <v>0</v>
      </c>
      <c r="V656" s="97">
        <f t="shared" ref="V656:V1018" si="981">ROUND(IF(R652&gt;0,0,(S656+T656)*0.3),-2)</f>
        <v>27000</v>
      </c>
      <c r="W656" s="97">
        <f t="shared" ref="W656:W1018" si="982">ROUND(IF(R652&gt;0,0,(S656+T656)*0.5),-2)</f>
        <v>45000</v>
      </c>
      <c r="X656" s="98">
        <f t="shared" si="882"/>
        <v>117000</v>
      </c>
      <c r="Y656" s="98">
        <f t="shared" si="883"/>
        <v>135000</v>
      </c>
      <c r="Z656" s="121">
        <v>0</v>
      </c>
      <c r="AA656" s="121">
        <f t="shared" si="556"/>
        <v>4446</v>
      </c>
      <c r="AB656" s="121">
        <f t="shared" si="557"/>
        <v>2340</v>
      </c>
      <c r="AC656" s="99">
        <f t="shared" si="8"/>
        <v>13500</v>
      </c>
      <c r="AD656" s="121">
        <f t="shared" si="558"/>
        <v>110214</v>
      </c>
      <c r="AE656" s="99">
        <f t="shared" si="10"/>
        <v>121500</v>
      </c>
      <c r="AF656" s="121">
        <f t="shared" si="559"/>
        <v>1102.1400000000001</v>
      </c>
      <c r="AG656" s="100">
        <f t="shared" si="560"/>
        <v>19161.86</v>
      </c>
      <c r="AH656" s="101">
        <f t="shared" si="891"/>
        <v>30447.86</v>
      </c>
      <c r="AI656" s="102">
        <f t="shared" ref="AI656:AJ656" si="983">AG656/X656</f>
        <v>0.1637765811965812</v>
      </c>
      <c r="AJ656" s="102">
        <f t="shared" si="983"/>
        <v>0.22553970370370371</v>
      </c>
      <c r="AK656" s="215">
        <v>20000</v>
      </c>
      <c r="AL656" s="212">
        <f t="shared" si="976"/>
        <v>97000</v>
      </c>
      <c r="AM656" s="4"/>
      <c r="AN656" s="4"/>
      <c r="AO656" s="4"/>
      <c r="AP656" s="4"/>
      <c r="AQ656" s="4"/>
      <c r="AR656" s="4"/>
      <c r="AS656" s="4"/>
      <c r="AT656" s="4"/>
      <c r="AU656" s="4"/>
      <c r="AV656" s="4"/>
      <c r="AW656" s="4"/>
    </row>
    <row r="657" spans="1:49" ht="13.2">
      <c r="A657" s="302"/>
      <c r="B657" s="266"/>
      <c r="C657" s="302"/>
      <c r="D657" s="117"/>
      <c r="E657" s="302"/>
      <c r="F657" s="123" t="s">
        <v>593</v>
      </c>
      <c r="G657" s="218" t="s">
        <v>1293</v>
      </c>
      <c r="H657" s="125"/>
      <c r="I657" s="125"/>
      <c r="J657" s="125">
        <v>63</v>
      </c>
      <c r="K657" s="82">
        <v>2</v>
      </c>
      <c r="L657" s="82">
        <f t="shared" si="977"/>
        <v>32</v>
      </c>
      <c r="M657" s="82">
        <f t="shared" si="550"/>
        <v>0.90718399999999999</v>
      </c>
      <c r="N657" s="93">
        <v>0</v>
      </c>
      <c r="O657" s="93">
        <v>0</v>
      </c>
      <c r="P657" s="95">
        <f t="shared" si="965"/>
        <v>63</v>
      </c>
      <c r="Q657" s="96">
        <f t="shared" si="913"/>
        <v>78750</v>
      </c>
      <c r="R657" s="96">
        <v>0</v>
      </c>
      <c r="S657" s="97">
        <f t="shared" si="553"/>
        <v>78800</v>
      </c>
      <c r="T657" s="97">
        <f>ROUNDUP(HLOOKUP(ROUNDUP(K657,0),'배송비 조회'!A$10:AE$22,7,0)*C$3,-2)</f>
        <v>11200</v>
      </c>
      <c r="U657" s="97">
        <v>0</v>
      </c>
      <c r="V657" s="97">
        <f t="shared" si="981"/>
        <v>27000</v>
      </c>
      <c r="W657" s="97">
        <f t="shared" si="982"/>
        <v>45000</v>
      </c>
      <c r="X657" s="98">
        <f t="shared" si="882"/>
        <v>117000</v>
      </c>
      <c r="Y657" s="98">
        <f t="shared" si="883"/>
        <v>135000</v>
      </c>
      <c r="Z657" s="121">
        <v>0</v>
      </c>
      <c r="AA657" s="121">
        <f t="shared" si="556"/>
        <v>4446</v>
      </c>
      <c r="AB657" s="121">
        <f t="shared" si="557"/>
        <v>2340</v>
      </c>
      <c r="AC657" s="99">
        <f t="shared" si="8"/>
        <v>13500</v>
      </c>
      <c r="AD657" s="121">
        <f t="shared" si="558"/>
        <v>110214</v>
      </c>
      <c r="AE657" s="99">
        <f t="shared" si="10"/>
        <v>121500</v>
      </c>
      <c r="AF657" s="121">
        <f t="shared" si="559"/>
        <v>1102.1400000000001</v>
      </c>
      <c r="AG657" s="100">
        <f t="shared" si="560"/>
        <v>19161.86</v>
      </c>
      <c r="AH657" s="101">
        <f t="shared" si="891"/>
        <v>30447.86</v>
      </c>
      <c r="AI657" s="102">
        <f t="shared" ref="AI657:AJ657" si="984">AG657/X657</f>
        <v>0.1637765811965812</v>
      </c>
      <c r="AJ657" s="102">
        <f t="shared" si="984"/>
        <v>0.22553970370370371</v>
      </c>
      <c r="AK657" s="215">
        <v>20000</v>
      </c>
      <c r="AL657" s="212">
        <f t="shared" si="976"/>
        <v>97000</v>
      </c>
      <c r="AM657" s="4"/>
      <c r="AN657" s="4"/>
      <c r="AO657" s="4"/>
      <c r="AP657" s="4"/>
      <c r="AQ657" s="4"/>
      <c r="AR657" s="4"/>
      <c r="AS657" s="4"/>
      <c r="AT657" s="4"/>
      <c r="AU657" s="4"/>
      <c r="AV657" s="4"/>
      <c r="AW657" s="4"/>
    </row>
    <row r="658" spans="1:49" ht="13.2">
      <c r="A658" s="302"/>
      <c r="B658" s="266"/>
      <c r="C658" s="302"/>
      <c r="D658" s="117"/>
      <c r="E658" s="302"/>
      <c r="F658" s="123" t="s">
        <v>1290</v>
      </c>
      <c r="G658" s="218" t="s">
        <v>1293</v>
      </c>
      <c r="H658" s="125"/>
      <c r="I658" s="125"/>
      <c r="J658" s="125">
        <v>63</v>
      </c>
      <c r="K658" s="82">
        <v>2</v>
      </c>
      <c r="L658" s="82">
        <f t="shared" si="977"/>
        <v>32</v>
      </c>
      <c r="M658" s="82">
        <f t="shared" si="550"/>
        <v>0.90718399999999999</v>
      </c>
      <c r="N658" s="93">
        <v>0</v>
      </c>
      <c r="O658" s="93">
        <v>0</v>
      </c>
      <c r="P658" s="95">
        <f t="shared" si="965"/>
        <v>63</v>
      </c>
      <c r="Q658" s="96">
        <f t="shared" si="913"/>
        <v>78750</v>
      </c>
      <c r="R658" s="96">
        <v>0</v>
      </c>
      <c r="S658" s="97">
        <f t="shared" si="553"/>
        <v>78800</v>
      </c>
      <c r="T658" s="97">
        <f>ROUNDUP(HLOOKUP(ROUNDUP(K658,0),'배송비 조회'!A$10:AE$22,7,0)*C$3,-2)</f>
        <v>11200</v>
      </c>
      <c r="U658" s="97">
        <v>0</v>
      </c>
      <c r="V658" s="97">
        <f t="shared" si="981"/>
        <v>27000</v>
      </c>
      <c r="W658" s="97">
        <f t="shared" si="982"/>
        <v>45000</v>
      </c>
      <c r="X658" s="98">
        <f t="shared" si="882"/>
        <v>117000</v>
      </c>
      <c r="Y658" s="98">
        <f t="shared" si="883"/>
        <v>135000</v>
      </c>
      <c r="Z658" s="121">
        <v>0</v>
      </c>
      <c r="AA658" s="121">
        <f t="shared" si="556"/>
        <v>4446</v>
      </c>
      <c r="AB658" s="121">
        <f t="shared" si="557"/>
        <v>2340</v>
      </c>
      <c r="AC658" s="99">
        <f t="shared" si="8"/>
        <v>13500</v>
      </c>
      <c r="AD658" s="121">
        <f t="shared" si="558"/>
        <v>110214</v>
      </c>
      <c r="AE658" s="99">
        <f t="shared" si="10"/>
        <v>121500</v>
      </c>
      <c r="AF658" s="121">
        <f t="shared" si="559"/>
        <v>1102.1400000000001</v>
      </c>
      <c r="AG658" s="100">
        <f t="shared" si="560"/>
        <v>19161.86</v>
      </c>
      <c r="AH658" s="101">
        <f t="shared" si="891"/>
        <v>30447.86</v>
      </c>
      <c r="AI658" s="102">
        <f t="shared" ref="AI658:AJ658" si="985">AG658/X658</f>
        <v>0.1637765811965812</v>
      </c>
      <c r="AJ658" s="102">
        <f t="shared" si="985"/>
        <v>0.22553970370370371</v>
      </c>
      <c r="AK658" s="215">
        <v>20000</v>
      </c>
      <c r="AL658" s="212">
        <f t="shared" si="976"/>
        <v>97000</v>
      </c>
      <c r="AM658" s="4"/>
      <c r="AN658" s="4"/>
      <c r="AO658" s="4"/>
      <c r="AP658" s="4"/>
      <c r="AQ658" s="4"/>
      <c r="AR658" s="4"/>
      <c r="AS658" s="4"/>
      <c r="AT658" s="4"/>
      <c r="AU658" s="4"/>
      <c r="AV658" s="4"/>
      <c r="AW658" s="4"/>
    </row>
    <row r="659" spans="1:49" ht="13.2">
      <c r="A659" s="119" t="str">
        <f>HYPERLINK("https://smartstore.naver.com/brickstore2019/products/4768344006","4768344006")</f>
        <v>4768344006</v>
      </c>
      <c r="B659" s="266"/>
      <c r="C659" s="117" t="s">
        <v>1291</v>
      </c>
      <c r="D659" s="117"/>
      <c r="E659" s="117" t="s">
        <v>1292</v>
      </c>
      <c r="F659" s="123"/>
      <c r="G659" s="124" t="str">
        <f>HYPERLINK("https://www.amazon.com/CORSAIR-Mechanical-RAPIDFIRE-Gaming-Keyboard/dp/B07D5S24BP/ref=sr_1_4?keywords=K70%2BMK2%2BSE&amp;qid=1576923750&amp;sr=8-4&amp;th=1","A")</f>
        <v>A</v>
      </c>
      <c r="H659" s="125"/>
      <c r="I659" s="125"/>
      <c r="J659" s="125">
        <v>109.99</v>
      </c>
      <c r="K659" s="82">
        <v>4.2</v>
      </c>
      <c r="L659" s="82">
        <f t="shared" si="977"/>
        <v>67.2</v>
      </c>
      <c r="M659" s="82">
        <f t="shared" si="550"/>
        <v>1.9050864000000001</v>
      </c>
      <c r="N659" s="93">
        <v>0</v>
      </c>
      <c r="O659" s="93">
        <v>0</v>
      </c>
      <c r="P659" s="95">
        <f t="shared" si="965"/>
        <v>109.99</v>
      </c>
      <c r="Q659" s="96">
        <f t="shared" si="913"/>
        <v>137487.5</v>
      </c>
      <c r="R659" s="96">
        <v>0</v>
      </c>
      <c r="S659" s="97">
        <f t="shared" si="553"/>
        <v>137500</v>
      </c>
      <c r="T659" s="97">
        <f>ROUNDUP(HLOOKUP(ROUNDUP(K659,0),'배송비 조회'!A$10:AE$22,7,0)*C$3,-2)</f>
        <v>17800</v>
      </c>
      <c r="U659" s="97">
        <v>0</v>
      </c>
      <c r="V659" s="97">
        <f t="shared" si="981"/>
        <v>46600</v>
      </c>
      <c r="W659" s="97">
        <f t="shared" si="982"/>
        <v>77700</v>
      </c>
      <c r="X659" s="98">
        <f t="shared" si="882"/>
        <v>201900</v>
      </c>
      <c r="Y659" s="98">
        <f t="shared" si="883"/>
        <v>233000</v>
      </c>
      <c r="Z659" s="121">
        <v>0</v>
      </c>
      <c r="AA659" s="121">
        <f t="shared" si="556"/>
        <v>7672.2</v>
      </c>
      <c r="AB659" s="121">
        <f t="shared" si="557"/>
        <v>4038</v>
      </c>
      <c r="AC659" s="99">
        <f t="shared" si="8"/>
        <v>23300</v>
      </c>
      <c r="AD659" s="121">
        <f t="shared" si="558"/>
        <v>190189.8</v>
      </c>
      <c r="AE659" s="99">
        <f t="shared" si="10"/>
        <v>209700</v>
      </c>
      <c r="AF659" s="121">
        <f t="shared" si="559"/>
        <v>1901.8979999999999</v>
      </c>
      <c r="AG659" s="100">
        <f t="shared" si="560"/>
        <v>33000.401999999987</v>
      </c>
      <c r="AH659" s="101">
        <f t="shared" si="891"/>
        <v>52510.601999999999</v>
      </c>
      <c r="AI659" s="102">
        <f t="shared" ref="AI659:AJ659" si="986">AG659/X659</f>
        <v>0.16344924219910842</v>
      </c>
      <c r="AJ659" s="102">
        <f t="shared" si="986"/>
        <v>0.22536739055793992</v>
      </c>
      <c r="AK659" s="212"/>
      <c r="AL659" s="213"/>
      <c r="AM659" s="4"/>
      <c r="AN659" s="4"/>
      <c r="AO659" s="4"/>
      <c r="AP659" s="4"/>
      <c r="AQ659" s="4"/>
      <c r="AR659" s="4"/>
      <c r="AS659" s="4"/>
      <c r="AT659" s="4"/>
      <c r="AU659" s="4"/>
      <c r="AV659" s="4"/>
      <c r="AW659" s="4"/>
    </row>
    <row r="660" spans="1:49" ht="13.2">
      <c r="A660" s="120"/>
      <c r="B660" s="266"/>
      <c r="C660" s="117"/>
      <c r="D660" s="117"/>
      <c r="E660" s="117"/>
      <c r="F660" s="123"/>
      <c r="G660" s="125" t="s">
        <v>145</v>
      </c>
      <c r="H660" s="125"/>
      <c r="I660" s="125"/>
      <c r="J660" s="125"/>
      <c r="K660" s="82" t="str">
        <f t="shared" ref="K660:K793" ca="1" si="987">IF(L660&gt;0,L660*0.0625,)</f>
        <v>#REF!</v>
      </c>
      <c r="L660" s="82" t="str">
        <f t="shared" ca="1" si="977"/>
        <v>#REF!</v>
      </c>
      <c r="M660" s="82" t="str">
        <f t="shared" ca="1" si="550"/>
        <v>#REF!</v>
      </c>
      <c r="N660" s="93"/>
      <c r="O660" s="93"/>
      <c r="P660" s="95">
        <f t="shared" si="965"/>
        <v>0</v>
      </c>
      <c r="Q660" s="96">
        <f t="shared" si="913"/>
        <v>0</v>
      </c>
      <c r="R660" s="96">
        <v>0</v>
      </c>
      <c r="S660" s="97">
        <f t="shared" si="553"/>
        <v>0</v>
      </c>
      <c r="T660" s="97" t="str">
        <f ca="1">ROUNDUP(HLOOKUP(ROUNDUP(K660,0),'배송비 조회'!A$10:AE$22,7,0)*C$3,-2)</f>
        <v>#REF!</v>
      </c>
      <c r="U660" s="97">
        <v>0</v>
      </c>
      <c r="V660" s="97" t="str">
        <f t="shared" ca="1" si="981"/>
        <v>#REF!</v>
      </c>
      <c r="W660" s="97" t="str">
        <f t="shared" ca="1" si="982"/>
        <v>#REF!</v>
      </c>
      <c r="X660" s="98" t="str">
        <f t="shared" ca="1" si="882"/>
        <v>#REF!</v>
      </c>
      <c r="Y660" s="98" t="str">
        <f t="shared" ca="1" si="883"/>
        <v>#REF!</v>
      </c>
      <c r="Z660" s="121">
        <v>0</v>
      </c>
      <c r="AA660" s="121" t="str">
        <f t="shared" ca="1" si="556"/>
        <v>#REF!</v>
      </c>
      <c r="AB660" s="121" t="str">
        <f t="shared" ca="1" si="557"/>
        <v>#REF!</v>
      </c>
      <c r="AC660" s="99" t="str">
        <f t="shared" ca="1" si="8"/>
        <v>#REF!</v>
      </c>
      <c r="AD660" s="121" t="str">
        <f t="shared" ca="1" si="558"/>
        <v>#REF!</v>
      </c>
      <c r="AE660" s="99" t="str">
        <f t="shared" ca="1" si="10"/>
        <v>#REF!</v>
      </c>
      <c r="AF660" s="121" t="str">
        <f t="shared" ca="1" si="559"/>
        <v>#REF!</v>
      </c>
      <c r="AG660" s="100" t="str">
        <f t="shared" ca="1" si="560"/>
        <v>#REF!</v>
      </c>
      <c r="AH660" s="101" t="str">
        <f t="shared" ca="1" si="891"/>
        <v>#REF!</v>
      </c>
      <c r="AI660" s="102" t="str">
        <f t="shared" ref="AI660:AJ660" ca="1" si="988">AG660/X660</f>
        <v>#REF!</v>
      </c>
      <c r="AJ660" s="102" t="str">
        <f t="shared" ca="1" si="988"/>
        <v>#REF!</v>
      </c>
      <c r="AK660" s="212"/>
      <c r="AL660" s="213"/>
      <c r="AM660" s="4"/>
      <c r="AN660" s="4"/>
      <c r="AO660" s="4"/>
      <c r="AP660" s="4"/>
      <c r="AQ660" s="4"/>
      <c r="AR660" s="4"/>
      <c r="AS660" s="4"/>
      <c r="AT660" s="4"/>
      <c r="AU660" s="4"/>
      <c r="AV660" s="4"/>
      <c r="AW660" s="4"/>
    </row>
    <row r="661" spans="1:49" ht="13.2">
      <c r="A661" s="120"/>
      <c r="B661" s="266"/>
      <c r="C661" s="117"/>
      <c r="D661" s="117"/>
      <c r="E661" s="117"/>
      <c r="F661" s="123"/>
      <c r="G661" s="125" t="s">
        <v>145</v>
      </c>
      <c r="H661" s="125"/>
      <c r="I661" s="125"/>
      <c r="J661" s="125"/>
      <c r="K661" s="82" t="str">
        <f t="shared" ca="1" si="987"/>
        <v>#REF!</v>
      </c>
      <c r="L661" s="82" t="str">
        <f t="shared" ca="1" si="977"/>
        <v>#REF!</v>
      </c>
      <c r="M661" s="82" t="str">
        <f t="shared" ca="1" si="550"/>
        <v>#REF!</v>
      </c>
      <c r="N661" s="93"/>
      <c r="O661" s="93"/>
      <c r="P661" s="95">
        <f t="shared" si="965"/>
        <v>0</v>
      </c>
      <c r="Q661" s="96">
        <f t="shared" si="913"/>
        <v>0</v>
      </c>
      <c r="R661" s="96">
        <v>0</v>
      </c>
      <c r="S661" s="97">
        <f t="shared" si="553"/>
        <v>0</v>
      </c>
      <c r="T661" s="97" t="str">
        <f ca="1">ROUNDUP(HLOOKUP(ROUNDUP(K661,0),'배송비 조회'!A$10:AE$22,7,0)*C$3,-2)</f>
        <v>#REF!</v>
      </c>
      <c r="U661" s="97">
        <v>0</v>
      </c>
      <c r="V661" s="97" t="str">
        <f t="shared" ca="1" si="981"/>
        <v>#REF!</v>
      </c>
      <c r="W661" s="97" t="str">
        <f t="shared" ca="1" si="982"/>
        <v>#REF!</v>
      </c>
      <c r="X661" s="98" t="str">
        <f t="shared" ca="1" si="882"/>
        <v>#REF!</v>
      </c>
      <c r="Y661" s="98" t="str">
        <f t="shared" ca="1" si="883"/>
        <v>#REF!</v>
      </c>
      <c r="Z661" s="121">
        <v>0</v>
      </c>
      <c r="AA661" s="121" t="str">
        <f t="shared" ca="1" si="556"/>
        <v>#REF!</v>
      </c>
      <c r="AB661" s="121" t="str">
        <f t="shared" ca="1" si="557"/>
        <v>#REF!</v>
      </c>
      <c r="AC661" s="99" t="str">
        <f t="shared" ca="1" si="8"/>
        <v>#REF!</v>
      </c>
      <c r="AD661" s="121" t="str">
        <f t="shared" ca="1" si="558"/>
        <v>#REF!</v>
      </c>
      <c r="AE661" s="99" t="str">
        <f t="shared" ca="1" si="10"/>
        <v>#REF!</v>
      </c>
      <c r="AF661" s="121" t="str">
        <f t="shared" ca="1" si="559"/>
        <v>#REF!</v>
      </c>
      <c r="AG661" s="100" t="str">
        <f t="shared" ca="1" si="560"/>
        <v>#REF!</v>
      </c>
      <c r="AH661" s="101" t="str">
        <f t="shared" ca="1" si="891"/>
        <v>#REF!</v>
      </c>
      <c r="AI661" s="102" t="str">
        <f t="shared" ref="AI661:AJ661" ca="1" si="989">AG661/X661</f>
        <v>#REF!</v>
      </c>
      <c r="AJ661" s="102" t="str">
        <f t="shared" ca="1" si="989"/>
        <v>#REF!</v>
      </c>
      <c r="AK661" s="212"/>
      <c r="AL661" s="213"/>
      <c r="AM661" s="4"/>
      <c r="AN661" s="4"/>
      <c r="AO661" s="4"/>
      <c r="AP661" s="4"/>
      <c r="AQ661" s="4"/>
      <c r="AR661" s="4"/>
      <c r="AS661" s="4"/>
      <c r="AT661" s="4"/>
      <c r="AU661" s="4"/>
      <c r="AV661" s="4"/>
      <c r="AW661" s="4"/>
    </row>
    <row r="662" spans="1:49" ht="13.2">
      <c r="A662" s="120"/>
      <c r="B662" s="266"/>
      <c r="C662" s="117"/>
      <c r="D662" s="117"/>
      <c r="E662" s="117"/>
      <c r="F662" s="123"/>
      <c r="G662" s="125" t="s">
        <v>145</v>
      </c>
      <c r="H662" s="125"/>
      <c r="I662" s="125"/>
      <c r="J662" s="125"/>
      <c r="K662" s="82" t="str">
        <f t="shared" ca="1" si="987"/>
        <v>#REF!</v>
      </c>
      <c r="L662" s="82" t="str">
        <f t="shared" ca="1" si="977"/>
        <v>#REF!</v>
      </c>
      <c r="M662" s="82" t="str">
        <f t="shared" ca="1" si="550"/>
        <v>#REF!</v>
      </c>
      <c r="N662" s="93"/>
      <c r="O662" s="93"/>
      <c r="P662" s="95">
        <f t="shared" si="965"/>
        <v>0</v>
      </c>
      <c r="Q662" s="96">
        <f t="shared" si="913"/>
        <v>0</v>
      </c>
      <c r="R662" s="96">
        <v>0</v>
      </c>
      <c r="S662" s="97">
        <f t="shared" si="553"/>
        <v>0</v>
      </c>
      <c r="T662" s="97" t="str">
        <f ca="1">ROUNDUP(HLOOKUP(ROUNDUP(K662,0),'배송비 조회'!A$10:AE$22,7,0)*C$3,-2)</f>
        <v>#REF!</v>
      </c>
      <c r="U662" s="97">
        <v>0</v>
      </c>
      <c r="V662" s="97" t="str">
        <f t="shared" ca="1" si="981"/>
        <v>#REF!</v>
      </c>
      <c r="W662" s="97" t="str">
        <f t="shared" ca="1" si="982"/>
        <v>#REF!</v>
      </c>
      <c r="X662" s="98" t="str">
        <f t="shared" ca="1" si="882"/>
        <v>#REF!</v>
      </c>
      <c r="Y662" s="98" t="str">
        <f t="shared" ca="1" si="883"/>
        <v>#REF!</v>
      </c>
      <c r="Z662" s="121">
        <v>0</v>
      </c>
      <c r="AA662" s="121" t="str">
        <f t="shared" ca="1" si="556"/>
        <v>#REF!</v>
      </c>
      <c r="AB662" s="121" t="str">
        <f t="shared" ca="1" si="557"/>
        <v>#REF!</v>
      </c>
      <c r="AC662" s="99" t="str">
        <f t="shared" ca="1" si="8"/>
        <v>#REF!</v>
      </c>
      <c r="AD662" s="121" t="str">
        <f t="shared" ca="1" si="558"/>
        <v>#REF!</v>
      </c>
      <c r="AE662" s="99" t="str">
        <f t="shared" ca="1" si="10"/>
        <v>#REF!</v>
      </c>
      <c r="AF662" s="121" t="str">
        <f t="shared" ca="1" si="559"/>
        <v>#REF!</v>
      </c>
      <c r="AG662" s="100" t="str">
        <f t="shared" ca="1" si="560"/>
        <v>#REF!</v>
      </c>
      <c r="AH662" s="101" t="str">
        <f t="shared" ca="1" si="891"/>
        <v>#REF!</v>
      </c>
      <c r="AI662" s="102" t="str">
        <f t="shared" ref="AI662:AJ662" ca="1" si="990">AG662/X662</f>
        <v>#REF!</v>
      </c>
      <c r="AJ662" s="102" t="str">
        <f t="shared" ca="1" si="990"/>
        <v>#REF!</v>
      </c>
      <c r="AK662" s="212"/>
      <c r="AL662" s="213"/>
      <c r="AM662" s="4"/>
      <c r="AN662" s="4"/>
      <c r="AO662" s="4"/>
      <c r="AP662" s="4"/>
      <c r="AQ662" s="4"/>
      <c r="AR662" s="4"/>
      <c r="AS662" s="4"/>
      <c r="AT662" s="4"/>
      <c r="AU662" s="4"/>
      <c r="AV662" s="4"/>
      <c r="AW662" s="4"/>
    </row>
    <row r="663" spans="1:49" ht="13.2">
      <c r="A663" s="120"/>
      <c r="B663" s="266"/>
      <c r="C663" s="117"/>
      <c r="D663" s="117"/>
      <c r="E663" s="117"/>
      <c r="F663" s="123"/>
      <c r="G663" s="125" t="s">
        <v>145</v>
      </c>
      <c r="H663" s="125"/>
      <c r="I663" s="125"/>
      <c r="J663" s="125"/>
      <c r="K663" s="82" t="str">
        <f t="shared" ca="1" si="987"/>
        <v>#REF!</v>
      </c>
      <c r="L663" s="82" t="str">
        <f t="shared" ca="1" si="977"/>
        <v>#REF!</v>
      </c>
      <c r="M663" s="82" t="str">
        <f t="shared" ca="1" si="550"/>
        <v>#REF!</v>
      </c>
      <c r="N663" s="93"/>
      <c r="O663" s="93"/>
      <c r="P663" s="95">
        <f t="shared" si="965"/>
        <v>0</v>
      </c>
      <c r="Q663" s="96">
        <f t="shared" si="913"/>
        <v>0</v>
      </c>
      <c r="R663" s="96">
        <v>0</v>
      </c>
      <c r="S663" s="97">
        <f t="shared" si="553"/>
        <v>0</v>
      </c>
      <c r="T663" s="97" t="str">
        <f ca="1">ROUNDUP(HLOOKUP(ROUNDUP(K663,0),'배송비 조회'!A$10:AE$22,7,0)*C$3,-2)</f>
        <v>#REF!</v>
      </c>
      <c r="U663" s="97">
        <v>0</v>
      </c>
      <c r="V663" s="97" t="str">
        <f t="shared" ca="1" si="981"/>
        <v>#REF!</v>
      </c>
      <c r="W663" s="97" t="str">
        <f t="shared" ca="1" si="982"/>
        <v>#REF!</v>
      </c>
      <c r="X663" s="98" t="str">
        <f t="shared" ca="1" si="882"/>
        <v>#REF!</v>
      </c>
      <c r="Y663" s="98" t="str">
        <f t="shared" ca="1" si="883"/>
        <v>#REF!</v>
      </c>
      <c r="Z663" s="121">
        <v>0</v>
      </c>
      <c r="AA663" s="121" t="str">
        <f t="shared" ca="1" si="556"/>
        <v>#REF!</v>
      </c>
      <c r="AB663" s="121" t="str">
        <f t="shared" ca="1" si="557"/>
        <v>#REF!</v>
      </c>
      <c r="AC663" s="99" t="str">
        <f t="shared" ca="1" si="8"/>
        <v>#REF!</v>
      </c>
      <c r="AD663" s="121" t="str">
        <f t="shared" ca="1" si="558"/>
        <v>#REF!</v>
      </c>
      <c r="AE663" s="99" t="str">
        <f t="shared" ca="1" si="10"/>
        <v>#REF!</v>
      </c>
      <c r="AF663" s="121" t="str">
        <f t="shared" ca="1" si="559"/>
        <v>#REF!</v>
      </c>
      <c r="AG663" s="100" t="str">
        <f t="shared" ca="1" si="560"/>
        <v>#REF!</v>
      </c>
      <c r="AH663" s="101" t="str">
        <f t="shared" ca="1" si="891"/>
        <v>#REF!</v>
      </c>
      <c r="AI663" s="102" t="str">
        <f t="shared" ref="AI663:AJ663" ca="1" si="991">AG663/X663</f>
        <v>#REF!</v>
      </c>
      <c r="AJ663" s="102" t="str">
        <f t="shared" ca="1" si="991"/>
        <v>#REF!</v>
      </c>
      <c r="AK663" s="212"/>
      <c r="AL663" s="213"/>
      <c r="AM663" s="4"/>
      <c r="AN663" s="4"/>
      <c r="AO663" s="4"/>
      <c r="AP663" s="4"/>
      <c r="AQ663" s="4"/>
      <c r="AR663" s="4"/>
      <c r="AS663" s="4"/>
      <c r="AT663" s="4"/>
      <c r="AU663" s="4"/>
      <c r="AV663" s="4"/>
      <c r="AW663" s="4"/>
    </row>
    <row r="664" spans="1:49" ht="13.2">
      <c r="A664" s="120"/>
      <c r="B664" s="266"/>
      <c r="C664" s="117"/>
      <c r="D664" s="117"/>
      <c r="E664" s="117"/>
      <c r="F664" s="123"/>
      <c r="G664" s="125" t="s">
        <v>145</v>
      </c>
      <c r="H664" s="125"/>
      <c r="I664" s="125"/>
      <c r="J664" s="125"/>
      <c r="K664" s="82" t="str">
        <f t="shared" ca="1" si="987"/>
        <v>#REF!</v>
      </c>
      <c r="L664" s="82" t="str">
        <f t="shared" ca="1" si="977"/>
        <v>#REF!</v>
      </c>
      <c r="M664" s="82" t="str">
        <f t="shared" ca="1" si="550"/>
        <v>#REF!</v>
      </c>
      <c r="N664" s="93"/>
      <c r="O664" s="93"/>
      <c r="P664" s="95">
        <f t="shared" si="965"/>
        <v>0</v>
      </c>
      <c r="Q664" s="96">
        <f t="shared" si="913"/>
        <v>0</v>
      </c>
      <c r="R664" s="96">
        <v>0</v>
      </c>
      <c r="S664" s="97">
        <f t="shared" si="553"/>
        <v>0</v>
      </c>
      <c r="T664" s="97" t="str">
        <f ca="1">ROUNDUP(HLOOKUP(ROUNDUP(K664,0),'배송비 조회'!A$10:AE$22,7,0)*C$3,-2)</f>
        <v>#REF!</v>
      </c>
      <c r="U664" s="97">
        <v>0</v>
      </c>
      <c r="V664" s="97" t="str">
        <f t="shared" ca="1" si="981"/>
        <v>#REF!</v>
      </c>
      <c r="W664" s="97" t="str">
        <f t="shared" ca="1" si="982"/>
        <v>#REF!</v>
      </c>
      <c r="X664" s="98" t="str">
        <f t="shared" ca="1" si="882"/>
        <v>#REF!</v>
      </c>
      <c r="Y664" s="98" t="str">
        <f t="shared" ca="1" si="883"/>
        <v>#REF!</v>
      </c>
      <c r="Z664" s="121">
        <v>0</v>
      </c>
      <c r="AA664" s="121" t="str">
        <f t="shared" ca="1" si="556"/>
        <v>#REF!</v>
      </c>
      <c r="AB664" s="121" t="str">
        <f t="shared" ca="1" si="557"/>
        <v>#REF!</v>
      </c>
      <c r="AC664" s="99" t="str">
        <f t="shared" ca="1" si="8"/>
        <v>#REF!</v>
      </c>
      <c r="AD664" s="121" t="str">
        <f t="shared" ca="1" si="558"/>
        <v>#REF!</v>
      </c>
      <c r="AE664" s="99" t="str">
        <f t="shared" ca="1" si="10"/>
        <v>#REF!</v>
      </c>
      <c r="AF664" s="121" t="str">
        <f t="shared" ca="1" si="559"/>
        <v>#REF!</v>
      </c>
      <c r="AG664" s="100" t="str">
        <f t="shared" ca="1" si="560"/>
        <v>#REF!</v>
      </c>
      <c r="AH664" s="101" t="str">
        <f t="shared" ca="1" si="891"/>
        <v>#REF!</v>
      </c>
      <c r="AI664" s="102" t="str">
        <f t="shared" ref="AI664:AJ664" ca="1" si="992">AG664/X664</f>
        <v>#REF!</v>
      </c>
      <c r="AJ664" s="102" t="str">
        <f t="shared" ca="1" si="992"/>
        <v>#REF!</v>
      </c>
      <c r="AK664" s="212"/>
      <c r="AL664" s="213"/>
      <c r="AM664" s="4"/>
      <c r="AN664" s="4"/>
      <c r="AO664" s="4"/>
      <c r="AP664" s="4"/>
      <c r="AQ664" s="4"/>
      <c r="AR664" s="4"/>
      <c r="AS664" s="4"/>
      <c r="AT664" s="4"/>
      <c r="AU664" s="4"/>
      <c r="AV664" s="4"/>
      <c r="AW664" s="4"/>
    </row>
    <row r="665" spans="1:49" ht="13.2">
      <c r="A665" s="120"/>
      <c r="B665" s="266"/>
      <c r="C665" s="117"/>
      <c r="D665" s="117"/>
      <c r="E665" s="117"/>
      <c r="F665" s="123"/>
      <c r="G665" s="125" t="s">
        <v>145</v>
      </c>
      <c r="H665" s="125"/>
      <c r="I665" s="125"/>
      <c r="J665" s="125"/>
      <c r="K665" s="82" t="str">
        <f t="shared" ca="1" si="987"/>
        <v>#REF!</v>
      </c>
      <c r="L665" s="82" t="str">
        <f t="shared" ca="1" si="977"/>
        <v>#REF!</v>
      </c>
      <c r="M665" s="82" t="str">
        <f t="shared" ca="1" si="550"/>
        <v>#REF!</v>
      </c>
      <c r="N665" s="93"/>
      <c r="O665" s="93"/>
      <c r="P665" s="95">
        <f t="shared" si="965"/>
        <v>0</v>
      </c>
      <c r="Q665" s="96">
        <f t="shared" si="913"/>
        <v>0</v>
      </c>
      <c r="R665" s="96">
        <v>0</v>
      </c>
      <c r="S665" s="97">
        <f t="shared" si="553"/>
        <v>0</v>
      </c>
      <c r="T665" s="97" t="str">
        <f ca="1">ROUNDUP(HLOOKUP(ROUNDUP(K665,0),'배송비 조회'!A$10:AE$22,7,0)*C$3,-2)</f>
        <v>#REF!</v>
      </c>
      <c r="U665" s="97">
        <v>0</v>
      </c>
      <c r="V665" s="97" t="str">
        <f t="shared" ca="1" si="981"/>
        <v>#REF!</v>
      </c>
      <c r="W665" s="97" t="str">
        <f t="shared" ca="1" si="982"/>
        <v>#REF!</v>
      </c>
      <c r="X665" s="98" t="str">
        <f t="shared" ca="1" si="882"/>
        <v>#REF!</v>
      </c>
      <c r="Y665" s="98" t="str">
        <f t="shared" ca="1" si="883"/>
        <v>#REF!</v>
      </c>
      <c r="Z665" s="121">
        <v>0</v>
      </c>
      <c r="AA665" s="121" t="str">
        <f t="shared" ca="1" si="556"/>
        <v>#REF!</v>
      </c>
      <c r="AB665" s="121" t="str">
        <f t="shared" ca="1" si="557"/>
        <v>#REF!</v>
      </c>
      <c r="AC665" s="99" t="str">
        <f t="shared" ca="1" si="8"/>
        <v>#REF!</v>
      </c>
      <c r="AD665" s="121" t="str">
        <f t="shared" ca="1" si="558"/>
        <v>#REF!</v>
      </c>
      <c r="AE665" s="99" t="str">
        <f t="shared" ca="1" si="10"/>
        <v>#REF!</v>
      </c>
      <c r="AF665" s="121" t="str">
        <f t="shared" ca="1" si="559"/>
        <v>#REF!</v>
      </c>
      <c r="AG665" s="100" t="str">
        <f t="shared" ca="1" si="560"/>
        <v>#REF!</v>
      </c>
      <c r="AH665" s="101" t="str">
        <f t="shared" ca="1" si="891"/>
        <v>#REF!</v>
      </c>
      <c r="AI665" s="102" t="str">
        <f t="shared" ref="AI665:AJ665" ca="1" si="993">AG665/X665</f>
        <v>#REF!</v>
      </c>
      <c r="AJ665" s="102" t="str">
        <f t="shared" ca="1" si="993"/>
        <v>#REF!</v>
      </c>
      <c r="AK665" s="212"/>
      <c r="AL665" s="213"/>
      <c r="AM665" s="4"/>
      <c r="AN665" s="4"/>
      <c r="AO665" s="4"/>
      <c r="AP665" s="4"/>
      <c r="AQ665" s="4"/>
      <c r="AR665" s="4"/>
      <c r="AS665" s="4"/>
      <c r="AT665" s="4"/>
      <c r="AU665" s="4"/>
      <c r="AV665" s="4"/>
      <c r="AW665" s="4"/>
    </row>
    <row r="666" spans="1:49" ht="13.2">
      <c r="A666" s="120"/>
      <c r="B666" s="266"/>
      <c r="C666" s="117"/>
      <c r="D666" s="117"/>
      <c r="E666" s="117"/>
      <c r="F666" s="123"/>
      <c r="G666" s="125" t="s">
        <v>145</v>
      </c>
      <c r="H666" s="125"/>
      <c r="I666" s="125"/>
      <c r="J666" s="125"/>
      <c r="K666" s="82" t="str">
        <f t="shared" ca="1" si="987"/>
        <v>#REF!</v>
      </c>
      <c r="L666" s="82" t="str">
        <f t="shared" ca="1" si="977"/>
        <v>#REF!</v>
      </c>
      <c r="M666" s="82" t="str">
        <f t="shared" ca="1" si="550"/>
        <v>#REF!</v>
      </c>
      <c r="N666" s="93"/>
      <c r="O666" s="93"/>
      <c r="P666" s="95">
        <f t="shared" si="965"/>
        <v>0</v>
      </c>
      <c r="Q666" s="96">
        <f t="shared" si="913"/>
        <v>0</v>
      </c>
      <c r="R666" s="96">
        <v>0</v>
      </c>
      <c r="S666" s="97">
        <f t="shared" si="553"/>
        <v>0</v>
      </c>
      <c r="T666" s="97" t="str">
        <f ca="1">ROUNDUP(HLOOKUP(ROUNDUP(K666,0),'배송비 조회'!A$10:AE$22,7,0)*C$3,-2)</f>
        <v>#REF!</v>
      </c>
      <c r="U666" s="97">
        <v>0</v>
      </c>
      <c r="V666" s="97" t="str">
        <f t="shared" ca="1" si="981"/>
        <v>#REF!</v>
      </c>
      <c r="W666" s="97" t="str">
        <f t="shared" ca="1" si="982"/>
        <v>#REF!</v>
      </c>
      <c r="X666" s="98" t="str">
        <f t="shared" ca="1" si="882"/>
        <v>#REF!</v>
      </c>
      <c r="Y666" s="98" t="str">
        <f t="shared" ca="1" si="883"/>
        <v>#REF!</v>
      </c>
      <c r="Z666" s="121">
        <v>0</v>
      </c>
      <c r="AA666" s="121" t="str">
        <f t="shared" ca="1" si="556"/>
        <v>#REF!</v>
      </c>
      <c r="AB666" s="121" t="str">
        <f t="shared" ca="1" si="557"/>
        <v>#REF!</v>
      </c>
      <c r="AC666" s="99" t="str">
        <f t="shared" ca="1" si="8"/>
        <v>#REF!</v>
      </c>
      <c r="AD666" s="121" t="str">
        <f t="shared" ca="1" si="558"/>
        <v>#REF!</v>
      </c>
      <c r="AE666" s="99" t="str">
        <f t="shared" ca="1" si="10"/>
        <v>#REF!</v>
      </c>
      <c r="AF666" s="121" t="str">
        <f t="shared" ca="1" si="559"/>
        <v>#REF!</v>
      </c>
      <c r="AG666" s="100" t="str">
        <f t="shared" ca="1" si="560"/>
        <v>#REF!</v>
      </c>
      <c r="AH666" s="101" t="str">
        <f t="shared" ca="1" si="891"/>
        <v>#REF!</v>
      </c>
      <c r="AI666" s="102" t="str">
        <f t="shared" ref="AI666:AJ666" ca="1" si="994">AG666/X666</f>
        <v>#REF!</v>
      </c>
      <c r="AJ666" s="102" t="str">
        <f t="shared" ca="1" si="994"/>
        <v>#REF!</v>
      </c>
      <c r="AK666" s="212"/>
      <c r="AL666" s="213"/>
      <c r="AM666" s="4"/>
      <c r="AN666" s="4"/>
      <c r="AO666" s="4"/>
      <c r="AP666" s="4"/>
      <c r="AQ666" s="4"/>
      <c r="AR666" s="4"/>
      <c r="AS666" s="4"/>
      <c r="AT666" s="4"/>
      <c r="AU666" s="4"/>
      <c r="AV666" s="4"/>
      <c r="AW666" s="4"/>
    </row>
    <row r="667" spans="1:49" ht="13.2">
      <c r="A667" s="120"/>
      <c r="B667" s="266"/>
      <c r="C667" s="117"/>
      <c r="D667" s="117"/>
      <c r="E667" s="117"/>
      <c r="F667" s="123"/>
      <c r="G667" s="125" t="s">
        <v>145</v>
      </c>
      <c r="H667" s="125"/>
      <c r="I667" s="125"/>
      <c r="J667" s="125"/>
      <c r="K667" s="82" t="str">
        <f t="shared" ca="1" si="987"/>
        <v>#REF!</v>
      </c>
      <c r="L667" s="82" t="str">
        <f t="shared" ca="1" si="977"/>
        <v>#REF!</v>
      </c>
      <c r="M667" s="82" t="str">
        <f t="shared" ca="1" si="550"/>
        <v>#REF!</v>
      </c>
      <c r="N667" s="93"/>
      <c r="O667" s="93"/>
      <c r="P667" s="95">
        <f t="shared" si="965"/>
        <v>0</v>
      </c>
      <c r="Q667" s="96">
        <f t="shared" si="913"/>
        <v>0</v>
      </c>
      <c r="R667" s="96">
        <v>0</v>
      </c>
      <c r="S667" s="97">
        <f t="shared" si="553"/>
        <v>0</v>
      </c>
      <c r="T667" s="97" t="str">
        <f ca="1">ROUNDUP(HLOOKUP(ROUNDUP(K667,0),'배송비 조회'!A$10:AE$22,7,0)*C$3,-2)</f>
        <v>#REF!</v>
      </c>
      <c r="U667" s="97">
        <v>0</v>
      </c>
      <c r="V667" s="97" t="str">
        <f t="shared" ca="1" si="981"/>
        <v>#REF!</v>
      </c>
      <c r="W667" s="97" t="str">
        <f t="shared" ca="1" si="982"/>
        <v>#REF!</v>
      </c>
      <c r="X667" s="98" t="str">
        <f t="shared" ca="1" si="882"/>
        <v>#REF!</v>
      </c>
      <c r="Y667" s="98" t="str">
        <f t="shared" ca="1" si="883"/>
        <v>#REF!</v>
      </c>
      <c r="Z667" s="121">
        <v>0</v>
      </c>
      <c r="AA667" s="121" t="str">
        <f t="shared" ca="1" si="556"/>
        <v>#REF!</v>
      </c>
      <c r="AB667" s="121" t="str">
        <f t="shared" ca="1" si="557"/>
        <v>#REF!</v>
      </c>
      <c r="AC667" s="99" t="str">
        <f t="shared" ca="1" si="8"/>
        <v>#REF!</v>
      </c>
      <c r="AD667" s="121" t="str">
        <f t="shared" ca="1" si="558"/>
        <v>#REF!</v>
      </c>
      <c r="AE667" s="99" t="str">
        <f t="shared" ca="1" si="10"/>
        <v>#REF!</v>
      </c>
      <c r="AF667" s="121" t="str">
        <f t="shared" ca="1" si="559"/>
        <v>#REF!</v>
      </c>
      <c r="AG667" s="100" t="str">
        <f t="shared" ca="1" si="560"/>
        <v>#REF!</v>
      </c>
      <c r="AH667" s="101" t="str">
        <f t="shared" ca="1" si="891"/>
        <v>#REF!</v>
      </c>
      <c r="AI667" s="102" t="str">
        <f t="shared" ref="AI667:AJ667" ca="1" si="995">AG667/X667</f>
        <v>#REF!</v>
      </c>
      <c r="AJ667" s="102" t="str">
        <f t="shared" ca="1" si="995"/>
        <v>#REF!</v>
      </c>
      <c r="AK667" s="212"/>
      <c r="AL667" s="213"/>
      <c r="AM667" s="4"/>
      <c r="AN667" s="4"/>
      <c r="AO667" s="4"/>
      <c r="AP667" s="4"/>
      <c r="AQ667" s="4"/>
      <c r="AR667" s="4"/>
      <c r="AS667" s="4"/>
      <c r="AT667" s="4"/>
      <c r="AU667" s="4"/>
      <c r="AV667" s="4"/>
      <c r="AW667" s="4"/>
    </row>
    <row r="668" spans="1:49" ht="13.2">
      <c r="A668" s="120"/>
      <c r="B668" s="266"/>
      <c r="C668" s="117"/>
      <c r="D668" s="117"/>
      <c r="E668" s="117"/>
      <c r="F668" s="123"/>
      <c r="G668" s="125" t="s">
        <v>145</v>
      </c>
      <c r="H668" s="125"/>
      <c r="I668" s="125"/>
      <c r="J668" s="125"/>
      <c r="K668" s="82" t="str">
        <f t="shared" ca="1" si="987"/>
        <v>#REF!</v>
      </c>
      <c r="L668" s="82" t="str">
        <f t="shared" ca="1" si="977"/>
        <v>#REF!</v>
      </c>
      <c r="M668" s="82" t="str">
        <f t="shared" ca="1" si="550"/>
        <v>#REF!</v>
      </c>
      <c r="N668" s="93"/>
      <c r="O668" s="93"/>
      <c r="P668" s="95">
        <f t="shared" si="965"/>
        <v>0</v>
      </c>
      <c r="Q668" s="96">
        <f t="shared" si="913"/>
        <v>0</v>
      </c>
      <c r="R668" s="96">
        <v>0</v>
      </c>
      <c r="S668" s="97">
        <f t="shared" si="553"/>
        <v>0</v>
      </c>
      <c r="T668" s="97" t="str">
        <f ca="1">ROUNDUP(HLOOKUP(ROUNDUP(K668,0),'배송비 조회'!A$10:AE$22,7,0)*C$3,-2)</f>
        <v>#REF!</v>
      </c>
      <c r="U668" s="97">
        <v>0</v>
      </c>
      <c r="V668" s="97" t="str">
        <f t="shared" ca="1" si="981"/>
        <v>#REF!</v>
      </c>
      <c r="W668" s="97" t="str">
        <f t="shared" ca="1" si="982"/>
        <v>#REF!</v>
      </c>
      <c r="X668" s="98" t="str">
        <f t="shared" ca="1" si="882"/>
        <v>#REF!</v>
      </c>
      <c r="Y668" s="98" t="str">
        <f t="shared" ca="1" si="883"/>
        <v>#REF!</v>
      </c>
      <c r="Z668" s="121">
        <v>0</v>
      </c>
      <c r="AA668" s="121" t="str">
        <f t="shared" ca="1" si="556"/>
        <v>#REF!</v>
      </c>
      <c r="AB668" s="121" t="str">
        <f t="shared" ca="1" si="557"/>
        <v>#REF!</v>
      </c>
      <c r="AC668" s="99" t="str">
        <f t="shared" ca="1" si="8"/>
        <v>#REF!</v>
      </c>
      <c r="AD668" s="121" t="str">
        <f t="shared" ca="1" si="558"/>
        <v>#REF!</v>
      </c>
      <c r="AE668" s="99" t="str">
        <f t="shared" ca="1" si="10"/>
        <v>#REF!</v>
      </c>
      <c r="AF668" s="121" t="str">
        <f t="shared" ca="1" si="559"/>
        <v>#REF!</v>
      </c>
      <c r="AG668" s="100" t="str">
        <f t="shared" ca="1" si="560"/>
        <v>#REF!</v>
      </c>
      <c r="AH668" s="101" t="str">
        <f t="shared" ca="1" si="891"/>
        <v>#REF!</v>
      </c>
      <c r="AI668" s="102" t="str">
        <f t="shared" ref="AI668:AJ668" ca="1" si="996">AG668/X668</f>
        <v>#REF!</v>
      </c>
      <c r="AJ668" s="102" t="str">
        <f t="shared" ca="1" si="996"/>
        <v>#REF!</v>
      </c>
      <c r="AK668" s="212"/>
      <c r="AL668" s="213"/>
      <c r="AM668" s="4"/>
      <c r="AN668" s="4"/>
      <c r="AO668" s="4"/>
      <c r="AP668" s="4"/>
      <c r="AQ668" s="4"/>
      <c r="AR668" s="4"/>
      <c r="AS668" s="4"/>
      <c r="AT668" s="4"/>
      <c r="AU668" s="4"/>
      <c r="AV668" s="4"/>
      <c r="AW668" s="4"/>
    </row>
    <row r="669" spans="1:49" ht="13.2">
      <c r="A669" s="120"/>
      <c r="B669" s="266"/>
      <c r="C669" s="117"/>
      <c r="D669" s="117"/>
      <c r="E669" s="117"/>
      <c r="F669" s="123"/>
      <c r="G669" s="125" t="s">
        <v>145</v>
      </c>
      <c r="H669" s="125"/>
      <c r="I669" s="125"/>
      <c r="J669" s="125"/>
      <c r="K669" s="82" t="str">
        <f t="shared" ca="1" si="987"/>
        <v>#REF!</v>
      </c>
      <c r="L669" s="82" t="str">
        <f t="shared" ca="1" si="977"/>
        <v>#REF!</v>
      </c>
      <c r="M669" s="82" t="str">
        <f t="shared" ca="1" si="550"/>
        <v>#REF!</v>
      </c>
      <c r="N669" s="93"/>
      <c r="O669" s="93"/>
      <c r="P669" s="95">
        <f t="shared" si="965"/>
        <v>0</v>
      </c>
      <c r="Q669" s="96">
        <f t="shared" si="913"/>
        <v>0</v>
      </c>
      <c r="R669" s="96">
        <v>0</v>
      </c>
      <c r="S669" s="97">
        <f t="shared" si="553"/>
        <v>0</v>
      </c>
      <c r="T669" s="97" t="str">
        <f ca="1">ROUNDUP(HLOOKUP(ROUNDUP(K669,0),'배송비 조회'!A$10:AE$22,7,0)*C$3,-2)</f>
        <v>#REF!</v>
      </c>
      <c r="U669" s="97">
        <v>0</v>
      </c>
      <c r="V669" s="97" t="str">
        <f t="shared" ca="1" si="981"/>
        <v>#REF!</v>
      </c>
      <c r="W669" s="97" t="str">
        <f t="shared" ca="1" si="982"/>
        <v>#REF!</v>
      </c>
      <c r="X669" s="98" t="str">
        <f t="shared" ca="1" si="882"/>
        <v>#REF!</v>
      </c>
      <c r="Y669" s="98" t="str">
        <f t="shared" ca="1" si="883"/>
        <v>#REF!</v>
      </c>
      <c r="Z669" s="121">
        <v>0</v>
      </c>
      <c r="AA669" s="121" t="str">
        <f t="shared" ca="1" si="556"/>
        <v>#REF!</v>
      </c>
      <c r="AB669" s="121" t="str">
        <f t="shared" ca="1" si="557"/>
        <v>#REF!</v>
      </c>
      <c r="AC669" s="99" t="str">
        <f t="shared" ca="1" si="8"/>
        <v>#REF!</v>
      </c>
      <c r="AD669" s="121" t="str">
        <f t="shared" ca="1" si="558"/>
        <v>#REF!</v>
      </c>
      <c r="AE669" s="99" t="str">
        <f t="shared" ca="1" si="10"/>
        <v>#REF!</v>
      </c>
      <c r="AF669" s="121" t="str">
        <f t="shared" ca="1" si="559"/>
        <v>#REF!</v>
      </c>
      <c r="AG669" s="100" t="str">
        <f t="shared" ca="1" si="560"/>
        <v>#REF!</v>
      </c>
      <c r="AH669" s="101" t="str">
        <f t="shared" ca="1" si="891"/>
        <v>#REF!</v>
      </c>
      <c r="AI669" s="102" t="str">
        <f t="shared" ref="AI669:AJ669" ca="1" si="997">AG669/X669</f>
        <v>#REF!</v>
      </c>
      <c r="AJ669" s="102" t="str">
        <f t="shared" ca="1" si="997"/>
        <v>#REF!</v>
      </c>
      <c r="AK669" s="212"/>
      <c r="AL669" s="213"/>
      <c r="AM669" s="4"/>
      <c r="AN669" s="4"/>
      <c r="AO669" s="4"/>
      <c r="AP669" s="4"/>
      <c r="AQ669" s="4"/>
      <c r="AR669" s="4"/>
      <c r="AS669" s="4"/>
      <c r="AT669" s="4"/>
      <c r="AU669" s="4"/>
      <c r="AV669" s="4"/>
      <c r="AW669" s="4"/>
    </row>
    <row r="670" spans="1:49" ht="13.2">
      <c r="A670" s="120"/>
      <c r="B670" s="266"/>
      <c r="C670" s="117"/>
      <c r="D670" s="117"/>
      <c r="E670" s="117"/>
      <c r="F670" s="123"/>
      <c r="G670" s="125" t="s">
        <v>145</v>
      </c>
      <c r="H670" s="125"/>
      <c r="I670" s="125"/>
      <c r="J670" s="125"/>
      <c r="K670" s="82" t="str">
        <f t="shared" ca="1" si="987"/>
        <v>#REF!</v>
      </c>
      <c r="L670" s="82" t="str">
        <f t="shared" ca="1" si="977"/>
        <v>#REF!</v>
      </c>
      <c r="M670" s="82" t="str">
        <f t="shared" ca="1" si="550"/>
        <v>#REF!</v>
      </c>
      <c r="N670" s="93"/>
      <c r="O670" s="93"/>
      <c r="P670" s="95">
        <f t="shared" si="965"/>
        <v>0</v>
      </c>
      <c r="Q670" s="96">
        <f t="shared" si="913"/>
        <v>0</v>
      </c>
      <c r="R670" s="96">
        <v>0</v>
      </c>
      <c r="S670" s="97">
        <f t="shared" si="553"/>
        <v>0</v>
      </c>
      <c r="T670" s="97" t="str">
        <f ca="1">ROUNDUP(HLOOKUP(ROUNDUP(K670,0),'배송비 조회'!A$10:AE$22,7,0)*C$3,-2)</f>
        <v>#REF!</v>
      </c>
      <c r="U670" s="97">
        <v>0</v>
      </c>
      <c r="V670" s="97" t="str">
        <f t="shared" ca="1" si="981"/>
        <v>#REF!</v>
      </c>
      <c r="W670" s="97" t="str">
        <f t="shared" ca="1" si="982"/>
        <v>#REF!</v>
      </c>
      <c r="X670" s="98" t="str">
        <f t="shared" ca="1" si="882"/>
        <v>#REF!</v>
      </c>
      <c r="Y670" s="98" t="str">
        <f t="shared" ca="1" si="883"/>
        <v>#REF!</v>
      </c>
      <c r="Z670" s="121">
        <v>0</v>
      </c>
      <c r="AA670" s="121" t="str">
        <f t="shared" ca="1" si="556"/>
        <v>#REF!</v>
      </c>
      <c r="AB670" s="121" t="str">
        <f t="shared" ca="1" si="557"/>
        <v>#REF!</v>
      </c>
      <c r="AC670" s="99" t="str">
        <f t="shared" ca="1" si="8"/>
        <v>#REF!</v>
      </c>
      <c r="AD670" s="121" t="str">
        <f t="shared" ca="1" si="558"/>
        <v>#REF!</v>
      </c>
      <c r="AE670" s="99" t="str">
        <f t="shared" ca="1" si="10"/>
        <v>#REF!</v>
      </c>
      <c r="AF670" s="121" t="str">
        <f t="shared" ca="1" si="559"/>
        <v>#REF!</v>
      </c>
      <c r="AG670" s="100" t="str">
        <f t="shared" ca="1" si="560"/>
        <v>#REF!</v>
      </c>
      <c r="AH670" s="101" t="str">
        <f t="shared" ca="1" si="891"/>
        <v>#REF!</v>
      </c>
      <c r="AI670" s="102" t="str">
        <f t="shared" ref="AI670:AJ670" ca="1" si="998">AG670/X670</f>
        <v>#REF!</v>
      </c>
      <c r="AJ670" s="102" t="str">
        <f t="shared" ca="1" si="998"/>
        <v>#REF!</v>
      </c>
      <c r="AK670" s="212"/>
      <c r="AL670" s="213"/>
      <c r="AM670" s="4"/>
      <c r="AN670" s="4"/>
      <c r="AO670" s="4"/>
      <c r="AP670" s="4"/>
      <c r="AQ670" s="4"/>
      <c r="AR670" s="4"/>
      <c r="AS670" s="4"/>
      <c r="AT670" s="4"/>
      <c r="AU670" s="4"/>
      <c r="AV670" s="4"/>
      <c r="AW670" s="4"/>
    </row>
    <row r="671" spans="1:49" ht="13.2">
      <c r="A671" s="120"/>
      <c r="B671" s="266"/>
      <c r="C671" s="117"/>
      <c r="D671" s="117"/>
      <c r="E671" s="117"/>
      <c r="F671" s="123"/>
      <c r="G671" s="125" t="s">
        <v>145</v>
      </c>
      <c r="H671" s="125"/>
      <c r="I671" s="125"/>
      <c r="J671" s="125"/>
      <c r="K671" s="82" t="str">
        <f t="shared" ca="1" si="987"/>
        <v>#REF!</v>
      </c>
      <c r="L671" s="82" t="str">
        <f t="shared" ca="1" si="977"/>
        <v>#REF!</v>
      </c>
      <c r="M671" s="82" t="str">
        <f t="shared" ca="1" si="550"/>
        <v>#REF!</v>
      </c>
      <c r="N671" s="93"/>
      <c r="O671" s="93"/>
      <c r="P671" s="95">
        <f t="shared" si="965"/>
        <v>0</v>
      </c>
      <c r="Q671" s="96">
        <f t="shared" si="913"/>
        <v>0</v>
      </c>
      <c r="R671" s="96">
        <v>0</v>
      </c>
      <c r="S671" s="97">
        <f t="shared" si="553"/>
        <v>0</v>
      </c>
      <c r="T671" s="97" t="str">
        <f ca="1">ROUNDUP(HLOOKUP(ROUNDUP(K671,0),'배송비 조회'!A$10:AE$22,7,0)*C$3,-2)</f>
        <v>#REF!</v>
      </c>
      <c r="U671" s="97">
        <v>0</v>
      </c>
      <c r="V671" s="97" t="str">
        <f t="shared" ca="1" si="981"/>
        <v>#REF!</v>
      </c>
      <c r="W671" s="97" t="str">
        <f t="shared" ca="1" si="982"/>
        <v>#REF!</v>
      </c>
      <c r="X671" s="98" t="str">
        <f t="shared" ca="1" si="882"/>
        <v>#REF!</v>
      </c>
      <c r="Y671" s="98" t="str">
        <f t="shared" ca="1" si="883"/>
        <v>#REF!</v>
      </c>
      <c r="Z671" s="121">
        <v>0</v>
      </c>
      <c r="AA671" s="121" t="str">
        <f t="shared" ca="1" si="556"/>
        <v>#REF!</v>
      </c>
      <c r="AB671" s="121" t="str">
        <f t="shared" ca="1" si="557"/>
        <v>#REF!</v>
      </c>
      <c r="AC671" s="99" t="str">
        <f t="shared" ca="1" si="8"/>
        <v>#REF!</v>
      </c>
      <c r="AD671" s="121" t="str">
        <f t="shared" ca="1" si="558"/>
        <v>#REF!</v>
      </c>
      <c r="AE671" s="99" t="str">
        <f t="shared" ca="1" si="10"/>
        <v>#REF!</v>
      </c>
      <c r="AF671" s="121" t="str">
        <f t="shared" ca="1" si="559"/>
        <v>#REF!</v>
      </c>
      <c r="AG671" s="100" t="str">
        <f t="shared" ca="1" si="560"/>
        <v>#REF!</v>
      </c>
      <c r="AH671" s="101" t="str">
        <f t="shared" ca="1" si="891"/>
        <v>#REF!</v>
      </c>
      <c r="AI671" s="102" t="str">
        <f t="shared" ref="AI671:AJ671" ca="1" si="999">AG671/X671</f>
        <v>#REF!</v>
      </c>
      <c r="AJ671" s="102" t="str">
        <f t="shared" ca="1" si="999"/>
        <v>#REF!</v>
      </c>
      <c r="AK671" s="212"/>
      <c r="AL671" s="213"/>
      <c r="AM671" s="4"/>
      <c r="AN671" s="4"/>
      <c r="AO671" s="4"/>
      <c r="AP671" s="4"/>
      <c r="AQ671" s="4"/>
      <c r="AR671" s="4"/>
      <c r="AS671" s="4"/>
      <c r="AT671" s="4"/>
      <c r="AU671" s="4"/>
      <c r="AV671" s="4"/>
      <c r="AW671" s="4"/>
    </row>
    <row r="672" spans="1:49" ht="13.2">
      <c r="A672" s="120"/>
      <c r="B672" s="266"/>
      <c r="C672" s="117"/>
      <c r="D672" s="117"/>
      <c r="E672" s="117"/>
      <c r="F672" s="123"/>
      <c r="G672" s="125" t="s">
        <v>145</v>
      </c>
      <c r="H672" s="125"/>
      <c r="I672" s="125"/>
      <c r="J672" s="125"/>
      <c r="K672" s="82" t="str">
        <f t="shared" ca="1" si="987"/>
        <v>#REF!</v>
      </c>
      <c r="L672" s="82" t="str">
        <f t="shared" ca="1" si="977"/>
        <v>#REF!</v>
      </c>
      <c r="M672" s="82" t="str">
        <f t="shared" ca="1" si="550"/>
        <v>#REF!</v>
      </c>
      <c r="N672" s="93"/>
      <c r="O672" s="93"/>
      <c r="P672" s="95">
        <f t="shared" si="965"/>
        <v>0</v>
      </c>
      <c r="Q672" s="96">
        <f t="shared" si="913"/>
        <v>0</v>
      </c>
      <c r="R672" s="96">
        <v>0</v>
      </c>
      <c r="S672" s="97">
        <f t="shared" si="553"/>
        <v>0</v>
      </c>
      <c r="T672" s="97" t="str">
        <f ca="1">ROUNDUP(HLOOKUP(ROUNDUP(K672,0),'배송비 조회'!A$10:AE$22,7,0)*C$3,-2)</f>
        <v>#REF!</v>
      </c>
      <c r="U672" s="97">
        <v>0</v>
      </c>
      <c r="V672" s="97" t="str">
        <f t="shared" ca="1" si="981"/>
        <v>#REF!</v>
      </c>
      <c r="W672" s="97" t="str">
        <f t="shared" ca="1" si="982"/>
        <v>#REF!</v>
      </c>
      <c r="X672" s="98" t="str">
        <f t="shared" ca="1" si="882"/>
        <v>#REF!</v>
      </c>
      <c r="Y672" s="98" t="str">
        <f t="shared" ca="1" si="883"/>
        <v>#REF!</v>
      </c>
      <c r="Z672" s="121">
        <v>0</v>
      </c>
      <c r="AA672" s="121" t="str">
        <f t="shared" ca="1" si="556"/>
        <v>#REF!</v>
      </c>
      <c r="AB672" s="121" t="str">
        <f t="shared" ca="1" si="557"/>
        <v>#REF!</v>
      </c>
      <c r="AC672" s="99" t="str">
        <f t="shared" ca="1" si="8"/>
        <v>#REF!</v>
      </c>
      <c r="AD672" s="121" t="str">
        <f t="shared" ca="1" si="558"/>
        <v>#REF!</v>
      </c>
      <c r="AE672" s="99" t="str">
        <f t="shared" ca="1" si="10"/>
        <v>#REF!</v>
      </c>
      <c r="AF672" s="121" t="str">
        <f t="shared" ca="1" si="559"/>
        <v>#REF!</v>
      </c>
      <c r="AG672" s="100" t="str">
        <f t="shared" ca="1" si="560"/>
        <v>#REF!</v>
      </c>
      <c r="AH672" s="101" t="str">
        <f t="shared" ca="1" si="891"/>
        <v>#REF!</v>
      </c>
      <c r="AI672" s="102" t="str">
        <f t="shared" ref="AI672:AJ672" ca="1" si="1000">AG672/X672</f>
        <v>#REF!</v>
      </c>
      <c r="AJ672" s="102" t="str">
        <f t="shared" ca="1" si="1000"/>
        <v>#REF!</v>
      </c>
      <c r="AK672" s="212"/>
      <c r="AL672" s="213"/>
      <c r="AM672" s="4"/>
      <c r="AN672" s="4"/>
      <c r="AO672" s="4"/>
      <c r="AP672" s="4"/>
      <c r="AQ672" s="4"/>
      <c r="AR672" s="4"/>
      <c r="AS672" s="4"/>
      <c r="AT672" s="4"/>
      <c r="AU672" s="4"/>
      <c r="AV672" s="4"/>
      <c r="AW672" s="4"/>
    </row>
    <row r="673" spans="1:49" ht="13.2">
      <c r="A673" s="120"/>
      <c r="B673" s="266"/>
      <c r="C673" s="117"/>
      <c r="D673" s="117"/>
      <c r="E673" s="117"/>
      <c r="F673" s="123"/>
      <c r="G673" s="125" t="s">
        <v>145</v>
      </c>
      <c r="H673" s="125"/>
      <c r="I673" s="125"/>
      <c r="J673" s="125"/>
      <c r="K673" s="82" t="str">
        <f t="shared" ca="1" si="987"/>
        <v>#REF!</v>
      </c>
      <c r="L673" s="82" t="str">
        <f t="shared" ca="1" si="977"/>
        <v>#REF!</v>
      </c>
      <c r="M673" s="82" t="str">
        <f t="shared" ca="1" si="550"/>
        <v>#REF!</v>
      </c>
      <c r="N673" s="93"/>
      <c r="O673" s="93"/>
      <c r="P673" s="95">
        <f t="shared" si="965"/>
        <v>0</v>
      </c>
      <c r="Q673" s="96">
        <f t="shared" si="913"/>
        <v>0</v>
      </c>
      <c r="R673" s="96">
        <v>0</v>
      </c>
      <c r="S673" s="97">
        <f t="shared" si="553"/>
        <v>0</v>
      </c>
      <c r="T673" s="97" t="str">
        <f ca="1">ROUNDUP(HLOOKUP(ROUNDUP(K673,0),'배송비 조회'!A$10:AE$22,7,0)*C$3,-2)</f>
        <v>#REF!</v>
      </c>
      <c r="U673" s="97">
        <v>0</v>
      </c>
      <c r="V673" s="97" t="str">
        <f t="shared" ca="1" si="981"/>
        <v>#REF!</v>
      </c>
      <c r="W673" s="97" t="str">
        <f t="shared" ca="1" si="982"/>
        <v>#REF!</v>
      </c>
      <c r="X673" s="98" t="str">
        <f t="shared" ca="1" si="882"/>
        <v>#REF!</v>
      </c>
      <c r="Y673" s="98" t="str">
        <f t="shared" ca="1" si="883"/>
        <v>#REF!</v>
      </c>
      <c r="Z673" s="121">
        <v>0</v>
      </c>
      <c r="AA673" s="121" t="str">
        <f t="shared" ca="1" si="556"/>
        <v>#REF!</v>
      </c>
      <c r="AB673" s="121" t="str">
        <f t="shared" ca="1" si="557"/>
        <v>#REF!</v>
      </c>
      <c r="AC673" s="99" t="str">
        <f t="shared" ca="1" si="8"/>
        <v>#REF!</v>
      </c>
      <c r="AD673" s="121" t="str">
        <f t="shared" ca="1" si="558"/>
        <v>#REF!</v>
      </c>
      <c r="AE673" s="99" t="str">
        <f t="shared" ca="1" si="10"/>
        <v>#REF!</v>
      </c>
      <c r="AF673" s="121" t="str">
        <f t="shared" ca="1" si="559"/>
        <v>#REF!</v>
      </c>
      <c r="AG673" s="100" t="str">
        <f t="shared" ca="1" si="560"/>
        <v>#REF!</v>
      </c>
      <c r="AH673" s="101" t="str">
        <f t="shared" ca="1" si="891"/>
        <v>#REF!</v>
      </c>
      <c r="AI673" s="102" t="str">
        <f t="shared" ref="AI673:AJ673" ca="1" si="1001">AG673/X673</f>
        <v>#REF!</v>
      </c>
      <c r="AJ673" s="102" t="str">
        <f t="shared" ca="1" si="1001"/>
        <v>#REF!</v>
      </c>
      <c r="AK673" s="212"/>
      <c r="AL673" s="213"/>
      <c r="AM673" s="4"/>
      <c r="AN673" s="4"/>
      <c r="AO673" s="4"/>
      <c r="AP673" s="4"/>
      <c r="AQ673" s="4"/>
      <c r="AR673" s="4"/>
      <c r="AS673" s="4"/>
      <c r="AT673" s="4"/>
      <c r="AU673" s="4"/>
      <c r="AV673" s="4"/>
      <c r="AW673" s="4"/>
    </row>
    <row r="674" spans="1:49" ht="13.2">
      <c r="A674" s="120"/>
      <c r="B674" s="266"/>
      <c r="C674" s="117"/>
      <c r="D674" s="117"/>
      <c r="E674" s="117"/>
      <c r="F674" s="123"/>
      <c r="G674" s="125" t="s">
        <v>145</v>
      </c>
      <c r="H674" s="125"/>
      <c r="I674" s="125"/>
      <c r="J674" s="125"/>
      <c r="K674" s="82" t="str">
        <f t="shared" ca="1" si="987"/>
        <v>#REF!</v>
      </c>
      <c r="L674" s="82" t="str">
        <f t="shared" ca="1" si="977"/>
        <v>#REF!</v>
      </c>
      <c r="M674" s="82" t="str">
        <f t="shared" ca="1" si="550"/>
        <v>#REF!</v>
      </c>
      <c r="N674" s="93"/>
      <c r="O674" s="93"/>
      <c r="P674" s="95">
        <f t="shared" si="965"/>
        <v>0</v>
      </c>
      <c r="Q674" s="96">
        <f t="shared" si="913"/>
        <v>0</v>
      </c>
      <c r="R674" s="96">
        <v>0</v>
      </c>
      <c r="S674" s="97">
        <f t="shared" si="553"/>
        <v>0</v>
      </c>
      <c r="T674" s="97" t="str">
        <f ca="1">ROUNDUP(HLOOKUP(ROUNDUP(K674,0),'배송비 조회'!A$10:AE$22,7,0)*C$3,-2)</f>
        <v>#REF!</v>
      </c>
      <c r="U674" s="97">
        <v>0</v>
      </c>
      <c r="V674" s="97" t="str">
        <f t="shared" ca="1" si="981"/>
        <v>#REF!</v>
      </c>
      <c r="W674" s="97" t="str">
        <f t="shared" ca="1" si="982"/>
        <v>#REF!</v>
      </c>
      <c r="X674" s="98" t="str">
        <f t="shared" ca="1" si="882"/>
        <v>#REF!</v>
      </c>
      <c r="Y674" s="98" t="str">
        <f t="shared" ca="1" si="883"/>
        <v>#REF!</v>
      </c>
      <c r="Z674" s="121">
        <v>0</v>
      </c>
      <c r="AA674" s="121" t="str">
        <f t="shared" ca="1" si="556"/>
        <v>#REF!</v>
      </c>
      <c r="AB674" s="121" t="str">
        <f t="shared" ca="1" si="557"/>
        <v>#REF!</v>
      </c>
      <c r="AC674" s="99" t="str">
        <f t="shared" ca="1" si="8"/>
        <v>#REF!</v>
      </c>
      <c r="AD674" s="121" t="str">
        <f t="shared" ca="1" si="558"/>
        <v>#REF!</v>
      </c>
      <c r="AE674" s="99" t="str">
        <f t="shared" ca="1" si="10"/>
        <v>#REF!</v>
      </c>
      <c r="AF674" s="121" t="str">
        <f t="shared" ca="1" si="559"/>
        <v>#REF!</v>
      </c>
      <c r="AG674" s="100" t="str">
        <f t="shared" ca="1" si="560"/>
        <v>#REF!</v>
      </c>
      <c r="AH674" s="101" t="str">
        <f t="shared" ca="1" si="891"/>
        <v>#REF!</v>
      </c>
      <c r="AI674" s="102" t="str">
        <f t="shared" ref="AI674:AJ674" ca="1" si="1002">AG674/X674</f>
        <v>#REF!</v>
      </c>
      <c r="AJ674" s="102" t="str">
        <f t="shared" ca="1" si="1002"/>
        <v>#REF!</v>
      </c>
      <c r="AK674" s="212"/>
      <c r="AL674" s="213"/>
      <c r="AM674" s="4"/>
      <c r="AN674" s="4"/>
      <c r="AO674" s="4"/>
      <c r="AP674" s="4"/>
      <c r="AQ674" s="4"/>
      <c r="AR674" s="4"/>
      <c r="AS674" s="4"/>
      <c r="AT674" s="4"/>
      <c r="AU674" s="4"/>
      <c r="AV674" s="4"/>
      <c r="AW674" s="4"/>
    </row>
    <row r="675" spans="1:49" ht="13.2">
      <c r="A675" s="120"/>
      <c r="B675" s="266"/>
      <c r="C675" s="117"/>
      <c r="D675" s="117"/>
      <c r="E675" s="117"/>
      <c r="F675" s="123"/>
      <c r="G675" s="125" t="s">
        <v>145</v>
      </c>
      <c r="H675" s="125"/>
      <c r="I675" s="125"/>
      <c r="J675" s="125"/>
      <c r="K675" s="82" t="str">
        <f t="shared" ca="1" si="987"/>
        <v>#REF!</v>
      </c>
      <c r="L675" s="82" t="str">
        <f t="shared" ca="1" si="977"/>
        <v>#REF!</v>
      </c>
      <c r="M675" s="82" t="str">
        <f t="shared" ca="1" si="550"/>
        <v>#REF!</v>
      </c>
      <c r="N675" s="93"/>
      <c r="O675" s="93"/>
      <c r="P675" s="95">
        <f t="shared" si="965"/>
        <v>0</v>
      </c>
      <c r="Q675" s="96">
        <f t="shared" si="913"/>
        <v>0</v>
      </c>
      <c r="R675" s="96">
        <v>0</v>
      </c>
      <c r="S675" s="97">
        <f t="shared" si="553"/>
        <v>0</v>
      </c>
      <c r="T675" s="97" t="str">
        <f ca="1">ROUNDUP(HLOOKUP(ROUNDUP(K675,0),'배송비 조회'!A$10:AE$22,7,0)*C$3,-2)</f>
        <v>#REF!</v>
      </c>
      <c r="U675" s="97">
        <v>0</v>
      </c>
      <c r="V675" s="97" t="str">
        <f t="shared" ca="1" si="981"/>
        <v>#REF!</v>
      </c>
      <c r="W675" s="97" t="str">
        <f t="shared" ca="1" si="982"/>
        <v>#REF!</v>
      </c>
      <c r="X675" s="98" t="str">
        <f t="shared" ca="1" si="882"/>
        <v>#REF!</v>
      </c>
      <c r="Y675" s="98" t="str">
        <f t="shared" ca="1" si="883"/>
        <v>#REF!</v>
      </c>
      <c r="Z675" s="121">
        <v>0</v>
      </c>
      <c r="AA675" s="121" t="str">
        <f t="shared" ca="1" si="556"/>
        <v>#REF!</v>
      </c>
      <c r="AB675" s="121" t="str">
        <f t="shared" ca="1" si="557"/>
        <v>#REF!</v>
      </c>
      <c r="AC675" s="99" t="str">
        <f t="shared" ca="1" si="8"/>
        <v>#REF!</v>
      </c>
      <c r="AD675" s="121" t="str">
        <f t="shared" ca="1" si="558"/>
        <v>#REF!</v>
      </c>
      <c r="AE675" s="99" t="str">
        <f t="shared" ca="1" si="10"/>
        <v>#REF!</v>
      </c>
      <c r="AF675" s="121" t="str">
        <f t="shared" ca="1" si="559"/>
        <v>#REF!</v>
      </c>
      <c r="AG675" s="100" t="str">
        <f t="shared" ca="1" si="560"/>
        <v>#REF!</v>
      </c>
      <c r="AH675" s="101" t="str">
        <f t="shared" ca="1" si="891"/>
        <v>#REF!</v>
      </c>
      <c r="AI675" s="102" t="str">
        <f t="shared" ref="AI675:AJ675" ca="1" si="1003">AG675/X675</f>
        <v>#REF!</v>
      </c>
      <c r="AJ675" s="102" t="str">
        <f t="shared" ca="1" si="1003"/>
        <v>#REF!</v>
      </c>
      <c r="AK675" s="212"/>
      <c r="AL675" s="213"/>
      <c r="AM675" s="4"/>
      <c r="AN675" s="4"/>
      <c r="AO675" s="4"/>
      <c r="AP675" s="4"/>
      <c r="AQ675" s="4"/>
      <c r="AR675" s="4"/>
      <c r="AS675" s="4"/>
      <c r="AT675" s="4"/>
      <c r="AU675" s="4"/>
      <c r="AV675" s="4"/>
      <c r="AW675" s="4"/>
    </row>
    <row r="676" spans="1:49" ht="13.2">
      <c r="A676" s="120"/>
      <c r="B676" s="266"/>
      <c r="C676" s="117"/>
      <c r="D676" s="117"/>
      <c r="E676" s="117"/>
      <c r="F676" s="123"/>
      <c r="G676" s="125" t="s">
        <v>145</v>
      </c>
      <c r="H676" s="125"/>
      <c r="I676" s="125"/>
      <c r="J676" s="125"/>
      <c r="K676" s="82" t="str">
        <f t="shared" ca="1" si="987"/>
        <v>#REF!</v>
      </c>
      <c r="L676" s="82" t="str">
        <f t="shared" ca="1" si="977"/>
        <v>#REF!</v>
      </c>
      <c r="M676" s="82" t="str">
        <f t="shared" ca="1" si="550"/>
        <v>#REF!</v>
      </c>
      <c r="N676" s="93"/>
      <c r="O676" s="93"/>
      <c r="P676" s="95">
        <f t="shared" si="965"/>
        <v>0</v>
      </c>
      <c r="Q676" s="96">
        <f t="shared" si="913"/>
        <v>0</v>
      </c>
      <c r="R676" s="96">
        <v>0</v>
      </c>
      <c r="S676" s="97">
        <f t="shared" si="553"/>
        <v>0</v>
      </c>
      <c r="T676" s="97" t="str">
        <f ca="1">ROUNDUP(HLOOKUP(ROUNDUP(K676,0),'배송비 조회'!A$10:AE$22,7,0)*C$3,-2)</f>
        <v>#REF!</v>
      </c>
      <c r="U676" s="97">
        <v>0</v>
      </c>
      <c r="V676" s="97" t="str">
        <f t="shared" ca="1" si="981"/>
        <v>#REF!</v>
      </c>
      <c r="W676" s="97" t="str">
        <f t="shared" ca="1" si="982"/>
        <v>#REF!</v>
      </c>
      <c r="X676" s="98" t="str">
        <f t="shared" ca="1" si="882"/>
        <v>#REF!</v>
      </c>
      <c r="Y676" s="98" t="str">
        <f t="shared" ca="1" si="883"/>
        <v>#REF!</v>
      </c>
      <c r="Z676" s="121">
        <v>0</v>
      </c>
      <c r="AA676" s="121" t="str">
        <f t="shared" ca="1" si="556"/>
        <v>#REF!</v>
      </c>
      <c r="AB676" s="121" t="str">
        <f t="shared" ca="1" si="557"/>
        <v>#REF!</v>
      </c>
      <c r="AC676" s="99" t="str">
        <f t="shared" ca="1" si="8"/>
        <v>#REF!</v>
      </c>
      <c r="AD676" s="121" t="str">
        <f t="shared" ca="1" si="558"/>
        <v>#REF!</v>
      </c>
      <c r="AE676" s="99" t="str">
        <f t="shared" ca="1" si="10"/>
        <v>#REF!</v>
      </c>
      <c r="AF676" s="121" t="str">
        <f t="shared" ca="1" si="559"/>
        <v>#REF!</v>
      </c>
      <c r="AG676" s="100" t="str">
        <f t="shared" ca="1" si="560"/>
        <v>#REF!</v>
      </c>
      <c r="AH676" s="101" t="str">
        <f t="shared" ca="1" si="891"/>
        <v>#REF!</v>
      </c>
      <c r="AI676" s="102" t="str">
        <f t="shared" ref="AI676:AJ676" ca="1" si="1004">AG676/X676</f>
        <v>#REF!</v>
      </c>
      <c r="AJ676" s="102" t="str">
        <f t="shared" ca="1" si="1004"/>
        <v>#REF!</v>
      </c>
      <c r="AK676" s="212"/>
      <c r="AL676" s="213"/>
      <c r="AM676" s="4"/>
      <c r="AN676" s="4"/>
      <c r="AO676" s="4"/>
      <c r="AP676" s="4"/>
      <c r="AQ676" s="4"/>
      <c r="AR676" s="4"/>
      <c r="AS676" s="4"/>
      <c r="AT676" s="4"/>
      <c r="AU676" s="4"/>
      <c r="AV676" s="4"/>
      <c r="AW676" s="4"/>
    </row>
    <row r="677" spans="1:49" ht="13.2">
      <c r="A677" s="120"/>
      <c r="B677" s="266"/>
      <c r="C677" s="117"/>
      <c r="D677" s="117"/>
      <c r="E677" s="117"/>
      <c r="F677" s="123"/>
      <c r="G677" s="125" t="s">
        <v>145</v>
      </c>
      <c r="H677" s="125"/>
      <c r="I677" s="125"/>
      <c r="J677" s="125"/>
      <c r="K677" s="82" t="str">
        <f t="shared" ca="1" si="987"/>
        <v>#REF!</v>
      </c>
      <c r="L677" s="82" t="str">
        <f t="shared" ca="1" si="977"/>
        <v>#REF!</v>
      </c>
      <c r="M677" s="82" t="str">
        <f t="shared" ca="1" si="550"/>
        <v>#REF!</v>
      </c>
      <c r="N677" s="93"/>
      <c r="O677" s="93"/>
      <c r="P677" s="95">
        <f t="shared" si="965"/>
        <v>0</v>
      </c>
      <c r="Q677" s="96">
        <f t="shared" si="913"/>
        <v>0</v>
      </c>
      <c r="R677" s="96">
        <v>0</v>
      </c>
      <c r="S677" s="97">
        <f t="shared" si="553"/>
        <v>0</v>
      </c>
      <c r="T677" s="97" t="str">
        <f ca="1">ROUNDUP(HLOOKUP(ROUNDUP(K677,0),'배송비 조회'!A$10:AE$22,7,0)*C$3,-2)</f>
        <v>#REF!</v>
      </c>
      <c r="U677" s="97">
        <v>0</v>
      </c>
      <c r="V677" s="97" t="str">
        <f t="shared" ca="1" si="981"/>
        <v>#REF!</v>
      </c>
      <c r="W677" s="97" t="str">
        <f t="shared" ca="1" si="982"/>
        <v>#REF!</v>
      </c>
      <c r="X677" s="98" t="str">
        <f t="shared" ca="1" si="882"/>
        <v>#REF!</v>
      </c>
      <c r="Y677" s="98" t="str">
        <f t="shared" ca="1" si="883"/>
        <v>#REF!</v>
      </c>
      <c r="Z677" s="121">
        <v>0</v>
      </c>
      <c r="AA677" s="121" t="str">
        <f t="shared" ca="1" si="556"/>
        <v>#REF!</v>
      </c>
      <c r="AB677" s="121" t="str">
        <f t="shared" ca="1" si="557"/>
        <v>#REF!</v>
      </c>
      <c r="AC677" s="99" t="str">
        <f t="shared" ca="1" si="8"/>
        <v>#REF!</v>
      </c>
      <c r="AD677" s="121" t="str">
        <f t="shared" ca="1" si="558"/>
        <v>#REF!</v>
      </c>
      <c r="AE677" s="99" t="str">
        <f t="shared" ca="1" si="10"/>
        <v>#REF!</v>
      </c>
      <c r="AF677" s="121" t="str">
        <f t="shared" ca="1" si="559"/>
        <v>#REF!</v>
      </c>
      <c r="AG677" s="100" t="str">
        <f t="shared" ca="1" si="560"/>
        <v>#REF!</v>
      </c>
      <c r="AH677" s="101" t="str">
        <f t="shared" ca="1" si="891"/>
        <v>#REF!</v>
      </c>
      <c r="AI677" s="102" t="str">
        <f t="shared" ref="AI677:AJ677" ca="1" si="1005">AG677/X677</f>
        <v>#REF!</v>
      </c>
      <c r="AJ677" s="102" t="str">
        <f t="shared" ca="1" si="1005"/>
        <v>#REF!</v>
      </c>
      <c r="AK677" s="212"/>
      <c r="AL677" s="213"/>
      <c r="AM677" s="4"/>
      <c r="AN677" s="4"/>
      <c r="AO677" s="4"/>
      <c r="AP677" s="4"/>
      <c r="AQ677" s="4"/>
      <c r="AR677" s="4"/>
      <c r="AS677" s="4"/>
      <c r="AT677" s="4"/>
      <c r="AU677" s="4"/>
      <c r="AV677" s="4"/>
      <c r="AW677" s="4"/>
    </row>
    <row r="678" spans="1:49" ht="13.2">
      <c r="A678" s="120"/>
      <c r="B678" s="266"/>
      <c r="C678" s="117"/>
      <c r="D678" s="117"/>
      <c r="E678" s="117"/>
      <c r="F678" s="123"/>
      <c r="G678" s="125" t="s">
        <v>145</v>
      </c>
      <c r="H678" s="125"/>
      <c r="I678" s="125"/>
      <c r="J678" s="125"/>
      <c r="K678" s="82" t="str">
        <f t="shared" ca="1" si="987"/>
        <v>#REF!</v>
      </c>
      <c r="L678" s="82" t="str">
        <f t="shared" ca="1" si="977"/>
        <v>#REF!</v>
      </c>
      <c r="M678" s="82" t="str">
        <f t="shared" ca="1" si="550"/>
        <v>#REF!</v>
      </c>
      <c r="N678" s="93"/>
      <c r="O678" s="93"/>
      <c r="P678" s="95">
        <f t="shared" si="965"/>
        <v>0</v>
      </c>
      <c r="Q678" s="96">
        <f t="shared" si="913"/>
        <v>0</v>
      </c>
      <c r="R678" s="96">
        <v>0</v>
      </c>
      <c r="S678" s="97">
        <f t="shared" si="553"/>
        <v>0</v>
      </c>
      <c r="T678" s="97" t="str">
        <f ca="1">ROUNDUP(HLOOKUP(ROUNDUP(K678,0),'배송비 조회'!A$10:AE$22,7,0)*C$3,-2)</f>
        <v>#REF!</v>
      </c>
      <c r="U678" s="97">
        <v>0</v>
      </c>
      <c r="V678" s="97" t="str">
        <f t="shared" ca="1" si="981"/>
        <v>#REF!</v>
      </c>
      <c r="W678" s="97" t="str">
        <f t="shared" ca="1" si="982"/>
        <v>#REF!</v>
      </c>
      <c r="X678" s="98" t="str">
        <f t="shared" ca="1" si="882"/>
        <v>#REF!</v>
      </c>
      <c r="Y678" s="98" t="str">
        <f t="shared" ca="1" si="883"/>
        <v>#REF!</v>
      </c>
      <c r="Z678" s="121">
        <v>0</v>
      </c>
      <c r="AA678" s="121" t="str">
        <f t="shared" ca="1" si="556"/>
        <v>#REF!</v>
      </c>
      <c r="AB678" s="121" t="str">
        <f t="shared" ca="1" si="557"/>
        <v>#REF!</v>
      </c>
      <c r="AC678" s="99" t="str">
        <f t="shared" ca="1" si="8"/>
        <v>#REF!</v>
      </c>
      <c r="AD678" s="121" t="str">
        <f t="shared" ca="1" si="558"/>
        <v>#REF!</v>
      </c>
      <c r="AE678" s="99" t="str">
        <f t="shared" ca="1" si="10"/>
        <v>#REF!</v>
      </c>
      <c r="AF678" s="121" t="str">
        <f t="shared" ca="1" si="559"/>
        <v>#REF!</v>
      </c>
      <c r="AG678" s="100" t="str">
        <f t="shared" ca="1" si="560"/>
        <v>#REF!</v>
      </c>
      <c r="AH678" s="101" t="str">
        <f t="shared" ca="1" si="891"/>
        <v>#REF!</v>
      </c>
      <c r="AI678" s="102" t="str">
        <f t="shared" ref="AI678:AJ678" ca="1" si="1006">AG678/X678</f>
        <v>#REF!</v>
      </c>
      <c r="AJ678" s="102" t="str">
        <f t="shared" ca="1" si="1006"/>
        <v>#REF!</v>
      </c>
      <c r="AK678" s="212"/>
      <c r="AL678" s="213"/>
      <c r="AM678" s="4"/>
      <c r="AN678" s="4"/>
      <c r="AO678" s="4"/>
      <c r="AP678" s="4"/>
      <c r="AQ678" s="4"/>
      <c r="AR678" s="4"/>
      <c r="AS678" s="4"/>
      <c r="AT678" s="4"/>
      <c r="AU678" s="4"/>
      <c r="AV678" s="4"/>
      <c r="AW678" s="4"/>
    </row>
    <row r="679" spans="1:49" ht="13.2">
      <c r="A679" s="120"/>
      <c r="B679" s="266"/>
      <c r="C679" s="117"/>
      <c r="D679" s="117"/>
      <c r="E679" s="117"/>
      <c r="F679" s="123"/>
      <c r="G679" s="125" t="s">
        <v>145</v>
      </c>
      <c r="H679" s="125"/>
      <c r="I679" s="125"/>
      <c r="J679" s="125"/>
      <c r="K679" s="82" t="str">
        <f t="shared" ca="1" si="987"/>
        <v>#REF!</v>
      </c>
      <c r="L679" s="82" t="str">
        <f t="shared" ca="1" si="977"/>
        <v>#REF!</v>
      </c>
      <c r="M679" s="82" t="str">
        <f t="shared" ca="1" si="550"/>
        <v>#REF!</v>
      </c>
      <c r="N679" s="93"/>
      <c r="O679" s="93"/>
      <c r="P679" s="95">
        <f t="shared" si="965"/>
        <v>0</v>
      </c>
      <c r="Q679" s="96">
        <f t="shared" ref="Q679:Q742" si="1007">P679*C$3</f>
        <v>0</v>
      </c>
      <c r="R679" s="96">
        <v>0</v>
      </c>
      <c r="S679" s="97">
        <f t="shared" si="553"/>
        <v>0</v>
      </c>
      <c r="T679" s="97" t="str">
        <f ca="1">ROUNDUP(HLOOKUP(ROUNDUP(K679,0),'배송비 조회'!A$10:AE$22,7,0)*C$3,-2)</f>
        <v>#REF!</v>
      </c>
      <c r="U679" s="97">
        <v>0</v>
      </c>
      <c r="V679" s="97" t="str">
        <f t="shared" ca="1" si="981"/>
        <v>#REF!</v>
      </c>
      <c r="W679" s="97" t="str">
        <f t="shared" ca="1" si="982"/>
        <v>#REF!</v>
      </c>
      <c r="X679" s="98" t="str">
        <f t="shared" ca="1" si="882"/>
        <v>#REF!</v>
      </c>
      <c r="Y679" s="98" t="str">
        <f t="shared" ca="1" si="883"/>
        <v>#REF!</v>
      </c>
      <c r="Z679" s="121">
        <v>0</v>
      </c>
      <c r="AA679" s="121" t="str">
        <f t="shared" ca="1" si="556"/>
        <v>#REF!</v>
      </c>
      <c r="AB679" s="121" t="str">
        <f t="shared" ca="1" si="557"/>
        <v>#REF!</v>
      </c>
      <c r="AC679" s="99" t="str">
        <f t="shared" ca="1" si="8"/>
        <v>#REF!</v>
      </c>
      <c r="AD679" s="121" t="str">
        <f t="shared" ca="1" si="558"/>
        <v>#REF!</v>
      </c>
      <c r="AE679" s="99" t="str">
        <f t="shared" ca="1" si="10"/>
        <v>#REF!</v>
      </c>
      <c r="AF679" s="121" t="str">
        <f t="shared" ca="1" si="559"/>
        <v>#REF!</v>
      </c>
      <c r="AG679" s="100" t="str">
        <f t="shared" ca="1" si="560"/>
        <v>#REF!</v>
      </c>
      <c r="AH679" s="101" t="str">
        <f t="shared" ca="1" si="891"/>
        <v>#REF!</v>
      </c>
      <c r="AI679" s="102" t="str">
        <f t="shared" ref="AI679:AJ679" ca="1" si="1008">AG679/X679</f>
        <v>#REF!</v>
      </c>
      <c r="AJ679" s="102" t="str">
        <f t="shared" ca="1" si="1008"/>
        <v>#REF!</v>
      </c>
      <c r="AK679" s="212"/>
      <c r="AL679" s="213"/>
      <c r="AM679" s="4"/>
      <c r="AN679" s="4"/>
      <c r="AO679" s="4"/>
      <c r="AP679" s="4"/>
      <c r="AQ679" s="4"/>
      <c r="AR679" s="4"/>
      <c r="AS679" s="4"/>
      <c r="AT679" s="4"/>
      <c r="AU679" s="4"/>
      <c r="AV679" s="4"/>
      <c r="AW679" s="4"/>
    </row>
    <row r="680" spans="1:49" ht="13.2">
      <c r="A680" s="120"/>
      <c r="B680" s="266"/>
      <c r="C680" s="117"/>
      <c r="D680" s="117"/>
      <c r="E680" s="117"/>
      <c r="F680" s="123"/>
      <c r="G680" s="125" t="s">
        <v>145</v>
      </c>
      <c r="H680" s="125"/>
      <c r="I680" s="125"/>
      <c r="J680" s="125"/>
      <c r="K680" s="82" t="str">
        <f t="shared" ca="1" si="987"/>
        <v>#REF!</v>
      </c>
      <c r="L680" s="82" t="str">
        <f t="shared" ca="1" si="977"/>
        <v>#REF!</v>
      </c>
      <c r="M680" s="82" t="str">
        <f t="shared" ca="1" si="550"/>
        <v>#REF!</v>
      </c>
      <c r="N680" s="93"/>
      <c r="O680" s="93"/>
      <c r="P680" s="95">
        <f t="shared" si="965"/>
        <v>0</v>
      </c>
      <c r="Q680" s="96">
        <f t="shared" si="1007"/>
        <v>0</v>
      </c>
      <c r="R680" s="96">
        <v>0</v>
      </c>
      <c r="S680" s="97">
        <f t="shared" si="553"/>
        <v>0</v>
      </c>
      <c r="T680" s="97" t="str">
        <f ca="1">ROUNDUP(HLOOKUP(ROUNDUP(K680,0),'배송비 조회'!A$10:AE$22,7,0)*C$3,-2)</f>
        <v>#REF!</v>
      </c>
      <c r="U680" s="97">
        <v>0</v>
      </c>
      <c r="V680" s="97" t="str">
        <f t="shared" ca="1" si="981"/>
        <v>#REF!</v>
      </c>
      <c r="W680" s="97" t="str">
        <f t="shared" ca="1" si="982"/>
        <v>#REF!</v>
      </c>
      <c r="X680" s="98" t="str">
        <f t="shared" ca="1" si="882"/>
        <v>#REF!</v>
      </c>
      <c r="Y680" s="98" t="str">
        <f t="shared" ca="1" si="883"/>
        <v>#REF!</v>
      </c>
      <c r="Z680" s="121">
        <v>0</v>
      </c>
      <c r="AA680" s="121" t="str">
        <f t="shared" ca="1" si="556"/>
        <v>#REF!</v>
      </c>
      <c r="AB680" s="121" t="str">
        <f t="shared" ca="1" si="557"/>
        <v>#REF!</v>
      </c>
      <c r="AC680" s="99" t="str">
        <f t="shared" ca="1" si="8"/>
        <v>#REF!</v>
      </c>
      <c r="AD680" s="121" t="str">
        <f t="shared" ca="1" si="558"/>
        <v>#REF!</v>
      </c>
      <c r="AE680" s="99" t="str">
        <f t="shared" ca="1" si="10"/>
        <v>#REF!</v>
      </c>
      <c r="AF680" s="121" t="str">
        <f t="shared" ca="1" si="559"/>
        <v>#REF!</v>
      </c>
      <c r="AG680" s="100" t="str">
        <f t="shared" ca="1" si="560"/>
        <v>#REF!</v>
      </c>
      <c r="AH680" s="101" t="str">
        <f t="shared" ca="1" si="891"/>
        <v>#REF!</v>
      </c>
      <c r="AI680" s="102" t="str">
        <f t="shared" ref="AI680:AJ680" ca="1" si="1009">AG680/X680</f>
        <v>#REF!</v>
      </c>
      <c r="AJ680" s="102" t="str">
        <f t="shared" ca="1" si="1009"/>
        <v>#REF!</v>
      </c>
      <c r="AK680" s="212"/>
      <c r="AL680" s="213"/>
      <c r="AM680" s="4"/>
      <c r="AN680" s="4"/>
      <c r="AO680" s="4"/>
      <c r="AP680" s="4"/>
      <c r="AQ680" s="4"/>
      <c r="AR680" s="4"/>
      <c r="AS680" s="4"/>
      <c r="AT680" s="4"/>
      <c r="AU680" s="4"/>
      <c r="AV680" s="4"/>
      <c r="AW680" s="4"/>
    </row>
    <row r="681" spans="1:49" ht="13.2">
      <c r="A681" s="120"/>
      <c r="B681" s="266"/>
      <c r="C681" s="117"/>
      <c r="D681" s="117"/>
      <c r="E681" s="117"/>
      <c r="F681" s="123"/>
      <c r="G681" s="125" t="s">
        <v>145</v>
      </c>
      <c r="H681" s="125"/>
      <c r="I681" s="125"/>
      <c r="J681" s="125"/>
      <c r="K681" s="82" t="str">
        <f t="shared" ca="1" si="987"/>
        <v>#REF!</v>
      </c>
      <c r="L681" s="82" t="str">
        <f t="shared" ca="1" si="977"/>
        <v>#REF!</v>
      </c>
      <c r="M681" s="82" t="str">
        <f t="shared" ca="1" si="550"/>
        <v>#REF!</v>
      </c>
      <c r="N681" s="93"/>
      <c r="O681" s="93"/>
      <c r="P681" s="95">
        <f t="shared" si="965"/>
        <v>0</v>
      </c>
      <c r="Q681" s="96">
        <f t="shared" si="1007"/>
        <v>0</v>
      </c>
      <c r="R681" s="96">
        <v>0</v>
      </c>
      <c r="S681" s="97">
        <f t="shared" si="553"/>
        <v>0</v>
      </c>
      <c r="T681" s="97" t="str">
        <f ca="1">ROUNDUP(HLOOKUP(ROUNDUP(K681,0),'배송비 조회'!A$10:AE$22,7,0)*C$3,-2)</f>
        <v>#REF!</v>
      </c>
      <c r="U681" s="97">
        <v>0</v>
      </c>
      <c r="V681" s="97" t="str">
        <f t="shared" ca="1" si="981"/>
        <v>#REF!</v>
      </c>
      <c r="W681" s="97" t="str">
        <f t="shared" ca="1" si="982"/>
        <v>#REF!</v>
      </c>
      <c r="X681" s="98" t="str">
        <f t="shared" ca="1" si="882"/>
        <v>#REF!</v>
      </c>
      <c r="Y681" s="98" t="str">
        <f t="shared" ca="1" si="883"/>
        <v>#REF!</v>
      </c>
      <c r="Z681" s="121">
        <v>0</v>
      </c>
      <c r="AA681" s="121" t="str">
        <f t="shared" ca="1" si="556"/>
        <v>#REF!</v>
      </c>
      <c r="AB681" s="121" t="str">
        <f t="shared" ca="1" si="557"/>
        <v>#REF!</v>
      </c>
      <c r="AC681" s="99" t="str">
        <f t="shared" ca="1" si="8"/>
        <v>#REF!</v>
      </c>
      <c r="AD681" s="121" t="str">
        <f t="shared" ca="1" si="558"/>
        <v>#REF!</v>
      </c>
      <c r="AE681" s="99" t="str">
        <f t="shared" ca="1" si="10"/>
        <v>#REF!</v>
      </c>
      <c r="AF681" s="121" t="str">
        <f t="shared" ca="1" si="559"/>
        <v>#REF!</v>
      </c>
      <c r="AG681" s="100" t="str">
        <f t="shared" ca="1" si="560"/>
        <v>#REF!</v>
      </c>
      <c r="AH681" s="101" t="str">
        <f t="shared" ca="1" si="891"/>
        <v>#REF!</v>
      </c>
      <c r="AI681" s="102" t="str">
        <f t="shared" ref="AI681:AJ681" ca="1" si="1010">AG681/X681</f>
        <v>#REF!</v>
      </c>
      <c r="AJ681" s="102" t="str">
        <f t="shared" ca="1" si="1010"/>
        <v>#REF!</v>
      </c>
      <c r="AK681" s="212"/>
      <c r="AL681" s="213"/>
      <c r="AM681" s="4"/>
      <c r="AN681" s="4"/>
      <c r="AO681" s="4"/>
      <c r="AP681" s="4"/>
      <c r="AQ681" s="4"/>
      <c r="AR681" s="4"/>
      <c r="AS681" s="4"/>
      <c r="AT681" s="4"/>
      <c r="AU681" s="4"/>
      <c r="AV681" s="4"/>
      <c r="AW681" s="4"/>
    </row>
    <row r="682" spans="1:49" ht="13.2">
      <c r="A682" s="120"/>
      <c r="B682" s="266"/>
      <c r="C682" s="117"/>
      <c r="D682" s="117"/>
      <c r="E682" s="117"/>
      <c r="F682" s="123"/>
      <c r="G682" s="125" t="s">
        <v>145</v>
      </c>
      <c r="H682" s="125"/>
      <c r="I682" s="125"/>
      <c r="J682" s="125"/>
      <c r="K682" s="82" t="str">
        <f t="shared" ca="1" si="987"/>
        <v>#REF!</v>
      </c>
      <c r="L682" s="82" t="str">
        <f t="shared" ca="1" si="977"/>
        <v>#REF!</v>
      </c>
      <c r="M682" s="82" t="str">
        <f t="shared" ca="1" si="550"/>
        <v>#REF!</v>
      </c>
      <c r="N682" s="93"/>
      <c r="O682" s="93"/>
      <c r="P682" s="95">
        <f t="shared" si="965"/>
        <v>0</v>
      </c>
      <c r="Q682" s="96">
        <f t="shared" si="1007"/>
        <v>0</v>
      </c>
      <c r="R682" s="96">
        <v>0</v>
      </c>
      <c r="S682" s="97">
        <f t="shared" si="553"/>
        <v>0</v>
      </c>
      <c r="T682" s="97" t="str">
        <f ca="1">ROUNDUP(HLOOKUP(ROUNDUP(K682,0),'배송비 조회'!A$10:AE$22,7,0)*C$3,-2)</f>
        <v>#REF!</v>
      </c>
      <c r="U682" s="97">
        <v>0</v>
      </c>
      <c r="V682" s="97" t="str">
        <f t="shared" ca="1" si="981"/>
        <v>#REF!</v>
      </c>
      <c r="W682" s="97" t="str">
        <f t="shared" ca="1" si="982"/>
        <v>#REF!</v>
      </c>
      <c r="X682" s="98" t="str">
        <f t="shared" ca="1" si="882"/>
        <v>#REF!</v>
      </c>
      <c r="Y682" s="98" t="str">
        <f t="shared" ca="1" si="883"/>
        <v>#REF!</v>
      </c>
      <c r="Z682" s="121">
        <v>0</v>
      </c>
      <c r="AA682" s="121" t="str">
        <f t="shared" ca="1" si="556"/>
        <v>#REF!</v>
      </c>
      <c r="AB682" s="121" t="str">
        <f t="shared" ca="1" si="557"/>
        <v>#REF!</v>
      </c>
      <c r="AC682" s="99" t="str">
        <f t="shared" ca="1" si="8"/>
        <v>#REF!</v>
      </c>
      <c r="AD682" s="121" t="str">
        <f t="shared" ca="1" si="558"/>
        <v>#REF!</v>
      </c>
      <c r="AE682" s="99" t="str">
        <f t="shared" ca="1" si="10"/>
        <v>#REF!</v>
      </c>
      <c r="AF682" s="121" t="str">
        <f t="shared" ca="1" si="559"/>
        <v>#REF!</v>
      </c>
      <c r="AG682" s="100" t="str">
        <f t="shared" ca="1" si="560"/>
        <v>#REF!</v>
      </c>
      <c r="AH682" s="101" t="str">
        <f t="shared" ca="1" si="891"/>
        <v>#REF!</v>
      </c>
      <c r="AI682" s="102" t="str">
        <f t="shared" ref="AI682:AJ682" ca="1" si="1011">AG682/X682</f>
        <v>#REF!</v>
      </c>
      <c r="AJ682" s="102" t="str">
        <f t="shared" ca="1" si="1011"/>
        <v>#REF!</v>
      </c>
      <c r="AK682" s="212"/>
      <c r="AL682" s="213"/>
      <c r="AM682" s="4"/>
      <c r="AN682" s="4"/>
      <c r="AO682" s="4"/>
      <c r="AP682" s="4"/>
      <c r="AQ682" s="4"/>
      <c r="AR682" s="4"/>
      <c r="AS682" s="4"/>
      <c r="AT682" s="4"/>
      <c r="AU682" s="4"/>
      <c r="AV682" s="4"/>
      <c r="AW682" s="4"/>
    </row>
    <row r="683" spans="1:49" ht="13.2">
      <c r="A683" s="120"/>
      <c r="B683" s="266"/>
      <c r="C683" s="117"/>
      <c r="D683" s="117"/>
      <c r="E683" s="117"/>
      <c r="F683" s="123"/>
      <c r="G683" s="125" t="s">
        <v>145</v>
      </c>
      <c r="H683" s="125"/>
      <c r="I683" s="125"/>
      <c r="J683" s="125"/>
      <c r="K683" s="82" t="str">
        <f t="shared" ca="1" si="987"/>
        <v>#REF!</v>
      </c>
      <c r="L683" s="82" t="str">
        <f t="shared" ca="1" si="977"/>
        <v>#REF!</v>
      </c>
      <c r="M683" s="82" t="str">
        <f t="shared" ca="1" si="550"/>
        <v>#REF!</v>
      </c>
      <c r="N683" s="93"/>
      <c r="O683" s="93"/>
      <c r="P683" s="95">
        <f t="shared" si="965"/>
        <v>0</v>
      </c>
      <c r="Q683" s="96">
        <f t="shared" si="1007"/>
        <v>0</v>
      </c>
      <c r="R683" s="96">
        <v>0</v>
      </c>
      <c r="S683" s="97">
        <f t="shared" si="553"/>
        <v>0</v>
      </c>
      <c r="T683" s="97" t="str">
        <f ca="1">ROUNDUP(HLOOKUP(ROUNDUP(K683,0),'배송비 조회'!A$10:AE$22,7,0)*C$3,-2)</f>
        <v>#REF!</v>
      </c>
      <c r="U683" s="97">
        <v>0</v>
      </c>
      <c r="V683" s="97" t="str">
        <f t="shared" ca="1" si="981"/>
        <v>#REF!</v>
      </c>
      <c r="W683" s="97" t="str">
        <f t="shared" ca="1" si="982"/>
        <v>#REF!</v>
      </c>
      <c r="X683" s="98" t="str">
        <f t="shared" ca="1" si="882"/>
        <v>#REF!</v>
      </c>
      <c r="Y683" s="98" t="str">
        <f t="shared" ca="1" si="883"/>
        <v>#REF!</v>
      </c>
      <c r="Z683" s="121">
        <v>0</v>
      </c>
      <c r="AA683" s="121" t="str">
        <f t="shared" ca="1" si="556"/>
        <v>#REF!</v>
      </c>
      <c r="AB683" s="121" t="str">
        <f t="shared" ca="1" si="557"/>
        <v>#REF!</v>
      </c>
      <c r="AC683" s="99" t="str">
        <f t="shared" ca="1" si="8"/>
        <v>#REF!</v>
      </c>
      <c r="AD683" s="121" t="str">
        <f t="shared" ca="1" si="558"/>
        <v>#REF!</v>
      </c>
      <c r="AE683" s="99" t="str">
        <f t="shared" ca="1" si="10"/>
        <v>#REF!</v>
      </c>
      <c r="AF683" s="121" t="str">
        <f t="shared" ca="1" si="559"/>
        <v>#REF!</v>
      </c>
      <c r="AG683" s="100" t="str">
        <f t="shared" ca="1" si="560"/>
        <v>#REF!</v>
      </c>
      <c r="AH683" s="101" t="str">
        <f t="shared" ca="1" si="891"/>
        <v>#REF!</v>
      </c>
      <c r="AI683" s="102" t="str">
        <f t="shared" ref="AI683:AJ683" ca="1" si="1012">AG683/X683</f>
        <v>#REF!</v>
      </c>
      <c r="AJ683" s="102" t="str">
        <f t="shared" ca="1" si="1012"/>
        <v>#REF!</v>
      </c>
      <c r="AK683" s="212"/>
      <c r="AL683" s="213"/>
      <c r="AM683" s="4"/>
      <c r="AN683" s="4"/>
      <c r="AO683" s="4"/>
      <c r="AP683" s="4"/>
      <c r="AQ683" s="4"/>
      <c r="AR683" s="4"/>
      <c r="AS683" s="4"/>
      <c r="AT683" s="4"/>
      <c r="AU683" s="4"/>
      <c r="AV683" s="4"/>
      <c r="AW683" s="4"/>
    </row>
    <row r="684" spans="1:49" ht="13.2">
      <c r="A684" s="120"/>
      <c r="B684" s="266"/>
      <c r="C684" s="117"/>
      <c r="D684" s="117"/>
      <c r="E684" s="117"/>
      <c r="F684" s="123"/>
      <c r="G684" s="125" t="s">
        <v>145</v>
      </c>
      <c r="H684" s="125"/>
      <c r="I684" s="125"/>
      <c r="J684" s="125"/>
      <c r="K684" s="82" t="str">
        <f t="shared" ca="1" si="987"/>
        <v>#REF!</v>
      </c>
      <c r="L684" s="82" t="str">
        <f t="shared" ca="1" si="977"/>
        <v>#REF!</v>
      </c>
      <c r="M684" s="82" t="str">
        <f t="shared" ca="1" si="550"/>
        <v>#REF!</v>
      </c>
      <c r="N684" s="93"/>
      <c r="O684" s="93"/>
      <c r="P684" s="95">
        <f t="shared" si="965"/>
        <v>0</v>
      </c>
      <c r="Q684" s="96">
        <f t="shared" si="1007"/>
        <v>0</v>
      </c>
      <c r="R684" s="96">
        <v>0</v>
      </c>
      <c r="S684" s="97">
        <f t="shared" si="553"/>
        <v>0</v>
      </c>
      <c r="T684" s="97" t="str">
        <f ca="1">ROUNDUP(HLOOKUP(ROUNDUP(K684,0),'배송비 조회'!A$10:AE$22,7,0)*C$3,-2)</f>
        <v>#REF!</v>
      </c>
      <c r="U684" s="97">
        <v>0</v>
      </c>
      <c r="V684" s="97" t="str">
        <f t="shared" ca="1" si="981"/>
        <v>#REF!</v>
      </c>
      <c r="W684" s="97" t="str">
        <f t="shared" ca="1" si="982"/>
        <v>#REF!</v>
      </c>
      <c r="X684" s="98" t="str">
        <f t="shared" ca="1" si="882"/>
        <v>#REF!</v>
      </c>
      <c r="Y684" s="98" t="str">
        <f t="shared" ca="1" si="883"/>
        <v>#REF!</v>
      </c>
      <c r="Z684" s="121">
        <v>0</v>
      </c>
      <c r="AA684" s="121" t="str">
        <f t="shared" ca="1" si="556"/>
        <v>#REF!</v>
      </c>
      <c r="AB684" s="121" t="str">
        <f t="shared" ca="1" si="557"/>
        <v>#REF!</v>
      </c>
      <c r="AC684" s="99" t="str">
        <f t="shared" ca="1" si="8"/>
        <v>#REF!</v>
      </c>
      <c r="AD684" s="121" t="str">
        <f t="shared" ca="1" si="558"/>
        <v>#REF!</v>
      </c>
      <c r="AE684" s="99" t="str">
        <f t="shared" ca="1" si="10"/>
        <v>#REF!</v>
      </c>
      <c r="AF684" s="121" t="str">
        <f t="shared" ca="1" si="559"/>
        <v>#REF!</v>
      </c>
      <c r="AG684" s="100" t="str">
        <f t="shared" ca="1" si="560"/>
        <v>#REF!</v>
      </c>
      <c r="AH684" s="101" t="str">
        <f t="shared" ca="1" si="891"/>
        <v>#REF!</v>
      </c>
      <c r="AI684" s="102" t="str">
        <f t="shared" ref="AI684:AJ684" ca="1" si="1013">AG684/X684</f>
        <v>#REF!</v>
      </c>
      <c r="AJ684" s="102" t="str">
        <f t="shared" ca="1" si="1013"/>
        <v>#REF!</v>
      </c>
      <c r="AK684" s="212"/>
      <c r="AL684" s="213"/>
      <c r="AM684" s="4"/>
      <c r="AN684" s="4"/>
      <c r="AO684" s="4"/>
      <c r="AP684" s="4"/>
      <c r="AQ684" s="4"/>
      <c r="AR684" s="4"/>
      <c r="AS684" s="4"/>
      <c r="AT684" s="4"/>
      <c r="AU684" s="4"/>
      <c r="AV684" s="4"/>
      <c r="AW684" s="4"/>
    </row>
    <row r="685" spans="1:49" ht="13.2">
      <c r="A685" s="120"/>
      <c r="B685" s="266"/>
      <c r="C685" s="117"/>
      <c r="D685" s="117"/>
      <c r="E685" s="117"/>
      <c r="F685" s="123"/>
      <c r="G685" s="125" t="s">
        <v>145</v>
      </c>
      <c r="H685" s="125"/>
      <c r="I685" s="125"/>
      <c r="J685" s="125"/>
      <c r="K685" s="82" t="str">
        <f t="shared" ca="1" si="987"/>
        <v>#REF!</v>
      </c>
      <c r="L685" s="82" t="str">
        <f t="shared" ca="1" si="977"/>
        <v>#REF!</v>
      </c>
      <c r="M685" s="82" t="str">
        <f t="shared" ca="1" si="550"/>
        <v>#REF!</v>
      </c>
      <c r="N685" s="93"/>
      <c r="O685" s="93"/>
      <c r="P685" s="95">
        <f t="shared" si="965"/>
        <v>0</v>
      </c>
      <c r="Q685" s="96">
        <f t="shared" si="1007"/>
        <v>0</v>
      </c>
      <c r="R685" s="96">
        <v>0</v>
      </c>
      <c r="S685" s="97">
        <f t="shared" si="553"/>
        <v>0</v>
      </c>
      <c r="T685" s="97" t="str">
        <f ca="1">ROUNDUP(HLOOKUP(ROUNDUP(K685,0),'배송비 조회'!A$10:AE$22,7,0)*C$3,-2)</f>
        <v>#REF!</v>
      </c>
      <c r="U685" s="97">
        <v>0</v>
      </c>
      <c r="V685" s="97" t="str">
        <f t="shared" ca="1" si="981"/>
        <v>#REF!</v>
      </c>
      <c r="W685" s="97" t="str">
        <f t="shared" ca="1" si="982"/>
        <v>#REF!</v>
      </c>
      <c r="X685" s="98" t="str">
        <f t="shared" ca="1" si="882"/>
        <v>#REF!</v>
      </c>
      <c r="Y685" s="98" t="str">
        <f t="shared" ca="1" si="883"/>
        <v>#REF!</v>
      </c>
      <c r="Z685" s="121">
        <v>0</v>
      </c>
      <c r="AA685" s="121" t="str">
        <f t="shared" ca="1" si="556"/>
        <v>#REF!</v>
      </c>
      <c r="AB685" s="121" t="str">
        <f t="shared" ca="1" si="557"/>
        <v>#REF!</v>
      </c>
      <c r="AC685" s="99" t="str">
        <f t="shared" ca="1" si="8"/>
        <v>#REF!</v>
      </c>
      <c r="AD685" s="121" t="str">
        <f t="shared" ca="1" si="558"/>
        <v>#REF!</v>
      </c>
      <c r="AE685" s="99" t="str">
        <f t="shared" ca="1" si="10"/>
        <v>#REF!</v>
      </c>
      <c r="AF685" s="121" t="str">
        <f t="shared" ca="1" si="559"/>
        <v>#REF!</v>
      </c>
      <c r="AG685" s="100" t="str">
        <f t="shared" ca="1" si="560"/>
        <v>#REF!</v>
      </c>
      <c r="AH685" s="101" t="str">
        <f t="shared" ca="1" si="891"/>
        <v>#REF!</v>
      </c>
      <c r="AI685" s="102" t="str">
        <f t="shared" ref="AI685:AJ685" ca="1" si="1014">AG685/X685</f>
        <v>#REF!</v>
      </c>
      <c r="AJ685" s="102" t="str">
        <f t="shared" ca="1" si="1014"/>
        <v>#REF!</v>
      </c>
      <c r="AK685" s="212"/>
      <c r="AL685" s="213"/>
      <c r="AM685" s="4"/>
      <c r="AN685" s="4"/>
      <c r="AO685" s="4"/>
      <c r="AP685" s="4"/>
      <c r="AQ685" s="4"/>
      <c r="AR685" s="4"/>
      <c r="AS685" s="4"/>
      <c r="AT685" s="4"/>
      <c r="AU685" s="4"/>
      <c r="AV685" s="4"/>
      <c r="AW685" s="4"/>
    </row>
    <row r="686" spans="1:49" ht="13.2">
      <c r="A686" s="120"/>
      <c r="B686" s="266"/>
      <c r="C686" s="117"/>
      <c r="D686" s="117"/>
      <c r="E686" s="117"/>
      <c r="F686" s="123"/>
      <c r="G686" s="125" t="s">
        <v>145</v>
      </c>
      <c r="H686" s="125"/>
      <c r="I686" s="125"/>
      <c r="J686" s="125"/>
      <c r="K686" s="82" t="str">
        <f t="shared" ca="1" si="987"/>
        <v>#REF!</v>
      </c>
      <c r="L686" s="82" t="str">
        <f t="shared" ca="1" si="977"/>
        <v>#REF!</v>
      </c>
      <c r="M686" s="82" t="str">
        <f t="shared" ca="1" si="550"/>
        <v>#REF!</v>
      </c>
      <c r="N686" s="93"/>
      <c r="O686" s="93"/>
      <c r="P686" s="95">
        <f t="shared" si="965"/>
        <v>0</v>
      </c>
      <c r="Q686" s="96">
        <f t="shared" si="1007"/>
        <v>0</v>
      </c>
      <c r="R686" s="96">
        <v>0</v>
      </c>
      <c r="S686" s="97">
        <f t="shared" si="553"/>
        <v>0</v>
      </c>
      <c r="T686" s="97" t="str">
        <f ca="1">ROUNDUP(HLOOKUP(ROUNDUP(K686,0),'배송비 조회'!A$10:AE$22,7,0)*C$3,-2)</f>
        <v>#REF!</v>
      </c>
      <c r="U686" s="97">
        <v>0</v>
      </c>
      <c r="V686" s="97" t="str">
        <f t="shared" ca="1" si="981"/>
        <v>#REF!</v>
      </c>
      <c r="W686" s="97" t="str">
        <f t="shared" ca="1" si="982"/>
        <v>#REF!</v>
      </c>
      <c r="X686" s="98" t="str">
        <f t="shared" ca="1" si="882"/>
        <v>#REF!</v>
      </c>
      <c r="Y686" s="98" t="str">
        <f t="shared" ca="1" si="883"/>
        <v>#REF!</v>
      </c>
      <c r="Z686" s="121">
        <v>0</v>
      </c>
      <c r="AA686" s="121" t="str">
        <f t="shared" ca="1" si="556"/>
        <v>#REF!</v>
      </c>
      <c r="AB686" s="121" t="str">
        <f t="shared" ca="1" si="557"/>
        <v>#REF!</v>
      </c>
      <c r="AC686" s="99" t="str">
        <f t="shared" ca="1" si="8"/>
        <v>#REF!</v>
      </c>
      <c r="AD686" s="121" t="str">
        <f t="shared" ca="1" si="558"/>
        <v>#REF!</v>
      </c>
      <c r="AE686" s="99" t="str">
        <f t="shared" ca="1" si="10"/>
        <v>#REF!</v>
      </c>
      <c r="AF686" s="121" t="str">
        <f t="shared" ca="1" si="559"/>
        <v>#REF!</v>
      </c>
      <c r="AG686" s="100" t="str">
        <f t="shared" ca="1" si="560"/>
        <v>#REF!</v>
      </c>
      <c r="AH686" s="101" t="str">
        <f t="shared" ca="1" si="891"/>
        <v>#REF!</v>
      </c>
      <c r="AI686" s="102" t="str">
        <f t="shared" ref="AI686:AJ686" ca="1" si="1015">AG686/X686</f>
        <v>#REF!</v>
      </c>
      <c r="AJ686" s="102" t="str">
        <f t="shared" ca="1" si="1015"/>
        <v>#REF!</v>
      </c>
      <c r="AK686" s="212"/>
      <c r="AL686" s="213"/>
      <c r="AM686" s="4"/>
      <c r="AN686" s="4"/>
      <c r="AO686" s="4"/>
      <c r="AP686" s="4"/>
      <c r="AQ686" s="4"/>
      <c r="AR686" s="4"/>
      <c r="AS686" s="4"/>
      <c r="AT686" s="4"/>
      <c r="AU686" s="4"/>
      <c r="AV686" s="4"/>
      <c r="AW686" s="4"/>
    </row>
    <row r="687" spans="1:49" ht="13.2">
      <c r="A687" s="120"/>
      <c r="B687" s="266"/>
      <c r="C687" s="117"/>
      <c r="D687" s="117"/>
      <c r="E687" s="117"/>
      <c r="F687" s="123"/>
      <c r="G687" s="125" t="s">
        <v>145</v>
      </c>
      <c r="H687" s="125"/>
      <c r="I687" s="125"/>
      <c r="J687" s="125"/>
      <c r="K687" s="82" t="str">
        <f t="shared" ca="1" si="987"/>
        <v>#REF!</v>
      </c>
      <c r="L687" s="82" t="str">
        <f t="shared" ca="1" si="977"/>
        <v>#REF!</v>
      </c>
      <c r="M687" s="82" t="str">
        <f t="shared" ca="1" si="550"/>
        <v>#REF!</v>
      </c>
      <c r="N687" s="93"/>
      <c r="O687" s="93"/>
      <c r="P687" s="95">
        <f t="shared" si="965"/>
        <v>0</v>
      </c>
      <c r="Q687" s="96">
        <f t="shared" si="1007"/>
        <v>0</v>
      </c>
      <c r="R687" s="96">
        <v>0</v>
      </c>
      <c r="S687" s="97">
        <f t="shared" si="553"/>
        <v>0</v>
      </c>
      <c r="T687" s="97" t="str">
        <f ca="1">ROUNDUP(HLOOKUP(ROUNDUP(K687,0),'배송비 조회'!A$10:AE$22,7,0)*C$3,-2)</f>
        <v>#REF!</v>
      </c>
      <c r="U687" s="97">
        <v>0</v>
      </c>
      <c r="V687" s="97" t="str">
        <f t="shared" ca="1" si="981"/>
        <v>#REF!</v>
      </c>
      <c r="W687" s="97" t="str">
        <f t="shared" ca="1" si="982"/>
        <v>#REF!</v>
      </c>
      <c r="X687" s="98" t="str">
        <f t="shared" ca="1" si="882"/>
        <v>#REF!</v>
      </c>
      <c r="Y687" s="98" t="str">
        <f t="shared" ca="1" si="883"/>
        <v>#REF!</v>
      </c>
      <c r="Z687" s="121">
        <v>0</v>
      </c>
      <c r="AA687" s="121" t="str">
        <f t="shared" ca="1" si="556"/>
        <v>#REF!</v>
      </c>
      <c r="AB687" s="121" t="str">
        <f t="shared" ca="1" si="557"/>
        <v>#REF!</v>
      </c>
      <c r="AC687" s="99" t="str">
        <f t="shared" ca="1" si="8"/>
        <v>#REF!</v>
      </c>
      <c r="AD687" s="121" t="str">
        <f t="shared" ca="1" si="558"/>
        <v>#REF!</v>
      </c>
      <c r="AE687" s="99" t="str">
        <f t="shared" ca="1" si="10"/>
        <v>#REF!</v>
      </c>
      <c r="AF687" s="121" t="str">
        <f t="shared" ca="1" si="559"/>
        <v>#REF!</v>
      </c>
      <c r="AG687" s="100" t="str">
        <f t="shared" ca="1" si="560"/>
        <v>#REF!</v>
      </c>
      <c r="AH687" s="101" t="str">
        <f t="shared" ca="1" si="891"/>
        <v>#REF!</v>
      </c>
      <c r="AI687" s="102" t="str">
        <f t="shared" ref="AI687:AJ687" ca="1" si="1016">AG687/X687</f>
        <v>#REF!</v>
      </c>
      <c r="AJ687" s="102" t="str">
        <f t="shared" ca="1" si="1016"/>
        <v>#REF!</v>
      </c>
      <c r="AK687" s="212"/>
      <c r="AL687" s="213"/>
      <c r="AM687" s="4"/>
      <c r="AN687" s="4"/>
      <c r="AO687" s="4"/>
      <c r="AP687" s="4"/>
      <c r="AQ687" s="4"/>
      <c r="AR687" s="4"/>
      <c r="AS687" s="4"/>
      <c r="AT687" s="4"/>
      <c r="AU687" s="4"/>
      <c r="AV687" s="4"/>
      <c r="AW687" s="4"/>
    </row>
    <row r="688" spans="1:49" ht="13.2">
      <c r="A688" s="120"/>
      <c r="B688" s="266"/>
      <c r="C688" s="117"/>
      <c r="D688" s="117"/>
      <c r="E688" s="117"/>
      <c r="F688" s="123"/>
      <c r="G688" s="125" t="s">
        <v>145</v>
      </c>
      <c r="H688" s="125"/>
      <c r="I688" s="125"/>
      <c r="J688" s="125"/>
      <c r="K688" s="82" t="str">
        <f t="shared" ca="1" si="987"/>
        <v>#REF!</v>
      </c>
      <c r="L688" s="82" t="str">
        <f t="shared" ca="1" si="977"/>
        <v>#REF!</v>
      </c>
      <c r="M688" s="82" t="str">
        <f t="shared" ca="1" si="550"/>
        <v>#REF!</v>
      </c>
      <c r="N688" s="93"/>
      <c r="O688" s="93"/>
      <c r="P688" s="95">
        <f t="shared" si="965"/>
        <v>0</v>
      </c>
      <c r="Q688" s="96">
        <f t="shared" si="1007"/>
        <v>0</v>
      </c>
      <c r="R688" s="96">
        <v>0</v>
      </c>
      <c r="S688" s="97">
        <f t="shared" si="553"/>
        <v>0</v>
      </c>
      <c r="T688" s="97" t="str">
        <f ca="1">ROUNDUP(HLOOKUP(ROUNDUP(K688,0),'배송비 조회'!A$10:AE$22,7,0)*C$3,-2)</f>
        <v>#REF!</v>
      </c>
      <c r="U688" s="97">
        <v>0</v>
      </c>
      <c r="V688" s="97" t="str">
        <f t="shared" ca="1" si="981"/>
        <v>#REF!</v>
      </c>
      <c r="W688" s="97" t="str">
        <f t="shared" ca="1" si="982"/>
        <v>#REF!</v>
      </c>
      <c r="X688" s="98" t="str">
        <f t="shared" ca="1" si="882"/>
        <v>#REF!</v>
      </c>
      <c r="Y688" s="98" t="str">
        <f t="shared" ca="1" si="883"/>
        <v>#REF!</v>
      </c>
      <c r="Z688" s="121">
        <v>0</v>
      </c>
      <c r="AA688" s="121" t="str">
        <f t="shared" ca="1" si="556"/>
        <v>#REF!</v>
      </c>
      <c r="AB688" s="121" t="str">
        <f t="shared" ca="1" si="557"/>
        <v>#REF!</v>
      </c>
      <c r="AC688" s="99" t="str">
        <f t="shared" ca="1" si="8"/>
        <v>#REF!</v>
      </c>
      <c r="AD688" s="121" t="str">
        <f t="shared" ca="1" si="558"/>
        <v>#REF!</v>
      </c>
      <c r="AE688" s="99" t="str">
        <f t="shared" ca="1" si="10"/>
        <v>#REF!</v>
      </c>
      <c r="AF688" s="121" t="str">
        <f t="shared" ca="1" si="559"/>
        <v>#REF!</v>
      </c>
      <c r="AG688" s="100" t="str">
        <f t="shared" ca="1" si="560"/>
        <v>#REF!</v>
      </c>
      <c r="AH688" s="101" t="str">
        <f t="shared" ca="1" si="891"/>
        <v>#REF!</v>
      </c>
      <c r="AI688" s="102" t="str">
        <f t="shared" ref="AI688:AJ688" ca="1" si="1017">AG688/X688</f>
        <v>#REF!</v>
      </c>
      <c r="AJ688" s="102" t="str">
        <f t="shared" ca="1" si="1017"/>
        <v>#REF!</v>
      </c>
      <c r="AK688" s="212"/>
      <c r="AL688" s="213"/>
      <c r="AM688" s="4"/>
      <c r="AN688" s="4"/>
      <c r="AO688" s="4"/>
      <c r="AP688" s="4"/>
      <c r="AQ688" s="4"/>
      <c r="AR688" s="4"/>
      <c r="AS688" s="4"/>
      <c r="AT688" s="4"/>
      <c r="AU688" s="4"/>
      <c r="AV688" s="4"/>
      <c r="AW688" s="4"/>
    </row>
    <row r="689" spans="1:49" ht="13.2">
      <c r="A689" s="120"/>
      <c r="B689" s="266"/>
      <c r="C689" s="117"/>
      <c r="D689" s="117"/>
      <c r="E689" s="117"/>
      <c r="F689" s="123"/>
      <c r="G689" s="125" t="s">
        <v>145</v>
      </c>
      <c r="H689" s="125"/>
      <c r="I689" s="125"/>
      <c r="J689" s="125"/>
      <c r="K689" s="82" t="str">
        <f t="shared" ca="1" si="987"/>
        <v>#REF!</v>
      </c>
      <c r="L689" s="82" t="str">
        <f t="shared" ca="1" si="977"/>
        <v>#REF!</v>
      </c>
      <c r="M689" s="82" t="str">
        <f t="shared" ca="1" si="550"/>
        <v>#REF!</v>
      </c>
      <c r="N689" s="93"/>
      <c r="O689" s="93"/>
      <c r="P689" s="95">
        <f t="shared" si="965"/>
        <v>0</v>
      </c>
      <c r="Q689" s="96">
        <f t="shared" si="1007"/>
        <v>0</v>
      </c>
      <c r="R689" s="96">
        <v>0</v>
      </c>
      <c r="S689" s="97">
        <f t="shared" si="553"/>
        <v>0</v>
      </c>
      <c r="T689" s="97" t="str">
        <f ca="1">ROUNDUP(HLOOKUP(ROUNDUP(K689,0),'배송비 조회'!A$10:AE$22,7,0)*C$3,-2)</f>
        <v>#REF!</v>
      </c>
      <c r="U689" s="97">
        <v>0</v>
      </c>
      <c r="V689" s="97" t="str">
        <f t="shared" ca="1" si="981"/>
        <v>#REF!</v>
      </c>
      <c r="W689" s="97" t="str">
        <f t="shared" ca="1" si="982"/>
        <v>#REF!</v>
      </c>
      <c r="X689" s="98" t="str">
        <f t="shared" ca="1" si="882"/>
        <v>#REF!</v>
      </c>
      <c r="Y689" s="98" t="str">
        <f t="shared" ca="1" si="883"/>
        <v>#REF!</v>
      </c>
      <c r="Z689" s="121">
        <v>0</v>
      </c>
      <c r="AA689" s="121" t="str">
        <f t="shared" ca="1" si="556"/>
        <v>#REF!</v>
      </c>
      <c r="AB689" s="121" t="str">
        <f t="shared" ca="1" si="557"/>
        <v>#REF!</v>
      </c>
      <c r="AC689" s="99" t="str">
        <f t="shared" ca="1" si="8"/>
        <v>#REF!</v>
      </c>
      <c r="AD689" s="121" t="str">
        <f t="shared" ca="1" si="558"/>
        <v>#REF!</v>
      </c>
      <c r="AE689" s="99" t="str">
        <f t="shared" ca="1" si="10"/>
        <v>#REF!</v>
      </c>
      <c r="AF689" s="121" t="str">
        <f t="shared" ca="1" si="559"/>
        <v>#REF!</v>
      </c>
      <c r="AG689" s="100" t="str">
        <f t="shared" ca="1" si="560"/>
        <v>#REF!</v>
      </c>
      <c r="AH689" s="101" t="str">
        <f t="shared" ca="1" si="891"/>
        <v>#REF!</v>
      </c>
      <c r="AI689" s="102" t="str">
        <f t="shared" ref="AI689:AJ689" ca="1" si="1018">AG689/X689</f>
        <v>#REF!</v>
      </c>
      <c r="AJ689" s="102" t="str">
        <f t="shared" ca="1" si="1018"/>
        <v>#REF!</v>
      </c>
      <c r="AK689" s="212"/>
      <c r="AL689" s="213"/>
      <c r="AM689" s="4"/>
      <c r="AN689" s="4"/>
      <c r="AO689" s="4"/>
      <c r="AP689" s="4"/>
      <c r="AQ689" s="4"/>
      <c r="AR689" s="4"/>
      <c r="AS689" s="4"/>
      <c r="AT689" s="4"/>
      <c r="AU689" s="4"/>
      <c r="AV689" s="4"/>
      <c r="AW689" s="4"/>
    </row>
    <row r="690" spans="1:49" ht="13.2">
      <c r="A690" s="120"/>
      <c r="B690" s="266"/>
      <c r="C690" s="117"/>
      <c r="D690" s="117"/>
      <c r="E690" s="117"/>
      <c r="F690" s="123"/>
      <c r="G690" s="125" t="s">
        <v>145</v>
      </c>
      <c r="H690" s="125"/>
      <c r="I690" s="125"/>
      <c r="J690" s="125"/>
      <c r="K690" s="82" t="str">
        <f t="shared" ca="1" si="987"/>
        <v>#REF!</v>
      </c>
      <c r="L690" s="82" t="str">
        <f t="shared" ca="1" si="977"/>
        <v>#REF!</v>
      </c>
      <c r="M690" s="82" t="str">
        <f t="shared" ca="1" si="550"/>
        <v>#REF!</v>
      </c>
      <c r="N690" s="93"/>
      <c r="O690" s="93"/>
      <c r="P690" s="95">
        <f t="shared" si="965"/>
        <v>0</v>
      </c>
      <c r="Q690" s="96">
        <f t="shared" si="1007"/>
        <v>0</v>
      </c>
      <c r="R690" s="96">
        <v>0</v>
      </c>
      <c r="S690" s="97">
        <f t="shared" si="553"/>
        <v>0</v>
      </c>
      <c r="T690" s="97" t="str">
        <f ca="1">ROUNDUP(HLOOKUP(ROUNDUP(K690,0),'배송비 조회'!A$10:AE$22,7,0)*C$3,-2)</f>
        <v>#REF!</v>
      </c>
      <c r="U690" s="97">
        <v>0</v>
      </c>
      <c r="V690" s="97" t="str">
        <f t="shared" ca="1" si="981"/>
        <v>#REF!</v>
      </c>
      <c r="W690" s="97" t="str">
        <f t="shared" ca="1" si="982"/>
        <v>#REF!</v>
      </c>
      <c r="X690" s="98" t="str">
        <f t="shared" ca="1" si="882"/>
        <v>#REF!</v>
      </c>
      <c r="Y690" s="98" t="str">
        <f t="shared" ca="1" si="883"/>
        <v>#REF!</v>
      </c>
      <c r="Z690" s="121">
        <v>0</v>
      </c>
      <c r="AA690" s="121" t="str">
        <f t="shared" ca="1" si="556"/>
        <v>#REF!</v>
      </c>
      <c r="AB690" s="121" t="str">
        <f t="shared" ca="1" si="557"/>
        <v>#REF!</v>
      </c>
      <c r="AC690" s="99" t="str">
        <f t="shared" ca="1" si="8"/>
        <v>#REF!</v>
      </c>
      <c r="AD690" s="121" t="str">
        <f t="shared" ca="1" si="558"/>
        <v>#REF!</v>
      </c>
      <c r="AE690" s="99" t="str">
        <f t="shared" ca="1" si="10"/>
        <v>#REF!</v>
      </c>
      <c r="AF690" s="121" t="str">
        <f t="shared" ca="1" si="559"/>
        <v>#REF!</v>
      </c>
      <c r="AG690" s="100" t="str">
        <f t="shared" ca="1" si="560"/>
        <v>#REF!</v>
      </c>
      <c r="AH690" s="101" t="str">
        <f t="shared" ca="1" si="891"/>
        <v>#REF!</v>
      </c>
      <c r="AI690" s="102" t="str">
        <f t="shared" ref="AI690:AJ690" ca="1" si="1019">AG690/X690</f>
        <v>#REF!</v>
      </c>
      <c r="AJ690" s="102" t="str">
        <f t="shared" ca="1" si="1019"/>
        <v>#REF!</v>
      </c>
      <c r="AK690" s="212"/>
      <c r="AL690" s="213"/>
      <c r="AM690" s="4"/>
      <c r="AN690" s="4"/>
      <c r="AO690" s="4"/>
      <c r="AP690" s="4"/>
      <c r="AQ690" s="4"/>
      <c r="AR690" s="4"/>
      <c r="AS690" s="4"/>
      <c r="AT690" s="4"/>
      <c r="AU690" s="4"/>
      <c r="AV690" s="4"/>
      <c r="AW690" s="4"/>
    </row>
    <row r="691" spans="1:49" ht="13.2">
      <c r="A691" s="120"/>
      <c r="B691" s="266"/>
      <c r="C691" s="117"/>
      <c r="D691" s="117"/>
      <c r="E691" s="117"/>
      <c r="F691" s="123"/>
      <c r="G691" s="125" t="s">
        <v>145</v>
      </c>
      <c r="H691" s="125"/>
      <c r="I691" s="125"/>
      <c r="J691" s="125"/>
      <c r="K691" s="82" t="str">
        <f t="shared" ca="1" si="987"/>
        <v>#REF!</v>
      </c>
      <c r="L691" s="82" t="str">
        <f t="shared" ca="1" si="977"/>
        <v>#REF!</v>
      </c>
      <c r="M691" s="82" t="str">
        <f t="shared" ca="1" si="550"/>
        <v>#REF!</v>
      </c>
      <c r="N691" s="93"/>
      <c r="O691" s="93"/>
      <c r="P691" s="95">
        <f t="shared" si="965"/>
        <v>0</v>
      </c>
      <c r="Q691" s="96">
        <f t="shared" si="1007"/>
        <v>0</v>
      </c>
      <c r="R691" s="96">
        <v>0</v>
      </c>
      <c r="S691" s="97">
        <f t="shared" si="553"/>
        <v>0</v>
      </c>
      <c r="T691" s="97" t="str">
        <f ca="1">ROUNDUP(HLOOKUP(ROUNDUP(K691,0),'배송비 조회'!A$10:AE$22,7,0)*C$3,-2)</f>
        <v>#REF!</v>
      </c>
      <c r="U691" s="97">
        <v>0</v>
      </c>
      <c r="V691" s="97" t="str">
        <f t="shared" ca="1" si="981"/>
        <v>#REF!</v>
      </c>
      <c r="W691" s="97" t="str">
        <f t="shared" ca="1" si="982"/>
        <v>#REF!</v>
      </c>
      <c r="X691" s="98" t="str">
        <f t="shared" ca="1" si="882"/>
        <v>#REF!</v>
      </c>
      <c r="Y691" s="98" t="str">
        <f t="shared" ca="1" si="883"/>
        <v>#REF!</v>
      </c>
      <c r="Z691" s="121">
        <v>0</v>
      </c>
      <c r="AA691" s="121" t="str">
        <f t="shared" ca="1" si="556"/>
        <v>#REF!</v>
      </c>
      <c r="AB691" s="121" t="str">
        <f t="shared" ca="1" si="557"/>
        <v>#REF!</v>
      </c>
      <c r="AC691" s="99" t="str">
        <f t="shared" ca="1" si="8"/>
        <v>#REF!</v>
      </c>
      <c r="AD691" s="121" t="str">
        <f t="shared" ca="1" si="558"/>
        <v>#REF!</v>
      </c>
      <c r="AE691" s="99" t="str">
        <f t="shared" ca="1" si="10"/>
        <v>#REF!</v>
      </c>
      <c r="AF691" s="121" t="str">
        <f t="shared" ca="1" si="559"/>
        <v>#REF!</v>
      </c>
      <c r="AG691" s="100" t="str">
        <f t="shared" ca="1" si="560"/>
        <v>#REF!</v>
      </c>
      <c r="AH691" s="101" t="str">
        <f t="shared" ca="1" si="891"/>
        <v>#REF!</v>
      </c>
      <c r="AI691" s="102" t="str">
        <f t="shared" ref="AI691:AJ691" ca="1" si="1020">AG691/X691</f>
        <v>#REF!</v>
      </c>
      <c r="AJ691" s="102" t="str">
        <f t="shared" ca="1" si="1020"/>
        <v>#REF!</v>
      </c>
      <c r="AK691" s="212"/>
      <c r="AL691" s="213"/>
      <c r="AM691" s="4"/>
      <c r="AN691" s="4"/>
      <c r="AO691" s="4"/>
      <c r="AP691" s="4"/>
      <c r="AQ691" s="4"/>
      <c r="AR691" s="4"/>
      <c r="AS691" s="4"/>
      <c r="AT691" s="4"/>
      <c r="AU691" s="4"/>
      <c r="AV691" s="4"/>
      <c r="AW691" s="4"/>
    </row>
    <row r="692" spans="1:49" ht="13.2">
      <c r="A692" s="120"/>
      <c r="B692" s="266"/>
      <c r="C692" s="117"/>
      <c r="D692" s="117"/>
      <c r="E692" s="117"/>
      <c r="F692" s="123"/>
      <c r="G692" s="125" t="s">
        <v>145</v>
      </c>
      <c r="H692" s="125"/>
      <c r="I692" s="125"/>
      <c r="J692" s="125"/>
      <c r="K692" s="82" t="str">
        <f t="shared" ca="1" si="987"/>
        <v>#REF!</v>
      </c>
      <c r="L692" s="82" t="str">
        <f t="shared" ca="1" si="977"/>
        <v>#REF!</v>
      </c>
      <c r="M692" s="82" t="str">
        <f t="shared" ca="1" si="550"/>
        <v>#REF!</v>
      </c>
      <c r="N692" s="93"/>
      <c r="O692" s="93"/>
      <c r="P692" s="95">
        <f t="shared" si="965"/>
        <v>0</v>
      </c>
      <c r="Q692" s="96">
        <f t="shared" si="1007"/>
        <v>0</v>
      </c>
      <c r="R692" s="96">
        <v>0</v>
      </c>
      <c r="S692" s="97">
        <f t="shared" si="553"/>
        <v>0</v>
      </c>
      <c r="T692" s="97" t="str">
        <f ca="1">ROUNDUP(HLOOKUP(ROUNDUP(K692,0),'배송비 조회'!A$10:AE$22,7,0)*C$3,-2)</f>
        <v>#REF!</v>
      </c>
      <c r="U692" s="97">
        <v>0</v>
      </c>
      <c r="V692" s="97" t="str">
        <f t="shared" ca="1" si="981"/>
        <v>#REF!</v>
      </c>
      <c r="W692" s="97" t="str">
        <f t="shared" ca="1" si="982"/>
        <v>#REF!</v>
      </c>
      <c r="X692" s="98" t="str">
        <f t="shared" ca="1" si="882"/>
        <v>#REF!</v>
      </c>
      <c r="Y692" s="98" t="str">
        <f t="shared" ca="1" si="883"/>
        <v>#REF!</v>
      </c>
      <c r="Z692" s="121">
        <v>0</v>
      </c>
      <c r="AA692" s="121" t="str">
        <f t="shared" ca="1" si="556"/>
        <v>#REF!</v>
      </c>
      <c r="AB692" s="121" t="str">
        <f t="shared" ca="1" si="557"/>
        <v>#REF!</v>
      </c>
      <c r="AC692" s="99" t="str">
        <f t="shared" ca="1" si="8"/>
        <v>#REF!</v>
      </c>
      <c r="AD692" s="121" t="str">
        <f t="shared" ca="1" si="558"/>
        <v>#REF!</v>
      </c>
      <c r="AE692" s="99" t="str">
        <f t="shared" ca="1" si="10"/>
        <v>#REF!</v>
      </c>
      <c r="AF692" s="121" t="str">
        <f t="shared" ca="1" si="559"/>
        <v>#REF!</v>
      </c>
      <c r="AG692" s="100" t="str">
        <f t="shared" ca="1" si="560"/>
        <v>#REF!</v>
      </c>
      <c r="AH692" s="101" t="str">
        <f t="shared" ca="1" si="891"/>
        <v>#REF!</v>
      </c>
      <c r="AI692" s="102" t="str">
        <f t="shared" ref="AI692:AJ692" ca="1" si="1021">AG692/X692</f>
        <v>#REF!</v>
      </c>
      <c r="AJ692" s="102" t="str">
        <f t="shared" ca="1" si="1021"/>
        <v>#REF!</v>
      </c>
      <c r="AK692" s="212"/>
      <c r="AL692" s="213"/>
      <c r="AM692" s="4"/>
      <c r="AN692" s="4"/>
      <c r="AO692" s="4"/>
      <c r="AP692" s="4"/>
      <c r="AQ692" s="4"/>
      <c r="AR692" s="4"/>
      <c r="AS692" s="4"/>
      <c r="AT692" s="4"/>
      <c r="AU692" s="4"/>
      <c r="AV692" s="4"/>
      <c r="AW692" s="4"/>
    </row>
    <row r="693" spans="1:49" ht="13.2">
      <c r="A693" s="120"/>
      <c r="B693" s="266"/>
      <c r="C693" s="117"/>
      <c r="D693" s="117"/>
      <c r="E693" s="117"/>
      <c r="F693" s="123"/>
      <c r="G693" s="125" t="s">
        <v>145</v>
      </c>
      <c r="H693" s="125"/>
      <c r="I693" s="125"/>
      <c r="J693" s="125"/>
      <c r="K693" s="82" t="str">
        <f t="shared" ca="1" si="987"/>
        <v>#REF!</v>
      </c>
      <c r="L693" s="82" t="str">
        <f t="shared" ca="1" si="977"/>
        <v>#REF!</v>
      </c>
      <c r="M693" s="82" t="str">
        <f t="shared" ca="1" si="550"/>
        <v>#REF!</v>
      </c>
      <c r="N693" s="93"/>
      <c r="O693" s="93"/>
      <c r="P693" s="95">
        <f t="shared" si="965"/>
        <v>0</v>
      </c>
      <c r="Q693" s="96">
        <f t="shared" si="1007"/>
        <v>0</v>
      </c>
      <c r="R693" s="96">
        <v>0</v>
      </c>
      <c r="S693" s="97">
        <f t="shared" si="553"/>
        <v>0</v>
      </c>
      <c r="T693" s="97" t="str">
        <f ca="1">ROUNDUP(HLOOKUP(ROUNDUP(K693,0),'배송비 조회'!A$10:AE$22,7,0)*C$3,-2)</f>
        <v>#REF!</v>
      </c>
      <c r="U693" s="97">
        <v>0</v>
      </c>
      <c r="V693" s="97" t="str">
        <f t="shared" ca="1" si="981"/>
        <v>#REF!</v>
      </c>
      <c r="W693" s="97" t="str">
        <f t="shared" ca="1" si="982"/>
        <v>#REF!</v>
      </c>
      <c r="X693" s="98" t="str">
        <f t="shared" ca="1" si="882"/>
        <v>#REF!</v>
      </c>
      <c r="Y693" s="98" t="str">
        <f t="shared" ca="1" si="883"/>
        <v>#REF!</v>
      </c>
      <c r="Z693" s="121">
        <v>0</v>
      </c>
      <c r="AA693" s="121" t="str">
        <f t="shared" ca="1" si="556"/>
        <v>#REF!</v>
      </c>
      <c r="AB693" s="121" t="str">
        <f t="shared" ca="1" si="557"/>
        <v>#REF!</v>
      </c>
      <c r="AC693" s="99" t="str">
        <f t="shared" ca="1" si="8"/>
        <v>#REF!</v>
      </c>
      <c r="AD693" s="121" t="str">
        <f t="shared" ca="1" si="558"/>
        <v>#REF!</v>
      </c>
      <c r="AE693" s="99" t="str">
        <f t="shared" ca="1" si="10"/>
        <v>#REF!</v>
      </c>
      <c r="AF693" s="121" t="str">
        <f t="shared" ca="1" si="559"/>
        <v>#REF!</v>
      </c>
      <c r="AG693" s="100" t="str">
        <f t="shared" ca="1" si="560"/>
        <v>#REF!</v>
      </c>
      <c r="AH693" s="101" t="str">
        <f t="shared" ca="1" si="891"/>
        <v>#REF!</v>
      </c>
      <c r="AI693" s="102" t="str">
        <f t="shared" ref="AI693:AJ693" ca="1" si="1022">AG693/X693</f>
        <v>#REF!</v>
      </c>
      <c r="AJ693" s="102" t="str">
        <f t="shared" ca="1" si="1022"/>
        <v>#REF!</v>
      </c>
      <c r="AK693" s="212"/>
      <c r="AL693" s="213"/>
      <c r="AM693" s="4"/>
      <c r="AN693" s="4"/>
      <c r="AO693" s="4"/>
      <c r="AP693" s="4"/>
      <c r="AQ693" s="4"/>
      <c r="AR693" s="4"/>
      <c r="AS693" s="4"/>
      <c r="AT693" s="4"/>
      <c r="AU693" s="4"/>
      <c r="AV693" s="4"/>
      <c r="AW693" s="4"/>
    </row>
    <row r="694" spans="1:49" ht="13.2">
      <c r="A694" s="120"/>
      <c r="B694" s="266"/>
      <c r="C694" s="117"/>
      <c r="D694" s="117"/>
      <c r="E694" s="117"/>
      <c r="F694" s="123"/>
      <c r="G694" s="125" t="s">
        <v>145</v>
      </c>
      <c r="H694" s="125"/>
      <c r="I694" s="125"/>
      <c r="J694" s="125"/>
      <c r="K694" s="82" t="str">
        <f t="shared" ca="1" si="987"/>
        <v>#REF!</v>
      </c>
      <c r="L694" s="82" t="str">
        <f t="shared" ca="1" si="977"/>
        <v>#REF!</v>
      </c>
      <c r="M694" s="82" t="str">
        <f t="shared" ca="1" si="550"/>
        <v>#REF!</v>
      </c>
      <c r="N694" s="93"/>
      <c r="O694" s="93"/>
      <c r="P694" s="95">
        <f t="shared" si="965"/>
        <v>0</v>
      </c>
      <c r="Q694" s="96">
        <f t="shared" si="1007"/>
        <v>0</v>
      </c>
      <c r="R694" s="96">
        <v>0</v>
      </c>
      <c r="S694" s="97">
        <f t="shared" si="553"/>
        <v>0</v>
      </c>
      <c r="T694" s="97" t="str">
        <f ca="1">ROUNDUP(HLOOKUP(ROUNDUP(K694,0),'배송비 조회'!A$10:AE$22,7,0)*C$3,-2)</f>
        <v>#REF!</v>
      </c>
      <c r="U694" s="97">
        <v>0</v>
      </c>
      <c r="V694" s="97" t="str">
        <f t="shared" ca="1" si="981"/>
        <v>#REF!</v>
      </c>
      <c r="W694" s="97" t="str">
        <f t="shared" ca="1" si="982"/>
        <v>#REF!</v>
      </c>
      <c r="X694" s="98" t="str">
        <f t="shared" ca="1" si="882"/>
        <v>#REF!</v>
      </c>
      <c r="Y694" s="98" t="str">
        <f t="shared" ca="1" si="883"/>
        <v>#REF!</v>
      </c>
      <c r="Z694" s="121">
        <v>0</v>
      </c>
      <c r="AA694" s="121" t="str">
        <f t="shared" ca="1" si="556"/>
        <v>#REF!</v>
      </c>
      <c r="AB694" s="121" t="str">
        <f t="shared" ca="1" si="557"/>
        <v>#REF!</v>
      </c>
      <c r="AC694" s="99" t="str">
        <f t="shared" ca="1" si="8"/>
        <v>#REF!</v>
      </c>
      <c r="AD694" s="121" t="str">
        <f t="shared" ca="1" si="558"/>
        <v>#REF!</v>
      </c>
      <c r="AE694" s="99" t="str">
        <f t="shared" ca="1" si="10"/>
        <v>#REF!</v>
      </c>
      <c r="AF694" s="121" t="str">
        <f t="shared" ca="1" si="559"/>
        <v>#REF!</v>
      </c>
      <c r="AG694" s="100" t="str">
        <f t="shared" ca="1" si="560"/>
        <v>#REF!</v>
      </c>
      <c r="AH694" s="101" t="str">
        <f t="shared" ca="1" si="891"/>
        <v>#REF!</v>
      </c>
      <c r="AI694" s="102" t="str">
        <f t="shared" ref="AI694:AJ694" ca="1" si="1023">AG694/X694</f>
        <v>#REF!</v>
      </c>
      <c r="AJ694" s="102" t="str">
        <f t="shared" ca="1" si="1023"/>
        <v>#REF!</v>
      </c>
      <c r="AK694" s="212"/>
      <c r="AL694" s="213"/>
      <c r="AM694" s="4"/>
      <c r="AN694" s="4"/>
      <c r="AO694" s="4"/>
      <c r="AP694" s="4"/>
      <c r="AQ694" s="4"/>
      <c r="AR694" s="4"/>
      <c r="AS694" s="4"/>
      <c r="AT694" s="4"/>
      <c r="AU694" s="4"/>
      <c r="AV694" s="4"/>
      <c r="AW694" s="4"/>
    </row>
    <row r="695" spans="1:49" ht="13.2">
      <c r="A695" s="120"/>
      <c r="B695" s="266"/>
      <c r="C695" s="117"/>
      <c r="D695" s="117"/>
      <c r="E695" s="117"/>
      <c r="F695" s="123"/>
      <c r="G695" s="125" t="s">
        <v>145</v>
      </c>
      <c r="H695" s="125"/>
      <c r="I695" s="125"/>
      <c r="J695" s="125"/>
      <c r="K695" s="82" t="str">
        <f t="shared" ca="1" si="987"/>
        <v>#REF!</v>
      </c>
      <c r="L695" s="82" t="str">
        <f t="shared" ca="1" si="977"/>
        <v>#REF!</v>
      </c>
      <c r="M695" s="82" t="str">
        <f t="shared" ca="1" si="550"/>
        <v>#REF!</v>
      </c>
      <c r="N695" s="93"/>
      <c r="O695" s="93"/>
      <c r="P695" s="95">
        <f t="shared" si="965"/>
        <v>0</v>
      </c>
      <c r="Q695" s="96">
        <f t="shared" si="1007"/>
        <v>0</v>
      </c>
      <c r="R695" s="96">
        <v>0</v>
      </c>
      <c r="S695" s="97">
        <f t="shared" si="553"/>
        <v>0</v>
      </c>
      <c r="T695" s="97" t="str">
        <f ca="1">ROUNDUP(HLOOKUP(ROUNDUP(K695,0),'배송비 조회'!A$10:AE$22,7,0)*C$3,-2)</f>
        <v>#REF!</v>
      </c>
      <c r="U695" s="97">
        <v>0</v>
      </c>
      <c r="V695" s="97" t="str">
        <f t="shared" ca="1" si="981"/>
        <v>#REF!</v>
      </c>
      <c r="W695" s="97" t="str">
        <f t="shared" ca="1" si="982"/>
        <v>#REF!</v>
      </c>
      <c r="X695" s="98" t="str">
        <f t="shared" ca="1" si="882"/>
        <v>#REF!</v>
      </c>
      <c r="Y695" s="98" t="str">
        <f t="shared" ca="1" si="883"/>
        <v>#REF!</v>
      </c>
      <c r="Z695" s="121">
        <v>0</v>
      </c>
      <c r="AA695" s="121" t="str">
        <f t="shared" ca="1" si="556"/>
        <v>#REF!</v>
      </c>
      <c r="AB695" s="121" t="str">
        <f t="shared" ca="1" si="557"/>
        <v>#REF!</v>
      </c>
      <c r="AC695" s="99" t="str">
        <f t="shared" ca="1" si="8"/>
        <v>#REF!</v>
      </c>
      <c r="AD695" s="121" t="str">
        <f t="shared" ca="1" si="558"/>
        <v>#REF!</v>
      </c>
      <c r="AE695" s="99" t="str">
        <f t="shared" ca="1" si="10"/>
        <v>#REF!</v>
      </c>
      <c r="AF695" s="121" t="str">
        <f t="shared" ca="1" si="559"/>
        <v>#REF!</v>
      </c>
      <c r="AG695" s="100" t="str">
        <f t="shared" ca="1" si="560"/>
        <v>#REF!</v>
      </c>
      <c r="AH695" s="101" t="str">
        <f t="shared" ca="1" si="891"/>
        <v>#REF!</v>
      </c>
      <c r="AI695" s="102" t="str">
        <f t="shared" ref="AI695:AJ695" ca="1" si="1024">AG695/X695</f>
        <v>#REF!</v>
      </c>
      <c r="AJ695" s="102" t="str">
        <f t="shared" ca="1" si="1024"/>
        <v>#REF!</v>
      </c>
      <c r="AK695" s="212"/>
      <c r="AL695" s="213"/>
      <c r="AM695" s="4"/>
      <c r="AN695" s="4"/>
      <c r="AO695" s="4"/>
      <c r="AP695" s="4"/>
      <c r="AQ695" s="4"/>
      <c r="AR695" s="4"/>
      <c r="AS695" s="4"/>
      <c r="AT695" s="4"/>
      <c r="AU695" s="4"/>
      <c r="AV695" s="4"/>
      <c r="AW695" s="4"/>
    </row>
    <row r="696" spans="1:49" ht="13.2">
      <c r="A696" s="120"/>
      <c r="B696" s="266"/>
      <c r="C696" s="117"/>
      <c r="D696" s="117"/>
      <c r="E696" s="117"/>
      <c r="F696" s="123"/>
      <c r="G696" s="125" t="s">
        <v>145</v>
      </c>
      <c r="H696" s="125"/>
      <c r="I696" s="125"/>
      <c r="J696" s="125"/>
      <c r="K696" s="82" t="str">
        <f t="shared" ca="1" si="987"/>
        <v>#REF!</v>
      </c>
      <c r="L696" s="82" t="str">
        <f t="shared" ca="1" si="977"/>
        <v>#REF!</v>
      </c>
      <c r="M696" s="82" t="str">
        <f t="shared" ca="1" si="550"/>
        <v>#REF!</v>
      </c>
      <c r="N696" s="93"/>
      <c r="O696" s="93"/>
      <c r="P696" s="95">
        <f t="shared" si="965"/>
        <v>0</v>
      </c>
      <c r="Q696" s="96">
        <f t="shared" si="1007"/>
        <v>0</v>
      </c>
      <c r="R696" s="96">
        <v>0</v>
      </c>
      <c r="S696" s="97">
        <f t="shared" si="553"/>
        <v>0</v>
      </c>
      <c r="T696" s="97" t="str">
        <f ca="1">ROUNDUP(HLOOKUP(ROUNDUP(K696,0),'배송비 조회'!A$10:AE$22,7,0)*C$3,-2)</f>
        <v>#REF!</v>
      </c>
      <c r="U696" s="97">
        <v>0</v>
      </c>
      <c r="V696" s="97" t="str">
        <f t="shared" ca="1" si="981"/>
        <v>#REF!</v>
      </c>
      <c r="W696" s="97" t="str">
        <f t="shared" ca="1" si="982"/>
        <v>#REF!</v>
      </c>
      <c r="X696" s="98" t="str">
        <f t="shared" ca="1" si="882"/>
        <v>#REF!</v>
      </c>
      <c r="Y696" s="98" t="str">
        <f t="shared" ca="1" si="883"/>
        <v>#REF!</v>
      </c>
      <c r="Z696" s="121">
        <v>0</v>
      </c>
      <c r="AA696" s="121" t="str">
        <f t="shared" ca="1" si="556"/>
        <v>#REF!</v>
      </c>
      <c r="AB696" s="121" t="str">
        <f t="shared" ca="1" si="557"/>
        <v>#REF!</v>
      </c>
      <c r="AC696" s="99" t="str">
        <f t="shared" ca="1" si="8"/>
        <v>#REF!</v>
      </c>
      <c r="AD696" s="121" t="str">
        <f t="shared" ca="1" si="558"/>
        <v>#REF!</v>
      </c>
      <c r="AE696" s="99" t="str">
        <f t="shared" ca="1" si="10"/>
        <v>#REF!</v>
      </c>
      <c r="AF696" s="121" t="str">
        <f t="shared" ca="1" si="559"/>
        <v>#REF!</v>
      </c>
      <c r="AG696" s="100" t="str">
        <f t="shared" ca="1" si="560"/>
        <v>#REF!</v>
      </c>
      <c r="AH696" s="101" t="str">
        <f t="shared" ca="1" si="891"/>
        <v>#REF!</v>
      </c>
      <c r="AI696" s="102" t="str">
        <f t="shared" ref="AI696:AJ696" ca="1" si="1025">AG696/X696</f>
        <v>#REF!</v>
      </c>
      <c r="AJ696" s="102" t="str">
        <f t="shared" ca="1" si="1025"/>
        <v>#REF!</v>
      </c>
      <c r="AK696" s="212"/>
      <c r="AL696" s="213"/>
      <c r="AM696" s="4"/>
      <c r="AN696" s="4"/>
      <c r="AO696" s="4"/>
      <c r="AP696" s="4"/>
      <c r="AQ696" s="4"/>
      <c r="AR696" s="4"/>
      <c r="AS696" s="4"/>
      <c r="AT696" s="4"/>
      <c r="AU696" s="4"/>
      <c r="AV696" s="4"/>
      <c r="AW696" s="4"/>
    </row>
    <row r="697" spans="1:49" ht="13.2">
      <c r="A697" s="120"/>
      <c r="B697" s="266"/>
      <c r="C697" s="117"/>
      <c r="D697" s="117"/>
      <c r="E697" s="117"/>
      <c r="F697" s="123"/>
      <c r="G697" s="125" t="s">
        <v>145</v>
      </c>
      <c r="H697" s="125"/>
      <c r="I697" s="125"/>
      <c r="J697" s="125"/>
      <c r="K697" s="82" t="str">
        <f t="shared" ca="1" si="987"/>
        <v>#REF!</v>
      </c>
      <c r="L697" s="82" t="str">
        <f t="shared" ca="1" si="977"/>
        <v>#REF!</v>
      </c>
      <c r="M697" s="82" t="str">
        <f t="shared" ca="1" si="550"/>
        <v>#REF!</v>
      </c>
      <c r="N697" s="93"/>
      <c r="O697" s="93"/>
      <c r="P697" s="95">
        <f t="shared" si="965"/>
        <v>0</v>
      </c>
      <c r="Q697" s="96">
        <f t="shared" si="1007"/>
        <v>0</v>
      </c>
      <c r="R697" s="96">
        <v>0</v>
      </c>
      <c r="S697" s="97">
        <f t="shared" si="553"/>
        <v>0</v>
      </c>
      <c r="T697" s="97" t="str">
        <f ca="1">ROUNDUP(HLOOKUP(ROUNDUP(K697,0),'배송비 조회'!A$10:AE$22,7,0)*C$3,-2)</f>
        <v>#REF!</v>
      </c>
      <c r="U697" s="97">
        <v>0</v>
      </c>
      <c r="V697" s="97" t="str">
        <f t="shared" ca="1" si="981"/>
        <v>#REF!</v>
      </c>
      <c r="W697" s="97" t="str">
        <f t="shared" ca="1" si="982"/>
        <v>#REF!</v>
      </c>
      <c r="X697" s="98" t="str">
        <f t="shared" ca="1" si="882"/>
        <v>#REF!</v>
      </c>
      <c r="Y697" s="98" t="str">
        <f t="shared" ca="1" si="883"/>
        <v>#REF!</v>
      </c>
      <c r="Z697" s="121">
        <v>0</v>
      </c>
      <c r="AA697" s="121" t="str">
        <f t="shared" ca="1" si="556"/>
        <v>#REF!</v>
      </c>
      <c r="AB697" s="121" t="str">
        <f t="shared" ca="1" si="557"/>
        <v>#REF!</v>
      </c>
      <c r="AC697" s="99" t="str">
        <f t="shared" ca="1" si="8"/>
        <v>#REF!</v>
      </c>
      <c r="AD697" s="121" t="str">
        <f t="shared" ca="1" si="558"/>
        <v>#REF!</v>
      </c>
      <c r="AE697" s="99" t="str">
        <f t="shared" ca="1" si="10"/>
        <v>#REF!</v>
      </c>
      <c r="AF697" s="121" t="str">
        <f t="shared" ca="1" si="559"/>
        <v>#REF!</v>
      </c>
      <c r="AG697" s="100" t="str">
        <f t="shared" ca="1" si="560"/>
        <v>#REF!</v>
      </c>
      <c r="AH697" s="101" t="str">
        <f t="shared" ca="1" si="891"/>
        <v>#REF!</v>
      </c>
      <c r="AI697" s="102" t="str">
        <f t="shared" ref="AI697:AJ697" ca="1" si="1026">AG697/X697</f>
        <v>#REF!</v>
      </c>
      <c r="AJ697" s="102" t="str">
        <f t="shared" ca="1" si="1026"/>
        <v>#REF!</v>
      </c>
      <c r="AK697" s="212"/>
      <c r="AL697" s="213"/>
      <c r="AM697" s="4"/>
      <c r="AN697" s="4"/>
      <c r="AO697" s="4"/>
      <c r="AP697" s="4"/>
      <c r="AQ697" s="4"/>
      <c r="AR697" s="4"/>
      <c r="AS697" s="4"/>
      <c r="AT697" s="4"/>
      <c r="AU697" s="4"/>
      <c r="AV697" s="4"/>
      <c r="AW697" s="4"/>
    </row>
    <row r="698" spans="1:49" ht="13.2">
      <c r="A698" s="120"/>
      <c r="B698" s="266"/>
      <c r="C698" s="117"/>
      <c r="D698" s="117"/>
      <c r="E698" s="117"/>
      <c r="F698" s="123"/>
      <c r="G698" s="125" t="s">
        <v>145</v>
      </c>
      <c r="H698" s="125"/>
      <c r="I698" s="125"/>
      <c r="J698" s="125"/>
      <c r="K698" s="82" t="str">
        <f t="shared" ca="1" si="987"/>
        <v>#REF!</v>
      </c>
      <c r="L698" s="82" t="str">
        <f t="shared" ca="1" si="977"/>
        <v>#REF!</v>
      </c>
      <c r="M698" s="82" t="str">
        <f t="shared" ca="1" si="550"/>
        <v>#REF!</v>
      </c>
      <c r="N698" s="93"/>
      <c r="O698" s="93"/>
      <c r="P698" s="95">
        <f t="shared" si="965"/>
        <v>0</v>
      </c>
      <c r="Q698" s="96">
        <f t="shared" si="1007"/>
        <v>0</v>
      </c>
      <c r="R698" s="96">
        <v>0</v>
      </c>
      <c r="S698" s="97">
        <f t="shared" si="553"/>
        <v>0</v>
      </c>
      <c r="T698" s="97" t="str">
        <f ca="1">ROUNDUP(HLOOKUP(ROUNDUP(K698,0),'배송비 조회'!A$10:AE$22,7,0)*C$3,-2)</f>
        <v>#REF!</v>
      </c>
      <c r="U698" s="97">
        <v>0</v>
      </c>
      <c r="V698" s="97" t="str">
        <f t="shared" ca="1" si="981"/>
        <v>#REF!</v>
      </c>
      <c r="W698" s="97" t="str">
        <f t="shared" ca="1" si="982"/>
        <v>#REF!</v>
      </c>
      <c r="X698" s="98" t="str">
        <f t="shared" ca="1" si="882"/>
        <v>#REF!</v>
      </c>
      <c r="Y698" s="98" t="str">
        <f t="shared" ca="1" si="883"/>
        <v>#REF!</v>
      </c>
      <c r="Z698" s="121">
        <v>0</v>
      </c>
      <c r="AA698" s="121" t="str">
        <f t="shared" ca="1" si="556"/>
        <v>#REF!</v>
      </c>
      <c r="AB698" s="121" t="str">
        <f t="shared" ca="1" si="557"/>
        <v>#REF!</v>
      </c>
      <c r="AC698" s="99" t="str">
        <f t="shared" ca="1" si="8"/>
        <v>#REF!</v>
      </c>
      <c r="AD698" s="121" t="str">
        <f t="shared" ca="1" si="558"/>
        <v>#REF!</v>
      </c>
      <c r="AE698" s="99" t="str">
        <f t="shared" ca="1" si="10"/>
        <v>#REF!</v>
      </c>
      <c r="AF698" s="121" t="str">
        <f t="shared" ca="1" si="559"/>
        <v>#REF!</v>
      </c>
      <c r="AG698" s="100" t="str">
        <f t="shared" ca="1" si="560"/>
        <v>#REF!</v>
      </c>
      <c r="AH698" s="101" t="str">
        <f t="shared" ca="1" si="891"/>
        <v>#REF!</v>
      </c>
      <c r="AI698" s="102" t="str">
        <f t="shared" ref="AI698:AJ698" ca="1" si="1027">AG698/X698</f>
        <v>#REF!</v>
      </c>
      <c r="AJ698" s="102" t="str">
        <f t="shared" ca="1" si="1027"/>
        <v>#REF!</v>
      </c>
      <c r="AK698" s="212"/>
      <c r="AL698" s="213"/>
      <c r="AM698" s="4"/>
      <c r="AN698" s="4"/>
      <c r="AO698" s="4"/>
      <c r="AP698" s="4"/>
      <c r="AQ698" s="4"/>
      <c r="AR698" s="4"/>
      <c r="AS698" s="4"/>
      <c r="AT698" s="4"/>
      <c r="AU698" s="4"/>
      <c r="AV698" s="4"/>
      <c r="AW698" s="4"/>
    </row>
    <row r="699" spans="1:49" ht="13.2">
      <c r="A699" s="120"/>
      <c r="B699" s="266"/>
      <c r="C699" s="117"/>
      <c r="D699" s="117"/>
      <c r="E699" s="117"/>
      <c r="F699" s="123"/>
      <c r="G699" s="125" t="s">
        <v>145</v>
      </c>
      <c r="H699" s="125"/>
      <c r="I699" s="125"/>
      <c r="J699" s="125"/>
      <c r="K699" s="82" t="str">
        <f t="shared" ca="1" si="987"/>
        <v>#REF!</v>
      </c>
      <c r="L699" s="82" t="str">
        <f t="shared" ca="1" si="977"/>
        <v>#REF!</v>
      </c>
      <c r="M699" s="82" t="str">
        <f t="shared" ca="1" si="550"/>
        <v>#REF!</v>
      </c>
      <c r="N699" s="93"/>
      <c r="O699" s="93"/>
      <c r="P699" s="95">
        <f t="shared" si="965"/>
        <v>0</v>
      </c>
      <c r="Q699" s="96">
        <f t="shared" si="1007"/>
        <v>0</v>
      </c>
      <c r="R699" s="96">
        <v>0</v>
      </c>
      <c r="S699" s="97">
        <f t="shared" si="553"/>
        <v>0</v>
      </c>
      <c r="T699" s="97" t="str">
        <f ca="1">ROUNDUP(HLOOKUP(ROUNDUP(K699,0),'배송비 조회'!A$10:AE$22,7,0)*C$3,-2)</f>
        <v>#REF!</v>
      </c>
      <c r="U699" s="97">
        <v>0</v>
      </c>
      <c r="V699" s="97" t="str">
        <f t="shared" ca="1" si="981"/>
        <v>#REF!</v>
      </c>
      <c r="W699" s="97" t="str">
        <f t="shared" ca="1" si="982"/>
        <v>#REF!</v>
      </c>
      <c r="X699" s="98" t="str">
        <f t="shared" ca="1" si="882"/>
        <v>#REF!</v>
      </c>
      <c r="Y699" s="98" t="str">
        <f t="shared" ca="1" si="883"/>
        <v>#REF!</v>
      </c>
      <c r="Z699" s="121">
        <v>0</v>
      </c>
      <c r="AA699" s="121" t="str">
        <f t="shared" ca="1" si="556"/>
        <v>#REF!</v>
      </c>
      <c r="AB699" s="121" t="str">
        <f t="shared" ca="1" si="557"/>
        <v>#REF!</v>
      </c>
      <c r="AC699" s="99" t="str">
        <f t="shared" ca="1" si="8"/>
        <v>#REF!</v>
      </c>
      <c r="AD699" s="121" t="str">
        <f t="shared" ca="1" si="558"/>
        <v>#REF!</v>
      </c>
      <c r="AE699" s="99" t="str">
        <f t="shared" ca="1" si="10"/>
        <v>#REF!</v>
      </c>
      <c r="AF699" s="121" t="str">
        <f t="shared" ca="1" si="559"/>
        <v>#REF!</v>
      </c>
      <c r="AG699" s="100" t="str">
        <f t="shared" ca="1" si="560"/>
        <v>#REF!</v>
      </c>
      <c r="AH699" s="101" t="str">
        <f t="shared" ca="1" si="891"/>
        <v>#REF!</v>
      </c>
      <c r="AI699" s="102" t="str">
        <f t="shared" ref="AI699:AJ699" ca="1" si="1028">AG699/X699</f>
        <v>#REF!</v>
      </c>
      <c r="AJ699" s="102" t="str">
        <f t="shared" ca="1" si="1028"/>
        <v>#REF!</v>
      </c>
      <c r="AK699" s="212"/>
      <c r="AL699" s="213"/>
      <c r="AM699" s="4"/>
      <c r="AN699" s="4"/>
      <c r="AO699" s="4"/>
      <c r="AP699" s="4"/>
      <c r="AQ699" s="4"/>
      <c r="AR699" s="4"/>
      <c r="AS699" s="4"/>
      <c r="AT699" s="4"/>
      <c r="AU699" s="4"/>
      <c r="AV699" s="4"/>
      <c r="AW699" s="4"/>
    </row>
    <row r="700" spans="1:49" ht="13.2">
      <c r="A700" s="120"/>
      <c r="B700" s="266"/>
      <c r="C700" s="117"/>
      <c r="D700" s="117"/>
      <c r="E700" s="117"/>
      <c r="F700" s="123"/>
      <c r="G700" s="125" t="s">
        <v>145</v>
      </c>
      <c r="H700" s="125"/>
      <c r="I700" s="125"/>
      <c r="J700" s="125"/>
      <c r="K700" s="82" t="str">
        <f t="shared" ca="1" si="987"/>
        <v>#REF!</v>
      </c>
      <c r="L700" s="82" t="str">
        <f t="shared" ca="1" si="977"/>
        <v>#REF!</v>
      </c>
      <c r="M700" s="82" t="str">
        <f t="shared" ca="1" si="550"/>
        <v>#REF!</v>
      </c>
      <c r="N700" s="93"/>
      <c r="O700" s="93"/>
      <c r="P700" s="95">
        <f t="shared" si="965"/>
        <v>0</v>
      </c>
      <c r="Q700" s="96">
        <f t="shared" si="1007"/>
        <v>0</v>
      </c>
      <c r="R700" s="96">
        <v>0</v>
      </c>
      <c r="S700" s="97">
        <f t="shared" si="553"/>
        <v>0</v>
      </c>
      <c r="T700" s="97" t="str">
        <f ca="1">ROUNDUP(HLOOKUP(ROUNDUP(K700,0),'배송비 조회'!A$10:AE$22,7,0)*C$3,-2)</f>
        <v>#REF!</v>
      </c>
      <c r="U700" s="97">
        <v>0</v>
      </c>
      <c r="V700" s="97" t="str">
        <f t="shared" ca="1" si="981"/>
        <v>#REF!</v>
      </c>
      <c r="W700" s="97" t="str">
        <f t="shared" ca="1" si="982"/>
        <v>#REF!</v>
      </c>
      <c r="X700" s="98" t="str">
        <f t="shared" ca="1" si="882"/>
        <v>#REF!</v>
      </c>
      <c r="Y700" s="98" t="str">
        <f t="shared" ca="1" si="883"/>
        <v>#REF!</v>
      </c>
      <c r="Z700" s="121">
        <v>0</v>
      </c>
      <c r="AA700" s="121" t="str">
        <f t="shared" ca="1" si="556"/>
        <v>#REF!</v>
      </c>
      <c r="AB700" s="121" t="str">
        <f t="shared" ca="1" si="557"/>
        <v>#REF!</v>
      </c>
      <c r="AC700" s="99" t="str">
        <f t="shared" ca="1" si="8"/>
        <v>#REF!</v>
      </c>
      <c r="AD700" s="121" t="str">
        <f t="shared" ca="1" si="558"/>
        <v>#REF!</v>
      </c>
      <c r="AE700" s="99" t="str">
        <f t="shared" ca="1" si="10"/>
        <v>#REF!</v>
      </c>
      <c r="AF700" s="121" t="str">
        <f t="shared" ca="1" si="559"/>
        <v>#REF!</v>
      </c>
      <c r="AG700" s="100" t="str">
        <f t="shared" ca="1" si="560"/>
        <v>#REF!</v>
      </c>
      <c r="AH700" s="101" t="str">
        <f t="shared" ca="1" si="891"/>
        <v>#REF!</v>
      </c>
      <c r="AI700" s="102" t="str">
        <f t="shared" ref="AI700:AJ700" ca="1" si="1029">AG700/X700</f>
        <v>#REF!</v>
      </c>
      <c r="AJ700" s="102" t="str">
        <f t="shared" ca="1" si="1029"/>
        <v>#REF!</v>
      </c>
      <c r="AK700" s="212"/>
      <c r="AL700" s="213"/>
      <c r="AM700" s="4"/>
      <c r="AN700" s="4"/>
      <c r="AO700" s="4"/>
      <c r="AP700" s="4"/>
      <c r="AQ700" s="4"/>
      <c r="AR700" s="4"/>
      <c r="AS700" s="4"/>
      <c r="AT700" s="4"/>
      <c r="AU700" s="4"/>
      <c r="AV700" s="4"/>
      <c r="AW700" s="4"/>
    </row>
    <row r="701" spans="1:49" ht="13.2">
      <c r="A701" s="120"/>
      <c r="B701" s="266"/>
      <c r="C701" s="117"/>
      <c r="D701" s="117"/>
      <c r="E701" s="117"/>
      <c r="F701" s="123"/>
      <c r="G701" s="125" t="s">
        <v>145</v>
      </c>
      <c r="H701" s="125"/>
      <c r="I701" s="125"/>
      <c r="J701" s="125"/>
      <c r="K701" s="82" t="str">
        <f t="shared" ca="1" si="987"/>
        <v>#REF!</v>
      </c>
      <c r="L701" s="82" t="str">
        <f t="shared" ca="1" si="977"/>
        <v>#REF!</v>
      </c>
      <c r="M701" s="82" t="str">
        <f t="shared" ca="1" si="550"/>
        <v>#REF!</v>
      </c>
      <c r="N701" s="93"/>
      <c r="O701" s="93"/>
      <c r="P701" s="95">
        <f t="shared" si="965"/>
        <v>0</v>
      </c>
      <c r="Q701" s="96">
        <f t="shared" si="1007"/>
        <v>0</v>
      </c>
      <c r="R701" s="96">
        <v>0</v>
      </c>
      <c r="S701" s="97">
        <f t="shared" si="553"/>
        <v>0</v>
      </c>
      <c r="T701" s="97" t="str">
        <f ca="1">ROUNDUP(HLOOKUP(ROUNDUP(K701,0),'배송비 조회'!A$10:AE$22,7,0)*C$3,-2)</f>
        <v>#REF!</v>
      </c>
      <c r="U701" s="97">
        <v>0</v>
      </c>
      <c r="V701" s="97" t="str">
        <f t="shared" ca="1" si="981"/>
        <v>#REF!</v>
      </c>
      <c r="W701" s="97" t="str">
        <f t="shared" ca="1" si="982"/>
        <v>#REF!</v>
      </c>
      <c r="X701" s="98" t="str">
        <f t="shared" ca="1" si="882"/>
        <v>#REF!</v>
      </c>
      <c r="Y701" s="98" t="str">
        <f t="shared" ca="1" si="883"/>
        <v>#REF!</v>
      </c>
      <c r="Z701" s="121">
        <v>0</v>
      </c>
      <c r="AA701" s="121" t="str">
        <f t="shared" ca="1" si="556"/>
        <v>#REF!</v>
      </c>
      <c r="AB701" s="121" t="str">
        <f t="shared" ca="1" si="557"/>
        <v>#REF!</v>
      </c>
      <c r="AC701" s="99" t="str">
        <f t="shared" ca="1" si="8"/>
        <v>#REF!</v>
      </c>
      <c r="AD701" s="121" t="str">
        <f t="shared" ca="1" si="558"/>
        <v>#REF!</v>
      </c>
      <c r="AE701" s="99" t="str">
        <f t="shared" ca="1" si="10"/>
        <v>#REF!</v>
      </c>
      <c r="AF701" s="121" t="str">
        <f t="shared" ca="1" si="559"/>
        <v>#REF!</v>
      </c>
      <c r="AG701" s="100" t="str">
        <f t="shared" ca="1" si="560"/>
        <v>#REF!</v>
      </c>
      <c r="AH701" s="101" t="str">
        <f t="shared" ca="1" si="891"/>
        <v>#REF!</v>
      </c>
      <c r="AI701" s="102" t="str">
        <f t="shared" ref="AI701:AJ701" ca="1" si="1030">AG701/X701</f>
        <v>#REF!</v>
      </c>
      <c r="AJ701" s="102" t="str">
        <f t="shared" ca="1" si="1030"/>
        <v>#REF!</v>
      </c>
      <c r="AK701" s="212"/>
      <c r="AL701" s="213"/>
      <c r="AM701" s="4"/>
      <c r="AN701" s="4"/>
      <c r="AO701" s="4"/>
      <c r="AP701" s="4"/>
      <c r="AQ701" s="4"/>
      <c r="AR701" s="4"/>
      <c r="AS701" s="4"/>
      <c r="AT701" s="4"/>
      <c r="AU701" s="4"/>
      <c r="AV701" s="4"/>
      <c r="AW701" s="4"/>
    </row>
    <row r="702" spans="1:49" ht="13.2">
      <c r="A702" s="120"/>
      <c r="B702" s="266"/>
      <c r="C702" s="117"/>
      <c r="D702" s="117"/>
      <c r="E702" s="117"/>
      <c r="F702" s="123"/>
      <c r="G702" s="125" t="s">
        <v>145</v>
      </c>
      <c r="H702" s="125"/>
      <c r="I702" s="125"/>
      <c r="J702" s="125"/>
      <c r="K702" s="82" t="str">
        <f t="shared" ca="1" si="987"/>
        <v>#REF!</v>
      </c>
      <c r="L702" s="82" t="str">
        <f t="shared" ca="1" si="977"/>
        <v>#REF!</v>
      </c>
      <c r="M702" s="82" t="str">
        <f t="shared" ca="1" si="550"/>
        <v>#REF!</v>
      </c>
      <c r="N702" s="93"/>
      <c r="O702" s="93"/>
      <c r="P702" s="95">
        <f t="shared" si="965"/>
        <v>0</v>
      </c>
      <c r="Q702" s="96">
        <f t="shared" si="1007"/>
        <v>0</v>
      </c>
      <c r="R702" s="96">
        <v>0</v>
      </c>
      <c r="S702" s="97">
        <f t="shared" si="553"/>
        <v>0</v>
      </c>
      <c r="T702" s="97" t="str">
        <f ca="1">ROUNDUP(HLOOKUP(ROUNDUP(K702,0),'배송비 조회'!A$10:AE$22,7,0)*C$3,-2)</f>
        <v>#REF!</v>
      </c>
      <c r="U702" s="97">
        <v>0</v>
      </c>
      <c r="V702" s="97" t="str">
        <f t="shared" ca="1" si="981"/>
        <v>#REF!</v>
      </c>
      <c r="W702" s="97" t="str">
        <f t="shared" ca="1" si="982"/>
        <v>#REF!</v>
      </c>
      <c r="X702" s="98" t="str">
        <f t="shared" ca="1" si="882"/>
        <v>#REF!</v>
      </c>
      <c r="Y702" s="98" t="str">
        <f t="shared" ca="1" si="883"/>
        <v>#REF!</v>
      </c>
      <c r="Z702" s="121">
        <v>0</v>
      </c>
      <c r="AA702" s="121" t="str">
        <f t="shared" ca="1" si="556"/>
        <v>#REF!</v>
      </c>
      <c r="AB702" s="121" t="str">
        <f t="shared" ca="1" si="557"/>
        <v>#REF!</v>
      </c>
      <c r="AC702" s="99" t="str">
        <f t="shared" ca="1" si="8"/>
        <v>#REF!</v>
      </c>
      <c r="AD702" s="121" t="str">
        <f t="shared" ca="1" si="558"/>
        <v>#REF!</v>
      </c>
      <c r="AE702" s="99" t="str">
        <f t="shared" ca="1" si="10"/>
        <v>#REF!</v>
      </c>
      <c r="AF702" s="121" t="str">
        <f t="shared" ca="1" si="559"/>
        <v>#REF!</v>
      </c>
      <c r="AG702" s="100" t="str">
        <f t="shared" ca="1" si="560"/>
        <v>#REF!</v>
      </c>
      <c r="AH702" s="101" t="str">
        <f t="shared" ca="1" si="891"/>
        <v>#REF!</v>
      </c>
      <c r="AI702" s="102" t="str">
        <f t="shared" ref="AI702:AJ702" ca="1" si="1031">AG702/X702</f>
        <v>#REF!</v>
      </c>
      <c r="AJ702" s="102" t="str">
        <f t="shared" ca="1" si="1031"/>
        <v>#REF!</v>
      </c>
      <c r="AK702" s="212"/>
      <c r="AL702" s="213"/>
      <c r="AM702" s="4"/>
      <c r="AN702" s="4"/>
      <c r="AO702" s="4"/>
      <c r="AP702" s="4"/>
      <c r="AQ702" s="4"/>
      <c r="AR702" s="4"/>
      <c r="AS702" s="4"/>
      <c r="AT702" s="4"/>
      <c r="AU702" s="4"/>
      <c r="AV702" s="4"/>
      <c r="AW702" s="4"/>
    </row>
    <row r="703" spans="1:49" ht="13.2">
      <c r="A703" s="120"/>
      <c r="B703" s="266"/>
      <c r="C703" s="117"/>
      <c r="D703" s="117"/>
      <c r="E703" s="117"/>
      <c r="F703" s="123"/>
      <c r="G703" s="125" t="s">
        <v>145</v>
      </c>
      <c r="H703" s="125"/>
      <c r="I703" s="125"/>
      <c r="J703" s="125"/>
      <c r="K703" s="82" t="str">
        <f t="shared" ca="1" si="987"/>
        <v>#REF!</v>
      </c>
      <c r="L703" s="82" t="str">
        <f t="shared" ca="1" si="977"/>
        <v>#REF!</v>
      </c>
      <c r="M703" s="82" t="str">
        <f t="shared" ca="1" si="550"/>
        <v>#REF!</v>
      </c>
      <c r="N703" s="93"/>
      <c r="O703" s="93"/>
      <c r="P703" s="95">
        <f t="shared" si="965"/>
        <v>0</v>
      </c>
      <c r="Q703" s="96">
        <f t="shared" si="1007"/>
        <v>0</v>
      </c>
      <c r="R703" s="96">
        <v>0</v>
      </c>
      <c r="S703" s="97">
        <f t="shared" si="553"/>
        <v>0</v>
      </c>
      <c r="T703" s="97" t="str">
        <f ca="1">ROUNDUP(HLOOKUP(ROUNDUP(K703,0),'배송비 조회'!A$10:AE$22,7,0)*C$3,-2)</f>
        <v>#REF!</v>
      </c>
      <c r="U703" s="97">
        <v>0</v>
      </c>
      <c r="V703" s="97" t="str">
        <f t="shared" ca="1" si="981"/>
        <v>#REF!</v>
      </c>
      <c r="W703" s="97" t="str">
        <f t="shared" ca="1" si="982"/>
        <v>#REF!</v>
      </c>
      <c r="X703" s="98" t="str">
        <f t="shared" ca="1" si="882"/>
        <v>#REF!</v>
      </c>
      <c r="Y703" s="98" t="str">
        <f t="shared" ca="1" si="883"/>
        <v>#REF!</v>
      </c>
      <c r="Z703" s="121">
        <v>0</v>
      </c>
      <c r="AA703" s="121" t="str">
        <f t="shared" ca="1" si="556"/>
        <v>#REF!</v>
      </c>
      <c r="AB703" s="121" t="str">
        <f t="shared" ca="1" si="557"/>
        <v>#REF!</v>
      </c>
      <c r="AC703" s="99" t="str">
        <f t="shared" ca="1" si="8"/>
        <v>#REF!</v>
      </c>
      <c r="AD703" s="121" t="str">
        <f t="shared" ca="1" si="558"/>
        <v>#REF!</v>
      </c>
      <c r="AE703" s="99" t="str">
        <f t="shared" ca="1" si="10"/>
        <v>#REF!</v>
      </c>
      <c r="AF703" s="121" t="str">
        <f t="shared" ca="1" si="559"/>
        <v>#REF!</v>
      </c>
      <c r="AG703" s="100" t="str">
        <f t="shared" ca="1" si="560"/>
        <v>#REF!</v>
      </c>
      <c r="AH703" s="101" t="str">
        <f t="shared" ca="1" si="891"/>
        <v>#REF!</v>
      </c>
      <c r="AI703" s="102" t="str">
        <f t="shared" ref="AI703:AJ703" ca="1" si="1032">AG703/X703</f>
        <v>#REF!</v>
      </c>
      <c r="AJ703" s="102" t="str">
        <f t="shared" ca="1" si="1032"/>
        <v>#REF!</v>
      </c>
      <c r="AK703" s="212"/>
      <c r="AL703" s="213"/>
      <c r="AM703" s="4"/>
      <c r="AN703" s="4"/>
      <c r="AO703" s="4"/>
      <c r="AP703" s="4"/>
      <c r="AQ703" s="4"/>
      <c r="AR703" s="4"/>
      <c r="AS703" s="4"/>
      <c r="AT703" s="4"/>
      <c r="AU703" s="4"/>
      <c r="AV703" s="4"/>
      <c r="AW703" s="4"/>
    </row>
    <row r="704" spans="1:49" ht="13.2">
      <c r="A704" s="120"/>
      <c r="B704" s="266"/>
      <c r="C704" s="117"/>
      <c r="D704" s="117"/>
      <c r="E704" s="117"/>
      <c r="F704" s="123"/>
      <c r="G704" s="125" t="s">
        <v>145</v>
      </c>
      <c r="H704" s="125"/>
      <c r="I704" s="125"/>
      <c r="J704" s="125"/>
      <c r="K704" s="82" t="str">
        <f t="shared" ca="1" si="987"/>
        <v>#REF!</v>
      </c>
      <c r="L704" s="82" t="str">
        <f t="shared" ca="1" si="977"/>
        <v>#REF!</v>
      </c>
      <c r="M704" s="82" t="str">
        <f t="shared" ca="1" si="550"/>
        <v>#REF!</v>
      </c>
      <c r="N704" s="93"/>
      <c r="O704" s="93"/>
      <c r="P704" s="95">
        <f t="shared" si="965"/>
        <v>0</v>
      </c>
      <c r="Q704" s="96">
        <f t="shared" si="1007"/>
        <v>0</v>
      </c>
      <c r="R704" s="96">
        <v>0</v>
      </c>
      <c r="S704" s="97">
        <f t="shared" si="553"/>
        <v>0</v>
      </c>
      <c r="T704" s="97" t="str">
        <f ca="1">ROUNDUP(HLOOKUP(ROUNDUP(K704,0),'배송비 조회'!A$10:AE$22,7,0)*C$3,-2)</f>
        <v>#REF!</v>
      </c>
      <c r="U704" s="97">
        <v>0</v>
      </c>
      <c r="V704" s="97" t="str">
        <f t="shared" ca="1" si="981"/>
        <v>#REF!</v>
      </c>
      <c r="W704" s="97" t="str">
        <f t="shared" ca="1" si="982"/>
        <v>#REF!</v>
      </c>
      <c r="X704" s="98" t="str">
        <f t="shared" ca="1" si="882"/>
        <v>#REF!</v>
      </c>
      <c r="Y704" s="98" t="str">
        <f t="shared" ca="1" si="883"/>
        <v>#REF!</v>
      </c>
      <c r="Z704" s="121">
        <v>0</v>
      </c>
      <c r="AA704" s="121" t="str">
        <f t="shared" ca="1" si="556"/>
        <v>#REF!</v>
      </c>
      <c r="AB704" s="121" t="str">
        <f t="shared" ca="1" si="557"/>
        <v>#REF!</v>
      </c>
      <c r="AC704" s="99" t="str">
        <f t="shared" ca="1" si="8"/>
        <v>#REF!</v>
      </c>
      <c r="AD704" s="121" t="str">
        <f t="shared" ca="1" si="558"/>
        <v>#REF!</v>
      </c>
      <c r="AE704" s="99" t="str">
        <f t="shared" ca="1" si="10"/>
        <v>#REF!</v>
      </c>
      <c r="AF704" s="121" t="str">
        <f t="shared" ca="1" si="559"/>
        <v>#REF!</v>
      </c>
      <c r="AG704" s="100" t="str">
        <f t="shared" ca="1" si="560"/>
        <v>#REF!</v>
      </c>
      <c r="AH704" s="101" t="str">
        <f t="shared" ca="1" si="891"/>
        <v>#REF!</v>
      </c>
      <c r="AI704" s="102" t="str">
        <f t="shared" ref="AI704:AJ704" ca="1" si="1033">AG704/X704</f>
        <v>#REF!</v>
      </c>
      <c r="AJ704" s="102" t="str">
        <f t="shared" ca="1" si="1033"/>
        <v>#REF!</v>
      </c>
      <c r="AK704" s="212"/>
      <c r="AL704" s="213"/>
      <c r="AM704" s="4"/>
      <c r="AN704" s="4"/>
      <c r="AO704" s="4"/>
      <c r="AP704" s="4"/>
      <c r="AQ704" s="4"/>
      <c r="AR704" s="4"/>
      <c r="AS704" s="4"/>
      <c r="AT704" s="4"/>
      <c r="AU704" s="4"/>
      <c r="AV704" s="4"/>
      <c r="AW704" s="4"/>
    </row>
    <row r="705" spans="1:49" ht="13.2">
      <c r="A705" s="120"/>
      <c r="B705" s="266"/>
      <c r="C705" s="117"/>
      <c r="D705" s="117"/>
      <c r="E705" s="117"/>
      <c r="F705" s="123"/>
      <c r="G705" s="125" t="s">
        <v>145</v>
      </c>
      <c r="H705" s="125"/>
      <c r="I705" s="125"/>
      <c r="J705" s="125"/>
      <c r="K705" s="82" t="str">
        <f t="shared" ca="1" si="987"/>
        <v>#REF!</v>
      </c>
      <c r="L705" s="82" t="str">
        <f t="shared" ca="1" si="977"/>
        <v>#REF!</v>
      </c>
      <c r="M705" s="82" t="str">
        <f t="shared" ca="1" si="550"/>
        <v>#REF!</v>
      </c>
      <c r="N705" s="93"/>
      <c r="O705" s="93"/>
      <c r="P705" s="95">
        <f t="shared" si="965"/>
        <v>0</v>
      </c>
      <c r="Q705" s="96">
        <f t="shared" si="1007"/>
        <v>0</v>
      </c>
      <c r="R705" s="96">
        <v>0</v>
      </c>
      <c r="S705" s="97">
        <f t="shared" si="553"/>
        <v>0</v>
      </c>
      <c r="T705" s="97" t="str">
        <f ca="1">ROUNDUP(HLOOKUP(ROUNDUP(K705,0),'배송비 조회'!A$10:AE$22,7,0)*C$3,-2)</f>
        <v>#REF!</v>
      </c>
      <c r="U705" s="97">
        <v>0</v>
      </c>
      <c r="V705" s="97" t="str">
        <f t="shared" ca="1" si="981"/>
        <v>#REF!</v>
      </c>
      <c r="W705" s="97" t="str">
        <f t="shared" ca="1" si="982"/>
        <v>#REF!</v>
      </c>
      <c r="X705" s="98" t="str">
        <f t="shared" ca="1" si="882"/>
        <v>#REF!</v>
      </c>
      <c r="Y705" s="98" t="str">
        <f t="shared" ca="1" si="883"/>
        <v>#REF!</v>
      </c>
      <c r="Z705" s="121">
        <v>0</v>
      </c>
      <c r="AA705" s="121" t="str">
        <f t="shared" ca="1" si="556"/>
        <v>#REF!</v>
      </c>
      <c r="AB705" s="121" t="str">
        <f t="shared" ca="1" si="557"/>
        <v>#REF!</v>
      </c>
      <c r="AC705" s="99" t="str">
        <f t="shared" ca="1" si="8"/>
        <v>#REF!</v>
      </c>
      <c r="AD705" s="121" t="str">
        <f t="shared" ca="1" si="558"/>
        <v>#REF!</v>
      </c>
      <c r="AE705" s="99" t="str">
        <f t="shared" ca="1" si="10"/>
        <v>#REF!</v>
      </c>
      <c r="AF705" s="121" t="str">
        <f t="shared" ca="1" si="559"/>
        <v>#REF!</v>
      </c>
      <c r="AG705" s="100" t="str">
        <f t="shared" ca="1" si="560"/>
        <v>#REF!</v>
      </c>
      <c r="AH705" s="101" t="str">
        <f t="shared" ca="1" si="891"/>
        <v>#REF!</v>
      </c>
      <c r="AI705" s="102" t="str">
        <f t="shared" ref="AI705:AJ705" ca="1" si="1034">AG705/X705</f>
        <v>#REF!</v>
      </c>
      <c r="AJ705" s="102" t="str">
        <f t="shared" ca="1" si="1034"/>
        <v>#REF!</v>
      </c>
      <c r="AK705" s="212"/>
      <c r="AL705" s="213"/>
      <c r="AM705" s="4"/>
      <c r="AN705" s="4"/>
      <c r="AO705" s="4"/>
      <c r="AP705" s="4"/>
      <c r="AQ705" s="4"/>
      <c r="AR705" s="4"/>
      <c r="AS705" s="4"/>
      <c r="AT705" s="4"/>
      <c r="AU705" s="4"/>
      <c r="AV705" s="4"/>
      <c r="AW705" s="4"/>
    </row>
    <row r="706" spans="1:49" ht="13.2">
      <c r="A706" s="120"/>
      <c r="B706" s="266"/>
      <c r="C706" s="117"/>
      <c r="D706" s="117"/>
      <c r="E706" s="117"/>
      <c r="F706" s="123"/>
      <c r="G706" s="125" t="s">
        <v>145</v>
      </c>
      <c r="H706" s="125"/>
      <c r="I706" s="125"/>
      <c r="J706" s="125"/>
      <c r="K706" s="82" t="str">
        <f t="shared" ca="1" si="987"/>
        <v>#REF!</v>
      </c>
      <c r="L706" s="82" t="str">
        <f t="shared" ca="1" si="977"/>
        <v>#REF!</v>
      </c>
      <c r="M706" s="82" t="str">
        <f t="shared" ca="1" si="550"/>
        <v>#REF!</v>
      </c>
      <c r="N706" s="93"/>
      <c r="O706" s="93"/>
      <c r="P706" s="95">
        <f t="shared" si="965"/>
        <v>0</v>
      </c>
      <c r="Q706" s="96">
        <f t="shared" si="1007"/>
        <v>0</v>
      </c>
      <c r="R706" s="96">
        <v>0</v>
      </c>
      <c r="S706" s="97">
        <f t="shared" si="553"/>
        <v>0</v>
      </c>
      <c r="T706" s="97" t="str">
        <f ca="1">ROUNDUP(HLOOKUP(ROUNDUP(K706,0),'배송비 조회'!A$10:AE$22,7,0)*C$3,-2)</f>
        <v>#REF!</v>
      </c>
      <c r="U706" s="97">
        <v>0</v>
      </c>
      <c r="V706" s="97" t="str">
        <f t="shared" ca="1" si="981"/>
        <v>#REF!</v>
      </c>
      <c r="W706" s="97" t="str">
        <f t="shared" ca="1" si="982"/>
        <v>#REF!</v>
      </c>
      <c r="X706" s="98" t="str">
        <f t="shared" ca="1" si="882"/>
        <v>#REF!</v>
      </c>
      <c r="Y706" s="98" t="str">
        <f t="shared" ca="1" si="883"/>
        <v>#REF!</v>
      </c>
      <c r="Z706" s="121">
        <v>0</v>
      </c>
      <c r="AA706" s="121" t="str">
        <f t="shared" ca="1" si="556"/>
        <v>#REF!</v>
      </c>
      <c r="AB706" s="121" t="str">
        <f t="shared" ca="1" si="557"/>
        <v>#REF!</v>
      </c>
      <c r="AC706" s="99" t="str">
        <f t="shared" ca="1" si="8"/>
        <v>#REF!</v>
      </c>
      <c r="AD706" s="121" t="str">
        <f t="shared" ca="1" si="558"/>
        <v>#REF!</v>
      </c>
      <c r="AE706" s="99" t="str">
        <f t="shared" ca="1" si="10"/>
        <v>#REF!</v>
      </c>
      <c r="AF706" s="121" t="str">
        <f t="shared" ca="1" si="559"/>
        <v>#REF!</v>
      </c>
      <c r="AG706" s="100" t="str">
        <f t="shared" ca="1" si="560"/>
        <v>#REF!</v>
      </c>
      <c r="AH706" s="101" t="str">
        <f t="shared" ca="1" si="891"/>
        <v>#REF!</v>
      </c>
      <c r="AI706" s="102" t="str">
        <f t="shared" ref="AI706:AJ706" ca="1" si="1035">AG706/X706</f>
        <v>#REF!</v>
      </c>
      <c r="AJ706" s="102" t="str">
        <f t="shared" ca="1" si="1035"/>
        <v>#REF!</v>
      </c>
      <c r="AK706" s="212"/>
      <c r="AL706" s="213"/>
      <c r="AM706" s="4"/>
      <c r="AN706" s="4"/>
      <c r="AO706" s="4"/>
      <c r="AP706" s="4"/>
      <c r="AQ706" s="4"/>
      <c r="AR706" s="4"/>
      <c r="AS706" s="4"/>
      <c r="AT706" s="4"/>
      <c r="AU706" s="4"/>
      <c r="AV706" s="4"/>
      <c r="AW706" s="4"/>
    </row>
    <row r="707" spans="1:49" ht="13.2">
      <c r="A707" s="120"/>
      <c r="B707" s="266"/>
      <c r="C707" s="117"/>
      <c r="D707" s="117"/>
      <c r="E707" s="117"/>
      <c r="F707" s="123"/>
      <c r="G707" s="125" t="s">
        <v>145</v>
      </c>
      <c r="H707" s="125"/>
      <c r="I707" s="125"/>
      <c r="J707" s="125"/>
      <c r="K707" s="82" t="str">
        <f t="shared" ca="1" si="987"/>
        <v>#REF!</v>
      </c>
      <c r="L707" s="82" t="str">
        <f t="shared" ca="1" si="977"/>
        <v>#REF!</v>
      </c>
      <c r="M707" s="82" t="str">
        <f t="shared" ca="1" si="550"/>
        <v>#REF!</v>
      </c>
      <c r="N707" s="93"/>
      <c r="O707" s="93"/>
      <c r="P707" s="95">
        <f t="shared" si="965"/>
        <v>0</v>
      </c>
      <c r="Q707" s="96">
        <f t="shared" si="1007"/>
        <v>0</v>
      </c>
      <c r="R707" s="96">
        <v>0</v>
      </c>
      <c r="S707" s="97">
        <f t="shared" si="553"/>
        <v>0</v>
      </c>
      <c r="T707" s="97" t="str">
        <f ca="1">ROUNDUP(HLOOKUP(ROUNDUP(K707,0),'배송비 조회'!A$10:AE$22,7,0)*C$3,-2)</f>
        <v>#REF!</v>
      </c>
      <c r="U707" s="97">
        <v>0</v>
      </c>
      <c r="V707" s="97" t="str">
        <f t="shared" ca="1" si="981"/>
        <v>#REF!</v>
      </c>
      <c r="W707" s="97" t="str">
        <f t="shared" ca="1" si="982"/>
        <v>#REF!</v>
      </c>
      <c r="X707" s="98" t="str">
        <f t="shared" ca="1" si="882"/>
        <v>#REF!</v>
      </c>
      <c r="Y707" s="98" t="str">
        <f t="shared" ca="1" si="883"/>
        <v>#REF!</v>
      </c>
      <c r="Z707" s="121">
        <v>0</v>
      </c>
      <c r="AA707" s="121" t="str">
        <f t="shared" ca="1" si="556"/>
        <v>#REF!</v>
      </c>
      <c r="AB707" s="121" t="str">
        <f t="shared" ca="1" si="557"/>
        <v>#REF!</v>
      </c>
      <c r="AC707" s="99" t="str">
        <f t="shared" ca="1" si="8"/>
        <v>#REF!</v>
      </c>
      <c r="AD707" s="121" t="str">
        <f t="shared" ca="1" si="558"/>
        <v>#REF!</v>
      </c>
      <c r="AE707" s="99" t="str">
        <f t="shared" ca="1" si="10"/>
        <v>#REF!</v>
      </c>
      <c r="AF707" s="121" t="str">
        <f t="shared" ca="1" si="559"/>
        <v>#REF!</v>
      </c>
      <c r="AG707" s="100" t="str">
        <f t="shared" ca="1" si="560"/>
        <v>#REF!</v>
      </c>
      <c r="AH707" s="101" t="str">
        <f t="shared" ca="1" si="891"/>
        <v>#REF!</v>
      </c>
      <c r="AI707" s="102" t="str">
        <f t="shared" ref="AI707:AJ707" ca="1" si="1036">AG707/X707</f>
        <v>#REF!</v>
      </c>
      <c r="AJ707" s="102" t="str">
        <f t="shared" ca="1" si="1036"/>
        <v>#REF!</v>
      </c>
      <c r="AK707" s="212"/>
      <c r="AL707" s="213"/>
      <c r="AM707" s="4"/>
      <c r="AN707" s="4"/>
      <c r="AO707" s="4"/>
      <c r="AP707" s="4"/>
      <c r="AQ707" s="4"/>
      <c r="AR707" s="4"/>
      <c r="AS707" s="4"/>
      <c r="AT707" s="4"/>
      <c r="AU707" s="4"/>
      <c r="AV707" s="4"/>
      <c r="AW707" s="4"/>
    </row>
    <row r="708" spans="1:49" ht="13.2">
      <c r="A708" s="120"/>
      <c r="B708" s="266"/>
      <c r="C708" s="117"/>
      <c r="D708" s="117"/>
      <c r="E708" s="117"/>
      <c r="F708" s="123"/>
      <c r="G708" s="125" t="s">
        <v>145</v>
      </c>
      <c r="H708" s="125"/>
      <c r="I708" s="125"/>
      <c r="J708" s="125"/>
      <c r="K708" s="82" t="str">
        <f t="shared" ca="1" si="987"/>
        <v>#REF!</v>
      </c>
      <c r="L708" s="82" t="str">
        <f t="shared" ca="1" si="977"/>
        <v>#REF!</v>
      </c>
      <c r="M708" s="82" t="str">
        <f t="shared" ca="1" si="550"/>
        <v>#REF!</v>
      </c>
      <c r="N708" s="93"/>
      <c r="O708" s="93"/>
      <c r="P708" s="95">
        <f t="shared" si="965"/>
        <v>0</v>
      </c>
      <c r="Q708" s="96">
        <f t="shared" si="1007"/>
        <v>0</v>
      </c>
      <c r="R708" s="96">
        <v>0</v>
      </c>
      <c r="S708" s="97">
        <f t="shared" si="553"/>
        <v>0</v>
      </c>
      <c r="T708" s="97" t="str">
        <f ca="1">ROUNDUP(HLOOKUP(ROUNDUP(K708,0),'배송비 조회'!A$10:AE$22,7,0)*C$3,-2)</f>
        <v>#REF!</v>
      </c>
      <c r="U708" s="97">
        <v>0</v>
      </c>
      <c r="V708" s="97" t="str">
        <f t="shared" ca="1" si="981"/>
        <v>#REF!</v>
      </c>
      <c r="W708" s="97" t="str">
        <f t="shared" ca="1" si="982"/>
        <v>#REF!</v>
      </c>
      <c r="X708" s="98" t="str">
        <f t="shared" ca="1" si="882"/>
        <v>#REF!</v>
      </c>
      <c r="Y708" s="98" t="str">
        <f t="shared" ca="1" si="883"/>
        <v>#REF!</v>
      </c>
      <c r="Z708" s="121">
        <v>0</v>
      </c>
      <c r="AA708" s="121" t="str">
        <f t="shared" ca="1" si="556"/>
        <v>#REF!</v>
      </c>
      <c r="AB708" s="121" t="str">
        <f t="shared" ca="1" si="557"/>
        <v>#REF!</v>
      </c>
      <c r="AC708" s="99" t="str">
        <f t="shared" ca="1" si="8"/>
        <v>#REF!</v>
      </c>
      <c r="AD708" s="121" t="str">
        <f t="shared" ca="1" si="558"/>
        <v>#REF!</v>
      </c>
      <c r="AE708" s="99" t="str">
        <f t="shared" ca="1" si="10"/>
        <v>#REF!</v>
      </c>
      <c r="AF708" s="121" t="str">
        <f t="shared" ca="1" si="559"/>
        <v>#REF!</v>
      </c>
      <c r="AG708" s="100" t="str">
        <f t="shared" ca="1" si="560"/>
        <v>#REF!</v>
      </c>
      <c r="AH708" s="101" t="str">
        <f t="shared" ca="1" si="891"/>
        <v>#REF!</v>
      </c>
      <c r="AI708" s="102" t="str">
        <f t="shared" ref="AI708:AJ708" ca="1" si="1037">AG708/X708</f>
        <v>#REF!</v>
      </c>
      <c r="AJ708" s="102" t="str">
        <f t="shared" ca="1" si="1037"/>
        <v>#REF!</v>
      </c>
      <c r="AK708" s="212"/>
      <c r="AL708" s="213"/>
      <c r="AM708" s="4"/>
      <c r="AN708" s="4"/>
      <c r="AO708" s="4"/>
      <c r="AP708" s="4"/>
      <c r="AQ708" s="4"/>
      <c r="AR708" s="4"/>
      <c r="AS708" s="4"/>
      <c r="AT708" s="4"/>
      <c r="AU708" s="4"/>
      <c r="AV708" s="4"/>
      <c r="AW708" s="4"/>
    </row>
    <row r="709" spans="1:49" ht="13.2">
      <c r="A709" s="120"/>
      <c r="B709" s="266"/>
      <c r="C709" s="117"/>
      <c r="D709" s="117"/>
      <c r="E709" s="117"/>
      <c r="F709" s="123"/>
      <c r="G709" s="125" t="s">
        <v>145</v>
      </c>
      <c r="H709" s="125"/>
      <c r="I709" s="125"/>
      <c r="J709" s="125"/>
      <c r="K709" s="82" t="str">
        <f t="shared" ca="1" si="987"/>
        <v>#REF!</v>
      </c>
      <c r="L709" s="82" t="str">
        <f t="shared" ca="1" si="977"/>
        <v>#REF!</v>
      </c>
      <c r="M709" s="82" t="str">
        <f t="shared" ca="1" si="550"/>
        <v>#REF!</v>
      </c>
      <c r="N709" s="93"/>
      <c r="O709" s="93"/>
      <c r="P709" s="95">
        <f t="shared" si="965"/>
        <v>0</v>
      </c>
      <c r="Q709" s="96">
        <f t="shared" si="1007"/>
        <v>0</v>
      </c>
      <c r="R709" s="96">
        <v>0</v>
      </c>
      <c r="S709" s="97">
        <f t="shared" si="553"/>
        <v>0</v>
      </c>
      <c r="T709" s="97" t="str">
        <f ca="1">ROUNDUP(HLOOKUP(ROUNDUP(K709,0),'배송비 조회'!A$10:AE$22,7,0)*C$3,-2)</f>
        <v>#REF!</v>
      </c>
      <c r="U709" s="97">
        <v>0</v>
      </c>
      <c r="V709" s="97" t="str">
        <f t="shared" ca="1" si="981"/>
        <v>#REF!</v>
      </c>
      <c r="W709" s="97" t="str">
        <f t="shared" ca="1" si="982"/>
        <v>#REF!</v>
      </c>
      <c r="X709" s="98" t="str">
        <f t="shared" ca="1" si="882"/>
        <v>#REF!</v>
      </c>
      <c r="Y709" s="98" t="str">
        <f t="shared" ca="1" si="883"/>
        <v>#REF!</v>
      </c>
      <c r="Z709" s="121">
        <v>0</v>
      </c>
      <c r="AA709" s="121" t="str">
        <f t="shared" ca="1" si="556"/>
        <v>#REF!</v>
      </c>
      <c r="AB709" s="121" t="str">
        <f t="shared" ca="1" si="557"/>
        <v>#REF!</v>
      </c>
      <c r="AC709" s="99" t="str">
        <f t="shared" ca="1" si="8"/>
        <v>#REF!</v>
      </c>
      <c r="AD709" s="121" t="str">
        <f t="shared" ca="1" si="558"/>
        <v>#REF!</v>
      </c>
      <c r="AE709" s="99" t="str">
        <f t="shared" ca="1" si="10"/>
        <v>#REF!</v>
      </c>
      <c r="AF709" s="121" t="str">
        <f t="shared" ca="1" si="559"/>
        <v>#REF!</v>
      </c>
      <c r="AG709" s="100" t="str">
        <f t="shared" ca="1" si="560"/>
        <v>#REF!</v>
      </c>
      <c r="AH709" s="101" t="str">
        <f t="shared" ca="1" si="891"/>
        <v>#REF!</v>
      </c>
      <c r="AI709" s="102" t="str">
        <f t="shared" ref="AI709:AJ709" ca="1" si="1038">AG709/X709</f>
        <v>#REF!</v>
      </c>
      <c r="AJ709" s="102" t="str">
        <f t="shared" ca="1" si="1038"/>
        <v>#REF!</v>
      </c>
      <c r="AK709" s="212"/>
      <c r="AL709" s="213"/>
      <c r="AM709" s="4"/>
      <c r="AN709" s="4"/>
      <c r="AO709" s="4"/>
      <c r="AP709" s="4"/>
      <c r="AQ709" s="4"/>
      <c r="AR709" s="4"/>
      <c r="AS709" s="4"/>
      <c r="AT709" s="4"/>
      <c r="AU709" s="4"/>
      <c r="AV709" s="4"/>
      <c r="AW709" s="4"/>
    </row>
    <row r="710" spans="1:49" ht="13.2">
      <c r="A710" s="120"/>
      <c r="B710" s="266"/>
      <c r="C710" s="117"/>
      <c r="D710" s="117"/>
      <c r="E710" s="117"/>
      <c r="F710" s="123"/>
      <c r="G710" s="125" t="s">
        <v>145</v>
      </c>
      <c r="H710" s="125"/>
      <c r="I710" s="125"/>
      <c r="J710" s="125"/>
      <c r="K710" s="82" t="str">
        <f t="shared" ca="1" si="987"/>
        <v>#REF!</v>
      </c>
      <c r="L710" s="82" t="str">
        <f t="shared" ca="1" si="977"/>
        <v>#REF!</v>
      </c>
      <c r="M710" s="82" t="str">
        <f t="shared" ca="1" si="550"/>
        <v>#REF!</v>
      </c>
      <c r="N710" s="93"/>
      <c r="O710" s="93"/>
      <c r="P710" s="95">
        <f t="shared" si="965"/>
        <v>0</v>
      </c>
      <c r="Q710" s="96">
        <f t="shared" si="1007"/>
        <v>0</v>
      </c>
      <c r="R710" s="96">
        <v>0</v>
      </c>
      <c r="S710" s="97">
        <f t="shared" si="553"/>
        <v>0</v>
      </c>
      <c r="T710" s="97" t="str">
        <f ca="1">ROUNDUP(HLOOKUP(ROUNDUP(K710,0),'배송비 조회'!A$10:AE$22,7,0)*C$3,-2)</f>
        <v>#REF!</v>
      </c>
      <c r="U710" s="97">
        <v>0</v>
      </c>
      <c r="V710" s="97" t="str">
        <f t="shared" ca="1" si="981"/>
        <v>#REF!</v>
      </c>
      <c r="W710" s="97" t="str">
        <f t="shared" ca="1" si="982"/>
        <v>#REF!</v>
      </c>
      <c r="X710" s="98" t="str">
        <f t="shared" ca="1" si="882"/>
        <v>#REF!</v>
      </c>
      <c r="Y710" s="98" t="str">
        <f t="shared" ca="1" si="883"/>
        <v>#REF!</v>
      </c>
      <c r="Z710" s="121">
        <v>0</v>
      </c>
      <c r="AA710" s="121" t="str">
        <f t="shared" ca="1" si="556"/>
        <v>#REF!</v>
      </c>
      <c r="AB710" s="121" t="str">
        <f t="shared" ca="1" si="557"/>
        <v>#REF!</v>
      </c>
      <c r="AC710" s="99" t="str">
        <f t="shared" ca="1" si="8"/>
        <v>#REF!</v>
      </c>
      <c r="AD710" s="121" t="str">
        <f t="shared" ca="1" si="558"/>
        <v>#REF!</v>
      </c>
      <c r="AE710" s="99" t="str">
        <f t="shared" ca="1" si="10"/>
        <v>#REF!</v>
      </c>
      <c r="AF710" s="121" t="str">
        <f t="shared" ca="1" si="559"/>
        <v>#REF!</v>
      </c>
      <c r="AG710" s="100" t="str">
        <f t="shared" ca="1" si="560"/>
        <v>#REF!</v>
      </c>
      <c r="AH710" s="101" t="str">
        <f t="shared" ca="1" si="891"/>
        <v>#REF!</v>
      </c>
      <c r="AI710" s="102" t="str">
        <f t="shared" ref="AI710:AJ710" ca="1" si="1039">AG710/X710</f>
        <v>#REF!</v>
      </c>
      <c r="AJ710" s="102" t="str">
        <f t="shared" ca="1" si="1039"/>
        <v>#REF!</v>
      </c>
      <c r="AK710" s="212"/>
      <c r="AL710" s="213"/>
      <c r="AM710" s="4"/>
      <c r="AN710" s="4"/>
      <c r="AO710" s="4"/>
      <c r="AP710" s="4"/>
      <c r="AQ710" s="4"/>
      <c r="AR710" s="4"/>
      <c r="AS710" s="4"/>
      <c r="AT710" s="4"/>
      <c r="AU710" s="4"/>
      <c r="AV710" s="4"/>
      <c r="AW710" s="4"/>
    </row>
    <row r="711" spans="1:49" ht="13.2">
      <c r="A711" s="120"/>
      <c r="B711" s="266"/>
      <c r="C711" s="117"/>
      <c r="D711" s="117"/>
      <c r="E711" s="117"/>
      <c r="F711" s="123"/>
      <c r="G711" s="125" t="s">
        <v>145</v>
      </c>
      <c r="H711" s="125"/>
      <c r="I711" s="125"/>
      <c r="J711" s="125"/>
      <c r="K711" s="82" t="str">
        <f t="shared" ca="1" si="987"/>
        <v>#REF!</v>
      </c>
      <c r="L711" s="82" t="str">
        <f t="shared" ca="1" si="977"/>
        <v>#REF!</v>
      </c>
      <c r="M711" s="82" t="str">
        <f t="shared" ca="1" si="550"/>
        <v>#REF!</v>
      </c>
      <c r="N711" s="93"/>
      <c r="O711" s="93"/>
      <c r="P711" s="95">
        <f t="shared" si="965"/>
        <v>0</v>
      </c>
      <c r="Q711" s="96">
        <f t="shared" si="1007"/>
        <v>0</v>
      </c>
      <c r="R711" s="96">
        <v>0</v>
      </c>
      <c r="S711" s="97">
        <f t="shared" si="553"/>
        <v>0</v>
      </c>
      <c r="T711" s="97" t="str">
        <f ca="1">ROUNDUP(HLOOKUP(ROUNDUP(K711,0),'배송비 조회'!A$10:AE$22,7,0)*C$3,-2)</f>
        <v>#REF!</v>
      </c>
      <c r="U711" s="97">
        <v>0</v>
      </c>
      <c r="V711" s="97" t="str">
        <f t="shared" ca="1" si="981"/>
        <v>#REF!</v>
      </c>
      <c r="W711" s="97" t="str">
        <f t="shared" ca="1" si="982"/>
        <v>#REF!</v>
      </c>
      <c r="X711" s="98" t="str">
        <f t="shared" ca="1" si="882"/>
        <v>#REF!</v>
      </c>
      <c r="Y711" s="98" t="str">
        <f t="shared" ca="1" si="883"/>
        <v>#REF!</v>
      </c>
      <c r="Z711" s="121">
        <v>0</v>
      </c>
      <c r="AA711" s="121" t="str">
        <f t="shared" ca="1" si="556"/>
        <v>#REF!</v>
      </c>
      <c r="AB711" s="121" t="str">
        <f t="shared" ca="1" si="557"/>
        <v>#REF!</v>
      </c>
      <c r="AC711" s="99" t="str">
        <f t="shared" ca="1" si="8"/>
        <v>#REF!</v>
      </c>
      <c r="AD711" s="121" t="str">
        <f t="shared" ca="1" si="558"/>
        <v>#REF!</v>
      </c>
      <c r="AE711" s="99" t="str">
        <f t="shared" ca="1" si="10"/>
        <v>#REF!</v>
      </c>
      <c r="AF711" s="121" t="str">
        <f t="shared" ca="1" si="559"/>
        <v>#REF!</v>
      </c>
      <c r="AG711" s="100" t="str">
        <f t="shared" ca="1" si="560"/>
        <v>#REF!</v>
      </c>
      <c r="AH711" s="101" t="str">
        <f t="shared" ca="1" si="891"/>
        <v>#REF!</v>
      </c>
      <c r="AI711" s="102" t="str">
        <f t="shared" ref="AI711:AJ711" ca="1" si="1040">AG711/X711</f>
        <v>#REF!</v>
      </c>
      <c r="AJ711" s="102" t="str">
        <f t="shared" ca="1" si="1040"/>
        <v>#REF!</v>
      </c>
      <c r="AK711" s="212"/>
      <c r="AL711" s="213"/>
      <c r="AM711" s="4"/>
      <c r="AN711" s="4"/>
      <c r="AO711" s="4"/>
      <c r="AP711" s="4"/>
      <c r="AQ711" s="4"/>
      <c r="AR711" s="4"/>
      <c r="AS711" s="4"/>
      <c r="AT711" s="4"/>
      <c r="AU711" s="4"/>
      <c r="AV711" s="4"/>
      <c r="AW711" s="4"/>
    </row>
    <row r="712" spans="1:49" ht="13.2">
      <c r="A712" s="120"/>
      <c r="B712" s="266"/>
      <c r="C712" s="117"/>
      <c r="D712" s="117"/>
      <c r="E712" s="117"/>
      <c r="F712" s="123"/>
      <c r="G712" s="125" t="s">
        <v>145</v>
      </c>
      <c r="H712" s="125"/>
      <c r="I712" s="125"/>
      <c r="J712" s="125"/>
      <c r="K712" s="82" t="str">
        <f t="shared" ca="1" si="987"/>
        <v>#REF!</v>
      </c>
      <c r="L712" s="82" t="str">
        <f t="shared" ca="1" si="977"/>
        <v>#REF!</v>
      </c>
      <c r="M712" s="82" t="str">
        <f t="shared" ca="1" si="550"/>
        <v>#REF!</v>
      </c>
      <c r="N712" s="93"/>
      <c r="O712" s="93"/>
      <c r="P712" s="95">
        <f t="shared" si="965"/>
        <v>0</v>
      </c>
      <c r="Q712" s="96">
        <f t="shared" si="1007"/>
        <v>0</v>
      </c>
      <c r="R712" s="96">
        <v>0</v>
      </c>
      <c r="S712" s="97">
        <f t="shared" si="553"/>
        <v>0</v>
      </c>
      <c r="T712" s="97" t="str">
        <f ca="1">ROUNDUP(HLOOKUP(ROUNDUP(K712,0),'배송비 조회'!A$10:AE$22,7,0)*C$3,-2)</f>
        <v>#REF!</v>
      </c>
      <c r="U712" s="97">
        <v>0</v>
      </c>
      <c r="V712" s="97" t="str">
        <f t="shared" ca="1" si="981"/>
        <v>#REF!</v>
      </c>
      <c r="W712" s="97" t="str">
        <f t="shared" ca="1" si="982"/>
        <v>#REF!</v>
      </c>
      <c r="X712" s="98" t="str">
        <f t="shared" ca="1" si="882"/>
        <v>#REF!</v>
      </c>
      <c r="Y712" s="98" t="str">
        <f t="shared" ca="1" si="883"/>
        <v>#REF!</v>
      </c>
      <c r="Z712" s="121">
        <v>0</v>
      </c>
      <c r="AA712" s="121" t="str">
        <f t="shared" ca="1" si="556"/>
        <v>#REF!</v>
      </c>
      <c r="AB712" s="121" t="str">
        <f t="shared" ca="1" si="557"/>
        <v>#REF!</v>
      </c>
      <c r="AC712" s="99" t="str">
        <f t="shared" ca="1" si="8"/>
        <v>#REF!</v>
      </c>
      <c r="AD712" s="121" t="str">
        <f t="shared" ca="1" si="558"/>
        <v>#REF!</v>
      </c>
      <c r="AE712" s="99" t="str">
        <f t="shared" ca="1" si="10"/>
        <v>#REF!</v>
      </c>
      <c r="AF712" s="121" t="str">
        <f t="shared" ca="1" si="559"/>
        <v>#REF!</v>
      </c>
      <c r="AG712" s="100" t="str">
        <f t="shared" ca="1" si="560"/>
        <v>#REF!</v>
      </c>
      <c r="AH712" s="101" t="str">
        <f t="shared" ca="1" si="891"/>
        <v>#REF!</v>
      </c>
      <c r="AI712" s="102" t="str">
        <f t="shared" ref="AI712:AJ712" ca="1" si="1041">AG712/X712</f>
        <v>#REF!</v>
      </c>
      <c r="AJ712" s="102" t="str">
        <f t="shared" ca="1" si="1041"/>
        <v>#REF!</v>
      </c>
      <c r="AK712" s="212"/>
      <c r="AL712" s="213"/>
      <c r="AM712" s="4"/>
      <c r="AN712" s="4"/>
      <c r="AO712" s="4"/>
      <c r="AP712" s="4"/>
      <c r="AQ712" s="4"/>
      <c r="AR712" s="4"/>
      <c r="AS712" s="4"/>
      <c r="AT712" s="4"/>
      <c r="AU712" s="4"/>
      <c r="AV712" s="4"/>
      <c r="AW712" s="4"/>
    </row>
    <row r="713" spans="1:49" ht="13.2">
      <c r="A713" s="120"/>
      <c r="B713" s="266"/>
      <c r="C713" s="117"/>
      <c r="D713" s="117"/>
      <c r="E713" s="117"/>
      <c r="F713" s="123"/>
      <c r="G713" s="125" t="s">
        <v>145</v>
      </c>
      <c r="H713" s="125"/>
      <c r="I713" s="125"/>
      <c r="J713" s="125"/>
      <c r="K713" s="82" t="str">
        <f t="shared" ca="1" si="987"/>
        <v>#REF!</v>
      </c>
      <c r="L713" s="82" t="str">
        <f t="shared" ca="1" si="977"/>
        <v>#REF!</v>
      </c>
      <c r="M713" s="82" t="str">
        <f t="shared" ca="1" si="550"/>
        <v>#REF!</v>
      </c>
      <c r="N713" s="93"/>
      <c r="O713" s="93"/>
      <c r="P713" s="95">
        <f t="shared" si="965"/>
        <v>0</v>
      </c>
      <c r="Q713" s="96">
        <f t="shared" si="1007"/>
        <v>0</v>
      </c>
      <c r="R713" s="96">
        <v>0</v>
      </c>
      <c r="S713" s="97">
        <f t="shared" si="553"/>
        <v>0</v>
      </c>
      <c r="T713" s="97" t="str">
        <f ca="1">ROUNDUP(HLOOKUP(ROUNDUP(K713,0),'배송비 조회'!A$10:AE$22,7,0)*C$3,-2)</f>
        <v>#REF!</v>
      </c>
      <c r="U713" s="97">
        <v>0</v>
      </c>
      <c r="V713" s="97" t="str">
        <f t="shared" ca="1" si="981"/>
        <v>#REF!</v>
      </c>
      <c r="W713" s="97" t="str">
        <f t="shared" ca="1" si="982"/>
        <v>#REF!</v>
      </c>
      <c r="X713" s="98" t="str">
        <f t="shared" ca="1" si="882"/>
        <v>#REF!</v>
      </c>
      <c r="Y713" s="98" t="str">
        <f t="shared" ca="1" si="883"/>
        <v>#REF!</v>
      </c>
      <c r="Z713" s="121">
        <v>0</v>
      </c>
      <c r="AA713" s="121" t="str">
        <f t="shared" ca="1" si="556"/>
        <v>#REF!</v>
      </c>
      <c r="AB713" s="121" t="str">
        <f t="shared" ca="1" si="557"/>
        <v>#REF!</v>
      </c>
      <c r="AC713" s="99" t="str">
        <f t="shared" ca="1" si="8"/>
        <v>#REF!</v>
      </c>
      <c r="AD713" s="121" t="str">
        <f t="shared" ca="1" si="558"/>
        <v>#REF!</v>
      </c>
      <c r="AE713" s="99" t="str">
        <f t="shared" ca="1" si="10"/>
        <v>#REF!</v>
      </c>
      <c r="AF713" s="121" t="str">
        <f t="shared" ca="1" si="559"/>
        <v>#REF!</v>
      </c>
      <c r="AG713" s="100" t="str">
        <f t="shared" ca="1" si="560"/>
        <v>#REF!</v>
      </c>
      <c r="AH713" s="101" t="str">
        <f t="shared" ca="1" si="891"/>
        <v>#REF!</v>
      </c>
      <c r="AI713" s="102" t="str">
        <f t="shared" ref="AI713:AJ713" ca="1" si="1042">AG713/X713</f>
        <v>#REF!</v>
      </c>
      <c r="AJ713" s="102" t="str">
        <f t="shared" ca="1" si="1042"/>
        <v>#REF!</v>
      </c>
      <c r="AK713" s="212"/>
      <c r="AL713" s="213"/>
      <c r="AM713" s="4"/>
      <c r="AN713" s="4"/>
      <c r="AO713" s="4"/>
      <c r="AP713" s="4"/>
      <c r="AQ713" s="4"/>
      <c r="AR713" s="4"/>
      <c r="AS713" s="4"/>
      <c r="AT713" s="4"/>
      <c r="AU713" s="4"/>
      <c r="AV713" s="4"/>
      <c r="AW713" s="4"/>
    </row>
    <row r="714" spans="1:49" ht="13.2">
      <c r="A714" s="120"/>
      <c r="B714" s="266"/>
      <c r="C714" s="117"/>
      <c r="D714" s="117"/>
      <c r="E714" s="117"/>
      <c r="F714" s="123"/>
      <c r="G714" s="125" t="s">
        <v>145</v>
      </c>
      <c r="H714" s="125"/>
      <c r="I714" s="125"/>
      <c r="J714" s="125"/>
      <c r="K714" s="82" t="str">
        <f t="shared" ca="1" si="987"/>
        <v>#REF!</v>
      </c>
      <c r="L714" s="82" t="str">
        <f t="shared" ca="1" si="977"/>
        <v>#REF!</v>
      </c>
      <c r="M714" s="82" t="str">
        <f t="shared" ca="1" si="550"/>
        <v>#REF!</v>
      </c>
      <c r="N714" s="93"/>
      <c r="O714" s="93"/>
      <c r="P714" s="95">
        <f t="shared" si="965"/>
        <v>0</v>
      </c>
      <c r="Q714" s="96">
        <f t="shared" si="1007"/>
        <v>0</v>
      </c>
      <c r="R714" s="96">
        <v>0</v>
      </c>
      <c r="S714" s="97">
        <f t="shared" si="553"/>
        <v>0</v>
      </c>
      <c r="T714" s="97" t="str">
        <f ca="1">ROUNDUP(HLOOKUP(ROUNDUP(K714,0),'배송비 조회'!A$10:AE$22,7,0)*C$3,-2)</f>
        <v>#REF!</v>
      </c>
      <c r="U714" s="97">
        <v>0</v>
      </c>
      <c r="V714" s="97" t="str">
        <f t="shared" ca="1" si="981"/>
        <v>#REF!</v>
      </c>
      <c r="W714" s="97" t="str">
        <f t="shared" ca="1" si="982"/>
        <v>#REF!</v>
      </c>
      <c r="X714" s="98" t="str">
        <f t="shared" ca="1" si="882"/>
        <v>#REF!</v>
      </c>
      <c r="Y714" s="98" t="str">
        <f t="shared" ca="1" si="883"/>
        <v>#REF!</v>
      </c>
      <c r="Z714" s="121">
        <v>0</v>
      </c>
      <c r="AA714" s="121" t="str">
        <f t="shared" ca="1" si="556"/>
        <v>#REF!</v>
      </c>
      <c r="AB714" s="121" t="str">
        <f t="shared" ca="1" si="557"/>
        <v>#REF!</v>
      </c>
      <c r="AC714" s="99" t="str">
        <f t="shared" ca="1" si="8"/>
        <v>#REF!</v>
      </c>
      <c r="AD714" s="121" t="str">
        <f t="shared" ca="1" si="558"/>
        <v>#REF!</v>
      </c>
      <c r="AE714" s="99" t="str">
        <f t="shared" ca="1" si="10"/>
        <v>#REF!</v>
      </c>
      <c r="AF714" s="121" t="str">
        <f t="shared" ca="1" si="559"/>
        <v>#REF!</v>
      </c>
      <c r="AG714" s="100" t="str">
        <f t="shared" ca="1" si="560"/>
        <v>#REF!</v>
      </c>
      <c r="AH714" s="101" t="str">
        <f t="shared" ca="1" si="891"/>
        <v>#REF!</v>
      </c>
      <c r="AI714" s="102" t="str">
        <f t="shared" ref="AI714:AJ714" ca="1" si="1043">AG714/X714</f>
        <v>#REF!</v>
      </c>
      <c r="AJ714" s="102" t="str">
        <f t="shared" ca="1" si="1043"/>
        <v>#REF!</v>
      </c>
      <c r="AK714" s="212"/>
      <c r="AL714" s="213"/>
      <c r="AM714" s="4"/>
      <c r="AN714" s="4"/>
      <c r="AO714" s="4"/>
      <c r="AP714" s="4"/>
      <c r="AQ714" s="4"/>
      <c r="AR714" s="4"/>
      <c r="AS714" s="4"/>
      <c r="AT714" s="4"/>
      <c r="AU714" s="4"/>
      <c r="AV714" s="4"/>
      <c r="AW714" s="4"/>
    </row>
    <row r="715" spans="1:49" ht="13.2">
      <c r="A715" s="120"/>
      <c r="B715" s="266"/>
      <c r="C715" s="117"/>
      <c r="D715" s="117"/>
      <c r="E715" s="117"/>
      <c r="F715" s="123"/>
      <c r="G715" s="125" t="s">
        <v>145</v>
      </c>
      <c r="H715" s="125"/>
      <c r="I715" s="125"/>
      <c r="J715" s="125"/>
      <c r="K715" s="82" t="str">
        <f t="shared" ca="1" si="987"/>
        <v>#REF!</v>
      </c>
      <c r="L715" s="82" t="str">
        <f t="shared" ca="1" si="977"/>
        <v>#REF!</v>
      </c>
      <c r="M715" s="82" t="str">
        <f t="shared" ca="1" si="550"/>
        <v>#REF!</v>
      </c>
      <c r="N715" s="93"/>
      <c r="O715" s="93"/>
      <c r="P715" s="95">
        <f t="shared" si="965"/>
        <v>0</v>
      </c>
      <c r="Q715" s="96">
        <f t="shared" si="1007"/>
        <v>0</v>
      </c>
      <c r="R715" s="96">
        <v>0</v>
      </c>
      <c r="S715" s="97">
        <f t="shared" si="553"/>
        <v>0</v>
      </c>
      <c r="T715" s="97" t="str">
        <f ca="1">ROUNDUP(HLOOKUP(ROUNDUP(K715,0),'배송비 조회'!A$10:AE$22,7,0)*C$3,-2)</f>
        <v>#REF!</v>
      </c>
      <c r="U715" s="97">
        <v>0</v>
      </c>
      <c r="V715" s="97" t="str">
        <f t="shared" ca="1" si="981"/>
        <v>#REF!</v>
      </c>
      <c r="W715" s="97" t="str">
        <f t="shared" ca="1" si="982"/>
        <v>#REF!</v>
      </c>
      <c r="X715" s="98" t="str">
        <f t="shared" ca="1" si="882"/>
        <v>#REF!</v>
      </c>
      <c r="Y715" s="98" t="str">
        <f t="shared" ca="1" si="883"/>
        <v>#REF!</v>
      </c>
      <c r="Z715" s="121">
        <v>0</v>
      </c>
      <c r="AA715" s="121" t="str">
        <f t="shared" ca="1" si="556"/>
        <v>#REF!</v>
      </c>
      <c r="AB715" s="121" t="str">
        <f t="shared" ca="1" si="557"/>
        <v>#REF!</v>
      </c>
      <c r="AC715" s="99" t="str">
        <f t="shared" ca="1" si="8"/>
        <v>#REF!</v>
      </c>
      <c r="AD715" s="121" t="str">
        <f t="shared" ca="1" si="558"/>
        <v>#REF!</v>
      </c>
      <c r="AE715" s="99" t="str">
        <f t="shared" ca="1" si="10"/>
        <v>#REF!</v>
      </c>
      <c r="AF715" s="121" t="str">
        <f t="shared" ca="1" si="559"/>
        <v>#REF!</v>
      </c>
      <c r="AG715" s="100" t="str">
        <f t="shared" ca="1" si="560"/>
        <v>#REF!</v>
      </c>
      <c r="AH715" s="101" t="str">
        <f t="shared" ca="1" si="891"/>
        <v>#REF!</v>
      </c>
      <c r="AI715" s="102" t="str">
        <f t="shared" ref="AI715:AJ715" ca="1" si="1044">AG715/X715</f>
        <v>#REF!</v>
      </c>
      <c r="AJ715" s="102" t="str">
        <f t="shared" ca="1" si="1044"/>
        <v>#REF!</v>
      </c>
      <c r="AK715" s="212"/>
      <c r="AL715" s="213"/>
      <c r="AM715" s="4"/>
      <c r="AN715" s="4"/>
      <c r="AO715" s="4"/>
      <c r="AP715" s="4"/>
      <c r="AQ715" s="4"/>
      <c r="AR715" s="4"/>
      <c r="AS715" s="4"/>
      <c r="AT715" s="4"/>
      <c r="AU715" s="4"/>
      <c r="AV715" s="4"/>
      <c r="AW715" s="4"/>
    </row>
    <row r="716" spans="1:49" ht="13.2">
      <c r="A716" s="120"/>
      <c r="B716" s="266"/>
      <c r="C716" s="117"/>
      <c r="D716" s="117"/>
      <c r="E716" s="117"/>
      <c r="F716" s="123"/>
      <c r="G716" s="125" t="s">
        <v>145</v>
      </c>
      <c r="H716" s="125"/>
      <c r="I716" s="125"/>
      <c r="J716" s="125"/>
      <c r="K716" s="82" t="str">
        <f t="shared" ca="1" si="987"/>
        <v>#REF!</v>
      </c>
      <c r="L716" s="82" t="str">
        <f t="shared" ca="1" si="977"/>
        <v>#REF!</v>
      </c>
      <c r="M716" s="82" t="str">
        <f t="shared" ca="1" si="550"/>
        <v>#REF!</v>
      </c>
      <c r="N716" s="93"/>
      <c r="O716" s="93"/>
      <c r="P716" s="95">
        <f t="shared" si="965"/>
        <v>0</v>
      </c>
      <c r="Q716" s="96">
        <f t="shared" si="1007"/>
        <v>0</v>
      </c>
      <c r="R716" s="96">
        <v>0</v>
      </c>
      <c r="S716" s="97">
        <f t="shared" si="553"/>
        <v>0</v>
      </c>
      <c r="T716" s="97" t="str">
        <f ca="1">ROUNDUP(HLOOKUP(ROUNDUP(K716,0),'배송비 조회'!A$10:AE$22,7,0)*C$3,-2)</f>
        <v>#REF!</v>
      </c>
      <c r="U716" s="97">
        <v>0</v>
      </c>
      <c r="V716" s="97" t="str">
        <f t="shared" ca="1" si="981"/>
        <v>#REF!</v>
      </c>
      <c r="W716" s="97" t="str">
        <f t="shared" ca="1" si="982"/>
        <v>#REF!</v>
      </c>
      <c r="X716" s="98" t="str">
        <f t="shared" ca="1" si="882"/>
        <v>#REF!</v>
      </c>
      <c r="Y716" s="98" t="str">
        <f t="shared" ca="1" si="883"/>
        <v>#REF!</v>
      </c>
      <c r="Z716" s="121">
        <v>0</v>
      </c>
      <c r="AA716" s="121" t="str">
        <f t="shared" ca="1" si="556"/>
        <v>#REF!</v>
      </c>
      <c r="AB716" s="121" t="str">
        <f t="shared" ca="1" si="557"/>
        <v>#REF!</v>
      </c>
      <c r="AC716" s="99" t="str">
        <f t="shared" ca="1" si="8"/>
        <v>#REF!</v>
      </c>
      <c r="AD716" s="121" t="str">
        <f t="shared" ca="1" si="558"/>
        <v>#REF!</v>
      </c>
      <c r="AE716" s="99" t="str">
        <f t="shared" ca="1" si="10"/>
        <v>#REF!</v>
      </c>
      <c r="AF716" s="121" t="str">
        <f t="shared" ca="1" si="559"/>
        <v>#REF!</v>
      </c>
      <c r="AG716" s="100" t="str">
        <f t="shared" ca="1" si="560"/>
        <v>#REF!</v>
      </c>
      <c r="AH716" s="101" t="str">
        <f t="shared" ca="1" si="891"/>
        <v>#REF!</v>
      </c>
      <c r="AI716" s="102" t="str">
        <f t="shared" ref="AI716:AJ716" ca="1" si="1045">AG716/X716</f>
        <v>#REF!</v>
      </c>
      <c r="AJ716" s="102" t="str">
        <f t="shared" ca="1" si="1045"/>
        <v>#REF!</v>
      </c>
      <c r="AK716" s="212"/>
      <c r="AL716" s="213"/>
      <c r="AM716" s="4"/>
      <c r="AN716" s="4"/>
      <c r="AO716" s="4"/>
      <c r="AP716" s="4"/>
      <c r="AQ716" s="4"/>
      <c r="AR716" s="4"/>
      <c r="AS716" s="4"/>
      <c r="AT716" s="4"/>
      <c r="AU716" s="4"/>
      <c r="AV716" s="4"/>
      <c r="AW716" s="4"/>
    </row>
    <row r="717" spans="1:49" ht="13.2">
      <c r="A717" s="120"/>
      <c r="B717" s="266"/>
      <c r="C717" s="117"/>
      <c r="D717" s="117"/>
      <c r="E717" s="117"/>
      <c r="F717" s="123"/>
      <c r="G717" s="125" t="s">
        <v>145</v>
      </c>
      <c r="H717" s="125"/>
      <c r="I717" s="125"/>
      <c r="J717" s="125"/>
      <c r="K717" s="82" t="str">
        <f t="shared" ca="1" si="987"/>
        <v>#REF!</v>
      </c>
      <c r="L717" s="82" t="str">
        <f t="shared" ca="1" si="977"/>
        <v>#REF!</v>
      </c>
      <c r="M717" s="82" t="str">
        <f t="shared" ca="1" si="550"/>
        <v>#REF!</v>
      </c>
      <c r="N717" s="93"/>
      <c r="O717" s="93"/>
      <c r="P717" s="95">
        <f t="shared" si="965"/>
        <v>0</v>
      </c>
      <c r="Q717" s="96">
        <f t="shared" si="1007"/>
        <v>0</v>
      </c>
      <c r="R717" s="96">
        <v>0</v>
      </c>
      <c r="S717" s="97">
        <f t="shared" si="553"/>
        <v>0</v>
      </c>
      <c r="T717" s="97" t="str">
        <f ca="1">ROUNDUP(HLOOKUP(ROUNDUP(K717,0),'배송비 조회'!A$10:AE$22,7,0)*C$3,-2)</f>
        <v>#REF!</v>
      </c>
      <c r="U717" s="97">
        <v>0</v>
      </c>
      <c r="V717" s="97" t="str">
        <f t="shared" ca="1" si="981"/>
        <v>#REF!</v>
      </c>
      <c r="W717" s="97" t="str">
        <f t="shared" ca="1" si="982"/>
        <v>#REF!</v>
      </c>
      <c r="X717" s="98" t="str">
        <f t="shared" ca="1" si="882"/>
        <v>#REF!</v>
      </c>
      <c r="Y717" s="98" t="str">
        <f t="shared" ca="1" si="883"/>
        <v>#REF!</v>
      </c>
      <c r="Z717" s="121">
        <v>0</v>
      </c>
      <c r="AA717" s="121" t="str">
        <f t="shared" ca="1" si="556"/>
        <v>#REF!</v>
      </c>
      <c r="AB717" s="121" t="str">
        <f t="shared" ca="1" si="557"/>
        <v>#REF!</v>
      </c>
      <c r="AC717" s="99" t="str">
        <f t="shared" ca="1" si="8"/>
        <v>#REF!</v>
      </c>
      <c r="AD717" s="121" t="str">
        <f t="shared" ca="1" si="558"/>
        <v>#REF!</v>
      </c>
      <c r="AE717" s="99" t="str">
        <f t="shared" ca="1" si="10"/>
        <v>#REF!</v>
      </c>
      <c r="AF717" s="121" t="str">
        <f t="shared" ca="1" si="559"/>
        <v>#REF!</v>
      </c>
      <c r="AG717" s="100" t="str">
        <f t="shared" ca="1" si="560"/>
        <v>#REF!</v>
      </c>
      <c r="AH717" s="101" t="str">
        <f t="shared" ca="1" si="891"/>
        <v>#REF!</v>
      </c>
      <c r="AI717" s="102" t="str">
        <f t="shared" ref="AI717:AJ717" ca="1" si="1046">AG717/X717</f>
        <v>#REF!</v>
      </c>
      <c r="AJ717" s="102" t="str">
        <f t="shared" ca="1" si="1046"/>
        <v>#REF!</v>
      </c>
      <c r="AK717" s="212"/>
      <c r="AL717" s="213"/>
      <c r="AM717" s="4"/>
      <c r="AN717" s="4"/>
      <c r="AO717" s="4"/>
      <c r="AP717" s="4"/>
      <c r="AQ717" s="4"/>
      <c r="AR717" s="4"/>
      <c r="AS717" s="4"/>
      <c r="AT717" s="4"/>
      <c r="AU717" s="4"/>
      <c r="AV717" s="4"/>
      <c r="AW717" s="4"/>
    </row>
    <row r="718" spans="1:49" ht="13.2">
      <c r="A718" s="120"/>
      <c r="B718" s="266"/>
      <c r="C718" s="117"/>
      <c r="D718" s="117"/>
      <c r="E718" s="117"/>
      <c r="F718" s="123"/>
      <c r="G718" s="125" t="s">
        <v>145</v>
      </c>
      <c r="H718" s="125"/>
      <c r="I718" s="125"/>
      <c r="J718" s="125"/>
      <c r="K718" s="82" t="str">
        <f t="shared" ca="1" si="987"/>
        <v>#REF!</v>
      </c>
      <c r="L718" s="82" t="str">
        <f t="shared" ca="1" si="977"/>
        <v>#REF!</v>
      </c>
      <c r="M718" s="82" t="str">
        <f t="shared" ca="1" si="550"/>
        <v>#REF!</v>
      </c>
      <c r="N718" s="93"/>
      <c r="O718" s="93"/>
      <c r="P718" s="95">
        <f t="shared" si="965"/>
        <v>0</v>
      </c>
      <c r="Q718" s="96">
        <f t="shared" si="1007"/>
        <v>0</v>
      </c>
      <c r="R718" s="96">
        <v>0</v>
      </c>
      <c r="S718" s="97">
        <f t="shared" si="553"/>
        <v>0</v>
      </c>
      <c r="T718" s="97" t="str">
        <f ca="1">ROUNDUP(HLOOKUP(ROUNDUP(K718,0),'배송비 조회'!A$10:AE$22,7,0)*C$3,-2)</f>
        <v>#REF!</v>
      </c>
      <c r="U718" s="97">
        <v>0</v>
      </c>
      <c r="V718" s="97" t="str">
        <f t="shared" ca="1" si="981"/>
        <v>#REF!</v>
      </c>
      <c r="W718" s="97" t="str">
        <f t="shared" ca="1" si="982"/>
        <v>#REF!</v>
      </c>
      <c r="X718" s="98" t="str">
        <f t="shared" ca="1" si="882"/>
        <v>#REF!</v>
      </c>
      <c r="Y718" s="98" t="str">
        <f t="shared" ca="1" si="883"/>
        <v>#REF!</v>
      </c>
      <c r="Z718" s="121">
        <v>0</v>
      </c>
      <c r="AA718" s="121" t="str">
        <f t="shared" ca="1" si="556"/>
        <v>#REF!</v>
      </c>
      <c r="AB718" s="121" t="str">
        <f t="shared" ca="1" si="557"/>
        <v>#REF!</v>
      </c>
      <c r="AC718" s="99" t="str">
        <f t="shared" ca="1" si="8"/>
        <v>#REF!</v>
      </c>
      <c r="AD718" s="121" t="str">
        <f t="shared" ca="1" si="558"/>
        <v>#REF!</v>
      </c>
      <c r="AE718" s="99" t="str">
        <f t="shared" ca="1" si="10"/>
        <v>#REF!</v>
      </c>
      <c r="AF718" s="121" t="str">
        <f t="shared" ca="1" si="559"/>
        <v>#REF!</v>
      </c>
      <c r="AG718" s="100" t="str">
        <f t="shared" ca="1" si="560"/>
        <v>#REF!</v>
      </c>
      <c r="AH718" s="101" t="str">
        <f t="shared" ca="1" si="891"/>
        <v>#REF!</v>
      </c>
      <c r="AI718" s="102" t="str">
        <f t="shared" ref="AI718:AJ718" ca="1" si="1047">AG718/X718</f>
        <v>#REF!</v>
      </c>
      <c r="AJ718" s="102" t="str">
        <f t="shared" ca="1" si="1047"/>
        <v>#REF!</v>
      </c>
      <c r="AK718" s="212"/>
      <c r="AL718" s="213"/>
      <c r="AM718" s="4"/>
      <c r="AN718" s="4"/>
      <c r="AO718" s="4"/>
      <c r="AP718" s="4"/>
      <c r="AQ718" s="4"/>
      <c r="AR718" s="4"/>
      <c r="AS718" s="4"/>
      <c r="AT718" s="4"/>
      <c r="AU718" s="4"/>
      <c r="AV718" s="4"/>
      <c r="AW718" s="4"/>
    </row>
    <row r="719" spans="1:49" ht="13.2">
      <c r="A719" s="120"/>
      <c r="B719" s="266"/>
      <c r="C719" s="117"/>
      <c r="D719" s="117"/>
      <c r="E719" s="117"/>
      <c r="F719" s="123"/>
      <c r="G719" s="125" t="s">
        <v>145</v>
      </c>
      <c r="H719" s="125"/>
      <c r="I719" s="125"/>
      <c r="J719" s="125"/>
      <c r="K719" s="82" t="str">
        <f t="shared" ca="1" si="987"/>
        <v>#REF!</v>
      </c>
      <c r="L719" s="82" t="str">
        <f t="shared" ca="1" si="977"/>
        <v>#REF!</v>
      </c>
      <c r="M719" s="82" t="str">
        <f t="shared" ca="1" si="550"/>
        <v>#REF!</v>
      </c>
      <c r="N719" s="93"/>
      <c r="O719" s="93"/>
      <c r="P719" s="95">
        <f t="shared" si="965"/>
        <v>0</v>
      </c>
      <c r="Q719" s="96">
        <f t="shared" si="1007"/>
        <v>0</v>
      </c>
      <c r="R719" s="96">
        <v>0</v>
      </c>
      <c r="S719" s="97">
        <f t="shared" si="553"/>
        <v>0</v>
      </c>
      <c r="T719" s="97" t="str">
        <f ca="1">ROUNDUP(HLOOKUP(ROUNDUP(K719,0),'배송비 조회'!A$10:AE$22,7,0)*C$3,-2)</f>
        <v>#REF!</v>
      </c>
      <c r="U719" s="97">
        <v>0</v>
      </c>
      <c r="V719" s="97" t="str">
        <f t="shared" ca="1" si="981"/>
        <v>#REF!</v>
      </c>
      <c r="W719" s="97" t="str">
        <f t="shared" ca="1" si="982"/>
        <v>#REF!</v>
      </c>
      <c r="X719" s="98" t="str">
        <f t="shared" ca="1" si="882"/>
        <v>#REF!</v>
      </c>
      <c r="Y719" s="98" t="str">
        <f t="shared" ca="1" si="883"/>
        <v>#REF!</v>
      </c>
      <c r="Z719" s="121">
        <v>0</v>
      </c>
      <c r="AA719" s="121" t="str">
        <f t="shared" ca="1" si="556"/>
        <v>#REF!</v>
      </c>
      <c r="AB719" s="121" t="str">
        <f t="shared" ca="1" si="557"/>
        <v>#REF!</v>
      </c>
      <c r="AC719" s="99" t="str">
        <f t="shared" ca="1" si="8"/>
        <v>#REF!</v>
      </c>
      <c r="AD719" s="121" t="str">
        <f t="shared" ca="1" si="558"/>
        <v>#REF!</v>
      </c>
      <c r="AE719" s="99" t="str">
        <f t="shared" ca="1" si="10"/>
        <v>#REF!</v>
      </c>
      <c r="AF719" s="121" t="str">
        <f t="shared" ca="1" si="559"/>
        <v>#REF!</v>
      </c>
      <c r="AG719" s="100" t="str">
        <f t="shared" ca="1" si="560"/>
        <v>#REF!</v>
      </c>
      <c r="AH719" s="101" t="str">
        <f t="shared" ca="1" si="891"/>
        <v>#REF!</v>
      </c>
      <c r="AI719" s="102" t="str">
        <f t="shared" ref="AI719:AJ719" ca="1" si="1048">AG719/X719</f>
        <v>#REF!</v>
      </c>
      <c r="AJ719" s="102" t="str">
        <f t="shared" ca="1" si="1048"/>
        <v>#REF!</v>
      </c>
      <c r="AK719" s="212"/>
      <c r="AL719" s="213"/>
      <c r="AM719" s="4"/>
      <c r="AN719" s="4"/>
      <c r="AO719" s="4"/>
      <c r="AP719" s="4"/>
      <c r="AQ719" s="4"/>
      <c r="AR719" s="4"/>
      <c r="AS719" s="4"/>
      <c r="AT719" s="4"/>
      <c r="AU719" s="4"/>
      <c r="AV719" s="4"/>
      <c r="AW719" s="4"/>
    </row>
    <row r="720" spans="1:49" ht="13.2">
      <c r="A720" s="120"/>
      <c r="B720" s="266"/>
      <c r="C720" s="117"/>
      <c r="D720" s="117"/>
      <c r="E720" s="117"/>
      <c r="F720" s="123"/>
      <c r="G720" s="125" t="s">
        <v>145</v>
      </c>
      <c r="H720" s="125"/>
      <c r="I720" s="125"/>
      <c r="J720" s="125"/>
      <c r="K720" s="82" t="str">
        <f t="shared" ca="1" si="987"/>
        <v>#REF!</v>
      </c>
      <c r="L720" s="82" t="str">
        <f t="shared" ca="1" si="977"/>
        <v>#REF!</v>
      </c>
      <c r="M720" s="82" t="str">
        <f t="shared" ca="1" si="550"/>
        <v>#REF!</v>
      </c>
      <c r="N720" s="93"/>
      <c r="O720" s="93"/>
      <c r="P720" s="95">
        <f t="shared" si="965"/>
        <v>0</v>
      </c>
      <c r="Q720" s="96">
        <f t="shared" si="1007"/>
        <v>0</v>
      </c>
      <c r="R720" s="96">
        <v>0</v>
      </c>
      <c r="S720" s="97">
        <f t="shared" si="553"/>
        <v>0</v>
      </c>
      <c r="T720" s="97" t="str">
        <f ca="1">ROUNDUP(HLOOKUP(ROUNDUP(K720,0),'배송비 조회'!A$10:AE$22,7,0)*C$3,-2)</f>
        <v>#REF!</v>
      </c>
      <c r="U720" s="97">
        <v>0</v>
      </c>
      <c r="V720" s="97" t="str">
        <f t="shared" ca="1" si="981"/>
        <v>#REF!</v>
      </c>
      <c r="W720" s="97" t="str">
        <f t="shared" ca="1" si="982"/>
        <v>#REF!</v>
      </c>
      <c r="X720" s="98" t="str">
        <f t="shared" ca="1" si="882"/>
        <v>#REF!</v>
      </c>
      <c r="Y720" s="98" t="str">
        <f t="shared" ca="1" si="883"/>
        <v>#REF!</v>
      </c>
      <c r="Z720" s="121">
        <v>0</v>
      </c>
      <c r="AA720" s="121" t="str">
        <f t="shared" ca="1" si="556"/>
        <v>#REF!</v>
      </c>
      <c r="AB720" s="121" t="str">
        <f t="shared" ca="1" si="557"/>
        <v>#REF!</v>
      </c>
      <c r="AC720" s="99" t="str">
        <f t="shared" ca="1" si="8"/>
        <v>#REF!</v>
      </c>
      <c r="AD720" s="121" t="str">
        <f t="shared" ca="1" si="558"/>
        <v>#REF!</v>
      </c>
      <c r="AE720" s="99" t="str">
        <f t="shared" ca="1" si="10"/>
        <v>#REF!</v>
      </c>
      <c r="AF720" s="121" t="str">
        <f t="shared" ca="1" si="559"/>
        <v>#REF!</v>
      </c>
      <c r="AG720" s="100" t="str">
        <f t="shared" ca="1" si="560"/>
        <v>#REF!</v>
      </c>
      <c r="AH720" s="101" t="str">
        <f t="shared" ca="1" si="891"/>
        <v>#REF!</v>
      </c>
      <c r="AI720" s="102" t="str">
        <f t="shared" ref="AI720:AJ720" ca="1" si="1049">AG720/X720</f>
        <v>#REF!</v>
      </c>
      <c r="AJ720" s="102" t="str">
        <f t="shared" ca="1" si="1049"/>
        <v>#REF!</v>
      </c>
      <c r="AK720" s="212"/>
      <c r="AL720" s="213"/>
      <c r="AM720" s="4"/>
      <c r="AN720" s="4"/>
      <c r="AO720" s="4"/>
      <c r="AP720" s="4"/>
      <c r="AQ720" s="4"/>
      <c r="AR720" s="4"/>
      <c r="AS720" s="4"/>
      <c r="AT720" s="4"/>
      <c r="AU720" s="4"/>
      <c r="AV720" s="4"/>
      <c r="AW720" s="4"/>
    </row>
    <row r="721" spans="1:49" ht="13.2">
      <c r="A721" s="120"/>
      <c r="B721" s="266"/>
      <c r="C721" s="117"/>
      <c r="D721" s="117"/>
      <c r="E721" s="117"/>
      <c r="F721" s="123"/>
      <c r="G721" s="125" t="s">
        <v>145</v>
      </c>
      <c r="H721" s="125"/>
      <c r="I721" s="125"/>
      <c r="J721" s="125"/>
      <c r="K721" s="82" t="str">
        <f t="shared" ca="1" si="987"/>
        <v>#REF!</v>
      </c>
      <c r="L721" s="82" t="str">
        <f t="shared" ca="1" si="977"/>
        <v>#REF!</v>
      </c>
      <c r="M721" s="82" t="str">
        <f t="shared" ca="1" si="550"/>
        <v>#REF!</v>
      </c>
      <c r="N721" s="93"/>
      <c r="O721" s="93"/>
      <c r="P721" s="95">
        <f t="shared" si="965"/>
        <v>0</v>
      </c>
      <c r="Q721" s="96">
        <f t="shared" si="1007"/>
        <v>0</v>
      </c>
      <c r="R721" s="96">
        <v>0</v>
      </c>
      <c r="S721" s="97">
        <f t="shared" si="553"/>
        <v>0</v>
      </c>
      <c r="T721" s="97" t="str">
        <f ca="1">ROUNDUP(HLOOKUP(ROUNDUP(K721,0),'배송비 조회'!A$10:AE$22,7,0)*C$3,-2)</f>
        <v>#REF!</v>
      </c>
      <c r="U721" s="97">
        <v>0</v>
      </c>
      <c r="V721" s="97" t="str">
        <f t="shared" ca="1" si="981"/>
        <v>#REF!</v>
      </c>
      <c r="W721" s="97" t="str">
        <f t="shared" ca="1" si="982"/>
        <v>#REF!</v>
      </c>
      <c r="X721" s="98" t="str">
        <f t="shared" ca="1" si="882"/>
        <v>#REF!</v>
      </c>
      <c r="Y721" s="98" t="str">
        <f t="shared" ca="1" si="883"/>
        <v>#REF!</v>
      </c>
      <c r="Z721" s="121">
        <v>0</v>
      </c>
      <c r="AA721" s="121" t="str">
        <f t="shared" ca="1" si="556"/>
        <v>#REF!</v>
      </c>
      <c r="AB721" s="121" t="str">
        <f t="shared" ca="1" si="557"/>
        <v>#REF!</v>
      </c>
      <c r="AC721" s="99" t="str">
        <f t="shared" ca="1" si="8"/>
        <v>#REF!</v>
      </c>
      <c r="AD721" s="121" t="str">
        <f t="shared" ca="1" si="558"/>
        <v>#REF!</v>
      </c>
      <c r="AE721" s="99" t="str">
        <f t="shared" ca="1" si="10"/>
        <v>#REF!</v>
      </c>
      <c r="AF721" s="121" t="str">
        <f t="shared" ca="1" si="559"/>
        <v>#REF!</v>
      </c>
      <c r="AG721" s="100" t="str">
        <f t="shared" ca="1" si="560"/>
        <v>#REF!</v>
      </c>
      <c r="AH721" s="101" t="str">
        <f t="shared" ca="1" si="891"/>
        <v>#REF!</v>
      </c>
      <c r="AI721" s="102" t="str">
        <f t="shared" ref="AI721:AJ721" ca="1" si="1050">AG721/X721</f>
        <v>#REF!</v>
      </c>
      <c r="AJ721" s="102" t="str">
        <f t="shared" ca="1" si="1050"/>
        <v>#REF!</v>
      </c>
      <c r="AK721" s="212"/>
      <c r="AL721" s="213"/>
      <c r="AM721" s="4"/>
      <c r="AN721" s="4"/>
      <c r="AO721" s="4"/>
      <c r="AP721" s="4"/>
      <c r="AQ721" s="4"/>
      <c r="AR721" s="4"/>
      <c r="AS721" s="4"/>
      <c r="AT721" s="4"/>
      <c r="AU721" s="4"/>
      <c r="AV721" s="4"/>
      <c r="AW721" s="4"/>
    </row>
    <row r="722" spans="1:49" ht="13.2">
      <c r="A722" s="120"/>
      <c r="B722" s="266"/>
      <c r="C722" s="117"/>
      <c r="D722" s="117"/>
      <c r="E722" s="117"/>
      <c r="F722" s="123"/>
      <c r="G722" s="125" t="s">
        <v>145</v>
      </c>
      <c r="H722" s="125"/>
      <c r="I722" s="125"/>
      <c r="J722" s="125"/>
      <c r="K722" s="82" t="str">
        <f t="shared" ca="1" si="987"/>
        <v>#REF!</v>
      </c>
      <c r="L722" s="82" t="str">
        <f t="shared" ca="1" si="977"/>
        <v>#REF!</v>
      </c>
      <c r="M722" s="82" t="str">
        <f t="shared" ca="1" si="550"/>
        <v>#REF!</v>
      </c>
      <c r="N722" s="93"/>
      <c r="O722" s="93"/>
      <c r="P722" s="95">
        <f t="shared" si="965"/>
        <v>0</v>
      </c>
      <c r="Q722" s="96">
        <f t="shared" si="1007"/>
        <v>0</v>
      </c>
      <c r="R722" s="96">
        <v>0</v>
      </c>
      <c r="S722" s="97">
        <f t="shared" si="553"/>
        <v>0</v>
      </c>
      <c r="T722" s="97" t="str">
        <f ca="1">ROUNDUP(HLOOKUP(ROUNDUP(K722,0),'배송비 조회'!A$10:AE$22,7,0)*C$3,-2)</f>
        <v>#REF!</v>
      </c>
      <c r="U722" s="97">
        <v>0</v>
      </c>
      <c r="V722" s="97" t="str">
        <f t="shared" ca="1" si="981"/>
        <v>#REF!</v>
      </c>
      <c r="W722" s="97" t="str">
        <f t="shared" ca="1" si="982"/>
        <v>#REF!</v>
      </c>
      <c r="X722" s="98" t="str">
        <f t="shared" ca="1" si="882"/>
        <v>#REF!</v>
      </c>
      <c r="Y722" s="98" t="str">
        <f t="shared" ca="1" si="883"/>
        <v>#REF!</v>
      </c>
      <c r="Z722" s="121">
        <v>0</v>
      </c>
      <c r="AA722" s="121" t="str">
        <f t="shared" ca="1" si="556"/>
        <v>#REF!</v>
      </c>
      <c r="AB722" s="121" t="str">
        <f t="shared" ca="1" si="557"/>
        <v>#REF!</v>
      </c>
      <c r="AC722" s="99" t="str">
        <f t="shared" ca="1" si="8"/>
        <v>#REF!</v>
      </c>
      <c r="AD722" s="121" t="str">
        <f t="shared" ca="1" si="558"/>
        <v>#REF!</v>
      </c>
      <c r="AE722" s="99" t="str">
        <f t="shared" ca="1" si="10"/>
        <v>#REF!</v>
      </c>
      <c r="AF722" s="121" t="str">
        <f t="shared" ca="1" si="559"/>
        <v>#REF!</v>
      </c>
      <c r="AG722" s="100" t="str">
        <f t="shared" ca="1" si="560"/>
        <v>#REF!</v>
      </c>
      <c r="AH722" s="101" t="str">
        <f t="shared" ca="1" si="891"/>
        <v>#REF!</v>
      </c>
      <c r="AI722" s="102" t="str">
        <f t="shared" ref="AI722:AJ722" ca="1" si="1051">AG722/X722</f>
        <v>#REF!</v>
      </c>
      <c r="AJ722" s="102" t="str">
        <f t="shared" ca="1" si="1051"/>
        <v>#REF!</v>
      </c>
      <c r="AK722" s="212"/>
      <c r="AL722" s="213"/>
      <c r="AM722" s="4"/>
      <c r="AN722" s="4"/>
      <c r="AO722" s="4"/>
      <c r="AP722" s="4"/>
      <c r="AQ722" s="4"/>
      <c r="AR722" s="4"/>
      <c r="AS722" s="4"/>
      <c r="AT722" s="4"/>
      <c r="AU722" s="4"/>
      <c r="AV722" s="4"/>
      <c r="AW722" s="4"/>
    </row>
    <row r="723" spans="1:49" ht="13.2">
      <c r="A723" s="120"/>
      <c r="B723" s="266"/>
      <c r="C723" s="117"/>
      <c r="D723" s="117"/>
      <c r="E723" s="117"/>
      <c r="F723" s="123"/>
      <c r="G723" s="125" t="s">
        <v>145</v>
      </c>
      <c r="H723" s="125"/>
      <c r="I723" s="125"/>
      <c r="J723" s="125"/>
      <c r="K723" s="82" t="str">
        <f t="shared" ca="1" si="987"/>
        <v>#REF!</v>
      </c>
      <c r="L723" s="82" t="str">
        <f t="shared" ca="1" si="977"/>
        <v>#REF!</v>
      </c>
      <c r="M723" s="82" t="str">
        <f t="shared" ca="1" si="550"/>
        <v>#REF!</v>
      </c>
      <c r="N723" s="93"/>
      <c r="O723" s="93"/>
      <c r="P723" s="95">
        <f t="shared" si="965"/>
        <v>0</v>
      </c>
      <c r="Q723" s="96">
        <f t="shared" si="1007"/>
        <v>0</v>
      </c>
      <c r="R723" s="96">
        <v>0</v>
      </c>
      <c r="S723" s="97">
        <f t="shared" si="553"/>
        <v>0</v>
      </c>
      <c r="T723" s="97" t="str">
        <f ca="1">ROUNDUP(HLOOKUP(ROUNDUP(K723,0),'배송비 조회'!A$10:AE$22,7,0)*C$3,-2)</f>
        <v>#REF!</v>
      </c>
      <c r="U723" s="97">
        <v>0</v>
      </c>
      <c r="V723" s="97" t="str">
        <f t="shared" ca="1" si="981"/>
        <v>#REF!</v>
      </c>
      <c r="W723" s="97" t="str">
        <f t="shared" ca="1" si="982"/>
        <v>#REF!</v>
      </c>
      <c r="X723" s="98" t="str">
        <f t="shared" ca="1" si="882"/>
        <v>#REF!</v>
      </c>
      <c r="Y723" s="98" t="str">
        <f t="shared" ca="1" si="883"/>
        <v>#REF!</v>
      </c>
      <c r="Z723" s="121">
        <v>0</v>
      </c>
      <c r="AA723" s="121" t="str">
        <f t="shared" ca="1" si="556"/>
        <v>#REF!</v>
      </c>
      <c r="AB723" s="121" t="str">
        <f t="shared" ca="1" si="557"/>
        <v>#REF!</v>
      </c>
      <c r="AC723" s="99" t="str">
        <f t="shared" ca="1" si="8"/>
        <v>#REF!</v>
      </c>
      <c r="AD723" s="121" t="str">
        <f t="shared" ca="1" si="558"/>
        <v>#REF!</v>
      </c>
      <c r="AE723" s="99" t="str">
        <f t="shared" ca="1" si="10"/>
        <v>#REF!</v>
      </c>
      <c r="AF723" s="121" t="str">
        <f t="shared" ca="1" si="559"/>
        <v>#REF!</v>
      </c>
      <c r="AG723" s="100" t="str">
        <f t="shared" ca="1" si="560"/>
        <v>#REF!</v>
      </c>
      <c r="AH723" s="101" t="str">
        <f t="shared" ca="1" si="891"/>
        <v>#REF!</v>
      </c>
      <c r="AI723" s="102" t="str">
        <f t="shared" ref="AI723:AJ723" ca="1" si="1052">AG723/X723</f>
        <v>#REF!</v>
      </c>
      <c r="AJ723" s="102" t="str">
        <f t="shared" ca="1" si="1052"/>
        <v>#REF!</v>
      </c>
      <c r="AK723" s="212"/>
      <c r="AL723" s="213"/>
      <c r="AM723" s="4"/>
      <c r="AN723" s="4"/>
      <c r="AO723" s="4"/>
      <c r="AP723" s="4"/>
      <c r="AQ723" s="4"/>
      <c r="AR723" s="4"/>
      <c r="AS723" s="4"/>
      <c r="AT723" s="4"/>
      <c r="AU723" s="4"/>
      <c r="AV723" s="4"/>
      <c r="AW723" s="4"/>
    </row>
    <row r="724" spans="1:49" ht="13.2">
      <c r="A724" s="120"/>
      <c r="B724" s="266"/>
      <c r="C724" s="117"/>
      <c r="D724" s="117"/>
      <c r="E724" s="117"/>
      <c r="F724" s="123"/>
      <c r="G724" s="125" t="s">
        <v>145</v>
      </c>
      <c r="H724" s="125"/>
      <c r="I724" s="125"/>
      <c r="J724" s="125"/>
      <c r="K724" s="82" t="str">
        <f t="shared" ca="1" si="987"/>
        <v>#REF!</v>
      </c>
      <c r="L724" s="82" t="str">
        <f t="shared" ca="1" si="977"/>
        <v>#REF!</v>
      </c>
      <c r="M724" s="82" t="str">
        <f t="shared" ca="1" si="550"/>
        <v>#REF!</v>
      </c>
      <c r="N724" s="93"/>
      <c r="O724" s="93"/>
      <c r="P724" s="95">
        <f t="shared" si="965"/>
        <v>0</v>
      </c>
      <c r="Q724" s="96">
        <f t="shared" si="1007"/>
        <v>0</v>
      </c>
      <c r="R724" s="96">
        <v>0</v>
      </c>
      <c r="S724" s="97">
        <f t="shared" si="553"/>
        <v>0</v>
      </c>
      <c r="T724" s="97" t="str">
        <f ca="1">ROUNDUP(HLOOKUP(ROUNDUP(K724,0),'배송비 조회'!A$10:AE$22,7,0)*C$3,-2)</f>
        <v>#REF!</v>
      </c>
      <c r="U724" s="97">
        <v>0</v>
      </c>
      <c r="V724" s="97" t="str">
        <f t="shared" ca="1" si="981"/>
        <v>#REF!</v>
      </c>
      <c r="W724" s="97" t="str">
        <f t="shared" ca="1" si="982"/>
        <v>#REF!</v>
      </c>
      <c r="X724" s="98" t="str">
        <f t="shared" ca="1" si="882"/>
        <v>#REF!</v>
      </c>
      <c r="Y724" s="98" t="str">
        <f t="shared" ca="1" si="883"/>
        <v>#REF!</v>
      </c>
      <c r="Z724" s="121">
        <v>0</v>
      </c>
      <c r="AA724" s="121" t="str">
        <f t="shared" ca="1" si="556"/>
        <v>#REF!</v>
      </c>
      <c r="AB724" s="121" t="str">
        <f t="shared" ca="1" si="557"/>
        <v>#REF!</v>
      </c>
      <c r="AC724" s="99" t="str">
        <f t="shared" ca="1" si="8"/>
        <v>#REF!</v>
      </c>
      <c r="AD724" s="121" t="str">
        <f t="shared" ca="1" si="558"/>
        <v>#REF!</v>
      </c>
      <c r="AE724" s="99" t="str">
        <f t="shared" ca="1" si="10"/>
        <v>#REF!</v>
      </c>
      <c r="AF724" s="121" t="str">
        <f t="shared" ca="1" si="559"/>
        <v>#REF!</v>
      </c>
      <c r="AG724" s="100" t="str">
        <f t="shared" ca="1" si="560"/>
        <v>#REF!</v>
      </c>
      <c r="AH724" s="101" t="str">
        <f t="shared" ca="1" si="891"/>
        <v>#REF!</v>
      </c>
      <c r="AI724" s="102" t="str">
        <f t="shared" ref="AI724:AJ724" ca="1" si="1053">AG724/X724</f>
        <v>#REF!</v>
      </c>
      <c r="AJ724" s="102" t="str">
        <f t="shared" ca="1" si="1053"/>
        <v>#REF!</v>
      </c>
      <c r="AK724" s="212"/>
      <c r="AL724" s="213"/>
      <c r="AM724" s="4"/>
      <c r="AN724" s="4"/>
      <c r="AO724" s="4"/>
      <c r="AP724" s="4"/>
      <c r="AQ724" s="4"/>
      <c r="AR724" s="4"/>
      <c r="AS724" s="4"/>
      <c r="AT724" s="4"/>
      <c r="AU724" s="4"/>
      <c r="AV724" s="4"/>
      <c r="AW724" s="4"/>
    </row>
    <row r="725" spans="1:49" ht="13.2">
      <c r="A725" s="120"/>
      <c r="B725" s="266"/>
      <c r="C725" s="117"/>
      <c r="D725" s="117"/>
      <c r="E725" s="117"/>
      <c r="F725" s="123"/>
      <c r="G725" s="125" t="s">
        <v>145</v>
      </c>
      <c r="H725" s="125"/>
      <c r="I725" s="125"/>
      <c r="J725" s="125"/>
      <c r="K725" s="82" t="str">
        <f t="shared" ca="1" si="987"/>
        <v>#REF!</v>
      </c>
      <c r="L725" s="82" t="str">
        <f t="shared" ca="1" si="977"/>
        <v>#REF!</v>
      </c>
      <c r="M725" s="82" t="str">
        <f t="shared" ca="1" si="550"/>
        <v>#REF!</v>
      </c>
      <c r="N725" s="93"/>
      <c r="O725" s="93"/>
      <c r="P725" s="95">
        <f t="shared" si="965"/>
        <v>0</v>
      </c>
      <c r="Q725" s="96">
        <f t="shared" si="1007"/>
        <v>0</v>
      </c>
      <c r="R725" s="96">
        <v>0</v>
      </c>
      <c r="S725" s="97">
        <f t="shared" si="553"/>
        <v>0</v>
      </c>
      <c r="T725" s="97" t="str">
        <f ca="1">ROUNDUP(HLOOKUP(ROUNDUP(K725,0),'배송비 조회'!A$10:AE$22,7,0)*C$3,-2)</f>
        <v>#REF!</v>
      </c>
      <c r="U725" s="97">
        <v>0</v>
      </c>
      <c r="V725" s="97" t="str">
        <f t="shared" ca="1" si="981"/>
        <v>#REF!</v>
      </c>
      <c r="W725" s="97" t="str">
        <f t="shared" ca="1" si="982"/>
        <v>#REF!</v>
      </c>
      <c r="X725" s="98" t="str">
        <f t="shared" ca="1" si="882"/>
        <v>#REF!</v>
      </c>
      <c r="Y725" s="98" t="str">
        <f t="shared" ca="1" si="883"/>
        <v>#REF!</v>
      </c>
      <c r="Z725" s="121">
        <v>0</v>
      </c>
      <c r="AA725" s="121" t="str">
        <f t="shared" ca="1" si="556"/>
        <v>#REF!</v>
      </c>
      <c r="AB725" s="121" t="str">
        <f t="shared" ca="1" si="557"/>
        <v>#REF!</v>
      </c>
      <c r="AC725" s="99" t="str">
        <f t="shared" ca="1" si="8"/>
        <v>#REF!</v>
      </c>
      <c r="AD725" s="121" t="str">
        <f t="shared" ca="1" si="558"/>
        <v>#REF!</v>
      </c>
      <c r="AE725" s="99" t="str">
        <f t="shared" ca="1" si="10"/>
        <v>#REF!</v>
      </c>
      <c r="AF725" s="121" t="str">
        <f t="shared" ca="1" si="559"/>
        <v>#REF!</v>
      </c>
      <c r="AG725" s="100" t="str">
        <f t="shared" ca="1" si="560"/>
        <v>#REF!</v>
      </c>
      <c r="AH725" s="101" t="str">
        <f t="shared" ca="1" si="891"/>
        <v>#REF!</v>
      </c>
      <c r="AI725" s="102" t="str">
        <f t="shared" ref="AI725:AJ725" ca="1" si="1054">AG725/X725</f>
        <v>#REF!</v>
      </c>
      <c r="AJ725" s="102" t="str">
        <f t="shared" ca="1" si="1054"/>
        <v>#REF!</v>
      </c>
      <c r="AK725" s="212"/>
      <c r="AL725" s="213"/>
      <c r="AM725" s="4"/>
      <c r="AN725" s="4"/>
      <c r="AO725" s="4"/>
      <c r="AP725" s="4"/>
      <c r="AQ725" s="4"/>
      <c r="AR725" s="4"/>
      <c r="AS725" s="4"/>
      <c r="AT725" s="4"/>
      <c r="AU725" s="4"/>
      <c r="AV725" s="4"/>
      <c r="AW725" s="4"/>
    </row>
    <row r="726" spans="1:49" ht="13.2">
      <c r="A726" s="120"/>
      <c r="B726" s="266"/>
      <c r="C726" s="117"/>
      <c r="D726" s="117"/>
      <c r="E726" s="117"/>
      <c r="F726" s="123"/>
      <c r="G726" s="125" t="s">
        <v>145</v>
      </c>
      <c r="H726" s="125"/>
      <c r="I726" s="125"/>
      <c r="J726" s="125"/>
      <c r="K726" s="82" t="str">
        <f t="shared" ca="1" si="987"/>
        <v>#REF!</v>
      </c>
      <c r="L726" s="82" t="str">
        <f t="shared" ca="1" si="977"/>
        <v>#REF!</v>
      </c>
      <c r="M726" s="82" t="str">
        <f t="shared" ca="1" si="550"/>
        <v>#REF!</v>
      </c>
      <c r="N726" s="93"/>
      <c r="O726" s="93"/>
      <c r="P726" s="95">
        <f t="shared" si="965"/>
        <v>0</v>
      </c>
      <c r="Q726" s="96">
        <f t="shared" si="1007"/>
        <v>0</v>
      </c>
      <c r="R726" s="96">
        <v>0</v>
      </c>
      <c r="S726" s="97">
        <f t="shared" si="553"/>
        <v>0</v>
      </c>
      <c r="T726" s="97" t="str">
        <f ca="1">ROUNDUP(HLOOKUP(ROUNDUP(K726,0),'배송비 조회'!A$10:AE$22,7,0)*C$3,-2)</f>
        <v>#REF!</v>
      </c>
      <c r="U726" s="97">
        <v>0</v>
      </c>
      <c r="V726" s="97" t="str">
        <f t="shared" ca="1" si="981"/>
        <v>#REF!</v>
      </c>
      <c r="W726" s="97" t="str">
        <f t="shared" ca="1" si="982"/>
        <v>#REF!</v>
      </c>
      <c r="X726" s="98" t="str">
        <f t="shared" ca="1" si="882"/>
        <v>#REF!</v>
      </c>
      <c r="Y726" s="98" t="str">
        <f t="shared" ca="1" si="883"/>
        <v>#REF!</v>
      </c>
      <c r="Z726" s="121">
        <v>0</v>
      </c>
      <c r="AA726" s="121" t="str">
        <f t="shared" ca="1" si="556"/>
        <v>#REF!</v>
      </c>
      <c r="AB726" s="121" t="str">
        <f t="shared" ca="1" si="557"/>
        <v>#REF!</v>
      </c>
      <c r="AC726" s="99" t="str">
        <f t="shared" ca="1" si="8"/>
        <v>#REF!</v>
      </c>
      <c r="AD726" s="121" t="str">
        <f t="shared" ca="1" si="558"/>
        <v>#REF!</v>
      </c>
      <c r="AE726" s="99" t="str">
        <f t="shared" ca="1" si="10"/>
        <v>#REF!</v>
      </c>
      <c r="AF726" s="121" t="str">
        <f t="shared" ca="1" si="559"/>
        <v>#REF!</v>
      </c>
      <c r="AG726" s="100" t="str">
        <f t="shared" ca="1" si="560"/>
        <v>#REF!</v>
      </c>
      <c r="AH726" s="101" t="str">
        <f t="shared" ca="1" si="891"/>
        <v>#REF!</v>
      </c>
      <c r="AI726" s="102" t="str">
        <f t="shared" ref="AI726:AJ726" ca="1" si="1055">AG726/X726</f>
        <v>#REF!</v>
      </c>
      <c r="AJ726" s="102" t="str">
        <f t="shared" ca="1" si="1055"/>
        <v>#REF!</v>
      </c>
      <c r="AK726" s="212"/>
      <c r="AL726" s="213"/>
      <c r="AM726" s="4"/>
      <c r="AN726" s="4"/>
      <c r="AO726" s="4"/>
      <c r="AP726" s="4"/>
      <c r="AQ726" s="4"/>
      <c r="AR726" s="4"/>
      <c r="AS726" s="4"/>
      <c r="AT726" s="4"/>
      <c r="AU726" s="4"/>
      <c r="AV726" s="4"/>
      <c r="AW726" s="4"/>
    </row>
    <row r="727" spans="1:49" ht="13.2">
      <c r="A727" s="120"/>
      <c r="B727" s="266"/>
      <c r="C727" s="117"/>
      <c r="D727" s="117"/>
      <c r="E727" s="117"/>
      <c r="F727" s="123"/>
      <c r="G727" s="125" t="s">
        <v>145</v>
      </c>
      <c r="H727" s="125"/>
      <c r="I727" s="125"/>
      <c r="J727" s="125"/>
      <c r="K727" s="82" t="str">
        <f t="shared" ca="1" si="987"/>
        <v>#REF!</v>
      </c>
      <c r="L727" s="82" t="str">
        <f t="shared" ca="1" si="977"/>
        <v>#REF!</v>
      </c>
      <c r="M727" s="82" t="str">
        <f t="shared" ca="1" si="550"/>
        <v>#REF!</v>
      </c>
      <c r="N727" s="93"/>
      <c r="O727" s="93"/>
      <c r="P727" s="95">
        <f t="shared" si="965"/>
        <v>0</v>
      </c>
      <c r="Q727" s="96">
        <f t="shared" si="1007"/>
        <v>0</v>
      </c>
      <c r="R727" s="96">
        <v>0</v>
      </c>
      <c r="S727" s="97">
        <f t="shared" si="553"/>
        <v>0</v>
      </c>
      <c r="T727" s="97" t="str">
        <f ca="1">ROUNDUP(HLOOKUP(ROUNDUP(K727,0),'배송비 조회'!A$10:AE$22,7,0)*C$3,-2)</f>
        <v>#REF!</v>
      </c>
      <c r="U727" s="97">
        <v>0</v>
      </c>
      <c r="V727" s="97" t="str">
        <f t="shared" ca="1" si="981"/>
        <v>#REF!</v>
      </c>
      <c r="W727" s="97" t="str">
        <f t="shared" ca="1" si="982"/>
        <v>#REF!</v>
      </c>
      <c r="X727" s="98" t="str">
        <f t="shared" ca="1" si="882"/>
        <v>#REF!</v>
      </c>
      <c r="Y727" s="98" t="str">
        <f t="shared" ca="1" si="883"/>
        <v>#REF!</v>
      </c>
      <c r="Z727" s="121">
        <v>0</v>
      </c>
      <c r="AA727" s="121" t="str">
        <f t="shared" ca="1" si="556"/>
        <v>#REF!</v>
      </c>
      <c r="AB727" s="121" t="str">
        <f t="shared" ca="1" si="557"/>
        <v>#REF!</v>
      </c>
      <c r="AC727" s="99" t="str">
        <f t="shared" ca="1" si="8"/>
        <v>#REF!</v>
      </c>
      <c r="AD727" s="121" t="str">
        <f t="shared" ca="1" si="558"/>
        <v>#REF!</v>
      </c>
      <c r="AE727" s="99" t="str">
        <f t="shared" ca="1" si="10"/>
        <v>#REF!</v>
      </c>
      <c r="AF727" s="121" t="str">
        <f t="shared" ca="1" si="559"/>
        <v>#REF!</v>
      </c>
      <c r="AG727" s="100" t="str">
        <f t="shared" ca="1" si="560"/>
        <v>#REF!</v>
      </c>
      <c r="AH727" s="101" t="str">
        <f t="shared" ca="1" si="891"/>
        <v>#REF!</v>
      </c>
      <c r="AI727" s="102" t="str">
        <f t="shared" ref="AI727:AJ727" ca="1" si="1056">AG727/X727</f>
        <v>#REF!</v>
      </c>
      <c r="AJ727" s="102" t="str">
        <f t="shared" ca="1" si="1056"/>
        <v>#REF!</v>
      </c>
      <c r="AK727" s="212"/>
      <c r="AL727" s="213"/>
      <c r="AM727" s="4"/>
      <c r="AN727" s="4"/>
      <c r="AO727" s="4"/>
      <c r="AP727" s="4"/>
      <c r="AQ727" s="4"/>
      <c r="AR727" s="4"/>
      <c r="AS727" s="4"/>
      <c r="AT727" s="4"/>
      <c r="AU727" s="4"/>
      <c r="AV727" s="4"/>
      <c r="AW727" s="4"/>
    </row>
    <row r="728" spans="1:49" ht="13.2">
      <c r="A728" s="120"/>
      <c r="B728" s="266"/>
      <c r="C728" s="117"/>
      <c r="D728" s="117"/>
      <c r="E728" s="117"/>
      <c r="F728" s="123"/>
      <c r="G728" s="125" t="s">
        <v>145</v>
      </c>
      <c r="H728" s="125"/>
      <c r="I728" s="125"/>
      <c r="J728" s="125"/>
      <c r="K728" s="82" t="str">
        <f t="shared" ca="1" si="987"/>
        <v>#REF!</v>
      </c>
      <c r="L728" s="82" t="str">
        <f t="shared" ca="1" si="977"/>
        <v>#REF!</v>
      </c>
      <c r="M728" s="82" t="str">
        <f t="shared" ca="1" si="550"/>
        <v>#REF!</v>
      </c>
      <c r="N728" s="93"/>
      <c r="O728" s="93"/>
      <c r="P728" s="95">
        <f t="shared" si="965"/>
        <v>0</v>
      </c>
      <c r="Q728" s="96">
        <f t="shared" si="1007"/>
        <v>0</v>
      </c>
      <c r="R728" s="96">
        <v>0</v>
      </c>
      <c r="S728" s="97">
        <f t="shared" si="553"/>
        <v>0</v>
      </c>
      <c r="T728" s="97" t="str">
        <f ca="1">ROUNDUP(HLOOKUP(ROUNDUP(K728,0),'배송비 조회'!A$10:AE$22,7,0)*C$3,-2)</f>
        <v>#REF!</v>
      </c>
      <c r="U728" s="97">
        <v>0</v>
      </c>
      <c r="V728" s="97" t="str">
        <f t="shared" ca="1" si="981"/>
        <v>#REF!</v>
      </c>
      <c r="W728" s="97" t="str">
        <f t="shared" ca="1" si="982"/>
        <v>#REF!</v>
      </c>
      <c r="X728" s="98" t="str">
        <f t="shared" ca="1" si="882"/>
        <v>#REF!</v>
      </c>
      <c r="Y728" s="98" t="str">
        <f t="shared" ca="1" si="883"/>
        <v>#REF!</v>
      </c>
      <c r="Z728" s="121">
        <v>0</v>
      </c>
      <c r="AA728" s="121" t="str">
        <f t="shared" ca="1" si="556"/>
        <v>#REF!</v>
      </c>
      <c r="AB728" s="121" t="str">
        <f t="shared" ca="1" si="557"/>
        <v>#REF!</v>
      </c>
      <c r="AC728" s="99" t="str">
        <f t="shared" ca="1" si="8"/>
        <v>#REF!</v>
      </c>
      <c r="AD728" s="121" t="str">
        <f t="shared" ca="1" si="558"/>
        <v>#REF!</v>
      </c>
      <c r="AE728" s="99" t="str">
        <f t="shared" ca="1" si="10"/>
        <v>#REF!</v>
      </c>
      <c r="AF728" s="121" t="str">
        <f t="shared" ca="1" si="559"/>
        <v>#REF!</v>
      </c>
      <c r="AG728" s="100" t="str">
        <f t="shared" ca="1" si="560"/>
        <v>#REF!</v>
      </c>
      <c r="AH728" s="101" t="str">
        <f t="shared" ca="1" si="891"/>
        <v>#REF!</v>
      </c>
      <c r="AI728" s="102" t="str">
        <f t="shared" ref="AI728:AJ728" ca="1" si="1057">AG728/X728</f>
        <v>#REF!</v>
      </c>
      <c r="AJ728" s="102" t="str">
        <f t="shared" ca="1" si="1057"/>
        <v>#REF!</v>
      </c>
      <c r="AK728" s="212"/>
      <c r="AL728" s="213"/>
      <c r="AM728" s="4"/>
      <c r="AN728" s="4"/>
      <c r="AO728" s="4"/>
      <c r="AP728" s="4"/>
      <c r="AQ728" s="4"/>
      <c r="AR728" s="4"/>
      <c r="AS728" s="4"/>
      <c r="AT728" s="4"/>
      <c r="AU728" s="4"/>
      <c r="AV728" s="4"/>
      <c r="AW728" s="4"/>
    </row>
    <row r="729" spans="1:49" ht="13.2">
      <c r="A729" s="120"/>
      <c r="B729" s="266"/>
      <c r="C729" s="117"/>
      <c r="D729" s="117"/>
      <c r="E729" s="117"/>
      <c r="F729" s="123"/>
      <c r="G729" s="125" t="s">
        <v>145</v>
      </c>
      <c r="H729" s="125"/>
      <c r="I729" s="125"/>
      <c r="J729" s="125"/>
      <c r="K729" s="82" t="str">
        <f t="shared" ca="1" si="987"/>
        <v>#REF!</v>
      </c>
      <c r="L729" s="82" t="str">
        <f t="shared" ca="1" si="977"/>
        <v>#REF!</v>
      </c>
      <c r="M729" s="82" t="str">
        <f t="shared" ca="1" si="550"/>
        <v>#REF!</v>
      </c>
      <c r="N729" s="93"/>
      <c r="O729" s="93"/>
      <c r="P729" s="95">
        <f t="shared" si="965"/>
        <v>0</v>
      </c>
      <c r="Q729" s="96">
        <f t="shared" si="1007"/>
        <v>0</v>
      </c>
      <c r="R729" s="96">
        <v>0</v>
      </c>
      <c r="S729" s="97">
        <f t="shared" si="553"/>
        <v>0</v>
      </c>
      <c r="T729" s="97" t="str">
        <f ca="1">ROUNDUP(HLOOKUP(ROUNDUP(K729,0),'배송비 조회'!A$10:AE$22,7,0)*C$3,-2)</f>
        <v>#REF!</v>
      </c>
      <c r="U729" s="97">
        <v>0</v>
      </c>
      <c r="V729" s="97" t="str">
        <f t="shared" ca="1" si="981"/>
        <v>#REF!</v>
      </c>
      <c r="W729" s="97" t="str">
        <f t="shared" ca="1" si="982"/>
        <v>#REF!</v>
      </c>
      <c r="X729" s="98" t="str">
        <f t="shared" ca="1" si="882"/>
        <v>#REF!</v>
      </c>
      <c r="Y729" s="98" t="str">
        <f t="shared" ca="1" si="883"/>
        <v>#REF!</v>
      </c>
      <c r="Z729" s="121">
        <v>0</v>
      </c>
      <c r="AA729" s="121" t="str">
        <f t="shared" ca="1" si="556"/>
        <v>#REF!</v>
      </c>
      <c r="AB729" s="121" t="str">
        <f t="shared" ca="1" si="557"/>
        <v>#REF!</v>
      </c>
      <c r="AC729" s="99" t="str">
        <f t="shared" ca="1" si="8"/>
        <v>#REF!</v>
      </c>
      <c r="AD729" s="121" t="str">
        <f t="shared" ca="1" si="558"/>
        <v>#REF!</v>
      </c>
      <c r="AE729" s="99" t="str">
        <f t="shared" ca="1" si="10"/>
        <v>#REF!</v>
      </c>
      <c r="AF729" s="121" t="str">
        <f t="shared" ca="1" si="559"/>
        <v>#REF!</v>
      </c>
      <c r="AG729" s="100" t="str">
        <f t="shared" ca="1" si="560"/>
        <v>#REF!</v>
      </c>
      <c r="AH729" s="101" t="str">
        <f t="shared" ca="1" si="891"/>
        <v>#REF!</v>
      </c>
      <c r="AI729" s="102" t="str">
        <f t="shared" ref="AI729:AJ729" ca="1" si="1058">AG729/X729</f>
        <v>#REF!</v>
      </c>
      <c r="AJ729" s="102" t="str">
        <f t="shared" ca="1" si="1058"/>
        <v>#REF!</v>
      </c>
      <c r="AK729" s="212"/>
      <c r="AL729" s="213"/>
      <c r="AM729" s="4"/>
      <c r="AN729" s="4"/>
      <c r="AO729" s="4"/>
      <c r="AP729" s="4"/>
      <c r="AQ729" s="4"/>
      <c r="AR729" s="4"/>
      <c r="AS729" s="4"/>
      <c r="AT729" s="4"/>
      <c r="AU729" s="4"/>
      <c r="AV729" s="4"/>
      <c r="AW729" s="4"/>
    </row>
    <row r="730" spans="1:49" ht="13.2">
      <c r="A730" s="120"/>
      <c r="B730" s="266"/>
      <c r="C730" s="117"/>
      <c r="D730" s="117"/>
      <c r="E730" s="117"/>
      <c r="F730" s="123"/>
      <c r="G730" s="125" t="s">
        <v>145</v>
      </c>
      <c r="H730" s="125"/>
      <c r="I730" s="125"/>
      <c r="J730" s="125"/>
      <c r="K730" s="82" t="str">
        <f t="shared" ca="1" si="987"/>
        <v>#REF!</v>
      </c>
      <c r="L730" s="82" t="str">
        <f t="shared" ca="1" si="977"/>
        <v>#REF!</v>
      </c>
      <c r="M730" s="82" t="str">
        <f t="shared" ca="1" si="550"/>
        <v>#REF!</v>
      </c>
      <c r="N730" s="93"/>
      <c r="O730" s="93"/>
      <c r="P730" s="95">
        <f t="shared" si="965"/>
        <v>0</v>
      </c>
      <c r="Q730" s="96">
        <f t="shared" si="1007"/>
        <v>0</v>
      </c>
      <c r="R730" s="96">
        <v>0</v>
      </c>
      <c r="S730" s="97">
        <f t="shared" si="553"/>
        <v>0</v>
      </c>
      <c r="T730" s="97" t="str">
        <f ca="1">ROUNDUP(HLOOKUP(ROUNDUP(K730,0),'배송비 조회'!A$10:AE$22,7,0)*C$3,-2)</f>
        <v>#REF!</v>
      </c>
      <c r="U730" s="97">
        <v>0</v>
      </c>
      <c r="V730" s="97" t="str">
        <f t="shared" ca="1" si="981"/>
        <v>#REF!</v>
      </c>
      <c r="W730" s="97" t="str">
        <f t="shared" ca="1" si="982"/>
        <v>#REF!</v>
      </c>
      <c r="X730" s="98" t="str">
        <f t="shared" ca="1" si="882"/>
        <v>#REF!</v>
      </c>
      <c r="Y730" s="98" t="str">
        <f t="shared" ca="1" si="883"/>
        <v>#REF!</v>
      </c>
      <c r="Z730" s="121">
        <v>0</v>
      </c>
      <c r="AA730" s="121" t="str">
        <f t="shared" ca="1" si="556"/>
        <v>#REF!</v>
      </c>
      <c r="AB730" s="121" t="str">
        <f t="shared" ca="1" si="557"/>
        <v>#REF!</v>
      </c>
      <c r="AC730" s="99" t="str">
        <f t="shared" ca="1" si="8"/>
        <v>#REF!</v>
      </c>
      <c r="AD730" s="121" t="str">
        <f t="shared" ca="1" si="558"/>
        <v>#REF!</v>
      </c>
      <c r="AE730" s="99" t="str">
        <f t="shared" ca="1" si="10"/>
        <v>#REF!</v>
      </c>
      <c r="AF730" s="121" t="str">
        <f t="shared" ca="1" si="559"/>
        <v>#REF!</v>
      </c>
      <c r="AG730" s="100" t="str">
        <f t="shared" ca="1" si="560"/>
        <v>#REF!</v>
      </c>
      <c r="AH730" s="101" t="str">
        <f t="shared" ca="1" si="891"/>
        <v>#REF!</v>
      </c>
      <c r="AI730" s="102" t="str">
        <f t="shared" ref="AI730:AJ730" ca="1" si="1059">AG730/X730</f>
        <v>#REF!</v>
      </c>
      <c r="AJ730" s="102" t="str">
        <f t="shared" ca="1" si="1059"/>
        <v>#REF!</v>
      </c>
      <c r="AK730" s="212"/>
      <c r="AL730" s="213"/>
      <c r="AM730" s="4"/>
      <c r="AN730" s="4"/>
      <c r="AO730" s="4"/>
      <c r="AP730" s="4"/>
      <c r="AQ730" s="4"/>
      <c r="AR730" s="4"/>
      <c r="AS730" s="4"/>
      <c r="AT730" s="4"/>
      <c r="AU730" s="4"/>
      <c r="AV730" s="4"/>
      <c r="AW730" s="4"/>
    </row>
    <row r="731" spans="1:49" ht="13.2">
      <c r="A731" s="120"/>
      <c r="B731" s="266"/>
      <c r="C731" s="117"/>
      <c r="D731" s="117"/>
      <c r="E731" s="117"/>
      <c r="F731" s="123"/>
      <c r="G731" s="125" t="s">
        <v>145</v>
      </c>
      <c r="H731" s="125"/>
      <c r="I731" s="125"/>
      <c r="J731" s="125"/>
      <c r="K731" s="82" t="str">
        <f t="shared" ca="1" si="987"/>
        <v>#REF!</v>
      </c>
      <c r="L731" s="82" t="str">
        <f t="shared" ca="1" si="977"/>
        <v>#REF!</v>
      </c>
      <c r="M731" s="82" t="str">
        <f t="shared" ca="1" si="550"/>
        <v>#REF!</v>
      </c>
      <c r="N731" s="93"/>
      <c r="O731" s="93"/>
      <c r="P731" s="95">
        <f t="shared" si="965"/>
        <v>0</v>
      </c>
      <c r="Q731" s="96">
        <f t="shared" si="1007"/>
        <v>0</v>
      </c>
      <c r="R731" s="96">
        <v>0</v>
      </c>
      <c r="S731" s="97">
        <f t="shared" si="553"/>
        <v>0</v>
      </c>
      <c r="T731" s="97" t="str">
        <f ca="1">ROUNDUP(HLOOKUP(ROUNDUP(K731,0),'배송비 조회'!A$10:AE$22,7,0)*C$3,-2)</f>
        <v>#REF!</v>
      </c>
      <c r="U731" s="97">
        <v>0</v>
      </c>
      <c r="V731" s="97" t="str">
        <f t="shared" ca="1" si="981"/>
        <v>#REF!</v>
      </c>
      <c r="W731" s="97" t="str">
        <f t="shared" ca="1" si="982"/>
        <v>#REF!</v>
      </c>
      <c r="X731" s="98" t="str">
        <f t="shared" ca="1" si="882"/>
        <v>#REF!</v>
      </c>
      <c r="Y731" s="98" t="str">
        <f t="shared" ca="1" si="883"/>
        <v>#REF!</v>
      </c>
      <c r="Z731" s="121">
        <v>0</v>
      </c>
      <c r="AA731" s="121" t="str">
        <f t="shared" ca="1" si="556"/>
        <v>#REF!</v>
      </c>
      <c r="AB731" s="121" t="str">
        <f t="shared" ca="1" si="557"/>
        <v>#REF!</v>
      </c>
      <c r="AC731" s="99" t="str">
        <f t="shared" ca="1" si="8"/>
        <v>#REF!</v>
      </c>
      <c r="AD731" s="121" t="str">
        <f t="shared" ca="1" si="558"/>
        <v>#REF!</v>
      </c>
      <c r="AE731" s="99" t="str">
        <f t="shared" ca="1" si="10"/>
        <v>#REF!</v>
      </c>
      <c r="AF731" s="121" t="str">
        <f t="shared" ca="1" si="559"/>
        <v>#REF!</v>
      </c>
      <c r="AG731" s="100" t="str">
        <f t="shared" ca="1" si="560"/>
        <v>#REF!</v>
      </c>
      <c r="AH731" s="101" t="str">
        <f t="shared" ca="1" si="891"/>
        <v>#REF!</v>
      </c>
      <c r="AI731" s="102" t="str">
        <f t="shared" ref="AI731:AJ731" ca="1" si="1060">AG731/X731</f>
        <v>#REF!</v>
      </c>
      <c r="AJ731" s="102" t="str">
        <f t="shared" ca="1" si="1060"/>
        <v>#REF!</v>
      </c>
      <c r="AK731" s="212"/>
      <c r="AL731" s="213"/>
      <c r="AM731" s="4"/>
      <c r="AN731" s="4"/>
      <c r="AO731" s="4"/>
      <c r="AP731" s="4"/>
      <c r="AQ731" s="4"/>
      <c r="AR731" s="4"/>
      <c r="AS731" s="4"/>
      <c r="AT731" s="4"/>
      <c r="AU731" s="4"/>
      <c r="AV731" s="4"/>
      <c r="AW731" s="4"/>
    </row>
    <row r="732" spans="1:49" ht="13.2">
      <c r="A732" s="120"/>
      <c r="B732" s="266"/>
      <c r="C732" s="117"/>
      <c r="D732" s="117"/>
      <c r="E732" s="117"/>
      <c r="F732" s="123"/>
      <c r="G732" s="125" t="s">
        <v>145</v>
      </c>
      <c r="H732" s="125"/>
      <c r="I732" s="125"/>
      <c r="J732" s="125"/>
      <c r="K732" s="82" t="str">
        <f t="shared" ca="1" si="987"/>
        <v>#REF!</v>
      </c>
      <c r="L732" s="82" t="str">
        <f t="shared" ca="1" si="977"/>
        <v>#REF!</v>
      </c>
      <c r="M732" s="82" t="str">
        <f t="shared" ca="1" si="550"/>
        <v>#REF!</v>
      </c>
      <c r="N732" s="93"/>
      <c r="O732" s="93"/>
      <c r="P732" s="95">
        <f t="shared" si="965"/>
        <v>0</v>
      </c>
      <c r="Q732" s="96">
        <f t="shared" si="1007"/>
        <v>0</v>
      </c>
      <c r="R732" s="96">
        <v>0</v>
      </c>
      <c r="S732" s="97">
        <f t="shared" si="553"/>
        <v>0</v>
      </c>
      <c r="T732" s="97" t="str">
        <f ca="1">ROUNDUP(HLOOKUP(ROUNDUP(K732,0),'배송비 조회'!A$10:AE$22,7,0)*C$3,-2)</f>
        <v>#REF!</v>
      </c>
      <c r="U732" s="97">
        <v>0</v>
      </c>
      <c r="V732" s="97" t="str">
        <f t="shared" ca="1" si="981"/>
        <v>#REF!</v>
      </c>
      <c r="W732" s="97" t="str">
        <f t="shared" ca="1" si="982"/>
        <v>#REF!</v>
      </c>
      <c r="X732" s="98" t="str">
        <f t="shared" ca="1" si="882"/>
        <v>#REF!</v>
      </c>
      <c r="Y732" s="98" t="str">
        <f t="shared" ca="1" si="883"/>
        <v>#REF!</v>
      </c>
      <c r="Z732" s="121">
        <v>0</v>
      </c>
      <c r="AA732" s="121" t="str">
        <f t="shared" ca="1" si="556"/>
        <v>#REF!</v>
      </c>
      <c r="AB732" s="121" t="str">
        <f t="shared" ca="1" si="557"/>
        <v>#REF!</v>
      </c>
      <c r="AC732" s="99" t="str">
        <f t="shared" ca="1" si="8"/>
        <v>#REF!</v>
      </c>
      <c r="AD732" s="121" t="str">
        <f t="shared" ca="1" si="558"/>
        <v>#REF!</v>
      </c>
      <c r="AE732" s="99" t="str">
        <f t="shared" ca="1" si="10"/>
        <v>#REF!</v>
      </c>
      <c r="AF732" s="121" t="str">
        <f t="shared" ca="1" si="559"/>
        <v>#REF!</v>
      </c>
      <c r="AG732" s="100" t="str">
        <f t="shared" ca="1" si="560"/>
        <v>#REF!</v>
      </c>
      <c r="AH732" s="101" t="str">
        <f t="shared" ca="1" si="891"/>
        <v>#REF!</v>
      </c>
      <c r="AI732" s="102" t="str">
        <f t="shared" ref="AI732:AJ732" ca="1" si="1061">AG732/X732</f>
        <v>#REF!</v>
      </c>
      <c r="AJ732" s="102" t="str">
        <f t="shared" ca="1" si="1061"/>
        <v>#REF!</v>
      </c>
      <c r="AK732" s="212"/>
      <c r="AL732" s="213"/>
      <c r="AM732" s="4"/>
      <c r="AN732" s="4"/>
      <c r="AO732" s="4"/>
      <c r="AP732" s="4"/>
      <c r="AQ732" s="4"/>
      <c r="AR732" s="4"/>
      <c r="AS732" s="4"/>
      <c r="AT732" s="4"/>
      <c r="AU732" s="4"/>
      <c r="AV732" s="4"/>
      <c r="AW732" s="4"/>
    </row>
    <row r="733" spans="1:49" ht="13.2">
      <c r="A733" s="120"/>
      <c r="B733" s="266"/>
      <c r="C733" s="117"/>
      <c r="D733" s="117"/>
      <c r="E733" s="117"/>
      <c r="F733" s="123"/>
      <c r="G733" s="125" t="s">
        <v>145</v>
      </c>
      <c r="H733" s="125"/>
      <c r="I733" s="125"/>
      <c r="J733" s="125"/>
      <c r="K733" s="82" t="str">
        <f t="shared" ca="1" si="987"/>
        <v>#REF!</v>
      </c>
      <c r="L733" s="82" t="str">
        <f t="shared" ca="1" si="977"/>
        <v>#REF!</v>
      </c>
      <c r="M733" s="82" t="str">
        <f t="shared" ca="1" si="550"/>
        <v>#REF!</v>
      </c>
      <c r="N733" s="93"/>
      <c r="O733" s="93"/>
      <c r="P733" s="95">
        <f t="shared" si="965"/>
        <v>0</v>
      </c>
      <c r="Q733" s="96">
        <f t="shared" si="1007"/>
        <v>0</v>
      </c>
      <c r="R733" s="96">
        <v>0</v>
      </c>
      <c r="S733" s="97">
        <f t="shared" si="553"/>
        <v>0</v>
      </c>
      <c r="T733" s="97" t="str">
        <f ca="1">ROUNDUP(HLOOKUP(ROUNDUP(K733,0),'배송비 조회'!A$10:AE$22,7,0)*C$3,-2)</f>
        <v>#REF!</v>
      </c>
      <c r="U733" s="97">
        <v>0</v>
      </c>
      <c r="V733" s="97" t="str">
        <f t="shared" ca="1" si="981"/>
        <v>#REF!</v>
      </c>
      <c r="W733" s="97" t="str">
        <f t="shared" ca="1" si="982"/>
        <v>#REF!</v>
      </c>
      <c r="X733" s="98" t="str">
        <f t="shared" ca="1" si="882"/>
        <v>#REF!</v>
      </c>
      <c r="Y733" s="98" t="str">
        <f t="shared" ca="1" si="883"/>
        <v>#REF!</v>
      </c>
      <c r="Z733" s="121">
        <v>0</v>
      </c>
      <c r="AA733" s="121" t="str">
        <f t="shared" ca="1" si="556"/>
        <v>#REF!</v>
      </c>
      <c r="AB733" s="121" t="str">
        <f t="shared" ca="1" si="557"/>
        <v>#REF!</v>
      </c>
      <c r="AC733" s="99" t="str">
        <f t="shared" ca="1" si="8"/>
        <v>#REF!</v>
      </c>
      <c r="AD733" s="121" t="str">
        <f t="shared" ca="1" si="558"/>
        <v>#REF!</v>
      </c>
      <c r="AE733" s="99" t="str">
        <f t="shared" ca="1" si="10"/>
        <v>#REF!</v>
      </c>
      <c r="AF733" s="121" t="str">
        <f t="shared" ca="1" si="559"/>
        <v>#REF!</v>
      </c>
      <c r="AG733" s="100" t="str">
        <f t="shared" ca="1" si="560"/>
        <v>#REF!</v>
      </c>
      <c r="AH733" s="101" t="str">
        <f t="shared" ca="1" si="891"/>
        <v>#REF!</v>
      </c>
      <c r="AI733" s="102" t="str">
        <f t="shared" ref="AI733:AJ733" ca="1" si="1062">AG733/X733</f>
        <v>#REF!</v>
      </c>
      <c r="AJ733" s="102" t="str">
        <f t="shared" ca="1" si="1062"/>
        <v>#REF!</v>
      </c>
      <c r="AK733" s="212"/>
      <c r="AL733" s="213"/>
      <c r="AM733" s="4"/>
      <c r="AN733" s="4"/>
      <c r="AO733" s="4"/>
      <c r="AP733" s="4"/>
      <c r="AQ733" s="4"/>
      <c r="AR733" s="4"/>
      <c r="AS733" s="4"/>
      <c r="AT733" s="4"/>
      <c r="AU733" s="4"/>
      <c r="AV733" s="4"/>
      <c r="AW733" s="4"/>
    </row>
    <row r="734" spans="1:49" ht="13.2">
      <c r="A734" s="120"/>
      <c r="B734" s="266"/>
      <c r="C734" s="117"/>
      <c r="D734" s="117"/>
      <c r="E734" s="117"/>
      <c r="F734" s="123"/>
      <c r="G734" s="125" t="s">
        <v>145</v>
      </c>
      <c r="H734" s="125"/>
      <c r="I734" s="125"/>
      <c r="J734" s="125"/>
      <c r="K734" s="82" t="str">
        <f t="shared" ca="1" si="987"/>
        <v>#REF!</v>
      </c>
      <c r="L734" s="82" t="str">
        <f t="shared" ca="1" si="977"/>
        <v>#REF!</v>
      </c>
      <c r="M734" s="82" t="str">
        <f t="shared" ca="1" si="550"/>
        <v>#REF!</v>
      </c>
      <c r="N734" s="93"/>
      <c r="O734" s="93"/>
      <c r="P734" s="95">
        <f t="shared" si="965"/>
        <v>0</v>
      </c>
      <c r="Q734" s="96">
        <f t="shared" si="1007"/>
        <v>0</v>
      </c>
      <c r="R734" s="96">
        <v>0</v>
      </c>
      <c r="S734" s="97">
        <f t="shared" si="553"/>
        <v>0</v>
      </c>
      <c r="T734" s="97" t="str">
        <f ca="1">ROUNDUP(HLOOKUP(ROUNDUP(K734,0),'배송비 조회'!A$10:AE$22,7,0)*C$3,-2)</f>
        <v>#REF!</v>
      </c>
      <c r="U734" s="97">
        <v>0</v>
      </c>
      <c r="V734" s="97" t="str">
        <f t="shared" ca="1" si="981"/>
        <v>#REF!</v>
      </c>
      <c r="W734" s="97" t="str">
        <f t="shared" ca="1" si="982"/>
        <v>#REF!</v>
      </c>
      <c r="X734" s="98" t="str">
        <f t="shared" ca="1" si="882"/>
        <v>#REF!</v>
      </c>
      <c r="Y734" s="98" t="str">
        <f t="shared" ca="1" si="883"/>
        <v>#REF!</v>
      </c>
      <c r="Z734" s="121">
        <v>0</v>
      </c>
      <c r="AA734" s="121" t="str">
        <f t="shared" ca="1" si="556"/>
        <v>#REF!</v>
      </c>
      <c r="AB734" s="121" t="str">
        <f t="shared" ca="1" si="557"/>
        <v>#REF!</v>
      </c>
      <c r="AC734" s="99" t="str">
        <f t="shared" ca="1" si="8"/>
        <v>#REF!</v>
      </c>
      <c r="AD734" s="121" t="str">
        <f t="shared" ca="1" si="558"/>
        <v>#REF!</v>
      </c>
      <c r="AE734" s="99" t="str">
        <f t="shared" ca="1" si="10"/>
        <v>#REF!</v>
      </c>
      <c r="AF734" s="121" t="str">
        <f t="shared" ca="1" si="559"/>
        <v>#REF!</v>
      </c>
      <c r="AG734" s="100" t="str">
        <f t="shared" ca="1" si="560"/>
        <v>#REF!</v>
      </c>
      <c r="AH734" s="101" t="str">
        <f t="shared" ca="1" si="891"/>
        <v>#REF!</v>
      </c>
      <c r="AI734" s="102" t="str">
        <f t="shared" ref="AI734:AJ734" ca="1" si="1063">AG734/X734</f>
        <v>#REF!</v>
      </c>
      <c r="AJ734" s="102" t="str">
        <f t="shared" ca="1" si="1063"/>
        <v>#REF!</v>
      </c>
      <c r="AK734" s="212"/>
      <c r="AL734" s="213"/>
      <c r="AM734" s="4"/>
      <c r="AN734" s="4"/>
      <c r="AO734" s="4"/>
      <c r="AP734" s="4"/>
      <c r="AQ734" s="4"/>
      <c r="AR734" s="4"/>
      <c r="AS734" s="4"/>
      <c r="AT734" s="4"/>
      <c r="AU734" s="4"/>
      <c r="AV734" s="4"/>
      <c r="AW734" s="4"/>
    </row>
    <row r="735" spans="1:49" ht="13.2">
      <c r="A735" s="120"/>
      <c r="B735" s="266"/>
      <c r="C735" s="117"/>
      <c r="D735" s="117"/>
      <c r="E735" s="117"/>
      <c r="F735" s="123"/>
      <c r="G735" s="125" t="s">
        <v>145</v>
      </c>
      <c r="H735" s="125"/>
      <c r="I735" s="125"/>
      <c r="J735" s="125"/>
      <c r="K735" s="82" t="str">
        <f t="shared" ca="1" si="987"/>
        <v>#REF!</v>
      </c>
      <c r="L735" s="82" t="str">
        <f t="shared" ca="1" si="977"/>
        <v>#REF!</v>
      </c>
      <c r="M735" s="82" t="str">
        <f t="shared" ca="1" si="550"/>
        <v>#REF!</v>
      </c>
      <c r="N735" s="93"/>
      <c r="O735" s="93"/>
      <c r="P735" s="95">
        <f t="shared" si="965"/>
        <v>0</v>
      </c>
      <c r="Q735" s="96">
        <f t="shared" si="1007"/>
        <v>0</v>
      </c>
      <c r="R735" s="96">
        <v>0</v>
      </c>
      <c r="S735" s="97">
        <f t="shared" si="553"/>
        <v>0</v>
      </c>
      <c r="T735" s="97" t="str">
        <f ca="1">ROUNDUP(HLOOKUP(ROUNDUP(K735,0),'배송비 조회'!A$10:AE$22,7,0)*C$3,-2)</f>
        <v>#REF!</v>
      </c>
      <c r="U735" s="97">
        <v>0</v>
      </c>
      <c r="V735" s="97" t="str">
        <f t="shared" ca="1" si="981"/>
        <v>#REF!</v>
      </c>
      <c r="W735" s="97" t="str">
        <f t="shared" ca="1" si="982"/>
        <v>#REF!</v>
      </c>
      <c r="X735" s="98" t="str">
        <f t="shared" ca="1" si="882"/>
        <v>#REF!</v>
      </c>
      <c r="Y735" s="98" t="str">
        <f t="shared" ca="1" si="883"/>
        <v>#REF!</v>
      </c>
      <c r="Z735" s="121">
        <v>0</v>
      </c>
      <c r="AA735" s="121" t="str">
        <f t="shared" ca="1" si="556"/>
        <v>#REF!</v>
      </c>
      <c r="AB735" s="121" t="str">
        <f t="shared" ca="1" si="557"/>
        <v>#REF!</v>
      </c>
      <c r="AC735" s="99" t="str">
        <f t="shared" ca="1" si="8"/>
        <v>#REF!</v>
      </c>
      <c r="AD735" s="121" t="str">
        <f t="shared" ca="1" si="558"/>
        <v>#REF!</v>
      </c>
      <c r="AE735" s="99" t="str">
        <f t="shared" ca="1" si="10"/>
        <v>#REF!</v>
      </c>
      <c r="AF735" s="121" t="str">
        <f t="shared" ca="1" si="559"/>
        <v>#REF!</v>
      </c>
      <c r="AG735" s="100" t="str">
        <f t="shared" ca="1" si="560"/>
        <v>#REF!</v>
      </c>
      <c r="AH735" s="101" t="str">
        <f t="shared" ca="1" si="891"/>
        <v>#REF!</v>
      </c>
      <c r="AI735" s="102" t="str">
        <f t="shared" ref="AI735:AJ735" ca="1" si="1064">AG735/X735</f>
        <v>#REF!</v>
      </c>
      <c r="AJ735" s="102" t="str">
        <f t="shared" ca="1" si="1064"/>
        <v>#REF!</v>
      </c>
      <c r="AK735" s="212"/>
      <c r="AL735" s="213"/>
      <c r="AM735" s="4"/>
      <c r="AN735" s="4"/>
      <c r="AO735" s="4"/>
      <c r="AP735" s="4"/>
      <c r="AQ735" s="4"/>
      <c r="AR735" s="4"/>
      <c r="AS735" s="4"/>
      <c r="AT735" s="4"/>
      <c r="AU735" s="4"/>
      <c r="AV735" s="4"/>
      <c r="AW735" s="4"/>
    </row>
    <row r="736" spans="1:49" ht="13.2">
      <c r="A736" s="120"/>
      <c r="B736" s="266"/>
      <c r="C736" s="117"/>
      <c r="D736" s="117"/>
      <c r="E736" s="117"/>
      <c r="F736" s="123"/>
      <c r="G736" s="125" t="s">
        <v>145</v>
      </c>
      <c r="H736" s="125"/>
      <c r="I736" s="125"/>
      <c r="J736" s="125"/>
      <c r="K736" s="82" t="str">
        <f t="shared" ca="1" si="987"/>
        <v>#REF!</v>
      </c>
      <c r="L736" s="82" t="str">
        <f t="shared" ca="1" si="977"/>
        <v>#REF!</v>
      </c>
      <c r="M736" s="82" t="str">
        <f t="shared" ca="1" si="550"/>
        <v>#REF!</v>
      </c>
      <c r="N736" s="93"/>
      <c r="O736" s="93"/>
      <c r="P736" s="95">
        <f t="shared" si="965"/>
        <v>0</v>
      </c>
      <c r="Q736" s="96">
        <f t="shared" si="1007"/>
        <v>0</v>
      </c>
      <c r="R736" s="96">
        <v>0</v>
      </c>
      <c r="S736" s="97">
        <f t="shared" si="553"/>
        <v>0</v>
      </c>
      <c r="T736" s="97" t="str">
        <f ca="1">ROUNDUP(HLOOKUP(ROUNDUP(K736,0),'배송비 조회'!A$10:AE$22,7,0)*C$3,-2)</f>
        <v>#REF!</v>
      </c>
      <c r="U736" s="97">
        <v>0</v>
      </c>
      <c r="V736" s="97" t="str">
        <f t="shared" ca="1" si="981"/>
        <v>#REF!</v>
      </c>
      <c r="W736" s="97" t="str">
        <f t="shared" ca="1" si="982"/>
        <v>#REF!</v>
      </c>
      <c r="X736" s="98" t="str">
        <f t="shared" ca="1" si="882"/>
        <v>#REF!</v>
      </c>
      <c r="Y736" s="98" t="str">
        <f t="shared" ca="1" si="883"/>
        <v>#REF!</v>
      </c>
      <c r="Z736" s="121">
        <v>0</v>
      </c>
      <c r="AA736" s="121" t="str">
        <f t="shared" ca="1" si="556"/>
        <v>#REF!</v>
      </c>
      <c r="AB736" s="121" t="str">
        <f t="shared" ca="1" si="557"/>
        <v>#REF!</v>
      </c>
      <c r="AC736" s="99" t="str">
        <f t="shared" ca="1" si="8"/>
        <v>#REF!</v>
      </c>
      <c r="AD736" s="121" t="str">
        <f t="shared" ca="1" si="558"/>
        <v>#REF!</v>
      </c>
      <c r="AE736" s="99" t="str">
        <f t="shared" ca="1" si="10"/>
        <v>#REF!</v>
      </c>
      <c r="AF736" s="121" t="str">
        <f t="shared" ca="1" si="559"/>
        <v>#REF!</v>
      </c>
      <c r="AG736" s="100" t="str">
        <f t="shared" ca="1" si="560"/>
        <v>#REF!</v>
      </c>
      <c r="AH736" s="101" t="str">
        <f t="shared" ca="1" si="891"/>
        <v>#REF!</v>
      </c>
      <c r="AI736" s="102" t="str">
        <f t="shared" ref="AI736:AJ736" ca="1" si="1065">AG736/X736</f>
        <v>#REF!</v>
      </c>
      <c r="AJ736" s="102" t="str">
        <f t="shared" ca="1" si="1065"/>
        <v>#REF!</v>
      </c>
      <c r="AK736" s="212"/>
      <c r="AL736" s="213"/>
      <c r="AM736" s="4"/>
      <c r="AN736" s="4"/>
      <c r="AO736" s="4"/>
      <c r="AP736" s="4"/>
      <c r="AQ736" s="4"/>
      <c r="AR736" s="4"/>
      <c r="AS736" s="4"/>
      <c r="AT736" s="4"/>
      <c r="AU736" s="4"/>
      <c r="AV736" s="4"/>
      <c r="AW736" s="4"/>
    </row>
    <row r="737" spans="1:49" ht="13.2">
      <c r="A737" s="120"/>
      <c r="B737" s="266"/>
      <c r="C737" s="117"/>
      <c r="D737" s="117"/>
      <c r="E737" s="117"/>
      <c r="F737" s="123"/>
      <c r="G737" s="125" t="s">
        <v>145</v>
      </c>
      <c r="H737" s="125"/>
      <c r="I737" s="125"/>
      <c r="J737" s="125"/>
      <c r="K737" s="82" t="str">
        <f t="shared" ca="1" si="987"/>
        <v>#REF!</v>
      </c>
      <c r="L737" s="82" t="str">
        <f t="shared" ca="1" si="977"/>
        <v>#REF!</v>
      </c>
      <c r="M737" s="82" t="str">
        <f t="shared" ca="1" si="550"/>
        <v>#REF!</v>
      </c>
      <c r="N737" s="93"/>
      <c r="O737" s="93"/>
      <c r="P737" s="95">
        <f t="shared" si="965"/>
        <v>0</v>
      </c>
      <c r="Q737" s="96">
        <f t="shared" si="1007"/>
        <v>0</v>
      </c>
      <c r="R737" s="96">
        <v>0</v>
      </c>
      <c r="S737" s="97">
        <f t="shared" si="553"/>
        <v>0</v>
      </c>
      <c r="T737" s="97" t="str">
        <f ca="1">ROUNDUP(HLOOKUP(ROUNDUP(K737,0),'배송비 조회'!A$10:AE$22,7,0)*C$3,-2)</f>
        <v>#REF!</v>
      </c>
      <c r="U737" s="97">
        <v>0</v>
      </c>
      <c r="V737" s="97" t="str">
        <f t="shared" ca="1" si="981"/>
        <v>#REF!</v>
      </c>
      <c r="W737" s="97" t="str">
        <f t="shared" ca="1" si="982"/>
        <v>#REF!</v>
      </c>
      <c r="X737" s="98" t="str">
        <f t="shared" ca="1" si="882"/>
        <v>#REF!</v>
      </c>
      <c r="Y737" s="98" t="str">
        <f t="shared" ca="1" si="883"/>
        <v>#REF!</v>
      </c>
      <c r="Z737" s="121">
        <v>0</v>
      </c>
      <c r="AA737" s="121" t="str">
        <f t="shared" ca="1" si="556"/>
        <v>#REF!</v>
      </c>
      <c r="AB737" s="121" t="str">
        <f t="shared" ca="1" si="557"/>
        <v>#REF!</v>
      </c>
      <c r="AC737" s="99" t="str">
        <f t="shared" ca="1" si="8"/>
        <v>#REF!</v>
      </c>
      <c r="AD737" s="121" t="str">
        <f t="shared" ca="1" si="558"/>
        <v>#REF!</v>
      </c>
      <c r="AE737" s="99" t="str">
        <f t="shared" ca="1" si="10"/>
        <v>#REF!</v>
      </c>
      <c r="AF737" s="121" t="str">
        <f t="shared" ca="1" si="559"/>
        <v>#REF!</v>
      </c>
      <c r="AG737" s="100" t="str">
        <f t="shared" ca="1" si="560"/>
        <v>#REF!</v>
      </c>
      <c r="AH737" s="101" t="str">
        <f t="shared" ca="1" si="891"/>
        <v>#REF!</v>
      </c>
      <c r="AI737" s="102" t="str">
        <f t="shared" ref="AI737:AJ737" ca="1" si="1066">AG737/X737</f>
        <v>#REF!</v>
      </c>
      <c r="AJ737" s="102" t="str">
        <f t="shared" ca="1" si="1066"/>
        <v>#REF!</v>
      </c>
      <c r="AK737" s="212"/>
      <c r="AL737" s="213"/>
      <c r="AM737" s="4"/>
      <c r="AN737" s="4"/>
      <c r="AO737" s="4"/>
      <c r="AP737" s="4"/>
      <c r="AQ737" s="4"/>
      <c r="AR737" s="4"/>
      <c r="AS737" s="4"/>
      <c r="AT737" s="4"/>
      <c r="AU737" s="4"/>
      <c r="AV737" s="4"/>
      <c r="AW737" s="4"/>
    </row>
    <row r="738" spans="1:49" ht="13.2">
      <c r="A738" s="120"/>
      <c r="B738" s="266"/>
      <c r="C738" s="117"/>
      <c r="D738" s="117"/>
      <c r="E738" s="117"/>
      <c r="F738" s="123"/>
      <c r="G738" s="125" t="s">
        <v>145</v>
      </c>
      <c r="H738" s="125"/>
      <c r="I738" s="125"/>
      <c r="J738" s="125"/>
      <c r="K738" s="82" t="str">
        <f t="shared" ca="1" si="987"/>
        <v>#REF!</v>
      </c>
      <c r="L738" s="82" t="str">
        <f t="shared" ca="1" si="977"/>
        <v>#REF!</v>
      </c>
      <c r="M738" s="82" t="str">
        <f t="shared" ca="1" si="550"/>
        <v>#REF!</v>
      </c>
      <c r="N738" s="93"/>
      <c r="O738" s="93"/>
      <c r="P738" s="95">
        <f t="shared" si="965"/>
        <v>0</v>
      </c>
      <c r="Q738" s="96">
        <f t="shared" si="1007"/>
        <v>0</v>
      </c>
      <c r="R738" s="96">
        <v>0</v>
      </c>
      <c r="S738" s="97">
        <f t="shared" si="553"/>
        <v>0</v>
      </c>
      <c r="T738" s="97" t="str">
        <f ca="1">ROUNDUP(HLOOKUP(ROUNDUP(K738,0),'배송비 조회'!A$10:AE$22,7,0)*C$3,-2)</f>
        <v>#REF!</v>
      </c>
      <c r="U738" s="97">
        <v>0</v>
      </c>
      <c r="V738" s="97" t="str">
        <f t="shared" ca="1" si="981"/>
        <v>#REF!</v>
      </c>
      <c r="W738" s="97" t="str">
        <f t="shared" ca="1" si="982"/>
        <v>#REF!</v>
      </c>
      <c r="X738" s="98" t="str">
        <f t="shared" ca="1" si="882"/>
        <v>#REF!</v>
      </c>
      <c r="Y738" s="98" t="str">
        <f t="shared" ca="1" si="883"/>
        <v>#REF!</v>
      </c>
      <c r="Z738" s="121">
        <v>0</v>
      </c>
      <c r="AA738" s="121" t="str">
        <f t="shared" ca="1" si="556"/>
        <v>#REF!</v>
      </c>
      <c r="AB738" s="121" t="str">
        <f t="shared" ca="1" si="557"/>
        <v>#REF!</v>
      </c>
      <c r="AC738" s="99" t="str">
        <f t="shared" ca="1" si="8"/>
        <v>#REF!</v>
      </c>
      <c r="AD738" s="121" t="str">
        <f t="shared" ca="1" si="558"/>
        <v>#REF!</v>
      </c>
      <c r="AE738" s="99" t="str">
        <f t="shared" ca="1" si="10"/>
        <v>#REF!</v>
      </c>
      <c r="AF738" s="121" t="str">
        <f t="shared" ca="1" si="559"/>
        <v>#REF!</v>
      </c>
      <c r="AG738" s="100" t="str">
        <f t="shared" ca="1" si="560"/>
        <v>#REF!</v>
      </c>
      <c r="AH738" s="101" t="str">
        <f t="shared" ca="1" si="891"/>
        <v>#REF!</v>
      </c>
      <c r="AI738" s="102" t="str">
        <f t="shared" ref="AI738:AJ738" ca="1" si="1067">AG738/X738</f>
        <v>#REF!</v>
      </c>
      <c r="AJ738" s="102" t="str">
        <f t="shared" ca="1" si="1067"/>
        <v>#REF!</v>
      </c>
      <c r="AK738" s="212"/>
      <c r="AL738" s="213"/>
      <c r="AM738" s="4"/>
      <c r="AN738" s="4"/>
      <c r="AO738" s="4"/>
      <c r="AP738" s="4"/>
      <c r="AQ738" s="4"/>
      <c r="AR738" s="4"/>
      <c r="AS738" s="4"/>
      <c r="AT738" s="4"/>
      <c r="AU738" s="4"/>
      <c r="AV738" s="4"/>
      <c r="AW738" s="4"/>
    </row>
    <row r="739" spans="1:49" ht="13.2">
      <c r="A739" s="120"/>
      <c r="B739" s="266"/>
      <c r="C739" s="117"/>
      <c r="D739" s="117"/>
      <c r="E739" s="117"/>
      <c r="F739" s="123"/>
      <c r="G739" s="125" t="s">
        <v>145</v>
      </c>
      <c r="H739" s="125"/>
      <c r="I739" s="125"/>
      <c r="J739" s="125"/>
      <c r="K739" s="82" t="str">
        <f t="shared" ca="1" si="987"/>
        <v>#REF!</v>
      </c>
      <c r="L739" s="82" t="str">
        <f t="shared" ca="1" si="977"/>
        <v>#REF!</v>
      </c>
      <c r="M739" s="82" t="str">
        <f t="shared" ca="1" si="550"/>
        <v>#REF!</v>
      </c>
      <c r="N739" s="93"/>
      <c r="O739" s="93"/>
      <c r="P739" s="95">
        <f t="shared" si="965"/>
        <v>0</v>
      </c>
      <c r="Q739" s="96">
        <f t="shared" si="1007"/>
        <v>0</v>
      </c>
      <c r="R739" s="96">
        <v>0</v>
      </c>
      <c r="S739" s="97">
        <f t="shared" si="553"/>
        <v>0</v>
      </c>
      <c r="T739" s="97" t="str">
        <f ca="1">ROUNDUP(HLOOKUP(ROUNDUP(K739,0),'배송비 조회'!A$10:AE$22,7,0)*C$3,-2)</f>
        <v>#REF!</v>
      </c>
      <c r="U739" s="97">
        <v>0</v>
      </c>
      <c r="V739" s="97" t="str">
        <f t="shared" ca="1" si="981"/>
        <v>#REF!</v>
      </c>
      <c r="W739" s="97" t="str">
        <f t="shared" ca="1" si="982"/>
        <v>#REF!</v>
      </c>
      <c r="X739" s="98" t="str">
        <f t="shared" ca="1" si="882"/>
        <v>#REF!</v>
      </c>
      <c r="Y739" s="98" t="str">
        <f t="shared" ca="1" si="883"/>
        <v>#REF!</v>
      </c>
      <c r="Z739" s="121">
        <v>0</v>
      </c>
      <c r="AA739" s="121" t="str">
        <f t="shared" ca="1" si="556"/>
        <v>#REF!</v>
      </c>
      <c r="AB739" s="121" t="str">
        <f t="shared" ca="1" si="557"/>
        <v>#REF!</v>
      </c>
      <c r="AC739" s="99" t="str">
        <f t="shared" ca="1" si="8"/>
        <v>#REF!</v>
      </c>
      <c r="AD739" s="121" t="str">
        <f t="shared" ca="1" si="558"/>
        <v>#REF!</v>
      </c>
      <c r="AE739" s="99" t="str">
        <f t="shared" ca="1" si="10"/>
        <v>#REF!</v>
      </c>
      <c r="AF739" s="121" t="str">
        <f t="shared" ca="1" si="559"/>
        <v>#REF!</v>
      </c>
      <c r="AG739" s="100" t="str">
        <f t="shared" ca="1" si="560"/>
        <v>#REF!</v>
      </c>
      <c r="AH739" s="101" t="str">
        <f t="shared" ca="1" si="891"/>
        <v>#REF!</v>
      </c>
      <c r="AI739" s="102" t="str">
        <f t="shared" ref="AI739:AJ739" ca="1" si="1068">AG739/X739</f>
        <v>#REF!</v>
      </c>
      <c r="AJ739" s="102" t="str">
        <f t="shared" ca="1" si="1068"/>
        <v>#REF!</v>
      </c>
      <c r="AK739" s="212"/>
      <c r="AL739" s="213"/>
      <c r="AM739" s="4"/>
      <c r="AN739" s="4"/>
      <c r="AO739" s="4"/>
      <c r="AP739" s="4"/>
      <c r="AQ739" s="4"/>
      <c r="AR739" s="4"/>
      <c r="AS739" s="4"/>
      <c r="AT739" s="4"/>
      <c r="AU739" s="4"/>
      <c r="AV739" s="4"/>
      <c r="AW739" s="4"/>
    </row>
    <row r="740" spans="1:49" ht="13.2">
      <c r="A740" s="120"/>
      <c r="B740" s="266"/>
      <c r="C740" s="117"/>
      <c r="D740" s="117"/>
      <c r="E740" s="117"/>
      <c r="F740" s="123"/>
      <c r="G740" s="125" t="s">
        <v>145</v>
      </c>
      <c r="H740" s="125"/>
      <c r="I740" s="125"/>
      <c r="J740" s="125"/>
      <c r="K740" s="82" t="str">
        <f t="shared" ca="1" si="987"/>
        <v>#REF!</v>
      </c>
      <c r="L740" s="82" t="str">
        <f t="shared" ca="1" si="977"/>
        <v>#REF!</v>
      </c>
      <c r="M740" s="82" t="str">
        <f t="shared" ca="1" si="550"/>
        <v>#REF!</v>
      </c>
      <c r="N740" s="93"/>
      <c r="O740" s="93"/>
      <c r="P740" s="95">
        <f t="shared" si="965"/>
        <v>0</v>
      </c>
      <c r="Q740" s="96">
        <f t="shared" si="1007"/>
        <v>0</v>
      </c>
      <c r="R740" s="96">
        <v>0</v>
      </c>
      <c r="S740" s="97">
        <f t="shared" si="553"/>
        <v>0</v>
      </c>
      <c r="T740" s="97" t="str">
        <f ca="1">ROUNDUP(HLOOKUP(ROUNDUP(K740,0),'배송비 조회'!A$10:AE$22,7,0)*C$3,-2)</f>
        <v>#REF!</v>
      </c>
      <c r="U740" s="97">
        <v>0</v>
      </c>
      <c r="V740" s="97" t="str">
        <f t="shared" ca="1" si="981"/>
        <v>#REF!</v>
      </c>
      <c r="W740" s="97" t="str">
        <f t="shared" ca="1" si="982"/>
        <v>#REF!</v>
      </c>
      <c r="X740" s="98" t="str">
        <f t="shared" ca="1" si="882"/>
        <v>#REF!</v>
      </c>
      <c r="Y740" s="98" t="str">
        <f t="shared" ca="1" si="883"/>
        <v>#REF!</v>
      </c>
      <c r="Z740" s="121">
        <v>0</v>
      </c>
      <c r="AA740" s="121" t="str">
        <f t="shared" ca="1" si="556"/>
        <v>#REF!</v>
      </c>
      <c r="AB740" s="121" t="str">
        <f t="shared" ca="1" si="557"/>
        <v>#REF!</v>
      </c>
      <c r="AC740" s="99" t="str">
        <f t="shared" ca="1" si="8"/>
        <v>#REF!</v>
      </c>
      <c r="AD740" s="121" t="str">
        <f t="shared" ca="1" si="558"/>
        <v>#REF!</v>
      </c>
      <c r="AE740" s="99" t="str">
        <f t="shared" ca="1" si="10"/>
        <v>#REF!</v>
      </c>
      <c r="AF740" s="121" t="str">
        <f t="shared" ca="1" si="559"/>
        <v>#REF!</v>
      </c>
      <c r="AG740" s="100" t="str">
        <f t="shared" ca="1" si="560"/>
        <v>#REF!</v>
      </c>
      <c r="AH740" s="101" t="str">
        <f t="shared" ca="1" si="891"/>
        <v>#REF!</v>
      </c>
      <c r="AI740" s="102" t="str">
        <f t="shared" ref="AI740:AJ740" ca="1" si="1069">AG740/X740</f>
        <v>#REF!</v>
      </c>
      <c r="AJ740" s="102" t="str">
        <f t="shared" ca="1" si="1069"/>
        <v>#REF!</v>
      </c>
      <c r="AK740" s="212"/>
      <c r="AL740" s="213"/>
      <c r="AM740" s="4"/>
      <c r="AN740" s="4"/>
      <c r="AO740" s="4"/>
      <c r="AP740" s="4"/>
      <c r="AQ740" s="4"/>
      <c r="AR740" s="4"/>
      <c r="AS740" s="4"/>
      <c r="AT740" s="4"/>
      <c r="AU740" s="4"/>
      <c r="AV740" s="4"/>
      <c r="AW740" s="4"/>
    </row>
    <row r="741" spans="1:49" ht="13.2">
      <c r="A741" s="120"/>
      <c r="B741" s="266"/>
      <c r="C741" s="117"/>
      <c r="D741" s="117"/>
      <c r="E741" s="117"/>
      <c r="F741" s="123"/>
      <c r="G741" s="125" t="s">
        <v>145</v>
      </c>
      <c r="H741" s="125"/>
      <c r="I741" s="125"/>
      <c r="J741" s="125"/>
      <c r="K741" s="82" t="str">
        <f t="shared" ca="1" si="987"/>
        <v>#REF!</v>
      </c>
      <c r="L741" s="82" t="str">
        <f t="shared" ca="1" si="977"/>
        <v>#REF!</v>
      </c>
      <c r="M741" s="82" t="str">
        <f t="shared" ca="1" si="550"/>
        <v>#REF!</v>
      </c>
      <c r="N741" s="93"/>
      <c r="O741" s="93"/>
      <c r="P741" s="95">
        <f t="shared" si="965"/>
        <v>0</v>
      </c>
      <c r="Q741" s="96">
        <f t="shared" si="1007"/>
        <v>0</v>
      </c>
      <c r="R741" s="96">
        <v>0</v>
      </c>
      <c r="S741" s="97">
        <f t="shared" si="553"/>
        <v>0</v>
      </c>
      <c r="T741" s="97" t="str">
        <f ca="1">ROUNDUP(HLOOKUP(ROUNDUP(K741,0),'배송비 조회'!A$10:AE$22,7,0)*C$3,-2)</f>
        <v>#REF!</v>
      </c>
      <c r="U741" s="97">
        <v>0</v>
      </c>
      <c r="V741" s="97" t="str">
        <f t="shared" ca="1" si="981"/>
        <v>#REF!</v>
      </c>
      <c r="W741" s="97" t="str">
        <f t="shared" ca="1" si="982"/>
        <v>#REF!</v>
      </c>
      <c r="X741" s="98" t="str">
        <f t="shared" ca="1" si="882"/>
        <v>#REF!</v>
      </c>
      <c r="Y741" s="98" t="str">
        <f t="shared" ca="1" si="883"/>
        <v>#REF!</v>
      </c>
      <c r="Z741" s="121">
        <v>0</v>
      </c>
      <c r="AA741" s="121" t="str">
        <f t="shared" ca="1" si="556"/>
        <v>#REF!</v>
      </c>
      <c r="AB741" s="121" t="str">
        <f t="shared" ca="1" si="557"/>
        <v>#REF!</v>
      </c>
      <c r="AC741" s="99" t="str">
        <f t="shared" ca="1" si="8"/>
        <v>#REF!</v>
      </c>
      <c r="AD741" s="121" t="str">
        <f t="shared" ca="1" si="558"/>
        <v>#REF!</v>
      </c>
      <c r="AE741" s="99" t="str">
        <f t="shared" ca="1" si="10"/>
        <v>#REF!</v>
      </c>
      <c r="AF741" s="121" t="str">
        <f t="shared" ca="1" si="559"/>
        <v>#REF!</v>
      </c>
      <c r="AG741" s="100" t="str">
        <f t="shared" ca="1" si="560"/>
        <v>#REF!</v>
      </c>
      <c r="AH741" s="101" t="str">
        <f t="shared" ca="1" si="891"/>
        <v>#REF!</v>
      </c>
      <c r="AI741" s="102" t="str">
        <f t="shared" ref="AI741:AJ741" ca="1" si="1070">AG741/X741</f>
        <v>#REF!</v>
      </c>
      <c r="AJ741" s="102" t="str">
        <f t="shared" ca="1" si="1070"/>
        <v>#REF!</v>
      </c>
      <c r="AK741" s="212"/>
      <c r="AL741" s="213"/>
      <c r="AM741" s="4"/>
      <c r="AN741" s="4"/>
      <c r="AO741" s="4"/>
      <c r="AP741" s="4"/>
      <c r="AQ741" s="4"/>
      <c r="AR741" s="4"/>
      <c r="AS741" s="4"/>
      <c r="AT741" s="4"/>
      <c r="AU741" s="4"/>
      <c r="AV741" s="4"/>
      <c r="AW741" s="4"/>
    </row>
    <row r="742" spans="1:49" ht="13.2">
      <c r="A742" s="120"/>
      <c r="B742" s="266"/>
      <c r="C742" s="117"/>
      <c r="D742" s="117"/>
      <c r="E742" s="117"/>
      <c r="F742" s="123"/>
      <c r="G742" s="125" t="s">
        <v>145</v>
      </c>
      <c r="H742" s="125"/>
      <c r="I742" s="125"/>
      <c r="J742" s="125"/>
      <c r="K742" s="82" t="str">
        <f t="shared" ca="1" si="987"/>
        <v>#REF!</v>
      </c>
      <c r="L742" s="82" t="str">
        <f t="shared" ca="1" si="977"/>
        <v>#REF!</v>
      </c>
      <c r="M742" s="82" t="str">
        <f t="shared" ca="1" si="550"/>
        <v>#REF!</v>
      </c>
      <c r="N742" s="93"/>
      <c r="O742" s="93"/>
      <c r="P742" s="95">
        <f t="shared" si="965"/>
        <v>0</v>
      </c>
      <c r="Q742" s="96">
        <f t="shared" si="1007"/>
        <v>0</v>
      </c>
      <c r="R742" s="96">
        <v>0</v>
      </c>
      <c r="S742" s="97">
        <f t="shared" si="553"/>
        <v>0</v>
      </c>
      <c r="T742" s="97" t="str">
        <f ca="1">ROUNDUP(HLOOKUP(ROUNDUP(K742,0),'배송비 조회'!A$10:AE$22,7,0)*C$3,-2)</f>
        <v>#REF!</v>
      </c>
      <c r="U742" s="97">
        <v>0</v>
      </c>
      <c r="V742" s="97" t="str">
        <f t="shared" ca="1" si="981"/>
        <v>#REF!</v>
      </c>
      <c r="W742" s="97" t="str">
        <f t="shared" ca="1" si="982"/>
        <v>#REF!</v>
      </c>
      <c r="X742" s="98" t="str">
        <f t="shared" ca="1" si="882"/>
        <v>#REF!</v>
      </c>
      <c r="Y742" s="98" t="str">
        <f t="shared" ca="1" si="883"/>
        <v>#REF!</v>
      </c>
      <c r="Z742" s="121">
        <v>0</v>
      </c>
      <c r="AA742" s="121" t="str">
        <f t="shared" ca="1" si="556"/>
        <v>#REF!</v>
      </c>
      <c r="AB742" s="121" t="str">
        <f t="shared" ca="1" si="557"/>
        <v>#REF!</v>
      </c>
      <c r="AC742" s="99" t="str">
        <f t="shared" ca="1" si="8"/>
        <v>#REF!</v>
      </c>
      <c r="AD742" s="121" t="str">
        <f t="shared" ca="1" si="558"/>
        <v>#REF!</v>
      </c>
      <c r="AE742" s="99" t="str">
        <f t="shared" ca="1" si="10"/>
        <v>#REF!</v>
      </c>
      <c r="AF742" s="121" t="str">
        <f t="shared" ca="1" si="559"/>
        <v>#REF!</v>
      </c>
      <c r="AG742" s="100" t="str">
        <f t="shared" ca="1" si="560"/>
        <v>#REF!</v>
      </c>
      <c r="AH742" s="101" t="str">
        <f t="shared" ca="1" si="891"/>
        <v>#REF!</v>
      </c>
      <c r="AI742" s="102" t="str">
        <f t="shared" ref="AI742:AJ742" ca="1" si="1071">AG742/X742</f>
        <v>#REF!</v>
      </c>
      <c r="AJ742" s="102" t="str">
        <f t="shared" ca="1" si="1071"/>
        <v>#REF!</v>
      </c>
      <c r="AK742" s="212"/>
      <c r="AL742" s="213"/>
      <c r="AM742" s="4"/>
      <c r="AN742" s="4"/>
      <c r="AO742" s="4"/>
      <c r="AP742" s="4"/>
      <c r="AQ742" s="4"/>
      <c r="AR742" s="4"/>
      <c r="AS742" s="4"/>
      <c r="AT742" s="4"/>
      <c r="AU742" s="4"/>
      <c r="AV742" s="4"/>
      <c r="AW742" s="4"/>
    </row>
    <row r="743" spans="1:49" ht="13.2">
      <c r="A743" s="120"/>
      <c r="B743" s="266"/>
      <c r="C743" s="117"/>
      <c r="D743" s="117"/>
      <c r="E743" s="117"/>
      <c r="F743" s="123"/>
      <c r="G743" s="125" t="s">
        <v>145</v>
      </c>
      <c r="H743" s="125"/>
      <c r="I743" s="125"/>
      <c r="J743" s="125"/>
      <c r="K743" s="82" t="str">
        <f t="shared" ca="1" si="987"/>
        <v>#REF!</v>
      </c>
      <c r="L743" s="82" t="str">
        <f t="shared" ca="1" si="977"/>
        <v>#REF!</v>
      </c>
      <c r="M743" s="82" t="str">
        <f t="shared" ca="1" si="550"/>
        <v>#REF!</v>
      </c>
      <c r="N743" s="93"/>
      <c r="O743" s="93"/>
      <c r="P743" s="95">
        <f t="shared" si="965"/>
        <v>0</v>
      </c>
      <c r="Q743" s="96">
        <f t="shared" ref="Q743:Q806" si="1072">P743*C$3</f>
        <v>0</v>
      </c>
      <c r="R743" s="96">
        <v>0</v>
      </c>
      <c r="S743" s="97">
        <f t="shared" si="553"/>
        <v>0</v>
      </c>
      <c r="T743" s="97" t="str">
        <f ca="1">ROUNDUP(HLOOKUP(ROUNDUP(K743,0),'배송비 조회'!A$10:AE$22,7,0)*C$3,-2)</f>
        <v>#REF!</v>
      </c>
      <c r="U743" s="97">
        <v>0</v>
      </c>
      <c r="V743" s="97" t="str">
        <f t="shared" ca="1" si="981"/>
        <v>#REF!</v>
      </c>
      <c r="W743" s="97" t="str">
        <f t="shared" ca="1" si="982"/>
        <v>#REF!</v>
      </c>
      <c r="X743" s="98" t="str">
        <f t="shared" ca="1" si="882"/>
        <v>#REF!</v>
      </c>
      <c r="Y743" s="98" t="str">
        <f t="shared" ca="1" si="883"/>
        <v>#REF!</v>
      </c>
      <c r="Z743" s="121">
        <v>0</v>
      </c>
      <c r="AA743" s="121" t="str">
        <f t="shared" ca="1" si="556"/>
        <v>#REF!</v>
      </c>
      <c r="AB743" s="121" t="str">
        <f t="shared" ca="1" si="557"/>
        <v>#REF!</v>
      </c>
      <c r="AC743" s="99" t="str">
        <f t="shared" ca="1" si="8"/>
        <v>#REF!</v>
      </c>
      <c r="AD743" s="121" t="str">
        <f t="shared" ca="1" si="558"/>
        <v>#REF!</v>
      </c>
      <c r="AE743" s="99" t="str">
        <f t="shared" ca="1" si="10"/>
        <v>#REF!</v>
      </c>
      <c r="AF743" s="121" t="str">
        <f t="shared" ca="1" si="559"/>
        <v>#REF!</v>
      </c>
      <c r="AG743" s="100" t="str">
        <f t="shared" ca="1" si="560"/>
        <v>#REF!</v>
      </c>
      <c r="AH743" s="101" t="str">
        <f t="shared" ca="1" si="891"/>
        <v>#REF!</v>
      </c>
      <c r="AI743" s="102" t="str">
        <f t="shared" ref="AI743:AJ743" ca="1" si="1073">AG743/X743</f>
        <v>#REF!</v>
      </c>
      <c r="AJ743" s="102" t="str">
        <f t="shared" ca="1" si="1073"/>
        <v>#REF!</v>
      </c>
      <c r="AK743" s="212"/>
      <c r="AL743" s="213"/>
      <c r="AM743" s="4"/>
      <c r="AN743" s="4"/>
      <c r="AO743" s="4"/>
      <c r="AP743" s="4"/>
      <c r="AQ743" s="4"/>
      <c r="AR743" s="4"/>
      <c r="AS743" s="4"/>
      <c r="AT743" s="4"/>
      <c r="AU743" s="4"/>
      <c r="AV743" s="4"/>
      <c r="AW743" s="4"/>
    </row>
    <row r="744" spans="1:49" ht="13.2">
      <c r="A744" s="120"/>
      <c r="B744" s="266"/>
      <c r="C744" s="117"/>
      <c r="D744" s="117"/>
      <c r="E744" s="117"/>
      <c r="F744" s="123"/>
      <c r="G744" s="125" t="s">
        <v>145</v>
      </c>
      <c r="H744" s="125"/>
      <c r="I744" s="125"/>
      <c r="J744" s="125"/>
      <c r="K744" s="82" t="str">
        <f t="shared" ca="1" si="987"/>
        <v>#REF!</v>
      </c>
      <c r="L744" s="82" t="str">
        <f t="shared" ca="1" si="977"/>
        <v>#REF!</v>
      </c>
      <c r="M744" s="82" t="str">
        <f t="shared" ca="1" si="550"/>
        <v>#REF!</v>
      </c>
      <c r="N744" s="93"/>
      <c r="O744" s="93"/>
      <c r="P744" s="95">
        <f t="shared" si="965"/>
        <v>0</v>
      </c>
      <c r="Q744" s="96">
        <f t="shared" si="1072"/>
        <v>0</v>
      </c>
      <c r="R744" s="96">
        <v>0</v>
      </c>
      <c r="S744" s="97">
        <f t="shared" si="553"/>
        <v>0</v>
      </c>
      <c r="T744" s="97" t="str">
        <f ca="1">ROUNDUP(HLOOKUP(ROUNDUP(K744,0),'배송비 조회'!A$10:AE$22,7,0)*C$3,-2)</f>
        <v>#REF!</v>
      </c>
      <c r="U744" s="97">
        <v>0</v>
      </c>
      <c r="V744" s="97" t="str">
        <f t="shared" ca="1" si="981"/>
        <v>#REF!</v>
      </c>
      <c r="W744" s="97" t="str">
        <f t="shared" ca="1" si="982"/>
        <v>#REF!</v>
      </c>
      <c r="X744" s="98" t="str">
        <f t="shared" ca="1" si="882"/>
        <v>#REF!</v>
      </c>
      <c r="Y744" s="98" t="str">
        <f t="shared" ca="1" si="883"/>
        <v>#REF!</v>
      </c>
      <c r="Z744" s="121">
        <v>0</v>
      </c>
      <c r="AA744" s="121" t="str">
        <f t="shared" ca="1" si="556"/>
        <v>#REF!</v>
      </c>
      <c r="AB744" s="121" t="str">
        <f t="shared" ca="1" si="557"/>
        <v>#REF!</v>
      </c>
      <c r="AC744" s="99" t="str">
        <f t="shared" ca="1" si="8"/>
        <v>#REF!</v>
      </c>
      <c r="AD744" s="121" t="str">
        <f t="shared" ca="1" si="558"/>
        <v>#REF!</v>
      </c>
      <c r="AE744" s="99" t="str">
        <f t="shared" ca="1" si="10"/>
        <v>#REF!</v>
      </c>
      <c r="AF744" s="121" t="str">
        <f t="shared" ca="1" si="559"/>
        <v>#REF!</v>
      </c>
      <c r="AG744" s="100" t="str">
        <f t="shared" ca="1" si="560"/>
        <v>#REF!</v>
      </c>
      <c r="AH744" s="101" t="str">
        <f t="shared" ca="1" si="891"/>
        <v>#REF!</v>
      </c>
      <c r="AI744" s="102" t="str">
        <f t="shared" ref="AI744:AJ744" ca="1" si="1074">AG744/X744</f>
        <v>#REF!</v>
      </c>
      <c r="AJ744" s="102" t="str">
        <f t="shared" ca="1" si="1074"/>
        <v>#REF!</v>
      </c>
      <c r="AK744" s="212"/>
      <c r="AL744" s="213"/>
      <c r="AM744" s="4"/>
      <c r="AN744" s="4"/>
      <c r="AO744" s="4"/>
      <c r="AP744" s="4"/>
      <c r="AQ744" s="4"/>
      <c r="AR744" s="4"/>
      <c r="AS744" s="4"/>
      <c r="AT744" s="4"/>
      <c r="AU744" s="4"/>
      <c r="AV744" s="4"/>
      <c r="AW744" s="4"/>
    </row>
    <row r="745" spans="1:49" ht="13.2">
      <c r="A745" s="120"/>
      <c r="B745" s="266"/>
      <c r="C745" s="117"/>
      <c r="D745" s="117"/>
      <c r="E745" s="117"/>
      <c r="F745" s="123"/>
      <c r="G745" s="125" t="s">
        <v>145</v>
      </c>
      <c r="H745" s="125"/>
      <c r="I745" s="125"/>
      <c r="J745" s="125"/>
      <c r="K745" s="82" t="str">
        <f t="shared" ca="1" si="987"/>
        <v>#REF!</v>
      </c>
      <c r="L745" s="82" t="str">
        <f t="shared" ca="1" si="977"/>
        <v>#REF!</v>
      </c>
      <c r="M745" s="82" t="str">
        <f t="shared" ca="1" si="550"/>
        <v>#REF!</v>
      </c>
      <c r="N745" s="93"/>
      <c r="O745" s="93"/>
      <c r="P745" s="95">
        <f t="shared" si="965"/>
        <v>0</v>
      </c>
      <c r="Q745" s="96">
        <f t="shared" si="1072"/>
        <v>0</v>
      </c>
      <c r="R745" s="96">
        <v>0</v>
      </c>
      <c r="S745" s="97">
        <f t="shared" si="553"/>
        <v>0</v>
      </c>
      <c r="T745" s="97" t="str">
        <f ca="1">ROUNDUP(HLOOKUP(ROUNDUP(K745,0),'배송비 조회'!A$10:AE$22,7,0)*C$3,-2)</f>
        <v>#REF!</v>
      </c>
      <c r="U745" s="97">
        <v>0</v>
      </c>
      <c r="V745" s="97" t="str">
        <f t="shared" ca="1" si="981"/>
        <v>#REF!</v>
      </c>
      <c r="W745" s="97" t="str">
        <f t="shared" ca="1" si="982"/>
        <v>#REF!</v>
      </c>
      <c r="X745" s="98" t="str">
        <f t="shared" ca="1" si="882"/>
        <v>#REF!</v>
      </c>
      <c r="Y745" s="98" t="str">
        <f t="shared" ca="1" si="883"/>
        <v>#REF!</v>
      </c>
      <c r="Z745" s="121">
        <v>0</v>
      </c>
      <c r="AA745" s="121" t="str">
        <f t="shared" ca="1" si="556"/>
        <v>#REF!</v>
      </c>
      <c r="AB745" s="121" t="str">
        <f t="shared" ca="1" si="557"/>
        <v>#REF!</v>
      </c>
      <c r="AC745" s="99" t="str">
        <f t="shared" ca="1" si="8"/>
        <v>#REF!</v>
      </c>
      <c r="AD745" s="121" t="str">
        <f t="shared" ca="1" si="558"/>
        <v>#REF!</v>
      </c>
      <c r="AE745" s="99" t="str">
        <f t="shared" ca="1" si="10"/>
        <v>#REF!</v>
      </c>
      <c r="AF745" s="121" t="str">
        <f t="shared" ca="1" si="559"/>
        <v>#REF!</v>
      </c>
      <c r="AG745" s="100" t="str">
        <f t="shared" ca="1" si="560"/>
        <v>#REF!</v>
      </c>
      <c r="AH745" s="101" t="str">
        <f t="shared" ca="1" si="891"/>
        <v>#REF!</v>
      </c>
      <c r="AI745" s="102" t="str">
        <f t="shared" ref="AI745:AJ745" ca="1" si="1075">AG745/X745</f>
        <v>#REF!</v>
      </c>
      <c r="AJ745" s="102" t="str">
        <f t="shared" ca="1" si="1075"/>
        <v>#REF!</v>
      </c>
      <c r="AK745" s="212"/>
      <c r="AL745" s="213"/>
      <c r="AM745" s="4"/>
      <c r="AN745" s="4"/>
      <c r="AO745" s="4"/>
      <c r="AP745" s="4"/>
      <c r="AQ745" s="4"/>
      <c r="AR745" s="4"/>
      <c r="AS745" s="4"/>
      <c r="AT745" s="4"/>
      <c r="AU745" s="4"/>
      <c r="AV745" s="4"/>
      <c r="AW745" s="4"/>
    </row>
    <row r="746" spans="1:49" ht="13.2">
      <c r="A746" s="120"/>
      <c r="B746" s="266"/>
      <c r="C746" s="117"/>
      <c r="D746" s="117"/>
      <c r="E746" s="117"/>
      <c r="F746" s="123"/>
      <c r="G746" s="125" t="s">
        <v>145</v>
      </c>
      <c r="H746" s="125"/>
      <c r="I746" s="125"/>
      <c r="J746" s="125"/>
      <c r="K746" s="82" t="str">
        <f t="shared" ca="1" si="987"/>
        <v>#REF!</v>
      </c>
      <c r="L746" s="82" t="str">
        <f t="shared" ca="1" si="977"/>
        <v>#REF!</v>
      </c>
      <c r="M746" s="82" t="str">
        <f t="shared" ca="1" si="550"/>
        <v>#REF!</v>
      </c>
      <c r="N746" s="93"/>
      <c r="O746" s="93"/>
      <c r="P746" s="95">
        <f t="shared" si="965"/>
        <v>0</v>
      </c>
      <c r="Q746" s="96">
        <f t="shared" si="1072"/>
        <v>0</v>
      </c>
      <c r="R746" s="96">
        <v>0</v>
      </c>
      <c r="S746" s="97">
        <f t="shared" si="553"/>
        <v>0</v>
      </c>
      <c r="T746" s="97" t="str">
        <f ca="1">ROUNDUP(HLOOKUP(ROUNDUP(K746,0),'배송비 조회'!A$10:AE$22,7,0)*C$3,-2)</f>
        <v>#REF!</v>
      </c>
      <c r="U746" s="97">
        <v>0</v>
      </c>
      <c r="V746" s="97" t="str">
        <f t="shared" ca="1" si="981"/>
        <v>#REF!</v>
      </c>
      <c r="W746" s="97" t="str">
        <f t="shared" ca="1" si="982"/>
        <v>#REF!</v>
      </c>
      <c r="X746" s="98" t="str">
        <f t="shared" ca="1" si="882"/>
        <v>#REF!</v>
      </c>
      <c r="Y746" s="98" t="str">
        <f t="shared" ca="1" si="883"/>
        <v>#REF!</v>
      </c>
      <c r="Z746" s="121">
        <v>0</v>
      </c>
      <c r="AA746" s="121" t="str">
        <f t="shared" ca="1" si="556"/>
        <v>#REF!</v>
      </c>
      <c r="AB746" s="121" t="str">
        <f t="shared" ca="1" si="557"/>
        <v>#REF!</v>
      </c>
      <c r="AC746" s="99" t="str">
        <f t="shared" ca="1" si="8"/>
        <v>#REF!</v>
      </c>
      <c r="AD746" s="121" t="str">
        <f t="shared" ca="1" si="558"/>
        <v>#REF!</v>
      </c>
      <c r="AE746" s="99" t="str">
        <f t="shared" ca="1" si="10"/>
        <v>#REF!</v>
      </c>
      <c r="AF746" s="121" t="str">
        <f t="shared" ca="1" si="559"/>
        <v>#REF!</v>
      </c>
      <c r="AG746" s="100" t="str">
        <f t="shared" ca="1" si="560"/>
        <v>#REF!</v>
      </c>
      <c r="AH746" s="101" t="str">
        <f t="shared" ca="1" si="891"/>
        <v>#REF!</v>
      </c>
      <c r="AI746" s="102" t="str">
        <f t="shared" ref="AI746:AJ746" ca="1" si="1076">AG746/X746</f>
        <v>#REF!</v>
      </c>
      <c r="AJ746" s="102" t="str">
        <f t="shared" ca="1" si="1076"/>
        <v>#REF!</v>
      </c>
      <c r="AK746" s="212"/>
      <c r="AL746" s="213"/>
      <c r="AM746" s="4"/>
      <c r="AN746" s="4"/>
      <c r="AO746" s="4"/>
      <c r="AP746" s="4"/>
      <c r="AQ746" s="4"/>
      <c r="AR746" s="4"/>
      <c r="AS746" s="4"/>
      <c r="AT746" s="4"/>
      <c r="AU746" s="4"/>
      <c r="AV746" s="4"/>
      <c r="AW746" s="4"/>
    </row>
    <row r="747" spans="1:49" ht="13.2">
      <c r="A747" s="120"/>
      <c r="B747" s="266"/>
      <c r="C747" s="117"/>
      <c r="D747" s="117"/>
      <c r="E747" s="117"/>
      <c r="F747" s="123"/>
      <c r="G747" s="125" t="s">
        <v>145</v>
      </c>
      <c r="H747" s="125"/>
      <c r="I747" s="125"/>
      <c r="J747" s="125"/>
      <c r="K747" s="82" t="str">
        <f t="shared" ca="1" si="987"/>
        <v>#REF!</v>
      </c>
      <c r="L747" s="82" t="str">
        <f t="shared" ca="1" si="977"/>
        <v>#REF!</v>
      </c>
      <c r="M747" s="82" t="str">
        <f t="shared" ca="1" si="550"/>
        <v>#REF!</v>
      </c>
      <c r="N747" s="93"/>
      <c r="O747" s="93"/>
      <c r="P747" s="95">
        <f t="shared" si="965"/>
        <v>0</v>
      </c>
      <c r="Q747" s="96">
        <f t="shared" si="1072"/>
        <v>0</v>
      </c>
      <c r="R747" s="96">
        <v>0</v>
      </c>
      <c r="S747" s="97">
        <f t="shared" si="553"/>
        <v>0</v>
      </c>
      <c r="T747" s="97" t="str">
        <f ca="1">ROUNDUP(HLOOKUP(ROUNDUP(K747,0),'배송비 조회'!A$10:AE$22,7,0)*C$3,-2)</f>
        <v>#REF!</v>
      </c>
      <c r="U747" s="97">
        <v>0</v>
      </c>
      <c r="V747" s="97" t="str">
        <f t="shared" ca="1" si="981"/>
        <v>#REF!</v>
      </c>
      <c r="W747" s="97" t="str">
        <f t="shared" ca="1" si="982"/>
        <v>#REF!</v>
      </c>
      <c r="X747" s="98" t="str">
        <f t="shared" ca="1" si="882"/>
        <v>#REF!</v>
      </c>
      <c r="Y747" s="98" t="str">
        <f t="shared" ca="1" si="883"/>
        <v>#REF!</v>
      </c>
      <c r="Z747" s="121">
        <v>0</v>
      </c>
      <c r="AA747" s="121" t="str">
        <f t="shared" ca="1" si="556"/>
        <v>#REF!</v>
      </c>
      <c r="AB747" s="121" t="str">
        <f t="shared" ca="1" si="557"/>
        <v>#REF!</v>
      </c>
      <c r="AC747" s="99" t="str">
        <f t="shared" ca="1" si="8"/>
        <v>#REF!</v>
      </c>
      <c r="AD747" s="121" t="str">
        <f t="shared" ca="1" si="558"/>
        <v>#REF!</v>
      </c>
      <c r="AE747" s="99" t="str">
        <f t="shared" ca="1" si="10"/>
        <v>#REF!</v>
      </c>
      <c r="AF747" s="121" t="str">
        <f t="shared" ca="1" si="559"/>
        <v>#REF!</v>
      </c>
      <c r="AG747" s="100" t="str">
        <f t="shared" ca="1" si="560"/>
        <v>#REF!</v>
      </c>
      <c r="AH747" s="101" t="str">
        <f t="shared" ca="1" si="891"/>
        <v>#REF!</v>
      </c>
      <c r="AI747" s="102" t="str">
        <f t="shared" ref="AI747:AJ747" ca="1" si="1077">AG747/X747</f>
        <v>#REF!</v>
      </c>
      <c r="AJ747" s="102" t="str">
        <f t="shared" ca="1" si="1077"/>
        <v>#REF!</v>
      </c>
      <c r="AK747" s="212"/>
      <c r="AL747" s="213"/>
      <c r="AM747" s="4"/>
      <c r="AN747" s="4"/>
      <c r="AO747" s="4"/>
      <c r="AP747" s="4"/>
      <c r="AQ747" s="4"/>
      <c r="AR747" s="4"/>
      <c r="AS747" s="4"/>
      <c r="AT747" s="4"/>
      <c r="AU747" s="4"/>
      <c r="AV747" s="4"/>
      <c r="AW747" s="4"/>
    </row>
    <row r="748" spans="1:49" ht="13.2">
      <c r="A748" s="120"/>
      <c r="B748" s="266"/>
      <c r="C748" s="117"/>
      <c r="D748" s="117"/>
      <c r="E748" s="117"/>
      <c r="F748" s="123"/>
      <c r="G748" s="125" t="s">
        <v>145</v>
      </c>
      <c r="H748" s="125"/>
      <c r="I748" s="125"/>
      <c r="J748" s="125"/>
      <c r="K748" s="82" t="str">
        <f t="shared" ca="1" si="987"/>
        <v>#REF!</v>
      </c>
      <c r="L748" s="82" t="str">
        <f t="shared" ca="1" si="977"/>
        <v>#REF!</v>
      </c>
      <c r="M748" s="82" t="str">
        <f t="shared" ca="1" si="550"/>
        <v>#REF!</v>
      </c>
      <c r="N748" s="93"/>
      <c r="O748" s="93"/>
      <c r="P748" s="95">
        <f t="shared" si="965"/>
        <v>0</v>
      </c>
      <c r="Q748" s="96">
        <f t="shared" si="1072"/>
        <v>0</v>
      </c>
      <c r="R748" s="96">
        <v>0</v>
      </c>
      <c r="S748" s="97">
        <f t="shared" si="553"/>
        <v>0</v>
      </c>
      <c r="T748" s="97" t="str">
        <f ca="1">ROUNDUP(HLOOKUP(ROUNDUP(K748,0),'배송비 조회'!A$10:AE$22,7,0)*C$3,-2)</f>
        <v>#REF!</v>
      </c>
      <c r="U748" s="97">
        <v>0</v>
      </c>
      <c r="V748" s="97" t="str">
        <f t="shared" ca="1" si="981"/>
        <v>#REF!</v>
      </c>
      <c r="W748" s="97" t="str">
        <f t="shared" ca="1" si="982"/>
        <v>#REF!</v>
      </c>
      <c r="X748" s="98" t="str">
        <f t="shared" ca="1" si="882"/>
        <v>#REF!</v>
      </c>
      <c r="Y748" s="98" t="str">
        <f t="shared" ca="1" si="883"/>
        <v>#REF!</v>
      </c>
      <c r="Z748" s="121">
        <v>0</v>
      </c>
      <c r="AA748" s="121" t="str">
        <f t="shared" ca="1" si="556"/>
        <v>#REF!</v>
      </c>
      <c r="AB748" s="121" t="str">
        <f t="shared" ca="1" si="557"/>
        <v>#REF!</v>
      </c>
      <c r="AC748" s="99" t="str">
        <f t="shared" ca="1" si="8"/>
        <v>#REF!</v>
      </c>
      <c r="AD748" s="121" t="str">
        <f t="shared" ca="1" si="558"/>
        <v>#REF!</v>
      </c>
      <c r="AE748" s="99" t="str">
        <f t="shared" ca="1" si="10"/>
        <v>#REF!</v>
      </c>
      <c r="AF748" s="121" t="str">
        <f t="shared" ca="1" si="559"/>
        <v>#REF!</v>
      </c>
      <c r="AG748" s="100" t="str">
        <f t="shared" ca="1" si="560"/>
        <v>#REF!</v>
      </c>
      <c r="AH748" s="101" t="str">
        <f t="shared" ca="1" si="891"/>
        <v>#REF!</v>
      </c>
      <c r="AI748" s="102" t="str">
        <f t="shared" ref="AI748:AJ748" ca="1" si="1078">AG748/X748</f>
        <v>#REF!</v>
      </c>
      <c r="AJ748" s="102" t="str">
        <f t="shared" ca="1" si="1078"/>
        <v>#REF!</v>
      </c>
      <c r="AK748" s="212"/>
      <c r="AL748" s="213"/>
      <c r="AM748" s="4"/>
      <c r="AN748" s="4"/>
      <c r="AO748" s="4"/>
      <c r="AP748" s="4"/>
      <c r="AQ748" s="4"/>
      <c r="AR748" s="4"/>
      <c r="AS748" s="4"/>
      <c r="AT748" s="4"/>
      <c r="AU748" s="4"/>
      <c r="AV748" s="4"/>
      <c r="AW748" s="4"/>
    </row>
    <row r="749" spans="1:49" ht="13.2">
      <c r="A749" s="120"/>
      <c r="B749" s="266"/>
      <c r="C749" s="117"/>
      <c r="D749" s="117"/>
      <c r="E749" s="117"/>
      <c r="F749" s="123"/>
      <c r="G749" s="125" t="s">
        <v>145</v>
      </c>
      <c r="H749" s="125"/>
      <c r="I749" s="125"/>
      <c r="J749" s="125"/>
      <c r="K749" s="82" t="str">
        <f t="shared" ca="1" si="987"/>
        <v>#REF!</v>
      </c>
      <c r="L749" s="82" t="str">
        <f t="shared" ca="1" si="977"/>
        <v>#REF!</v>
      </c>
      <c r="M749" s="82" t="str">
        <f t="shared" ca="1" si="550"/>
        <v>#REF!</v>
      </c>
      <c r="N749" s="93"/>
      <c r="O749" s="93"/>
      <c r="P749" s="95">
        <f t="shared" si="965"/>
        <v>0</v>
      </c>
      <c r="Q749" s="96">
        <f t="shared" si="1072"/>
        <v>0</v>
      </c>
      <c r="R749" s="96">
        <v>0</v>
      </c>
      <c r="S749" s="97">
        <f t="shared" si="553"/>
        <v>0</v>
      </c>
      <c r="T749" s="97" t="str">
        <f ca="1">ROUNDUP(HLOOKUP(ROUNDUP(K749,0),'배송비 조회'!A$10:AE$22,7,0)*C$3,-2)</f>
        <v>#REF!</v>
      </c>
      <c r="U749" s="97">
        <v>0</v>
      </c>
      <c r="V749" s="97" t="str">
        <f t="shared" ca="1" si="981"/>
        <v>#REF!</v>
      </c>
      <c r="W749" s="97" t="str">
        <f t="shared" ca="1" si="982"/>
        <v>#REF!</v>
      </c>
      <c r="X749" s="98" t="str">
        <f t="shared" ca="1" si="882"/>
        <v>#REF!</v>
      </c>
      <c r="Y749" s="98" t="str">
        <f t="shared" ca="1" si="883"/>
        <v>#REF!</v>
      </c>
      <c r="Z749" s="121">
        <v>0</v>
      </c>
      <c r="AA749" s="121" t="str">
        <f t="shared" ca="1" si="556"/>
        <v>#REF!</v>
      </c>
      <c r="AB749" s="121" t="str">
        <f t="shared" ca="1" si="557"/>
        <v>#REF!</v>
      </c>
      <c r="AC749" s="99" t="str">
        <f t="shared" ca="1" si="8"/>
        <v>#REF!</v>
      </c>
      <c r="AD749" s="121" t="str">
        <f t="shared" ca="1" si="558"/>
        <v>#REF!</v>
      </c>
      <c r="AE749" s="99" t="str">
        <f t="shared" ca="1" si="10"/>
        <v>#REF!</v>
      </c>
      <c r="AF749" s="121" t="str">
        <f t="shared" ca="1" si="559"/>
        <v>#REF!</v>
      </c>
      <c r="AG749" s="100" t="str">
        <f t="shared" ca="1" si="560"/>
        <v>#REF!</v>
      </c>
      <c r="AH749" s="101" t="str">
        <f t="shared" ca="1" si="891"/>
        <v>#REF!</v>
      </c>
      <c r="AI749" s="102" t="str">
        <f t="shared" ref="AI749:AJ749" ca="1" si="1079">AG749/X749</f>
        <v>#REF!</v>
      </c>
      <c r="AJ749" s="102" t="str">
        <f t="shared" ca="1" si="1079"/>
        <v>#REF!</v>
      </c>
      <c r="AK749" s="212"/>
      <c r="AL749" s="213"/>
      <c r="AM749" s="4"/>
      <c r="AN749" s="4"/>
      <c r="AO749" s="4"/>
      <c r="AP749" s="4"/>
      <c r="AQ749" s="4"/>
      <c r="AR749" s="4"/>
      <c r="AS749" s="4"/>
      <c r="AT749" s="4"/>
      <c r="AU749" s="4"/>
      <c r="AV749" s="4"/>
      <c r="AW749" s="4"/>
    </row>
    <row r="750" spans="1:49" ht="13.2">
      <c r="A750" s="120"/>
      <c r="B750" s="266"/>
      <c r="C750" s="117"/>
      <c r="D750" s="117"/>
      <c r="E750" s="117"/>
      <c r="F750" s="123"/>
      <c r="G750" s="125" t="s">
        <v>145</v>
      </c>
      <c r="H750" s="125"/>
      <c r="I750" s="125"/>
      <c r="J750" s="125"/>
      <c r="K750" s="82" t="str">
        <f t="shared" ca="1" si="987"/>
        <v>#REF!</v>
      </c>
      <c r="L750" s="82" t="str">
        <f t="shared" ca="1" si="977"/>
        <v>#REF!</v>
      </c>
      <c r="M750" s="82" t="str">
        <f t="shared" ca="1" si="550"/>
        <v>#REF!</v>
      </c>
      <c r="N750" s="93"/>
      <c r="O750" s="93"/>
      <c r="P750" s="95">
        <f t="shared" si="965"/>
        <v>0</v>
      </c>
      <c r="Q750" s="96">
        <f t="shared" si="1072"/>
        <v>0</v>
      </c>
      <c r="R750" s="96">
        <v>0</v>
      </c>
      <c r="S750" s="97">
        <f t="shared" si="553"/>
        <v>0</v>
      </c>
      <c r="T750" s="97" t="str">
        <f ca="1">ROUNDUP(HLOOKUP(ROUNDUP(K750,0),'배송비 조회'!A$10:AE$22,7,0)*C$3,-2)</f>
        <v>#REF!</v>
      </c>
      <c r="U750" s="97">
        <v>0</v>
      </c>
      <c r="V750" s="97" t="str">
        <f t="shared" ca="1" si="981"/>
        <v>#REF!</v>
      </c>
      <c r="W750" s="97" t="str">
        <f t="shared" ca="1" si="982"/>
        <v>#REF!</v>
      </c>
      <c r="X750" s="98" t="str">
        <f t="shared" ca="1" si="882"/>
        <v>#REF!</v>
      </c>
      <c r="Y750" s="98" t="str">
        <f t="shared" ca="1" si="883"/>
        <v>#REF!</v>
      </c>
      <c r="Z750" s="121">
        <v>0</v>
      </c>
      <c r="AA750" s="121" t="str">
        <f t="shared" ca="1" si="556"/>
        <v>#REF!</v>
      </c>
      <c r="AB750" s="121" t="str">
        <f t="shared" ca="1" si="557"/>
        <v>#REF!</v>
      </c>
      <c r="AC750" s="99" t="str">
        <f t="shared" ca="1" si="8"/>
        <v>#REF!</v>
      </c>
      <c r="AD750" s="121" t="str">
        <f t="shared" ca="1" si="558"/>
        <v>#REF!</v>
      </c>
      <c r="AE750" s="99" t="str">
        <f t="shared" ca="1" si="10"/>
        <v>#REF!</v>
      </c>
      <c r="AF750" s="121" t="str">
        <f t="shared" ca="1" si="559"/>
        <v>#REF!</v>
      </c>
      <c r="AG750" s="100" t="str">
        <f t="shared" ca="1" si="560"/>
        <v>#REF!</v>
      </c>
      <c r="AH750" s="101" t="str">
        <f t="shared" ca="1" si="891"/>
        <v>#REF!</v>
      </c>
      <c r="AI750" s="102" t="str">
        <f t="shared" ref="AI750:AJ750" ca="1" si="1080">AG750/X750</f>
        <v>#REF!</v>
      </c>
      <c r="AJ750" s="102" t="str">
        <f t="shared" ca="1" si="1080"/>
        <v>#REF!</v>
      </c>
      <c r="AK750" s="212"/>
      <c r="AL750" s="213"/>
      <c r="AM750" s="4"/>
      <c r="AN750" s="4"/>
      <c r="AO750" s="4"/>
      <c r="AP750" s="4"/>
      <c r="AQ750" s="4"/>
      <c r="AR750" s="4"/>
      <c r="AS750" s="4"/>
      <c r="AT750" s="4"/>
      <c r="AU750" s="4"/>
      <c r="AV750" s="4"/>
      <c r="AW750" s="4"/>
    </row>
    <row r="751" spans="1:49" ht="13.2">
      <c r="A751" s="120"/>
      <c r="B751" s="266"/>
      <c r="C751" s="117"/>
      <c r="D751" s="117"/>
      <c r="E751" s="117"/>
      <c r="F751" s="123"/>
      <c r="G751" s="125" t="s">
        <v>145</v>
      </c>
      <c r="H751" s="125"/>
      <c r="I751" s="125"/>
      <c r="J751" s="125"/>
      <c r="K751" s="82" t="str">
        <f t="shared" ca="1" si="987"/>
        <v>#REF!</v>
      </c>
      <c r="L751" s="82" t="str">
        <f t="shared" ca="1" si="977"/>
        <v>#REF!</v>
      </c>
      <c r="M751" s="82" t="str">
        <f t="shared" ca="1" si="550"/>
        <v>#REF!</v>
      </c>
      <c r="N751" s="93"/>
      <c r="O751" s="93"/>
      <c r="P751" s="95">
        <f t="shared" si="965"/>
        <v>0</v>
      </c>
      <c r="Q751" s="96">
        <f t="shared" si="1072"/>
        <v>0</v>
      </c>
      <c r="R751" s="96">
        <v>0</v>
      </c>
      <c r="S751" s="97">
        <f t="shared" si="553"/>
        <v>0</v>
      </c>
      <c r="T751" s="97" t="str">
        <f ca="1">ROUNDUP(HLOOKUP(ROUNDUP(K751,0),'배송비 조회'!A$10:AE$22,7,0)*C$3,-2)</f>
        <v>#REF!</v>
      </c>
      <c r="U751" s="97">
        <v>0</v>
      </c>
      <c r="V751" s="97" t="str">
        <f t="shared" ca="1" si="981"/>
        <v>#REF!</v>
      </c>
      <c r="W751" s="97" t="str">
        <f t="shared" ca="1" si="982"/>
        <v>#REF!</v>
      </c>
      <c r="X751" s="98" t="str">
        <f t="shared" ca="1" si="882"/>
        <v>#REF!</v>
      </c>
      <c r="Y751" s="98" t="str">
        <f t="shared" ca="1" si="883"/>
        <v>#REF!</v>
      </c>
      <c r="Z751" s="121">
        <v>0</v>
      </c>
      <c r="AA751" s="121" t="str">
        <f t="shared" ca="1" si="556"/>
        <v>#REF!</v>
      </c>
      <c r="AB751" s="121" t="str">
        <f t="shared" ca="1" si="557"/>
        <v>#REF!</v>
      </c>
      <c r="AC751" s="99" t="str">
        <f t="shared" ca="1" si="8"/>
        <v>#REF!</v>
      </c>
      <c r="AD751" s="121" t="str">
        <f t="shared" ca="1" si="558"/>
        <v>#REF!</v>
      </c>
      <c r="AE751" s="99" t="str">
        <f t="shared" ca="1" si="10"/>
        <v>#REF!</v>
      </c>
      <c r="AF751" s="121" t="str">
        <f t="shared" ca="1" si="559"/>
        <v>#REF!</v>
      </c>
      <c r="AG751" s="100" t="str">
        <f t="shared" ca="1" si="560"/>
        <v>#REF!</v>
      </c>
      <c r="AH751" s="101" t="str">
        <f t="shared" ca="1" si="891"/>
        <v>#REF!</v>
      </c>
      <c r="AI751" s="102" t="str">
        <f t="shared" ref="AI751:AJ751" ca="1" si="1081">AG751/X751</f>
        <v>#REF!</v>
      </c>
      <c r="AJ751" s="102" t="str">
        <f t="shared" ca="1" si="1081"/>
        <v>#REF!</v>
      </c>
      <c r="AK751" s="212"/>
      <c r="AL751" s="213"/>
      <c r="AM751" s="4"/>
      <c r="AN751" s="4"/>
      <c r="AO751" s="4"/>
      <c r="AP751" s="4"/>
      <c r="AQ751" s="4"/>
      <c r="AR751" s="4"/>
      <c r="AS751" s="4"/>
      <c r="AT751" s="4"/>
      <c r="AU751" s="4"/>
      <c r="AV751" s="4"/>
      <c r="AW751" s="4"/>
    </row>
    <row r="752" spans="1:49" ht="13.2">
      <c r="A752" s="120"/>
      <c r="B752" s="266"/>
      <c r="C752" s="117"/>
      <c r="D752" s="117"/>
      <c r="E752" s="117"/>
      <c r="F752" s="123"/>
      <c r="G752" s="125" t="s">
        <v>145</v>
      </c>
      <c r="H752" s="125"/>
      <c r="I752" s="125"/>
      <c r="J752" s="125"/>
      <c r="K752" s="82" t="str">
        <f t="shared" ca="1" si="987"/>
        <v>#REF!</v>
      </c>
      <c r="L752" s="82" t="str">
        <f t="shared" ca="1" si="977"/>
        <v>#REF!</v>
      </c>
      <c r="M752" s="82" t="str">
        <f t="shared" ca="1" si="550"/>
        <v>#REF!</v>
      </c>
      <c r="N752" s="93"/>
      <c r="O752" s="93"/>
      <c r="P752" s="95">
        <f t="shared" si="965"/>
        <v>0</v>
      </c>
      <c r="Q752" s="96">
        <f t="shared" si="1072"/>
        <v>0</v>
      </c>
      <c r="R752" s="96">
        <v>0</v>
      </c>
      <c r="S752" s="97">
        <f t="shared" si="553"/>
        <v>0</v>
      </c>
      <c r="T752" s="97" t="str">
        <f ca="1">ROUNDUP(HLOOKUP(ROUNDUP(K752,0),'배송비 조회'!A$10:AE$22,7,0)*C$3,-2)</f>
        <v>#REF!</v>
      </c>
      <c r="U752" s="97">
        <v>0</v>
      </c>
      <c r="V752" s="97" t="str">
        <f t="shared" ca="1" si="981"/>
        <v>#REF!</v>
      </c>
      <c r="W752" s="97" t="str">
        <f t="shared" ca="1" si="982"/>
        <v>#REF!</v>
      </c>
      <c r="X752" s="98" t="str">
        <f t="shared" ca="1" si="882"/>
        <v>#REF!</v>
      </c>
      <c r="Y752" s="98" t="str">
        <f t="shared" ca="1" si="883"/>
        <v>#REF!</v>
      </c>
      <c r="Z752" s="121">
        <v>0</v>
      </c>
      <c r="AA752" s="121" t="str">
        <f t="shared" ca="1" si="556"/>
        <v>#REF!</v>
      </c>
      <c r="AB752" s="121" t="str">
        <f t="shared" ca="1" si="557"/>
        <v>#REF!</v>
      </c>
      <c r="AC752" s="99" t="str">
        <f t="shared" ca="1" si="8"/>
        <v>#REF!</v>
      </c>
      <c r="AD752" s="121" t="str">
        <f t="shared" ca="1" si="558"/>
        <v>#REF!</v>
      </c>
      <c r="AE752" s="99" t="str">
        <f t="shared" ca="1" si="10"/>
        <v>#REF!</v>
      </c>
      <c r="AF752" s="121" t="str">
        <f t="shared" ca="1" si="559"/>
        <v>#REF!</v>
      </c>
      <c r="AG752" s="100" t="str">
        <f t="shared" ca="1" si="560"/>
        <v>#REF!</v>
      </c>
      <c r="AH752" s="101" t="str">
        <f t="shared" ca="1" si="891"/>
        <v>#REF!</v>
      </c>
      <c r="AI752" s="102" t="str">
        <f t="shared" ref="AI752:AJ752" ca="1" si="1082">AG752/X752</f>
        <v>#REF!</v>
      </c>
      <c r="AJ752" s="102" t="str">
        <f t="shared" ca="1" si="1082"/>
        <v>#REF!</v>
      </c>
      <c r="AK752" s="212"/>
      <c r="AL752" s="213"/>
      <c r="AM752" s="4"/>
      <c r="AN752" s="4"/>
      <c r="AO752" s="4"/>
      <c r="AP752" s="4"/>
      <c r="AQ752" s="4"/>
      <c r="AR752" s="4"/>
      <c r="AS752" s="4"/>
      <c r="AT752" s="4"/>
      <c r="AU752" s="4"/>
      <c r="AV752" s="4"/>
      <c r="AW752" s="4"/>
    </row>
    <row r="753" spans="1:49" ht="13.2">
      <c r="A753" s="120"/>
      <c r="B753" s="266"/>
      <c r="C753" s="117"/>
      <c r="D753" s="117"/>
      <c r="E753" s="117"/>
      <c r="F753" s="123"/>
      <c r="G753" s="125" t="s">
        <v>145</v>
      </c>
      <c r="H753" s="125"/>
      <c r="I753" s="125"/>
      <c r="J753" s="125"/>
      <c r="K753" s="82" t="str">
        <f t="shared" ca="1" si="987"/>
        <v>#REF!</v>
      </c>
      <c r="L753" s="82" t="str">
        <f t="shared" ca="1" si="977"/>
        <v>#REF!</v>
      </c>
      <c r="M753" s="82" t="str">
        <f t="shared" ca="1" si="550"/>
        <v>#REF!</v>
      </c>
      <c r="N753" s="93"/>
      <c r="O753" s="93"/>
      <c r="P753" s="95">
        <f t="shared" si="965"/>
        <v>0</v>
      </c>
      <c r="Q753" s="96">
        <f t="shared" si="1072"/>
        <v>0</v>
      </c>
      <c r="R753" s="96">
        <v>0</v>
      </c>
      <c r="S753" s="97">
        <f t="shared" si="553"/>
        <v>0</v>
      </c>
      <c r="T753" s="97" t="str">
        <f ca="1">ROUNDUP(HLOOKUP(ROUNDUP(K753,0),'배송비 조회'!A$10:AE$22,7,0)*C$3,-2)</f>
        <v>#REF!</v>
      </c>
      <c r="U753" s="97">
        <v>0</v>
      </c>
      <c r="V753" s="97" t="str">
        <f t="shared" ca="1" si="981"/>
        <v>#REF!</v>
      </c>
      <c r="W753" s="97" t="str">
        <f t="shared" ca="1" si="982"/>
        <v>#REF!</v>
      </c>
      <c r="X753" s="98" t="str">
        <f t="shared" ca="1" si="882"/>
        <v>#REF!</v>
      </c>
      <c r="Y753" s="98" t="str">
        <f t="shared" ca="1" si="883"/>
        <v>#REF!</v>
      </c>
      <c r="Z753" s="121">
        <v>0</v>
      </c>
      <c r="AA753" s="121" t="str">
        <f t="shared" ca="1" si="556"/>
        <v>#REF!</v>
      </c>
      <c r="AB753" s="121" t="str">
        <f t="shared" ca="1" si="557"/>
        <v>#REF!</v>
      </c>
      <c r="AC753" s="99" t="str">
        <f t="shared" ca="1" si="8"/>
        <v>#REF!</v>
      </c>
      <c r="AD753" s="121" t="str">
        <f t="shared" ca="1" si="558"/>
        <v>#REF!</v>
      </c>
      <c r="AE753" s="99" t="str">
        <f t="shared" ca="1" si="10"/>
        <v>#REF!</v>
      </c>
      <c r="AF753" s="121" t="str">
        <f t="shared" ca="1" si="559"/>
        <v>#REF!</v>
      </c>
      <c r="AG753" s="100" t="str">
        <f t="shared" ca="1" si="560"/>
        <v>#REF!</v>
      </c>
      <c r="AH753" s="101" t="str">
        <f t="shared" ca="1" si="891"/>
        <v>#REF!</v>
      </c>
      <c r="AI753" s="102" t="str">
        <f t="shared" ref="AI753:AJ753" ca="1" si="1083">AG753/X753</f>
        <v>#REF!</v>
      </c>
      <c r="AJ753" s="102" t="str">
        <f t="shared" ca="1" si="1083"/>
        <v>#REF!</v>
      </c>
      <c r="AK753" s="212"/>
      <c r="AL753" s="213"/>
      <c r="AM753" s="4"/>
      <c r="AN753" s="4"/>
      <c r="AO753" s="4"/>
      <c r="AP753" s="4"/>
      <c r="AQ753" s="4"/>
      <c r="AR753" s="4"/>
      <c r="AS753" s="4"/>
      <c r="AT753" s="4"/>
      <c r="AU753" s="4"/>
      <c r="AV753" s="4"/>
      <c r="AW753" s="4"/>
    </row>
    <row r="754" spans="1:49" ht="13.2">
      <c r="A754" s="120"/>
      <c r="B754" s="266"/>
      <c r="C754" s="117"/>
      <c r="D754" s="117"/>
      <c r="E754" s="117"/>
      <c r="F754" s="123"/>
      <c r="G754" s="125" t="s">
        <v>145</v>
      </c>
      <c r="H754" s="125"/>
      <c r="I754" s="125"/>
      <c r="J754" s="125"/>
      <c r="K754" s="82" t="str">
        <f t="shared" ca="1" si="987"/>
        <v>#REF!</v>
      </c>
      <c r="L754" s="82" t="str">
        <f t="shared" ca="1" si="977"/>
        <v>#REF!</v>
      </c>
      <c r="M754" s="82" t="str">
        <f t="shared" ca="1" si="550"/>
        <v>#REF!</v>
      </c>
      <c r="N754" s="93"/>
      <c r="O754" s="93"/>
      <c r="P754" s="95">
        <f t="shared" si="965"/>
        <v>0</v>
      </c>
      <c r="Q754" s="96">
        <f t="shared" si="1072"/>
        <v>0</v>
      </c>
      <c r="R754" s="96">
        <v>0</v>
      </c>
      <c r="S754" s="97">
        <f t="shared" si="553"/>
        <v>0</v>
      </c>
      <c r="T754" s="97" t="str">
        <f ca="1">ROUNDUP(HLOOKUP(ROUNDUP(K754,0),'배송비 조회'!A$10:AE$22,7,0)*C$3,-2)</f>
        <v>#REF!</v>
      </c>
      <c r="U754" s="97">
        <v>0</v>
      </c>
      <c r="V754" s="97" t="str">
        <f t="shared" ca="1" si="981"/>
        <v>#REF!</v>
      </c>
      <c r="W754" s="97" t="str">
        <f t="shared" ca="1" si="982"/>
        <v>#REF!</v>
      </c>
      <c r="X754" s="98" t="str">
        <f t="shared" ca="1" si="882"/>
        <v>#REF!</v>
      </c>
      <c r="Y754" s="98" t="str">
        <f t="shared" ca="1" si="883"/>
        <v>#REF!</v>
      </c>
      <c r="Z754" s="121">
        <v>0</v>
      </c>
      <c r="AA754" s="121" t="str">
        <f t="shared" ca="1" si="556"/>
        <v>#REF!</v>
      </c>
      <c r="AB754" s="121" t="str">
        <f t="shared" ca="1" si="557"/>
        <v>#REF!</v>
      </c>
      <c r="AC754" s="99" t="str">
        <f t="shared" ca="1" si="8"/>
        <v>#REF!</v>
      </c>
      <c r="AD754" s="121" t="str">
        <f t="shared" ca="1" si="558"/>
        <v>#REF!</v>
      </c>
      <c r="AE754" s="99" t="str">
        <f t="shared" ca="1" si="10"/>
        <v>#REF!</v>
      </c>
      <c r="AF754" s="121" t="str">
        <f t="shared" ca="1" si="559"/>
        <v>#REF!</v>
      </c>
      <c r="AG754" s="100" t="str">
        <f t="shared" ca="1" si="560"/>
        <v>#REF!</v>
      </c>
      <c r="AH754" s="101" t="str">
        <f t="shared" ca="1" si="891"/>
        <v>#REF!</v>
      </c>
      <c r="AI754" s="102" t="str">
        <f t="shared" ref="AI754:AJ754" ca="1" si="1084">AG754/X754</f>
        <v>#REF!</v>
      </c>
      <c r="AJ754" s="102" t="str">
        <f t="shared" ca="1" si="1084"/>
        <v>#REF!</v>
      </c>
      <c r="AK754" s="212"/>
      <c r="AL754" s="213"/>
      <c r="AM754" s="4"/>
      <c r="AN754" s="4"/>
      <c r="AO754" s="4"/>
      <c r="AP754" s="4"/>
      <c r="AQ754" s="4"/>
      <c r="AR754" s="4"/>
      <c r="AS754" s="4"/>
      <c r="AT754" s="4"/>
      <c r="AU754" s="4"/>
      <c r="AV754" s="4"/>
      <c r="AW754" s="4"/>
    </row>
    <row r="755" spans="1:49" ht="13.2">
      <c r="A755" s="120"/>
      <c r="B755" s="266"/>
      <c r="C755" s="117"/>
      <c r="D755" s="117"/>
      <c r="E755" s="117"/>
      <c r="F755" s="123"/>
      <c r="G755" s="125" t="s">
        <v>145</v>
      </c>
      <c r="H755" s="125"/>
      <c r="I755" s="125"/>
      <c r="J755" s="125"/>
      <c r="K755" s="82" t="str">
        <f t="shared" ca="1" si="987"/>
        <v>#REF!</v>
      </c>
      <c r="L755" s="82" t="str">
        <f t="shared" ca="1" si="977"/>
        <v>#REF!</v>
      </c>
      <c r="M755" s="82" t="str">
        <f t="shared" ca="1" si="550"/>
        <v>#REF!</v>
      </c>
      <c r="N755" s="93"/>
      <c r="O755" s="93"/>
      <c r="P755" s="95">
        <f t="shared" si="965"/>
        <v>0</v>
      </c>
      <c r="Q755" s="96">
        <f t="shared" si="1072"/>
        <v>0</v>
      </c>
      <c r="R755" s="96">
        <v>0</v>
      </c>
      <c r="S755" s="97">
        <f t="shared" si="553"/>
        <v>0</v>
      </c>
      <c r="T755" s="97" t="str">
        <f ca="1">ROUNDUP(HLOOKUP(ROUNDUP(K755,0),'배송비 조회'!A$10:AE$22,7,0)*C$3,-2)</f>
        <v>#REF!</v>
      </c>
      <c r="U755" s="97">
        <v>0</v>
      </c>
      <c r="V755" s="97" t="str">
        <f t="shared" ca="1" si="981"/>
        <v>#REF!</v>
      </c>
      <c r="W755" s="97" t="str">
        <f t="shared" ca="1" si="982"/>
        <v>#REF!</v>
      </c>
      <c r="X755" s="98" t="str">
        <f t="shared" ca="1" si="882"/>
        <v>#REF!</v>
      </c>
      <c r="Y755" s="98" t="str">
        <f t="shared" ca="1" si="883"/>
        <v>#REF!</v>
      </c>
      <c r="Z755" s="121">
        <v>0</v>
      </c>
      <c r="AA755" s="121" t="str">
        <f t="shared" ca="1" si="556"/>
        <v>#REF!</v>
      </c>
      <c r="AB755" s="121" t="str">
        <f t="shared" ca="1" si="557"/>
        <v>#REF!</v>
      </c>
      <c r="AC755" s="99" t="str">
        <f t="shared" ca="1" si="8"/>
        <v>#REF!</v>
      </c>
      <c r="AD755" s="121" t="str">
        <f t="shared" ca="1" si="558"/>
        <v>#REF!</v>
      </c>
      <c r="AE755" s="99" t="str">
        <f t="shared" ca="1" si="10"/>
        <v>#REF!</v>
      </c>
      <c r="AF755" s="121" t="str">
        <f t="shared" ca="1" si="559"/>
        <v>#REF!</v>
      </c>
      <c r="AG755" s="100" t="str">
        <f t="shared" ca="1" si="560"/>
        <v>#REF!</v>
      </c>
      <c r="AH755" s="101" t="str">
        <f t="shared" ca="1" si="891"/>
        <v>#REF!</v>
      </c>
      <c r="AI755" s="102" t="str">
        <f t="shared" ref="AI755:AJ755" ca="1" si="1085">AG755/X755</f>
        <v>#REF!</v>
      </c>
      <c r="AJ755" s="102" t="str">
        <f t="shared" ca="1" si="1085"/>
        <v>#REF!</v>
      </c>
      <c r="AK755" s="212"/>
      <c r="AL755" s="213"/>
      <c r="AM755" s="4"/>
      <c r="AN755" s="4"/>
      <c r="AO755" s="4"/>
      <c r="AP755" s="4"/>
      <c r="AQ755" s="4"/>
      <c r="AR755" s="4"/>
      <c r="AS755" s="4"/>
      <c r="AT755" s="4"/>
      <c r="AU755" s="4"/>
      <c r="AV755" s="4"/>
      <c r="AW755" s="4"/>
    </row>
    <row r="756" spans="1:49" ht="13.2">
      <c r="A756" s="120"/>
      <c r="B756" s="266"/>
      <c r="C756" s="117"/>
      <c r="D756" s="117"/>
      <c r="E756" s="117"/>
      <c r="F756" s="123"/>
      <c r="G756" s="125" t="s">
        <v>145</v>
      </c>
      <c r="H756" s="125"/>
      <c r="I756" s="125"/>
      <c r="J756" s="125"/>
      <c r="K756" s="82" t="str">
        <f t="shared" ca="1" si="987"/>
        <v>#REF!</v>
      </c>
      <c r="L756" s="82" t="str">
        <f t="shared" ca="1" si="977"/>
        <v>#REF!</v>
      </c>
      <c r="M756" s="82" t="str">
        <f t="shared" ca="1" si="550"/>
        <v>#REF!</v>
      </c>
      <c r="N756" s="93"/>
      <c r="O756" s="93"/>
      <c r="P756" s="95">
        <f t="shared" si="965"/>
        <v>0</v>
      </c>
      <c r="Q756" s="96">
        <f t="shared" si="1072"/>
        <v>0</v>
      </c>
      <c r="R756" s="96">
        <v>0</v>
      </c>
      <c r="S756" s="97">
        <f t="shared" si="553"/>
        <v>0</v>
      </c>
      <c r="T756" s="97" t="str">
        <f ca="1">ROUNDUP(HLOOKUP(ROUNDUP(K756,0),'배송비 조회'!A$10:AE$22,7,0)*C$3,-2)</f>
        <v>#REF!</v>
      </c>
      <c r="U756" s="97">
        <v>0</v>
      </c>
      <c r="V756" s="97" t="str">
        <f t="shared" ca="1" si="981"/>
        <v>#REF!</v>
      </c>
      <c r="W756" s="97" t="str">
        <f t="shared" ca="1" si="982"/>
        <v>#REF!</v>
      </c>
      <c r="X756" s="98" t="str">
        <f t="shared" ca="1" si="882"/>
        <v>#REF!</v>
      </c>
      <c r="Y756" s="98" t="str">
        <f t="shared" ca="1" si="883"/>
        <v>#REF!</v>
      </c>
      <c r="Z756" s="121">
        <v>0</v>
      </c>
      <c r="AA756" s="121" t="str">
        <f t="shared" ca="1" si="556"/>
        <v>#REF!</v>
      </c>
      <c r="AB756" s="121" t="str">
        <f t="shared" ca="1" si="557"/>
        <v>#REF!</v>
      </c>
      <c r="AC756" s="99" t="str">
        <f t="shared" ca="1" si="8"/>
        <v>#REF!</v>
      </c>
      <c r="AD756" s="121" t="str">
        <f t="shared" ca="1" si="558"/>
        <v>#REF!</v>
      </c>
      <c r="AE756" s="99" t="str">
        <f t="shared" ca="1" si="10"/>
        <v>#REF!</v>
      </c>
      <c r="AF756" s="121" t="str">
        <f t="shared" ca="1" si="559"/>
        <v>#REF!</v>
      </c>
      <c r="AG756" s="100" t="str">
        <f t="shared" ca="1" si="560"/>
        <v>#REF!</v>
      </c>
      <c r="AH756" s="101" t="str">
        <f t="shared" ca="1" si="891"/>
        <v>#REF!</v>
      </c>
      <c r="AI756" s="102" t="str">
        <f t="shared" ref="AI756:AJ756" ca="1" si="1086">AG756/X756</f>
        <v>#REF!</v>
      </c>
      <c r="AJ756" s="102" t="str">
        <f t="shared" ca="1" si="1086"/>
        <v>#REF!</v>
      </c>
      <c r="AK756" s="212"/>
      <c r="AL756" s="213"/>
      <c r="AM756" s="4"/>
      <c r="AN756" s="4"/>
      <c r="AO756" s="4"/>
      <c r="AP756" s="4"/>
      <c r="AQ756" s="4"/>
      <c r="AR756" s="4"/>
      <c r="AS756" s="4"/>
      <c r="AT756" s="4"/>
      <c r="AU756" s="4"/>
      <c r="AV756" s="4"/>
      <c r="AW756" s="4"/>
    </row>
    <row r="757" spans="1:49" ht="13.2">
      <c r="A757" s="120"/>
      <c r="B757" s="266"/>
      <c r="C757" s="117"/>
      <c r="D757" s="117"/>
      <c r="E757" s="117"/>
      <c r="F757" s="123"/>
      <c r="G757" s="125" t="s">
        <v>145</v>
      </c>
      <c r="H757" s="125"/>
      <c r="I757" s="125"/>
      <c r="J757" s="125"/>
      <c r="K757" s="82" t="str">
        <f t="shared" ca="1" si="987"/>
        <v>#REF!</v>
      </c>
      <c r="L757" s="82" t="str">
        <f t="shared" ca="1" si="977"/>
        <v>#REF!</v>
      </c>
      <c r="M757" s="82" t="str">
        <f t="shared" ca="1" si="550"/>
        <v>#REF!</v>
      </c>
      <c r="N757" s="93"/>
      <c r="O757" s="93"/>
      <c r="P757" s="95">
        <f t="shared" si="965"/>
        <v>0</v>
      </c>
      <c r="Q757" s="96">
        <f t="shared" si="1072"/>
        <v>0</v>
      </c>
      <c r="R757" s="96">
        <v>0</v>
      </c>
      <c r="S757" s="97">
        <f t="shared" si="553"/>
        <v>0</v>
      </c>
      <c r="T757" s="97" t="str">
        <f ca="1">ROUNDUP(HLOOKUP(ROUNDUP(K757,0),'배송비 조회'!A$10:AE$22,7,0)*C$3,-2)</f>
        <v>#REF!</v>
      </c>
      <c r="U757" s="97">
        <v>0</v>
      </c>
      <c r="V757" s="97" t="str">
        <f t="shared" ca="1" si="981"/>
        <v>#REF!</v>
      </c>
      <c r="W757" s="97" t="str">
        <f t="shared" ca="1" si="982"/>
        <v>#REF!</v>
      </c>
      <c r="X757" s="98" t="str">
        <f t="shared" ca="1" si="882"/>
        <v>#REF!</v>
      </c>
      <c r="Y757" s="98" t="str">
        <f t="shared" ca="1" si="883"/>
        <v>#REF!</v>
      </c>
      <c r="Z757" s="121">
        <v>0</v>
      </c>
      <c r="AA757" s="121" t="str">
        <f t="shared" ca="1" si="556"/>
        <v>#REF!</v>
      </c>
      <c r="AB757" s="121" t="str">
        <f t="shared" ca="1" si="557"/>
        <v>#REF!</v>
      </c>
      <c r="AC757" s="99" t="str">
        <f t="shared" ca="1" si="8"/>
        <v>#REF!</v>
      </c>
      <c r="AD757" s="121" t="str">
        <f t="shared" ca="1" si="558"/>
        <v>#REF!</v>
      </c>
      <c r="AE757" s="99" t="str">
        <f t="shared" ca="1" si="10"/>
        <v>#REF!</v>
      </c>
      <c r="AF757" s="121" t="str">
        <f t="shared" ca="1" si="559"/>
        <v>#REF!</v>
      </c>
      <c r="AG757" s="100" t="str">
        <f t="shared" ca="1" si="560"/>
        <v>#REF!</v>
      </c>
      <c r="AH757" s="101" t="str">
        <f t="shared" ca="1" si="891"/>
        <v>#REF!</v>
      </c>
      <c r="AI757" s="102" t="str">
        <f t="shared" ref="AI757:AJ757" ca="1" si="1087">AG757/X757</f>
        <v>#REF!</v>
      </c>
      <c r="AJ757" s="102" t="str">
        <f t="shared" ca="1" si="1087"/>
        <v>#REF!</v>
      </c>
      <c r="AK757" s="212"/>
      <c r="AL757" s="213"/>
      <c r="AM757" s="4"/>
      <c r="AN757" s="4"/>
      <c r="AO757" s="4"/>
      <c r="AP757" s="4"/>
      <c r="AQ757" s="4"/>
      <c r="AR757" s="4"/>
      <c r="AS757" s="4"/>
      <c r="AT757" s="4"/>
      <c r="AU757" s="4"/>
      <c r="AV757" s="4"/>
      <c r="AW757" s="4"/>
    </row>
    <row r="758" spans="1:49" ht="13.2">
      <c r="A758" s="120"/>
      <c r="B758" s="266"/>
      <c r="C758" s="117"/>
      <c r="D758" s="117"/>
      <c r="E758" s="117"/>
      <c r="F758" s="123"/>
      <c r="G758" s="125" t="s">
        <v>145</v>
      </c>
      <c r="H758" s="125"/>
      <c r="I758" s="125"/>
      <c r="J758" s="125"/>
      <c r="K758" s="82" t="str">
        <f t="shared" ca="1" si="987"/>
        <v>#REF!</v>
      </c>
      <c r="L758" s="82" t="str">
        <f t="shared" ca="1" si="977"/>
        <v>#REF!</v>
      </c>
      <c r="M758" s="82" t="str">
        <f t="shared" ca="1" si="550"/>
        <v>#REF!</v>
      </c>
      <c r="N758" s="93"/>
      <c r="O758" s="93"/>
      <c r="P758" s="95">
        <f t="shared" si="965"/>
        <v>0</v>
      </c>
      <c r="Q758" s="96">
        <f t="shared" si="1072"/>
        <v>0</v>
      </c>
      <c r="R758" s="96">
        <v>0</v>
      </c>
      <c r="S758" s="97">
        <f t="shared" si="553"/>
        <v>0</v>
      </c>
      <c r="T758" s="97" t="str">
        <f ca="1">ROUNDUP(HLOOKUP(ROUNDUP(K758,0),'배송비 조회'!A$10:AE$22,7,0)*C$3,-2)</f>
        <v>#REF!</v>
      </c>
      <c r="U758" s="97">
        <v>0</v>
      </c>
      <c r="V758" s="97" t="str">
        <f t="shared" ca="1" si="981"/>
        <v>#REF!</v>
      </c>
      <c r="W758" s="97" t="str">
        <f t="shared" ca="1" si="982"/>
        <v>#REF!</v>
      </c>
      <c r="X758" s="98" t="str">
        <f t="shared" ca="1" si="882"/>
        <v>#REF!</v>
      </c>
      <c r="Y758" s="98" t="str">
        <f t="shared" ca="1" si="883"/>
        <v>#REF!</v>
      </c>
      <c r="Z758" s="121">
        <v>0</v>
      </c>
      <c r="AA758" s="121" t="str">
        <f t="shared" ca="1" si="556"/>
        <v>#REF!</v>
      </c>
      <c r="AB758" s="121" t="str">
        <f t="shared" ca="1" si="557"/>
        <v>#REF!</v>
      </c>
      <c r="AC758" s="99" t="str">
        <f t="shared" ca="1" si="8"/>
        <v>#REF!</v>
      </c>
      <c r="AD758" s="121" t="str">
        <f t="shared" ca="1" si="558"/>
        <v>#REF!</v>
      </c>
      <c r="AE758" s="99" t="str">
        <f t="shared" ca="1" si="10"/>
        <v>#REF!</v>
      </c>
      <c r="AF758" s="121" t="str">
        <f t="shared" ca="1" si="559"/>
        <v>#REF!</v>
      </c>
      <c r="AG758" s="100" t="str">
        <f t="shared" ca="1" si="560"/>
        <v>#REF!</v>
      </c>
      <c r="AH758" s="101" t="str">
        <f t="shared" ca="1" si="891"/>
        <v>#REF!</v>
      </c>
      <c r="AI758" s="102" t="str">
        <f t="shared" ref="AI758:AJ758" ca="1" si="1088">AG758/X758</f>
        <v>#REF!</v>
      </c>
      <c r="AJ758" s="102" t="str">
        <f t="shared" ca="1" si="1088"/>
        <v>#REF!</v>
      </c>
      <c r="AK758" s="212"/>
      <c r="AL758" s="213"/>
      <c r="AM758" s="4"/>
      <c r="AN758" s="4"/>
      <c r="AO758" s="4"/>
      <c r="AP758" s="4"/>
      <c r="AQ758" s="4"/>
      <c r="AR758" s="4"/>
      <c r="AS758" s="4"/>
      <c r="AT758" s="4"/>
      <c r="AU758" s="4"/>
      <c r="AV758" s="4"/>
      <c r="AW758" s="4"/>
    </row>
    <row r="759" spans="1:49" ht="13.2">
      <c r="A759" s="120"/>
      <c r="B759" s="266"/>
      <c r="C759" s="117"/>
      <c r="D759" s="117"/>
      <c r="E759" s="117"/>
      <c r="F759" s="123"/>
      <c r="G759" s="125" t="s">
        <v>145</v>
      </c>
      <c r="H759" s="125"/>
      <c r="I759" s="125"/>
      <c r="J759" s="125"/>
      <c r="K759" s="82" t="str">
        <f t="shared" ca="1" si="987"/>
        <v>#REF!</v>
      </c>
      <c r="L759" s="82" t="str">
        <f t="shared" ca="1" si="977"/>
        <v>#REF!</v>
      </c>
      <c r="M759" s="82" t="str">
        <f t="shared" ca="1" si="550"/>
        <v>#REF!</v>
      </c>
      <c r="N759" s="93"/>
      <c r="O759" s="93"/>
      <c r="P759" s="95">
        <f t="shared" si="965"/>
        <v>0</v>
      </c>
      <c r="Q759" s="96">
        <f t="shared" si="1072"/>
        <v>0</v>
      </c>
      <c r="R759" s="96">
        <v>0</v>
      </c>
      <c r="S759" s="97">
        <f t="shared" si="553"/>
        <v>0</v>
      </c>
      <c r="T759" s="97" t="str">
        <f ca="1">ROUNDUP(HLOOKUP(ROUNDUP(K759,0),'배송비 조회'!A$10:AE$22,7,0)*C$3,-2)</f>
        <v>#REF!</v>
      </c>
      <c r="U759" s="97">
        <v>0</v>
      </c>
      <c r="V759" s="97" t="str">
        <f t="shared" ca="1" si="981"/>
        <v>#REF!</v>
      </c>
      <c r="W759" s="97" t="str">
        <f t="shared" ca="1" si="982"/>
        <v>#REF!</v>
      </c>
      <c r="X759" s="98" t="str">
        <f t="shared" ca="1" si="882"/>
        <v>#REF!</v>
      </c>
      <c r="Y759" s="98" t="str">
        <f t="shared" ca="1" si="883"/>
        <v>#REF!</v>
      </c>
      <c r="Z759" s="121">
        <v>0</v>
      </c>
      <c r="AA759" s="121" t="str">
        <f t="shared" ca="1" si="556"/>
        <v>#REF!</v>
      </c>
      <c r="AB759" s="121" t="str">
        <f t="shared" ca="1" si="557"/>
        <v>#REF!</v>
      </c>
      <c r="AC759" s="99" t="str">
        <f t="shared" ca="1" si="8"/>
        <v>#REF!</v>
      </c>
      <c r="AD759" s="121" t="str">
        <f t="shared" ca="1" si="558"/>
        <v>#REF!</v>
      </c>
      <c r="AE759" s="99" t="str">
        <f t="shared" ca="1" si="10"/>
        <v>#REF!</v>
      </c>
      <c r="AF759" s="121" t="str">
        <f t="shared" ca="1" si="559"/>
        <v>#REF!</v>
      </c>
      <c r="AG759" s="100" t="str">
        <f t="shared" ca="1" si="560"/>
        <v>#REF!</v>
      </c>
      <c r="AH759" s="101" t="str">
        <f t="shared" ca="1" si="891"/>
        <v>#REF!</v>
      </c>
      <c r="AI759" s="102" t="str">
        <f t="shared" ref="AI759:AJ759" ca="1" si="1089">AG759/X759</f>
        <v>#REF!</v>
      </c>
      <c r="AJ759" s="102" t="str">
        <f t="shared" ca="1" si="1089"/>
        <v>#REF!</v>
      </c>
      <c r="AK759" s="212"/>
      <c r="AL759" s="213"/>
      <c r="AM759" s="4"/>
      <c r="AN759" s="4"/>
      <c r="AO759" s="4"/>
      <c r="AP759" s="4"/>
      <c r="AQ759" s="4"/>
      <c r="AR759" s="4"/>
      <c r="AS759" s="4"/>
      <c r="AT759" s="4"/>
      <c r="AU759" s="4"/>
      <c r="AV759" s="4"/>
      <c r="AW759" s="4"/>
    </row>
    <row r="760" spans="1:49" ht="13.2">
      <c r="A760" s="120"/>
      <c r="B760" s="266"/>
      <c r="C760" s="117"/>
      <c r="D760" s="117"/>
      <c r="E760" s="117"/>
      <c r="F760" s="123"/>
      <c r="G760" s="125" t="s">
        <v>145</v>
      </c>
      <c r="H760" s="125"/>
      <c r="I760" s="125"/>
      <c r="J760" s="125"/>
      <c r="K760" s="82" t="str">
        <f t="shared" ca="1" si="987"/>
        <v>#REF!</v>
      </c>
      <c r="L760" s="82" t="str">
        <f t="shared" ca="1" si="977"/>
        <v>#REF!</v>
      </c>
      <c r="M760" s="82" t="str">
        <f t="shared" ca="1" si="550"/>
        <v>#REF!</v>
      </c>
      <c r="N760" s="93"/>
      <c r="O760" s="93"/>
      <c r="P760" s="95">
        <f t="shared" si="965"/>
        <v>0</v>
      </c>
      <c r="Q760" s="96">
        <f t="shared" si="1072"/>
        <v>0</v>
      </c>
      <c r="R760" s="96">
        <v>0</v>
      </c>
      <c r="S760" s="97">
        <f t="shared" si="553"/>
        <v>0</v>
      </c>
      <c r="T760" s="97" t="str">
        <f ca="1">ROUNDUP(HLOOKUP(ROUNDUP(K760,0),'배송비 조회'!A$10:AE$22,7,0)*C$3,-2)</f>
        <v>#REF!</v>
      </c>
      <c r="U760" s="97">
        <v>0</v>
      </c>
      <c r="V760" s="97" t="str">
        <f t="shared" ca="1" si="981"/>
        <v>#REF!</v>
      </c>
      <c r="W760" s="97" t="str">
        <f t="shared" ca="1" si="982"/>
        <v>#REF!</v>
      </c>
      <c r="X760" s="98" t="str">
        <f t="shared" ca="1" si="882"/>
        <v>#REF!</v>
      </c>
      <c r="Y760" s="98" t="str">
        <f t="shared" ca="1" si="883"/>
        <v>#REF!</v>
      </c>
      <c r="Z760" s="121">
        <v>0</v>
      </c>
      <c r="AA760" s="121" t="str">
        <f t="shared" ca="1" si="556"/>
        <v>#REF!</v>
      </c>
      <c r="AB760" s="121" t="str">
        <f t="shared" ca="1" si="557"/>
        <v>#REF!</v>
      </c>
      <c r="AC760" s="99" t="str">
        <f t="shared" ca="1" si="8"/>
        <v>#REF!</v>
      </c>
      <c r="AD760" s="121" t="str">
        <f t="shared" ca="1" si="558"/>
        <v>#REF!</v>
      </c>
      <c r="AE760" s="99" t="str">
        <f t="shared" ca="1" si="10"/>
        <v>#REF!</v>
      </c>
      <c r="AF760" s="121" t="str">
        <f t="shared" ca="1" si="559"/>
        <v>#REF!</v>
      </c>
      <c r="AG760" s="100" t="str">
        <f t="shared" ca="1" si="560"/>
        <v>#REF!</v>
      </c>
      <c r="AH760" s="101" t="str">
        <f t="shared" ca="1" si="891"/>
        <v>#REF!</v>
      </c>
      <c r="AI760" s="102" t="str">
        <f t="shared" ref="AI760:AJ760" ca="1" si="1090">AG760/X760</f>
        <v>#REF!</v>
      </c>
      <c r="AJ760" s="102" t="str">
        <f t="shared" ca="1" si="1090"/>
        <v>#REF!</v>
      </c>
      <c r="AK760" s="212"/>
      <c r="AL760" s="213"/>
      <c r="AM760" s="4"/>
      <c r="AN760" s="4"/>
      <c r="AO760" s="4"/>
      <c r="AP760" s="4"/>
      <c r="AQ760" s="4"/>
      <c r="AR760" s="4"/>
      <c r="AS760" s="4"/>
      <c r="AT760" s="4"/>
      <c r="AU760" s="4"/>
      <c r="AV760" s="4"/>
      <c r="AW760" s="4"/>
    </row>
    <row r="761" spans="1:49" ht="13.2">
      <c r="A761" s="120"/>
      <c r="B761" s="266"/>
      <c r="C761" s="117"/>
      <c r="D761" s="117"/>
      <c r="E761" s="117"/>
      <c r="F761" s="123"/>
      <c r="G761" s="125" t="s">
        <v>145</v>
      </c>
      <c r="H761" s="125"/>
      <c r="I761" s="125"/>
      <c r="J761" s="125"/>
      <c r="K761" s="82" t="str">
        <f t="shared" ca="1" si="987"/>
        <v>#REF!</v>
      </c>
      <c r="L761" s="82" t="str">
        <f t="shared" ca="1" si="977"/>
        <v>#REF!</v>
      </c>
      <c r="M761" s="82" t="str">
        <f t="shared" ca="1" si="550"/>
        <v>#REF!</v>
      </c>
      <c r="N761" s="93"/>
      <c r="O761" s="93"/>
      <c r="P761" s="95">
        <f t="shared" si="965"/>
        <v>0</v>
      </c>
      <c r="Q761" s="96">
        <f t="shared" si="1072"/>
        <v>0</v>
      </c>
      <c r="R761" s="96">
        <v>0</v>
      </c>
      <c r="S761" s="97">
        <f t="shared" si="553"/>
        <v>0</v>
      </c>
      <c r="T761" s="97" t="str">
        <f ca="1">ROUNDUP(HLOOKUP(ROUNDUP(K761,0),'배송비 조회'!A$10:AE$22,7,0)*C$3,-2)</f>
        <v>#REF!</v>
      </c>
      <c r="U761" s="97">
        <v>0</v>
      </c>
      <c r="V761" s="97" t="str">
        <f t="shared" ca="1" si="981"/>
        <v>#REF!</v>
      </c>
      <c r="W761" s="97" t="str">
        <f t="shared" ca="1" si="982"/>
        <v>#REF!</v>
      </c>
      <c r="X761" s="98" t="str">
        <f t="shared" ca="1" si="882"/>
        <v>#REF!</v>
      </c>
      <c r="Y761" s="98" t="str">
        <f t="shared" ca="1" si="883"/>
        <v>#REF!</v>
      </c>
      <c r="Z761" s="121">
        <v>0</v>
      </c>
      <c r="AA761" s="121" t="str">
        <f t="shared" ca="1" si="556"/>
        <v>#REF!</v>
      </c>
      <c r="AB761" s="121" t="str">
        <f t="shared" ca="1" si="557"/>
        <v>#REF!</v>
      </c>
      <c r="AC761" s="99" t="str">
        <f t="shared" ca="1" si="8"/>
        <v>#REF!</v>
      </c>
      <c r="AD761" s="121" t="str">
        <f t="shared" ca="1" si="558"/>
        <v>#REF!</v>
      </c>
      <c r="AE761" s="99" t="str">
        <f t="shared" ca="1" si="10"/>
        <v>#REF!</v>
      </c>
      <c r="AF761" s="121" t="str">
        <f t="shared" ca="1" si="559"/>
        <v>#REF!</v>
      </c>
      <c r="AG761" s="100" t="str">
        <f t="shared" ca="1" si="560"/>
        <v>#REF!</v>
      </c>
      <c r="AH761" s="101" t="str">
        <f t="shared" ca="1" si="891"/>
        <v>#REF!</v>
      </c>
      <c r="AI761" s="102" t="str">
        <f t="shared" ref="AI761:AJ761" ca="1" si="1091">AG761/X761</f>
        <v>#REF!</v>
      </c>
      <c r="AJ761" s="102" t="str">
        <f t="shared" ca="1" si="1091"/>
        <v>#REF!</v>
      </c>
      <c r="AK761" s="212"/>
      <c r="AL761" s="213"/>
      <c r="AM761" s="4"/>
      <c r="AN761" s="4"/>
      <c r="AO761" s="4"/>
      <c r="AP761" s="4"/>
      <c r="AQ761" s="4"/>
      <c r="AR761" s="4"/>
      <c r="AS761" s="4"/>
      <c r="AT761" s="4"/>
      <c r="AU761" s="4"/>
      <c r="AV761" s="4"/>
      <c r="AW761" s="4"/>
    </row>
    <row r="762" spans="1:49" ht="13.2">
      <c r="A762" s="120"/>
      <c r="B762" s="266"/>
      <c r="C762" s="117"/>
      <c r="D762" s="117"/>
      <c r="E762" s="117"/>
      <c r="F762" s="123"/>
      <c r="G762" s="125" t="s">
        <v>145</v>
      </c>
      <c r="H762" s="125"/>
      <c r="I762" s="125"/>
      <c r="J762" s="125"/>
      <c r="K762" s="82" t="str">
        <f t="shared" ca="1" si="987"/>
        <v>#REF!</v>
      </c>
      <c r="L762" s="82" t="str">
        <f t="shared" ca="1" si="977"/>
        <v>#REF!</v>
      </c>
      <c r="M762" s="82" t="str">
        <f t="shared" ca="1" si="550"/>
        <v>#REF!</v>
      </c>
      <c r="N762" s="93"/>
      <c r="O762" s="93"/>
      <c r="P762" s="95">
        <f t="shared" si="965"/>
        <v>0</v>
      </c>
      <c r="Q762" s="96">
        <f t="shared" si="1072"/>
        <v>0</v>
      </c>
      <c r="R762" s="96">
        <v>0</v>
      </c>
      <c r="S762" s="97">
        <f t="shared" si="553"/>
        <v>0</v>
      </c>
      <c r="T762" s="97" t="str">
        <f ca="1">ROUNDUP(HLOOKUP(ROUNDUP(K762,0),'배송비 조회'!A$10:AE$22,7,0)*C$3,-2)</f>
        <v>#REF!</v>
      </c>
      <c r="U762" s="97">
        <v>0</v>
      </c>
      <c r="V762" s="97" t="str">
        <f t="shared" ca="1" si="981"/>
        <v>#REF!</v>
      </c>
      <c r="W762" s="97" t="str">
        <f t="shared" ca="1" si="982"/>
        <v>#REF!</v>
      </c>
      <c r="X762" s="98" t="str">
        <f t="shared" ca="1" si="882"/>
        <v>#REF!</v>
      </c>
      <c r="Y762" s="98" t="str">
        <f t="shared" ca="1" si="883"/>
        <v>#REF!</v>
      </c>
      <c r="Z762" s="121">
        <v>0</v>
      </c>
      <c r="AA762" s="121" t="str">
        <f t="shared" ca="1" si="556"/>
        <v>#REF!</v>
      </c>
      <c r="AB762" s="121" t="str">
        <f t="shared" ca="1" si="557"/>
        <v>#REF!</v>
      </c>
      <c r="AC762" s="99" t="str">
        <f t="shared" ca="1" si="8"/>
        <v>#REF!</v>
      </c>
      <c r="AD762" s="121" t="str">
        <f t="shared" ca="1" si="558"/>
        <v>#REF!</v>
      </c>
      <c r="AE762" s="99" t="str">
        <f t="shared" ca="1" si="10"/>
        <v>#REF!</v>
      </c>
      <c r="AF762" s="121" t="str">
        <f t="shared" ca="1" si="559"/>
        <v>#REF!</v>
      </c>
      <c r="AG762" s="100" t="str">
        <f t="shared" ca="1" si="560"/>
        <v>#REF!</v>
      </c>
      <c r="AH762" s="101" t="str">
        <f t="shared" ca="1" si="891"/>
        <v>#REF!</v>
      </c>
      <c r="AI762" s="102" t="str">
        <f t="shared" ref="AI762:AJ762" ca="1" si="1092">AG762/X762</f>
        <v>#REF!</v>
      </c>
      <c r="AJ762" s="102" t="str">
        <f t="shared" ca="1" si="1092"/>
        <v>#REF!</v>
      </c>
      <c r="AK762" s="212"/>
      <c r="AL762" s="213"/>
      <c r="AM762" s="4"/>
      <c r="AN762" s="4"/>
      <c r="AO762" s="4"/>
      <c r="AP762" s="4"/>
      <c r="AQ762" s="4"/>
      <c r="AR762" s="4"/>
      <c r="AS762" s="4"/>
      <c r="AT762" s="4"/>
      <c r="AU762" s="4"/>
      <c r="AV762" s="4"/>
      <c r="AW762" s="4"/>
    </row>
    <row r="763" spans="1:49" ht="13.2">
      <c r="A763" s="120"/>
      <c r="B763" s="266"/>
      <c r="C763" s="117"/>
      <c r="D763" s="117"/>
      <c r="E763" s="117"/>
      <c r="F763" s="123"/>
      <c r="G763" s="125" t="s">
        <v>145</v>
      </c>
      <c r="H763" s="125"/>
      <c r="I763" s="125"/>
      <c r="J763" s="125"/>
      <c r="K763" s="82" t="str">
        <f t="shared" ca="1" si="987"/>
        <v>#REF!</v>
      </c>
      <c r="L763" s="82" t="str">
        <f t="shared" ca="1" si="977"/>
        <v>#REF!</v>
      </c>
      <c r="M763" s="82" t="str">
        <f t="shared" ca="1" si="550"/>
        <v>#REF!</v>
      </c>
      <c r="N763" s="93"/>
      <c r="O763" s="93"/>
      <c r="P763" s="95">
        <f t="shared" si="965"/>
        <v>0</v>
      </c>
      <c r="Q763" s="96">
        <f t="shared" si="1072"/>
        <v>0</v>
      </c>
      <c r="R763" s="96">
        <v>0</v>
      </c>
      <c r="S763" s="97">
        <f t="shared" si="553"/>
        <v>0</v>
      </c>
      <c r="T763" s="97" t="str">
        <f ca="1">ROUNDUP(HLOOKUP(ROUNDUP(K763,0),'배송비 조회'!A$10:AE$22,7,0)*C$3,-2)</f>
        <v>#REF!</v>
      </c>
      <c r="U763" s="97">
        <v>0</v>
      </c>
      <c r="V763" s="97" t="str">
        <f t="shared" ca="1" si="981"/>
        <v>#REF!</v>
      </c>
      <c r="W763" s="97" t="str">
        <f t="shared" ca="1" si="982"/>
        <v>#REF!</v>
      </c>
      <c r="X763" s="98" t="str">
        <f t="shared" ca="1" si="882"/>
        <v>#REF!</v>
      </c>
      <c r="Y763" s="98" t="str">
        <f t="shared" ca="1" si="883"/>
        <v>#REF!</v>
      </c>
      <c r="Z763" s="121">
        <v>0</v>
      </c>
      <c r="AA763" s="121" t="str">
        <f t="shared" ca="1" si="556"/>
        <v>#REF!</v>
      </c>
      <c r="AB763" s="121" t="str">
        <f t="shared" ca="1" si="557"/>
        <v>#REF!</v>
      </c>
      <c r="AC763" s="99" t="str">
        <f t="shared" ca="1" si="8"/>
        <v>#REF!</v>
      </c>
      <c r="AD763" s="121" t="str">
        <f t="shared" ca="1" si="558"/>
        <v>#REF!</v>
      </c>
      <c r="AE763" s="99" t="str">
        <f t="shared" ca="1" si="10"/>
        <v>#REF!</v>
      </c>
      <c r="AF763" s="121" t="str">
        <f t="shared" ca="1" si="559"/>
        <v>#REF!</v>
      </c>
      <c r="AG763" s="100" t="str">
        <f t="shared" ca="1" si="560"/>
        <v>#REF!</v>
      </c>
      <c r="AH763" s="101" t="str">
        <f t="shared" ca="1" si="891"/>
        <v>#REF!</v>
      </c>
      <c r="AI763" s="102" t="str">
        <f t="shared" ref="AI763:AJ763" ca="1" si="1093">AG763/X763</f>
        <v>#REF!</v>
      </c>
      <c r="AJ763" s="102" t="str">
        <f t="shared" ca="1" si="1093"/>
        <v>#REF!</v>
      </c>
      <c r="AK763" s="212"/>
      <c r="AL763" s="213"/>
      <c r="AM763" s="4"/>
      <c r="AN763" s="4"/>
      <c r="AO763" s="4"/>
      <c r="AP763" s="4"/>
      <c r="AQ763" s="4"/>
      <c r="AR763" s="4"/>
      <c r="AS763" s="4"/>
      <c r="AT763" s="4"/>
      <c r="AU763" s="4"/>
      <c r="AV763" s="4"/>
      <c r="AW763" s="4"/>
    </row>
    <row r="764" spans="1:49" ht="13.2">
      <c r="A764" s="120"/>
      <c r="B764" s="266"/>
      <c r="C764" s="117"/>
      <c r="D764" s="117"/>
      <c r="E764" s="117"/>
      <c r="F764" s="123"/>
      <c r="G764" s="125" t="s">
        <v>145</v>
      </c>
      <c r="H764" s="125"/>
      <c r="I764" s="125"/>
      <c r="J764" s="125"/>
      <c r="K764" s="82" t="str">
        <f t="shared" ca="1" si="987"/>
        <v>#REF!</v>
      </c>
      <c r="L764" s="82" t="str">
        <f t="shared" ca="1" si="977"/>
        <v>#REF!</v>
      </c>
      <c r="M764" s="82" t="str">
        <f t="shared" ca="1" si="550"/>
        <v>#REF!</v>
      </c>
      <c r="N764" s="93"/>
      <c r="O764" s="93"/>
      <c r="P764" s="95">
        <f t="shared" si="965"/>
        <v>0</v>
      </c>
      <c r="Q764" s="96">
        <f t="shared" si="1072"/>
        <v>0</v>
      </c>
      <c r="R764" s="96">
        <v>0</v>
      </c>
      <c r="S764" s="97">
        <f t="shared" si="553"/>
        <v>0</v>
      </c>
      <c r="T764" s="97" t="str">
        <f ca="1">ROUNDUP(HLOOKUP(ROUNDUP(K764,0),'배송비 조회'!A$10:AE$22,7,0)*C$3,-2)</f>
        <v>#REF!</v>
      </c>
      <c r="U764" s="97">
        <v>0</v>
      </c>
      <c r="V764" s="97" t="str">
        <f t="shared" ca="1" si="981"/>
        <v>#REF!</v>
      </c>
      <c r="W764" s="97" t="str">
        <f t="shared" ca="1" si="982"/>
        <v>#REF!</v>
      </c>
      <c r="X764" s="98" t="str">
        <f t="shared" ca="1" si="882"/>
        <v>#REF!</v>
      </c>
      <c r="Y764" s="98" t="str">
        <f t="shared" ca="1" si="883"/>
        <v>#REF!</v>
      </c>
      <c r="Z764" s="121">
        <v>0</v>
      </c>
      <c r="AA764" s="121" t="str">
        <f t="shared" ca="1" si="556"/>
        <v>#REF!</v>
      </c>
      <c r="AB764" s="121" t="str">
        <f t="shared" ca="1" si="557"/>
        <v>#REF!</v>
      </c>
      <c r="AC764" s="99" t="str">
        <f t="shared" ca="1" si="8"/>
        <v>#REF!</v>
      </c>
      <c r="AD764" s="121" t="str">
        <f t="shared" ca="1" si="558"/>
        <v>#REF!</v>
      </c>
      <c r="AE764" s="99" t="str">
        <f t="shared" ca="1" si="10"/>
        <v>#REF!</v>
      </c>
      <c r="AF764" s="121" t="str">
        <f t="shared" ca="1" si="559"/>
        <v>#REF!</v>
      </c>
      <c r="AG764" s="100" t="str">
        <f t="shared" ca="1" si="560"/>
        <v>#REF!</v>
      </c>
      <c r="AH764" s="101" t="str">
        <f t="shared" ca="1" si="891"/>
        <v>#REF!</v>
      </c>
      <c r="AI764" s="102" t="str">
        <f t="shared" ref="AI764:AJ764" ca="1" si="1094">AG764/X764</f>
        <v>#REF!</v>
      </c>
      <c r="AJ764" s="102" t="str">
        <f t="shared" ca="1" si="1094"/>
        <v>#REF!</v>
      </c>
      <c r="AK764" s="212"/>
      <c r="AL764" s="213"/>
      <c r="AM764" s="4"/>
      <c r="AN764" s="4"/>
      <c r="AO764" s="4"/>
      <c r="AP764" s="4"/>
      <c r="AQ764" s="4"/>
      <c r="AR764" s="4"/>
      <c r="AS764" s="4"/>
      <c r="AT764" s="4"/>
      <c r="AU764" s="4"/>
      <c r="AV764" s="4"/>
      <c r="AW764" s="4"/>
    </row>
    <row r="765" spans="1:49" ht="13.2">
      <c r="A765" s="120"/>
      <c r="B765" s="266"/>
      <c r="C765" s="117"/>
      <c r="D765" s="117"/>
      <c r="E765" s="117"/>
      <c r="F765" s="123"/>
      <c r="G765" s="125" t="s">
        <v>145</v>
      </c>
      <c r="H765" s="125"/>
      <c r="I765" s="125"/>
      <c r="J765" s="125"/>
      <c r="K765" s="82" t="str">
        <f t="shared" ca="1" si="987"/>
        <v>#REF!</v>
      </c>
      <c r="L765" s="82" t="str">
        <f t="shared" ca="1" si="977"/>
        <v>#REF!</v>
      </c>
      <c r="M765" s="82" t="str">
        <f t="shared" ca="1" si="550"/>
        <v>#REF!</v>
      </c>
      <c r="N765" s="93"/>
      <c r="O765" s="93"/>
      <c r="P765" s="95">
        <f t="shared" si="965"/>
        <v>0</v>
      </c>
      <c r="Q765" s="96">
        <f t="shared" si="1072"/>
        <v>0</v>
      </c>
      <c r="R765" s="96">
        <v>0</v>
      </c>
      <c r="S765" s="97">
        <f t="shared" si="553"/>
        <v>0</v>
      </c>
      <c r="T765" s="97" t="str">
        <f ca="1">ROUNDUP(HLOOKUP(ROUNDUP(K765,0),'배송비 조회'!A$10:AE$22,7,0)*C$3,-2)</f>
        <v>#REF!</v>
      </c>
      <c r="U765" s="97">
        <v>0</v>
      </c>
      <c r="V765" s="97" t="str">
        <f t="shared" ca="1" si="981"/>
        <v>#REF!</v>
      </c>
      <c r="W765" s="97" t="str">
        <f t="shared" ca="1" si="982"/>
        <v>#REF!</v>
      </c>
      <c r="X765" s="98" t="str">
        <f t="shared" ca="1" si="882"/>
        <v>#REF!</v>
      </c>
      <c r="Y765" s="98" t="str">
        <f t="shared" ca="1" si="883"/>
        <v>#REF!</v>
      </c>
      <c r="Z765" s="121">
        <v>0</v>
      </c>
      <c r="AA765" s="121" t="str">
        <f t="shared" ca="1" si="556"/>
        <v>#REF!</v>
      </c>
      <c r="AB765" s="121" t="str">
        <f t="shared" ca="1" si="557"/>
        <v>#REF!</v>
      </c>
      <c r="AC765" s="99" t="str">
        <f t="shared" ca="1" si="8"/>
        <v>#REF!</v>
      </c>
      <c r="AD765" s="121" t="str">
        <f t="shared" ca="1" si="558"/>
        <v>#REF!</v>
      </c>
      <c r="AE765" s="99" t="str">
        <f t="shared" ca="1" si="10"/>
        <v>#REF!</v>
      </c>
      <c r="AF765" s="121" t="str">
        <f t="shared" ca="1" si="559"/>
        <v>#REF!</v>
      </c>
      <c r="AG765" s="100" t="str">
        <f t="shared" ca="1" si="560"/>
        <v>#REF!</v>
      </c>
      <c r="AH765" s="101" t="str">
        <f t="shared" ca="1" si="891"/>
        <v>#REF!</v>
      </c>
      <c r="AI765" s="102" t="str">
        <f t="shared" ref="AI765:AJ765" ca="1" si="1095">AG765/X765</f>
        <v>#REF!</v>
      </c>
      <c r="AJ765" s="102" t="str">
        <f t="shared" ca="1" si="1095"/>
        <v>#REF!</v>
      </c>
      <c r="AK765" s="212"/>
      <c r="AL765" s="213"/>
      <c r="AM765" s="4"/>
      <c r="AN765" s="4"/>
      <c r="AO765" s="4"/>
      <c r="AP765" s="4"/>
      <c r="AQ765" s="4"/>
      <c r="AR765" s="4"/>
      <c r="AS765" s="4"/>
      <c r="AT765" s="4"/>
      <c r="AU765" s="4"/>
      <c r="AV765" s="4"/>
      <c r="AW765" s="4"/>
    </row>
    <row r="766" spans="1:49" ht="13.2">
      <c r="A766" s="120"/>
      <c r="B766" s="266"/>
      <c r="C766" s="117"/>
      <c r="D766" s="117"/>
      <c r="E766" s="117"/>
      <c r="F766" s="123"/>
      <c r="G766" s="125" t="s">
        <v>145</v>
      </c>
      <c r="H766" s="125"/>
      <c r="I766" s="125"/>
      <c r="J766" s="125"/>
      <c r="K766" s="82" t="str">
        <f t="shared" ca="1" si="987"/>
        <v>#REF!</v>
      </c>
      <c r="L766" s="82" t="str">
        <f t="shared" ca="1" si="977"/>
        <v>#REF!</v>
      </c>
      <c r="M766" s="82" t="str">
        <f t="shared" ca="1" si="550"/>
        <v>#REF!</v>
      </c>
      <c r="N766" s="93"/>
      <c r="O766" s="93"/>
      <c r="P766" s="95">
        <f t="shared" si="965"/>
        <v>0</v>
      </c>
      <c r="Q766" s="96">
        <f t="shared" si="1072"/>
        <v>0</v>
      </c>
      <c r="R766" s="96">
        <v>0</v>
      </c>
      <c r="S766" s="97">
        <f t="shared" si="553"/>
        <v>0</v>
      </c>
      <c r="T766" s="97" t="str">
        <f ca="1">ROUNDUP(HLOOKUP(ROUNDUP(K766,0),'배송비 조회'!A$10:AE$22,7,0)*C$3,-2)</f>
        <v>#REF!</v>
      </c>
      <c r="U766" s="97">
        <v>0</v>
      </c>
      <c r="V766" s="97" t="str">
        <f t="shared" ca="1" si="981"/>
        <v>#REF!</v>
      </c>
      <c r="W766" s="97" t="str">
        <f t="shared" ca="1" si="982"/>
        <v>#REF!</v>
      </c>
      <c r="X766" s="98" t="str">
        <f t="shared" ca="1" si="882"/>
        <v>#REF!</v>
      </c>
      <c r="Y766" s="98" t="str">
        <f t="shared" ca="1" si="883"/>
        <v>#REF!</v>
      </c>
      <c r="Z766" s="121">
        <v>0</v>
      </c>
      <c r="AA766" s="121" t="str">
        <f t="shared" ca="1" si="556"/>
        <v>#REF!</v>
      </c>
      <c r="AB766" s="121" t="str">
        <f t="shared" ca="1" si="557"/>
        <v>#REF!</v>
      </c>
      <c r="AC766" s="99" t="str">
        <f t="shared" ca="1" si="8"/>
        <v>#REF!</v>
      </c>
      <c r="AD766" s="121" t="str">
        <f t="shared" ca="1" si="558"/>
        <v>#REF!</v>
      </c>
      <c r="AE766" s="99" t="str">
        <f t="shared" ca="1" si="10"/>
        <v>#REF!</v>
      </c>
      <c r="AF766" s="121" t="str">
        <f t="shared" ca="1" si="559"/>
        <v>#REF!</v>
      </c>
      <c r="AG766" s="100" t="str">
        <f t="shared" ca="1" si="560"/>
        <v>#REF!</v>
      </c>
      <c r="AH766" s="101" t="str">
        <f t="shared" ca="1" si="891"/>
        <v>#REF!</v>
      </c>
      <c r="AI766" s="102" t="str">
        <f t="shared" ref="AI766:AJ766" ca="1" si="1096">AG766/X766</f>
        <v>#REF!</v>
      </c>
      <c r="AJ766" s="102" t="str">
        <f t="shared" ca="1" si="1096"/>
        <v>#REF!</v>
      </c>
      <c r="AK766" s="212"/>
      <c r="AL766" s="213"/>
      <c r="AM766" s="4"/>
      <c r="AN766" s="4"/>
      <c r="AO766" s="4"/>
      <c r="AP766" s="4"/>
      <c r="AQ766" s="4"/>
      <c r="AR766" s="4"/>
      <c r="AS766" s="4"/>
      <c r="AT766" s="4"/>
      <c r="AU766" s="4"/>
      <c r="AV766" s="4"/>
      <c r="AW766" s="4"/>
    </row>
    <row r="767" spans="1:49" ht="13.2">
      <c r="A767" s="120"/>
      <c r="B767" s="266"/>
      <c r="C767" s="117"/>
      <c r="D767" s="117"/>
      <c r="E767" s="117"/>
      <c r="F767" s="123"/>
      <c r="G767" s="125" t="s">
        <v>145</v>
      </c>
      <c r="H767" s="125"/>
      <c r="I767" s="125"/>
      <c r="J767" s="125"/>
      <c r="K767" s="82" t="str">
        <f t="shared" ca="1" si="987"/>
        <v>#REF!</v>
      </c>
      <c r="L767" s="82" t="str">
        <f t="shared" ca="1" si="977"/>
        <v>#REF!</v>
      </c>
      <c r="M767" s="82" t="str">
        <f t="shared" ca="1" si="550"/>
        <v>#REF!</v>
      </c>
      <c r="N767" s="93"/>
      <c r="O767" s="93"/>
      <c r="P767" s="95">
        <f t="shared" si="965"/>
        <v>0</v>
      </c>
      <c r="Q767" s="96">
        <f t="shared" si="1072"/>
        <v>0</v>
      </c>
      <c r="R767" s="96">
        <v>0</v>
      </c>
      <c r="S767" s="97">
        <f t="shared" si="553"/>
        <v>0</v>
      </c>
      <c r="T767" s="97" t="str">
        <f ca="1">ROUNDUP(HLOOKUP(ROUNDUP(K767,0),'배송비 조회'!A$10:AE$22,7,0)*C$3,-2)</f>
        <v>#REF!</v>
      </c>
      <c r="U767" s="97">
        <v>0</v>
      </c>
      <c r="V767" s="97" t="str">
        <f t="shared" ca="1" si="981"/>
        <v>#REF!</v>
      </c>
      <c r="W767" s="97" t="str">
        <f t="shared" ca="1" si="982"/>
        <v>#REF!</v>
      </c>
      <c r="X767" s="98" t="str">
        <f t="shared" ca="1" si="882"/>
        <v>#REF!</v>
      </c>
      <c r="Y767" s="98" t="str">
        <f t="shared" ca="1" si="883"/>
        <v>#REF!</v>
      </c>
      <c r="Z767" s="121">
        <v>0</v>
      </c>
      <c r="AA767" s="121" t="str">
        <f t="shared" ca="1" si="556"/>
        <v>#REF!</v>
      </c>
      <c r="AB767" s="121" t="str">
        <f t="shared" ca="1" si="557"/>
        <v>#REF!</v>
      </c>
      <c r="AC767" s="99" t="str">
        <f t="shared" ca="1" si="8"/>
        <v>#REF!</v>
      </c>
      <c r="AD767" s="121" t="str">
        <f t="shared" ca="1" si="558"/>
        <v>#REF!</v>
      </c>
      <c r="AE767" s="99" t="str">
        <f t="shared" ca="1" si="10"/>
        <v>#REF!</v>
      </c>
      <c r="AF767" s="121" t="str">
        <f t="shared" ca="1" si="559"/>
        <v>#REF!</v>
      </c>
      <c r="AG767" s="100" t="str">
        <f t="shared" ca="1" si="560"/>
        <v>#REF!</v>
      </c>
      <c r="AH767" s="101" t="str">
        <f t="shared" ca="1" si="891"/>
        <v>#REF!</v>
      </c>
      <c r="AI767" s="102" t="str">
        <f t="shared" ref="AI767:AJ767" ca="1" si="1097">AG767/X767</f>
        <v>#REF!</v>
      </c>
      <c r="AJ767" s="102" t="str">
        <f t="shared" ca="1" si="1097"/>
        <v>#REF!</v>
      </c>
      <c r="AK767" s="212"/>
      <c r="AL767" s="213"/>
      <c r="AM767" s="4"/>
      <c r="AN767" s="4"/>
      <c r="AO767" s="4"/>
      <c r="AP767" s="4"/>
      <c r="AQ767" s="4"/>
      <c r="AR767" s="4"/>
      <c r="AS767" s="4"/>
      <c r="AT767" s="4"/>
      <c r="AU767" s="4"/>
      <c r="AV767" s="4"/>
      <c r="AW767" s="4"/>
    </row>
    <row r="768" spans="1:49" ht="13.2">
      <c r="A768" s="120"/>
      <c r="B768" s="266"/>
      <c r="C768" s="117"/>
      <c r="D768" s="117"/>
      <c r="E768" s="117"/>
      <c r="F768" s="123"/>
      <c r="G768" s="125" t="s">
        <v>145</v>
      </c>
      <c r="H768" s="125"/>
      <c r="I768" s="125"/>
      <c r="J768" s="125"/>
      <c r="K768" s="82" t="str">
        <f t="shared" ca="1" si="987"/>
        <v>#REF!</v>
      </c>
      <c r="L768" s="82" t="str">
        <f t="shared" ca="1" si="977"/>
        <v>#REF!</v>
      </c>
      <c r="M768" s="82" t="str">
        <f t="shared" ca="1" si="550"/>
        <v>#REF!</v>
      </c>
      <c r="N768" s="93"/>
      <c r="O768" s="93"/>
      <c r="P768" s="95">
        <f t="shared" si="965"/>
        <v>0</v>
      </c>
      <c r="Q768" s="96">
        <f t="shared" si="1072"/>
        <v>0</v>
      </c>
      <c r="R768" s="96">
        <v>0</v>
      </c>
      <c r="S768" s="97">
        <f t="shared" si="553"/>
        <v>0</v>
      </c>
      <c r="T768" s="97" t="str">
        <f ca="1">ROUNDUP(HLOOKUP(ROUNDUP(K768,0),'배송비 조회'!A$10:AE$22,7,0)*C$3,-2)</f>
        <v>#REF!</v>
      </c>
      <c r="U768" s="97">
        <v>0</v>
      </c>
      <c r="V768" s="97" t="str">
        <f t="shared" ca="1" si="981"/>
        <v>#REF!</v>
      </c>
      <c r="W768" s="97" t="str">
        <f t="shared" ca="1" si="982"/>
        <v>#REF!</v>
      </c>
      <c r="X768" s="98" t="str">
        <f t="shared" ca="1" si="882"/>
        <v>#REF!</v>
      </c>
      <c r="Y768" s="98" t="str">
        <f t="shared" ca="1" si="883"/>
        <v>#REF!</v>
      </c>
      <c r="Z768" s="121">
        <v>0</v>
      </c>
      <c r="AA768" s="121" t="str">
        <f t="shared" ca="1" si="556"/>
        <v>#REF!</v>
      </c>
      <c r="AB768" s="121" t="str">
        <f t="shared" ca="1" si="557"/>
        <v>#REF!</v>
      </c>
      <c r="AC768" s="99" t="str">
        <f t="shared" ca="1" si="8"/>
        <v>#REF!</v>
      </c>
      <c r="AD768" s="121" t="str">
        <f t="shared" ca="1" si="558"/>
        <v>#REF!</v>
      </c>
      <c r="AE768" s="99" t="str">
        <f t="shared" ca="1" si="10"/>
        <v>#REF!</v>
      </c>
      <c r="AF768" s="121" t="str">
        <f t="shared" ca="1" si="559"/>
        <v>#REF!</v>
      </c>
      <c r="AG768" s="100" t="str">
        <f t="shared" ca="1" si="560"/>
        <v>#REF!</v>
      </c>
      <c r="AH768" s="101" t="str">
        <f t="shared" ca="1" si="891"/>
        <v>#REF!</v>
      </c>
      <c r="AI768" s="102" t="str">
        <f t="shared" ref="AI768:AJ768" ca="1" si="1098">AG768/X768</f>
        <v>#REF!</v>
      </c>
      <c r="AJ768" s="102" t="str">
        <f t="shared" ca="1" si="1098"/>
        <v>#REF!</v>
      </c>
      <c r="AK768" s="212"/>
      <c r="AL768" s="213"/>
      <c r="AM768" s="4"/>
      <c r="AN768" s="4"/>
      <c r="AO768" s="4"/>
      <c r="AP768" s="4"/>
      <c r="AQ768" s="4"/>
      <c r="AR768" s="4"/>
      <c r="AS768" s="4"/>
      <c r="AT768" s="4"/>
      <c r="AU768" s="4"/>
      <c r="AV768" s="4"/>
      <c r="AW768" s="4"/>
    </row>
    <row r="769" spans="1:49" ht="13.2">
      <c r="A769" s="120"/>
      <c r="B769" s="266"/>
      <c r="C769" s="117"/>
      <c r="D769" s="117"/>
      <c r="E769" s="117"/>
      <c r="F769" s="123"/>
      <c r="G769" s="125" t="s">
        <v>145</v>
      </c>
      <c r="H769" s="125"/>
      <c r="I769" s="125"/>
      <c r="J769" s="125"/>
      <c r="K769" s="82" t="str">
        <f t="shared" ca="1" si="987"/>
        <v>#REF!</v>
      </c>
      <c r="L769" s="82" t="str">
        <f t="shared" ca="1" si="977"/>
        <v>#REF!</v>
      </c>
      <c r="M769" s="82" t="str">
        <f t="shared" ca="1" si="550"/>
        <v>#REF!</v>
      </c>
      <c r="N769" s="93"/>
      <c r="O769" s="93"/>
      <c r="P769" s="95">
        <f t="shared" si="965"/>
        <v>0</v>
      </c>
      <c r="Q769" s="96">
        <f t="shared" si="1072"/>
        <v>0</v>
      </c>
      <c r="R769" s="96">
        <v>0</v>
      </c>
      <c r="S769" s="97">
        <f t="shared" si="553"/>
        <v>0</v>
      </c>
      <c r="T769" s="97" t="str">
        <f ca="1">ROUNDUP(HLOOKUP(ROUNDUP(K769,0),'배송비 조회'!A$10:AE$22,7,0)*C$3,-2)</f>
        <v>#REF!</v>
      </c>
      <c r="U769" s="97">
        <v>0</v>
      </c>
      <c r="V769" s="97" t="str">
        <f t="shared" ca="1" si="981"/>
        <v>#REF!</v>
      </c>
      <c r="W769" s="97" t="str">
        <f t="shared" ca="1" si="982"/>
        <v>#REF!</v>
      </c>
      <c r="X769" s="98" t="str">
        <f t="shared" ca="1" si="882"/>
        <v>#REF!</v>
      </c>
      <c r="Y769" s="98" t="str">
        <f t="shared" ca="1" si="883"/>
        <v>#REF!</v>
      </c>
      <c r="Z769" s="121">
        <v>0</v>
      </c>
      <c r="AA769" s="121" t="str">
        <f t="shared" ca="1" si="556"/>
        <v>#REF!</v>
      </c>
      <c r="AB769" s="121" t="str">
        <f t="shared" ca="1" si="557"/>
        <v>#REF!</v>
      </c>
      <c r="AC769" s="99" t="str">
        <f t="shared" ca="1" si="8"/>
        <v>#REF!</v>
      </c>
      <c r="AD769" s="121" t="str">
        <f t="shared" ca="1" si="558"/>
        <v>#REF!</v>
      </c>
      <c r="AE769" s="99" t="str">
        <f t="shared" ca="1" si="10"/>
        <v>#REF!</v>
      </c>
      <c r="AF769" s="121" t="str">
        <f t="shared" ca="1" si="559"/>
        <v>#REF!</v>
      </c>
      <c r="AG769" s="100" t="str">
        <f t="shared" ca="1" si="560"/>
        <v>#REF!</v>
      </c>
      <c r="AH769" s="101" t="str">
        <f t="shared" ca="1" si="891"/>
        <v>#REF!</v>
      </c>
      <c r="AI769" s="102" t="str">
        <f t="shared" ref="AI769:AJ769" ca="1" si="1099">AG769/X769</f>
        <v>#REF!</v>
      </c>
      <c r="AJ769" s="102" t="str">
        <f t="shared" ca="1" si="1099"/>
        <v>#REF!</v>
      </c>
      <c r="AK769" s="212"/>
      <c r="AL769" s="213"/>
      <c r="AM769" s="4"/>
      <c r="AN769" s="4"/>
      <c r="AO769" s="4"/>
      <c r="AP769" s="4"/>
      <c r="AQ769" s="4"/>
      <c r="AR769" s="4"/>
      <c r="AS769" s="4"/>
      <c r="AT769" s="4"/>
      <c r="AU769" s="4"/>
      <c r="AV769" s="4"/>
      <c r="AW769" s="4"/>
    </row>
    <row r="770" spans="1:49" ht="13.2">
      <c r="A770" s="120"/>
      <c r="B770" s="266"/>
      <c r="C770" s="117"/>
      <c r="D770" s="117"/>
      <c r="E770" s="117"/>
      <c r="F770" s="123"/>
      <c r="G770" s="125" t="s">
        <v>145</v>
      </c>
      <c r="H770" s="125"/>
      <c r="I770" s="125"/>
      <c r="J770" s="125"/>
      <c r="K770" s="82" t="str">
        <f t="shared" ca="1" si="987"/>
        <v>#REF!</v>
      </c>
      <c r="L770" s="82" t="str">
        <f t="shared" ca="1" si="977"/>
        <v>#REF!</v>
      </c>
      <c r="M770" s="82" t="str">
        <f t="shared" ca="1" si="550"/>
        <v>#REF!</v>
      </c>
      <c r="N770" s="93"/>
      <c r="O770" s="93"/>
      <c r="P770" s="95">
        <f t="shared" si="965"/>
        <v>0</v>
      </c>
      <c r="Q770" s="96">
        <f t="shared" si="1072"/>
        <v>0</v>
      </c>
      <c r="R770" s="96">
        <v>0</v>
      </c>
      <c r="S770" s="97">
        <f t="shared" si="553"/>
        <v>0</v>
      </c>
      <c r="T770" s="97" t="str">
        <f ca="1">ROUNDUP(HLOOKUP(ROUNDUP(K770,0),'배송비 조회'!A$10:AE$22,7,0)*C$3,-2)</f>
        <v>#REF!</v>
      </c>
      <c r="U770" s="97">
        <v>0</v>
      </c>
      <c r="V770" s="97" t="str">
        <f t="shared" ca="1" si="981"/>
        <v>#REF!</v>
      </c>
      <c r="W770" s="97" t="str">
        <f t="shared" ca="1" si="982"/>
        <v>#REF!</v>
      </c>
      <c r="X770" s="98" t="str">
        <f t="shared" ca="1" si="882"/>
        <v>#REF!</v>
      </c>
      <c r="Y770" s="98" t="str">
        <f t="shared" ca="1" si="883"/>
        <v>#REF!</v>
      </c>
      <c r="Z770" s="121">
        <v>0</v>
      </c>
      <c r="AA770" s="121" t="str">
        <f t="shared" ca="1" si="556"/>
        <v>#REF!</v>
      </c>
      <c r="AB770" s="121" t="str">
        <f t="shared" ca="1" si="557"/>
        <v>#REF!</v>
      </c>
      <c r="AC770" s="99" t="str">
        <f t="shared" ca="1" si="8"/>
        <v>#REF!</v>
      </c>
      <c r="AD770" s="121" t="str">
        <f t="shared" ca="1" si="558"/>
        <v>#REF!</v>
      </c>
      <c r="AE770" s="99" t="str">
        <f t="shared" ca="1" si="10"/>
        <v>#REF!</v>
      </c>
      <c r="AF770" s="121" t="str">
        <f t="shared" ca="1" si="559"/>
        <v>#REF!</v>
      </c>
      <c r="AG770" s="100" t="str">
        <f t="shared" ca="1" si="560"/>
        <v>#REF!</v>
      </c>
      <c r="AH770" s="101" t="str">
        <f t="shared" ca="1" si="891"/>
        <v>#REF!</v>
      </c>
      <c r="AI770" s="102" t="str">
        <f t="shared" ref="AI770:AJ770" ca="1" si="1100">AG770/X770</f>
        <v>#REF!</v>
      </c>
      <c r="AJ770" s="102" t="str">
        <f t="shared" ca="1" si="1100"/>
        <v>#REF!</v>
      </c>
      <c r="AK770" s="212"/>
      <c r="AL770" s="213"/>
      <c r="AM770" s="4"/>
      <c r="AN770" s="4"/>
      <c r="AO770" s="4"/>
      <c r="AP770" s="4"/>
      <c r="AQ770" s="4"/>
      <c r="AR770" s="4"/>
      <c r="AS770" s="4"/>
      <c r="AT770" s="4"/>
      <c r="AU770" s="4"/>
      <c r="AV770" s="4"/>
      <c r="AW770" s="4"/>
    </row>
    <row r="771" spans="1:49" ht="13.2">
      <c r="A771" s="120"/>
      <c r="B771" s="266"/>
      <c r="C771" s="117"/>
      <c r="D771" s="117"/>
      <c r="E771" s="117"/>
      <c r="F771" s="123"/>
      <c r="G771" s="125" t="s">
        <v>145</v>
      </c>
      <c r="H771" s="125"/>
      <c r="I771" s="125"/>
      <c r="J771" s="125"/>
      <c r="K771" s="82" t="str">
        <f t="shared" ca="1" si="987"/>
        <v>#REF!</v>
      </c>
      <c r="L771" s="82" t="str">
        <f t="shared" ca="1" si="977"/>
        <v>#REF!</v>
      </c>
      <c r="M771" s="82" t="str">
        <f t="shared" ca="1" si="550"/>
        <v>#REF!</v>
      </c>
      <c r="N771" s="93"/>
      <c r="O771" s="93"/>
      <c r="P771" s="95">
        <f t="shared" si="965"/>
        <v>0</v>
      </c>
      <c r="Q771" s="96">
        <f t="shared" si="1072"/>
        <v>0</v>
      </c>
      <c r="R771" s="96">
        <v>0</v>
      </c>
      <c r="S771" s="97">
        <f t="shared" si="553"/>
        <v>0</v>
      </c>
      <c r="T771" s="97" t="str">
        <f ca="1">ROUNDUP(HLOOKUP(ROUNDUP(K771,0),'배송비 조회'!A$10:AE$22,7,0)*C$3,-2)</f>
        <v>#REF!</v>
      </c>
      <c r="U771" s="97">
        <v>0</v>
      </c>
      <c r="V771" s="97" t="str">
        <f t="shared" ca="1" si="981"/>
        <v>#REF!</v>
      </c>
      <c r="W771" s="97" t="str">
        <f t="shared" ca="1" si="982"/>
        <v>#REF!</v>
      </c>
      <c r="X771" s="98" t="str">
        <f t="shared" ca="1" si="882"/>
        <v>#REF!</v>
      </c>
      <c r="Y771" s="98" t="str">
        <f t="shared" ca="1" si="883"/>
        <v>#REF!</v>
      </c>
      <c r="Z771" s="121">
        <v>0</v>
      </c>
      <c r="AA771" s="121" t="str">
        <f t="shared" ca="1" si="556"/>
        <v>#REF!</v>
      </c>
      <c r="AB771" s="121" t="str">
        <f t="shared" ca="1" si="557"/>
        <v>#REF!</v>
      </c>
      <c r="AC771" s="99" t="str">
        <f t="shared" ca="1" si="8"/>
        <v>#REF!</v>
      </c>
      <c r="AD771" s="121" t="str">
        <f t="shared" ca="1" si="558"/>
        <v>#REF!</v>
      </c>
      <c r="AE771" s="99" t="str">
        <f t="shared" ca="1" si="10"/>
        <v>#REF!</v>
      </c>
      <c r="AF771" s="121" t="str">
        <f t="shared" ca="1" si="559"/>
        <v>#REF!</v>
      </c>
      <c r="AG771" s="100" t="str">
        <f t="shared" ca="1" si="560"/>
        <v>#REF!</v>
      </c>
      <c r="AH771" s="101" t="str">
        <f t="shared" ca="1" si="891"/>
        <v>#REF!</v>
      </c>
      <c r="AI771" s="102" t="str">
        <f t="shared" ref="AI771:AJ771" ca="1" si="1101">AG771/X771</f>
        <v>#REF!</v>
      </c>
      <c r="AJ771" s="102" t="str">
        <f t="shared" ca="1" si="1101"/>
        <v>#REF!</v>
      </c>
      <c r="AK771" s="212"/>
      <c r="AL771" s="213"/>
      <c r="AM771" s="4"/>
      <c r="AN771" s="4"/>
      <c r="AO771" s="4"/>
      <c r="AP771" s="4"/>
      <c r="AQ771" s="4"/>
      <c r="AR771" s="4"/>
      <c r="AS771" s="4"/>
      <c r="AT771" s="4"/>
      <c r="AU771" s="4"/>
      <c r="AV771" s="4"/>
      <c r="AW771" s="4"/>
    </row>
    <row r="772" spans="1:49" ht="13.2">
      <c r="A772" s="120"/>
      <c r="B772" s="266"/>
      <c r="C772" s="117"/>
      <c r="D772" s="117"/>
      <c r="E772" s="117"/>
      <c r="F772" s="123"/>
      <c r="G772" s="125" t="s">
        <v>145</v>
      </c>
      <c r="H772" s="125"/>
      <c r="I772" s="125"/>
      <c r="J772" s="125"/>
      <c r="K772" s="82" t="str">
        <f t="shared" ca="1" si="987"/>
        <v>#REF!</v>
      </c>
      <c r="L772" s="82" t="str">
        <f t="shared" ca="1" si="977"/>
        <v>#REF!</v>
      </c>
      <c r="M772" s="82" t="str">
        <f t="shared" ca="1" si="550"/>
        <v>#REF!</v>
      </c>
      <c r="N772" s="93"/>
      <c r="O772" s="93"/>
      <c r="P772" s="95">
        <f t="shared" si="965"/>
        <v>0</v>
      </c>
      <c r="Q772" s="96">
        <f t="shared" si="1072"/>
        <v>0</v>
      </c>
      <c r="R772" s="96">
        <v>0</v>
      </c>
      <c r="S772" s="97">
        <f t="shared" si="553"/>
        <v>0</v>
      </c>
      <c r="T772" s="97" t="str">
        <f ca="1">ROUNDUP(HLOOKUP(ROUNDUP(K772,0),'배송비 조회'!A$10:AE$22,7,0)*C$3,-2)</f>
        <v>#REF!</v>
      </c>
      <c r="U772" s="97">
        <v>0</v>
      </c>
      <c r="V772" s="97" t="str">
        <f t="shared" ca="1" si="981"/>
        <v>#REF!</v>
      </c>
      <c r="W772" s="97" t="str">
        <f t="shared" ca="1" si="982"/>
        <v>#REF!</v>
      </c>
      <c r="X772" s="98" t="str">
        <f t="shared" ca="1" si="882"/>
        <v>#REF!</v>
      </c>
      <c r="Y772" s="98" t="str">
        <f t="shared" ca="1" si="883"/>
        <v>#REF!</v>
      </c>
      <c r="Z772" s="121">
        <v>0</v>
      </c>
      <c r="AA772" s="121" t="str">
        <f t="shared" ca="1" si="556"/>
        <v>#REF!</v>
      </c>
      <c r="AB772" s="121" t="str">
        <f t="shared" ca="1" si="557"/>
        <v>#REF!</v>
      </c>
      <c r="AC772" s="99" t="str">
        <f t="shared" ca="1" si="8"/>
        <v>#REF!</v>
      </c>
      <c r="AD772" s="121" t="str">
        <f t="shared" ca="1" si="558"/>
        <v>#REF!</v>
      </c>
      <c r="AE772" s="99" t="str">
        <f t="shared" ca="1" si="10"/>
        <v>#REF!</v>
      </c>
      <c r="AF772" s="121" t="str">
        <f t="shared" ca="1" si="559"/>
        <v>#REF!</v>
      </c>
      <c r="AG772" s="100" t="str">
        <f t="shared" ca="1" si="560"/>
        <v>#REF!</v>
      </c>
      <c r="AH772" s="101" t="str">
        <f t="shared" ca="1" si="891"/>
        <v>#REF!</v>
      </c>
      <c r="AI772" s="102" t="str">
        <f t="shared" ref="AI772:AJ772" ca="1" si="1102">AG772/X772</f>
        <v>#REF!</v>
      </c>
      <c r="AJ772" s="102" t="str">
        <f t="shared" ca="1" si="1102"/>
        <v>#REF!</v>
      </c>
      <c r="AK772" s="212"/>
      <c r="AL772" s="213"/>
      <c r="AM772" s="4"/>
      <c r="AN772" s="4"/>
      <c r="AO772" s="4"/>
      <c r="AP772" s="4"/>
      <c r="AQ772" s="4"/>
      <c r="AR772" s="4"/>
      <c r="AS772" s="4"/>
      <c r="AT772" s="4"/>
      <c r="AU772" s="4"/>
      <c r="AV772" s="4"/>
      <c r="AW772" s="4"/>
    </row>
    <row r="773" spans="1:49" ht="13.2">
      <c r="A773" s="120"/>
      <c r="B773" s="266"/>
      <c r="C773" s="117"/>
      <c r="D773" s="117"/>
      <c r="E773" s="117"/>
      <c r="F773" s="123"/>
      <c r="G773" s="125" t="s">
        <v>145</v>
      </c>
      <c r="H773" s="125"/>
      <c r="I773" s="125"/>
      <c r="J773" s="125"/>
      <c r="K773" s="82" t="str">
        <f t="shared" ca="1" si="987"/>
        <v>#REF!</v>
      </c>
      <c r="L773" s="82" t="str">
        <f t="shared" ca="1" si="977"/>
        <v>#REF!</v>
      </c>
      <c r="M773" s="82" t="str">
        <f t="shared" ca="1" si="550"/>
        <v>#REF!</v>
      </c>
      <c r="N773" s="93"/>
      <c r="O773" s="93"/>
      <c r="P773" s="95">
        <f t="shared" si="965"/>
        <v>0</v>
      </c>
      <c r="Q773" s="96">
        <f t="shared" si="1072"/>
        <v>0</v>
      </c>
      <c r="R773" s="96">
        <v>0</v>
      </c>
      <c r="S773" s="97">
        <f t="shared" si="553"/>
        <v>0</v>
      </c>
      <c r="T773" s="97" t="str">
        <f ca="1">ROUNDUP(HLOOKUP(ROUNDUP(K773,0),'배송비 조회'!A$10:AE$22,7,0)*C$3,-2)</f>
        <v>#REF!</v>
      </c>
      <c r="U773" s="97">
        <v>0</v>
      </c>
      <c r="V773" s="97" t="str">
        <f t="shared" ca="1" si="981"/>
        <v>#REF!</v>
      </c>
      <c r="W773" s="97" t="str">
        <f t="shared" ca="1" si="982"/>
        <v>#REF!</v>
      </c>
      <c r="X773" s="98" t="str">
        <f t="shared" ca="1" si="882"/>
        <v>#REF!</v>
      </c>
      <c r="Y773" s="98" t="str">
        <f t="shared" ca="1" si="883"/>
        <v>#REF!</v>
      </c>
      <c r="Z773" s="121">
        <v>0</v>
      </c>
      <c r="AA773" s="121" t="str">
        <f t="shared" ca="1" si="556"/>
        <v>#REF!</v>
      </c>
      <c r="AB773" s="121" t="str">
        <f t="shared" ca="1" si="557"/>
        <v>#REF!</v>
      </c>
      <c r="AC773" s="99" t="str">
        <f t="shared" ca="1" si="8"/>
        <v>#REF!</v>
      </c>
      <c r="AD773" s="121" t="str">
        <f t="shared" ca="1" si="558"/>
        <v>#REF!</v>
      </c>
      <c r="AE773" s="99" t="str">
        <f t="shared" ca="1" si="10"/>
        <v>#REF!</v>
      </c>
      <c r="AF773" s="121" t="str">
        <f t="shared" ca="1" si="559"/>
        <v>#REF!</v>
      </c>
      <c r="AG773" s="100" t="str">
        <f t="shared" ca="1" si="560"/>
        <v>#REF!</v>
      </c>
      <c r="AH773" s="101" t="str">
        <f t="shared" ca="1" si="891"/>
        <v>#REF!</v>
      </c>
      <c r="AI773" s="102" t="str">
        <f t="shared" ref="AI773:AJ773" ca="1" si="1103">AG773/X773</f>
        <v>#REF!</v>
      </c>
      <c r="AJ773" s="102" t="str">
        <f t="shared" ca="1" si="1103"/>
        <v>#REF!</v>
      </c>
      <c r="AK773" s="212"/>
      <c r="AL773" s="213"/>
      <c r="AM773" s="4"/>
      <c r="AN773" s="4"/>
      <c r="AO773" s="4"/>
      <c r="AP773" s="4"/>
      <c r="AQ773" s="4"/>
      <c r="AR773" s="4"/>
      <c r="AS773" s="4"/>
      <c r="AT773" s="4"/>
      <c r="AU773" s="4"/>
      <c r="AV773" s="4"/>
      <c r="AW773" s="4"/>
    </row>
    <row r="774" spans="1:49" ht="13.2">
      <c r="A774" s="120"/>
      <c r="B774" s="266"/>
      <c r="C774" s="117"/>
      <c r="D774" s="117"/>
      <c r="E774" s="117"/>
      <c r="F774" s="123"/>
      <c r="G774" s="125" t="s">
        <v>145</v>
      </c>
      <c r="H774" s="125"/>
      <c r="I774" s="125"/>
      <c r="J774" s="125"/>
      <c r="K774" s="82" t="str">
        <f t="shared" ca="1" si="987"/>
        <v>#REF!</v>
      </c>
      <c r="L774" s="82" t="str">
        <f t="shared" ca="1" si="977"/>
        <v>#REF!</v>
      </c>
      <c r="M774" s="82" t="str">
        <f t="shared" ca="1" si="550"/>
        <v>#REF!</v>
      </c>
      <c r="N774" s="93"/>
      <c r="O774" s="93"/>
      <c r="P774" s="95">
        <f t="shared" si="965"/>
        <v>0</v>
      </c>
      <c r="Q774" s="96">
        <f t="shared" si="1072"/>
        <v>0</v>
      </c>
      <c r="R774" s="96">
        <v>0</v>
      </c>
      <c r="S774" s="97">
        <f t="shared" si="553"/>
        <v>0</v>
      </c>
      <c r="T774" s="97" t="str">
        <f ca="1">ROUNDUP(HLOOKUP(ROUNDUP(K774,0),'배송비 조회'!A$10:AE$22,7,0)*C$3,-2)</f>
        <v>#REF!</v>
      </c>
      <c r="U774" s="97">
        <v>0</v>
      </c>
      <c r="V774" s="97" t="str">
        <f t="shared" ca="1" si="981"/>
        <v>#REF!</v>
      </c>
      <c r="W774" s="97" t="str">
        <f t="shared" ca="1" si="982"/>
        <v>#REF!</v>
      </c>
      <c r="X774" s="98" t="str">
        <f t="shared" ca="1" si="882"/>
        <v>#REF!</v>
      </c>
      <c r="Y774" s="98" t="str">
        <f t="shared" ca="1" si="883"/>
        <v>#REF!</v>
      </c>
      <c r="Z774" s="121">
        <v>0</v>
      </c>
      <c r="AA774" s="121" t="str">
        <f t="shared" ca="1" si="556"/>
        <v>#REF!</v>
      </c>
      <c r="AB774" s="121" t="str">
        <f t="shared" ca="1" si="557"/>
        <v>#REF!</v>
      </c>
      <c r="AC774" s="99" t="str">
        <f t="shared" ca="1" si="8"/>
        <v>#REF!</v>
      </c>
      <c r="AD774" s="121" t="str">
        <f t="shared" ca="1" si="558"/>
        <v>#REF!</v>
      </c>
      <c r="AE774" s="99" t="str">
        <f t="shared" ca="1" si="10"/>
        <v>#REF!</v>
      </c>
      <c r="AF774" s="121" t="str">
        <f t="shared" ca="1" si="559"/>
        <v>#REF!</v>
      </c>
      <c r="AG774" s="100" t="str">
        <f t="shared" ca="1" si="560"/>
        <v>#REF!</v>
      </c>
      <c r="AH774" s="101" t="str">
        <f t="shared" ca="1" si="891"/>
        <v>#REF!</v>
      </c>
      <c r="AI774" s="102" t="str">
        <f t="shared" ref="AI774:AJ774" ca="1" si="1104">AG774/X774</f>
        <v>#REF!</v>
      </c>
      <c r="AJ774" s="102" t="str">
        <f t="shared" ca="1" si="1104"/>
        <v>#REF!</v>
      </c>
      <c r="AK774" s="212"/>
      <c r="AL774" s="213"/>
      <c r="AM774" s="4"/>
      <c r="AN774" s="4"/>
      <c r="AO774" s="4"/>
      <c r="AP774" s="4"/>
      <c r="AQ774" s="4"/>
      <c r="AR774" s="4"/>
      <c r="AS774" s="4"/>
      <c r="AT774" s="4"/>
      <c r="AU774" s="4"/>
      <c r="AV774" s="4"/>
      <c r="AW774" s="4"/>
    </row>
    <row r="775" spans="1:49" ht="13.2">
      <c r="A775" s="120"/>
      <c r="B775" s="266"/>
      <c r="C775" s="117"/>
      <c r="D775" s="117"/>
      <c r="E775" s="117"/>
      <c r="F775" s="123"/>
      <c r="G775" s="125" t="s">
        <v>145</v>
      </c>
      <c r="H775" s="125"/>
      <c r="I775" s="125"/>
      <c r="J775" s="125"/>
      <c r="K775" s="82" t="str">
        <f t="shared" ca="1" si="987"/>
        <v>#REF!</v>
      </c>
      <c r="L775" s="82" t="str">
        <f t="shared" ca="1" si="977"/>
        <v>#REF!</v>
      </c>
      <c r="M775" s="82" t="str">
        <f t="shared" ca="1" si="550"/>
        <v>#REF!</v>
      </c>
      <c r="N775" s="93"/>
      <c r="O775" s="93"/>
      <c r="P775" s="95">
        <f t="shared" si="965"/>
        <v>0</v>
      </c>
      <c r="Q775" s="96">
        <f t="shared" si="1072"/>
        <v>0</v>
      </c>
      <c r="R775" s="96">
        <v>0</v>
      </c>
      <c r="S775" s="97">
        <f t="shared" si="553"/>
        <v>0</v>
      </c>
      <c r="T775" s="97" t="str">
        <f ca="1">ROUNDUP(HLOOKUP(ROUNDUP(K775,0),'배송비 조회'!A$10:AE$22,7,0)*C$3,-2)</f>
        <v>#REF!</v>
      </c>
      <c r="U775" s="97">
        <v>0</v>
      </c>
      <c r="V775" s="97" t="str">
        <f t="shared" ca="1" si="981"/>
        <v>#REF!</v>
      </c>
      <c r="W775" s="97" t="str">
        <f t="shared" ca="1" si="982"/>
        <v>#REF!</v>
      </c>
      <c r="X775" s="98" t="str">
        <f t="shared" ca="1" si="882"/>
        <v>#REF!</v>
      </c>
      <c r="Y775" s="98" t="str">
        <f t="shared" ca="1" si="883"/>
        <v>#REF!</v>
      </c>
      <c r="Z775" s="121">
        <v>0</v>
      </c>
      <c r="AA775" s="121" t="str">
        <f t="shared" ca="1" si="556"/>
        <v>#REF!</v>
      </c>
      <c r="AB775" s="121" t="str">
        <f t="shared" ca="1" si="557"/>
        <v>#REF!</v>
      </c>
      <c r="AC775" s="99" t="str">
        <f t="shared" ca="1" si="8"/>
        <v>#REF!</v>
      </c>
      <c r="AD775" s="121" t="str">
        <f t="shared" ca="1" si="558"/>
        <v>#REF!</v>
      </c>
      <c r="AE775" s="99" t="str">
        <f t="shared" ca="1" si="10"/>
        <v>#REF!</v>
      </c>
      <c r="AF775" s="121" t="str">
        <f t="shared" ca="1" si="559"/>
        <v>#REF!</v>
      </c>
      <c r="AG775" s="100" t="str">
        <f t="shared" ca="1" si="560"/>
        <v>#REF!</v>
      </c>
      <c r="AH775" s="101" t="str">
        <f t="shared" ca="1" si="891"/>
        <v>#REF!</v>
      </c>
      <c r="AI775" s="102" t="str">
        <f t="shared" ref="AI775:AJ775" ca="1" si="1105">AG775/X775</f>
        <v>#REF!</v>
      </c>
      <c r="AJ775" s="102" t="str">
        <f t="shared" ca="1" si="1105"/>
        <v>#REF!</v>
      </c>
      <c r="AK775" s="212"/>
      <c r="AL775" s="213"/>
      <c r="AM775" s="4"/>
      <c r="AN775" s="4"/>
      <c r="AO775" s="4"/>
      <c r="AP775" s="4"/>
      <c r="AQ775" s="4"/>
      <c r="AR775" s="4"/>
      <c r="AS775" s="4"/>
      <c r="AT775" s="4"/>
      <c r="AU775" s="4"/>
      <c r="AV775" s="4"/>
      <c r="AW775" s="4"/>
    </row>
    <row r="776" spans="1:49" ht="13.2">
      <c r="A776" s="120"/>
      <c r="B776" s="266"/>
      <c r="C776" s="117"/>
      <c r="D776" s="117"/>
      <c r="E776" s="117"/>
      <c r="F776" s="123"/>
      <c r="G776" s="125" t="s">
        <v>145</v>
      </c>
      <c r="H776" s="125"/>
      <c r="I776" s="125"/>
      <c r="J776" s="125"/>
      <c r="K776" s="82" t="str">
        <f t="shared" ca="1" si="987"/>
        <v>#REF!</v>
      </c>
      <c r="L776" s="82" t="str">
        <f t="shared" ca="1" si="977"/>
        <v>#REF!</v>
      </c>
      <c r="M776" s="82" t="str">
        <f t="shared" ca="1" si="550"/>
        <v>#REF!</v>
      </c>
      <c r="N776" s="93"/>
      <c r="O776" s="93"/>
      <c r="P776" s="95">
        <f t="shared" si="965"/>
        <v>0</v>
      </c>
      <c r="Q776" s="96">
        <f t="shared" si="1072"/>
        <v>0</v>
      </c>
      <c r="R776" s="96">
        <v>0</v>
      </c>
      <c r="S776" s="97">
        <f t="shared" si="553"/>
        <v>0</v>
      </c>
      <c r="T776" s="97" t="str">
        <f ca="1">ROUNDUP(HLOOKUP(ROUNDUP(K776,0),'배송비 조회'!A$10:AE$22,7,0)*C$3,-2)</f>
        <v>#REF!</v>
      </c>
      <c r="U776" s="97">
        <v>0</v>
      </c>
      <c r="V776" s="97" t="str">
        <f t="shared" ca="1" si="981"/>
        <v>#REF!</v>
      </c>
      <c r="W776" s="97" t="str">
        <f t="shared" ca="1" si="982"/>
        <v>#REF!</v>
      </c>
      <c r="X776" s="98" t="str">
        <f t="shared" ca="1" si="882"/>
        <v>#REF!</v>
      </c>
      <c r="Y776" s="98" t="str">
        <f t="shared" ca="1" si="883"/>
        <v>#REF!</v>
      </c>
      <c r="Z776" s="121">
        <v>0</v>
      </c>
      <c r="AA776" s="121" t="str">
        <f t="shared" ca="1" si="556"/>
        <v>#REF!</v>
      </c>
      <c r="AB776" s="121" t="str">
        <f t="shared" ca="1" si="557"/>
        <v>#REF!</v>
      </c>
      <c r="AC776" s="99" t="str">
        <f t="shared" ca="1" si="8"/>
        <v>#REF!</v>
      </c>
      <c r="AD776" s="121" t="str">
        <f t="shared" ca="1" si="558"/>
        <v>#REF!</v>
      </c>
      <c r="AE776" s="99" t="str">
        <f t="shared" ca="1" si="10"/>
        <v>#REF!</v>
      </c>
      <c r="AF776" s="121" t="str">
        <f t="shared" ca="1" si="559"/>
        <v>#REF!</v>
      </c>
      <c r="AG776" s="100" t="str">
        <f t="shared" ca="1" si="560"/>
        <v>#REF!</v>
      </c>
      <c r="AH776" s="101" t="str">
        <f t="shared" ca="1" si="891"/>
        <v>#REF!</v>
      </c>
      <c r="AI776" s="102" t="str">
        <f t="shared" ref="AI776:AJ776" ca="1" si="1106">AG776/X776</f>
        <v>#REF!</v>
      </c>
      <c r="AJ776" s="102" t="str">
        <f t="shared" ca="1" si="1106"/>
        <v>#REF!</v>
      </c>
      <c r="AK776" s="212"/>
      <c r="AL776" s="213"/>
      <c r="AM776" s="4"/>
      <c r="AN776" s="4"/>
      <c r="AO776" s="4"/>
      <c r="AP776" s="4"/>
      <c r="AQ776" s="4"/>
      <c r="AR776" s="4"/>
      <c r="AS776" s="4"/>
      <c r="AT776" s="4"/>
      <c r="AU776" s="4"/>
      <c r="AV776" s="4"/>
      <c r="AW776" s="4"/>
    </row>
    <row r="777" spans="1:49" ht="13.2">
      <c r="A777" s="120"/>
      <c r="B777" s="266"/>
      <c r="C777" s="117"/>
      <c r="D777" s="117"/>
      <c r="E777" s="117"/>
      <c r="F777" s="123"/>
      <c r="G777" s="125" t="s">
        <v>145</v>
      </c>
      <c r="H777" s="125"/>
      <c r="I777" s="125"/>
      <c r="J777" s="125"/>
      <c r="K777" s="82" t="str">
        <f t="shared" ca="1" si="987"/>
        <v>#REF!</v>
      </c>
      <c r="L777" s="82" t="str">
        <f t="shared" ca="1" si="977"/>
        <v>#REF!</v>
      </c>
      <c r="M777" s="82" t="str">
        <f t="shared" ca="1" si="550"/>
        <v>#REF!</v>
      </c>
      <c r="N777" s="93"/>
      <c r="O777" s="93"/>
      <c r="P777" s="95">
        <f t="shared" si="965"/>
        <v>0</v>
      </c>
      <c r="Q777" s="96">
        <f t="shared" si="1072"/>
        <v>0</v>
      </c>
      <c r="R777" s="96">
        <v>0</v>
      </c>
      <c r="S777" s="97">
        <f t="shared" si="553"/>
        <v>0</v>
      </c>
      <c r="T777" s="97" t="str">
        <f ca="1">ROUNDUP(HLOOKUP(ROUNDUP(K777,0),'배송비 조회'!A$10:AE$22,7,0)*C$3,-2)</f>
        <v>#REF!</v>
      </c>
      <c r="U777" s="97">
        <v>0</v>
      </c>
      <c r="V777" s="97" t="str">
        <f t="shared" ca="1" si="981"/>
        <v>#REF!</v>
      </c>
      <c r="W777" s="97" t="str">
        <f t="shared" ca="1" si="982"/>
        <v>#REF!</v>
      </c>
      <c r="X777" s="98" t="str">
        <f t="shared" ca="1" si="882"/>
        <v>#REF!</v>
      </c>
      <c r="Y777" s="98" t="str">
        <f t="shared" ca="1" si="883"/>
        <v>#REF!</v>
      </c>
      <c r="Z777" s="121">
        <v>0</v>
      </c>
      <c r="AA777" s="121" t="str">
        <f t="shared" ca="1" si="556"/>
        <v>#REF!</v>
      </c>
      <c r="AB777" s="121" t="str">
        <f t="shared" ca="1" si="557"/>
        <v>#REF!</v>
      </c>
      <c r="AC777" s="99" t="str">
        <f t="shared" ca="1" si="8"/>
        <v>#REF!</v>
      </c>
      <c r="AD777" s="121" t="str">
        <f t="shared" ca="1" si="558"/>
        <v>#REF!</v>
      </c>
      <c r="AE777" s="99" t="str">
        <f t="shared" ca="1" si="10"/>
        <v>#REF!</v>
      </c>
      <c r="AF777" s="121" t="str">
        <f t="shared" ca="1" si="559"/>
        <v>#REF!</v>
      </c>
      <c r="AG777" s="100" t="str">
        <f t="shared" ca="1" si="560"/>
        <v>#REF!</v>
      </c>
      <c r="AH777" s="101" t="str">
        <f t="shared" ca="1" si="891"/>
        <v>#REF!</v>
      </c>
      <c r="AI777" s="102" t="str">
        <f t="shared" ref="AI777:AJ777" ca="1" si="1107">AG777/X777</f>
        <v>#REF!</v>
      </c>
      <c r="AJ777" s="102" t="str">
        <f t="shared" ca="1" si="1107"/>
        <v>#REF!</v>
      </c>
      <c r="AK777" s="212"/>
      <c r="AL777" s="213"/>
      <c r="AM777" s="4"/>
      <c r="AN777" s="4"/>
      <c r="AO777" s="4"/>
      <c r="AP777" s="4"/>
      <c r="AQ777" s="4"/>
      <c r="AR777" s="4"/>
      <c r="AS777" s="4"/>
      <c r="AT777" s="4"/>
      <c r="AU777" s="4"/>
      <c r="AV777" s="4"/>
      <c r="AW777" s="4"/>
    </row>
    <row r="778" spans="1:49" ht="13.2">
      <c r="A778" s="120"/>
      <c r="B778" s="266"/>
      <c r="C778" s="117"/>
      <c r="D778" s="117"/>
      <c r="E778" s="117"/>
      <c r="F778" s="123"/>
      <c r="G778" s="125" t="s">
        <v>145</v>
      </c>
      <c r="H778" s="125"/>
      <c r="I778" s="125"/>
      <c r="J778" s="125"/>
      <c r="K778" s="82" t="str">
        <f t="shared" ca="1" si="987"/>
        <v>#REF!</v>
      </c>
      <c r="L778" s="82" t="str">
        <f t="shared" ca="1" si="977"/>
        <v>#REF!</v>
      </c>
      <c r="M778" s="82" t="str">
        <f t="shared" ca="1" si="550"/>
        <v>#REF!</v>
      </c>
      <c r="N778" s="93"/>
      <c r="O778" s="93"/>
      <c r="P778" s="95">
        <f t="shared" si="965"/>
        <v>0</v>
      </c>
      <c r="Q778" s="96">
        <f t="shared" si="1072"/>
        <v>0</v>
      </c>
      <c r="R778" s="96">
        <v>0</v>
      </c>
      <c r="S778" s="97">
        <f t="shared" si="553"/>
        <v>0</v>
      </c>
      <c r="T778" s="97" t="str">
        <f ca="1">ROUNDUP(HLOOKUP(ROUNDUP(K778,0),'배송비 조회'!A$10:AE$22,7,0)*C$3,-2)</f>
        <v>#REF!</v>
      </c>
      <c r="U778" s="97">
        <v>0</v>
      </c>
      <c r="V778" s="97" t="str">
        <f t="shared" ca="1" si="981"/>
        <v>#REF!</v>
      </c>
      <c r="W778" s="97" t="str">
        <f t="shared" ca="1" si="982"/>
        <v>#REF!</v>
      </c>
      <c r="X778" s="98" t="str">
        <f t="shared" ca="1" si="882"/>
        <v>#REF!</v>
      </c>
      <c r="Y778" s="98" t="str">
        <f t="shared" ca="1" si="883"/>
        <v>#REF!</v>
      </c>
      <c r="Z778" s="121">
        <v>0</v>
      </c>
      <c r="AA778" s="121" t="str">
        <f t="shared" ca="1" si="556"/>
        <v>#REF!</v>
      </c>
      <c r="AB778" s="121" t="str">
        <f t="shared" ca="1" si="557"/>
        <v>#REF!</v>
      </c>
      <c r="AC778" s="99" t="str">
        <f t="shared" ca="1" si="8"/>
        <v>#REF!</v>
      </c>
      <c r="AD778" s="121" t="str">
        <f t="shared" ca="1" si="558"/>
        <v>#REF!</v>
      </c>
      <c r="AE778" s="99" t="str">
        <f t="shared" ca="1" si="10"/>
        <v>#REF!</v>
      </c>
      <c r="AF778" s="121" t="str">
        <f t="shared" ca="1" si="559"/>
        <v>#REF!</v>
      </c>
      <c r="AG778" s="100" t="str">
        <f t="shared" ca="1" si="560"/>
        <v>#REF!</v>
      </c>
      <c r="AH778" s="101" t="str">
        <f t="shared" ca="1" si="891"/>
        <v>#REF!</v>
      </c>
      <c r="AI778" s="102" t="str">
        <f t="shared" ref="AI778:AJ778" ca="1" si="1108">AG778/X778</f>
        <v>#REF!</v>
      </c>
      <c r="AJ778" s="102" t="str">
        <f t="shared" ca="1" si="1108"/>
        <v>#REF!</v>
      </c>
      <c r="AK778" s="212"/>
      <c r="AL778" s="213"/>
      <c r="AM778" s="4"/>
      <c r="AN778" s="4"/>
      <c r="AO778" s="4"/>
      <c r="AP778" s="4"/>
      <c r="AQ778" s="4"/>
      <c r="AR778" s="4"/>
      <c r="AS778" s="4"/>
      <c r="AT778" s="4"/>
      <c r="AU778" s="4"/>
      <c r="AV778" s="4"/>
      <c r="AW778" s="4"/>
    </row>
    <row r="779" spans="1:49" ht="13.2">
      <c r="A779" s="120"/>
      <c r="B779" s="266"/>
      <c r="C779" s="117"/>
      <c r="D779" s="117"/>
      <c r="E779" s="117"/>
      <c r="F779" s="123"/>
      <c r="G779" s="125" t="s">
        <v>145</v>
      </c>
      <c r="H779" s="125"/>
      <c r="I779" s="125"/>
      <c r="J779" s="125"/>
      <c r="K779" s="82" t="str">
        <f t="shared" ca="1" si="987"/>
        <v>#REF!</v>
      </c>
      <c r="L779" s="82" t="str">
        <f t="shared" ca="1" si="977"/>
        <v>#REF!</v>
      </c>
      <c r="M779" s="82" t="str">
        <f t="shared" ca="1" si="550"/>
        <v>#REF!</v>
      </c>
      <c r="N779" s="93"/>
      <c r="O779" s="93"/>
      <c r="P779" s="95">
        <f t="shared" si="965"/>
        <v>0</v>
      </c>
      <c r="Q779" s="96">
        <f t="shared" si="1072"/>
        <v>0</v>
      </c>
      <c r="R779" s="96">
        <v>0</v>
      </c>
      <c r="S779" s="97">
        <f t="shared" si="553"/>
        <v>0</v>
      </c>
      <c r="T779" s="97" t="str">
        <f ca="1">ROUNDUP(HLOOKUP(ROUNDUP(K779,0),'배송비 조회'!A$10:AE$22,7,0)*C$3,-2)</f>
        <v>#REF!</v>
      </c>
      <c r="U779" s="97">
        <v>0</v>
      </c>
      <c r="V779" s="97" t="str">
        <f t="shared" ca="1" si="981"/>
        <v>#REF!</v>
      </c>
      <c r="W779" s="97" t="str">
        <f t="shared" ca="1" si="982"/>
        <v>#REF!</v>
      </c>
      <c r="X779" s="98" t="str">
        <f t="shared" ca="1" si="882"/>
        <v>#REF!</v>
      </c>
      <c r="Y779" s="98" t="str">
        <f t="shared" ca="1" si="883"/>
        <v>#REF!</v>
      </c>
      <c r="Z779" s="121">
        <v>0</v>
      </c>
      <c r="AA779" s="121" t="str">
        <f t="shared" ca="1" si="556"/>
        <v>#REF!</v>
      </c>
      <c r="AB779" s="121" t="str">
        <f t="shared" ca="1" si="557"/>
        <v>#REF!</v>
      </c>
      <c r="AC779" s="99" t="str">
        <f t="shared" ca="1" si="8"/>
        <v>#REF!</v>
      </c>
      <c r="AD779" s="121" t="str">
        <f t="shared" ca="1" si="558"/>
        <v>#REF!</v>
      </c>
      <c r="AE779" s="99" t="str">
        <f t="shared" ca="1" si="10"/>
        <v>#REF!</v>
      </c>
      <c r="AF779" s="121" t="str">
        <f t="shared" ca="1" si="559"/>
        <v>#REF!</v>
      </c>
      <c r="AG779" s="100" t="str">
        <f t="shared" ca="1" si="560"/>
        <v>#REF!</v>
      </c>
      <c r="AH779" s="101" t="str">
        <f t="shared" ca="1" si="891"/>
        <v>#REF!</v>
      </c>
      <c r="AI779" s="102" t="str">
        <f t="shared" ref="AI779:AJ779" ca="1" si="1109">AG779/X779</f>
        <v>#REF!</v>
      </c>
      <c r="AJ779" s="102" t="str">
        <f t="shared" ca="1" si="1109"/>
        <v>#REF!</v>
      </c>
      <c r="AK779" s="212"/>
      <c r="AL779" s="213"/>
      <c r="AM779" s="4"/>
      <c r="AN779" s="4"/>
      <c r="AO779" s="4"/>
      <c r="AP779" s="4"/>
      <c r="AQ779" s="4"/>
      <c r="AR779" s="4"/>
      <c r="AS779" s="4"/>
      <c r="AT779" s="4"/>
      <c r="AU779" s="4"/>
      <c r="AV779" s="4"/>
      <c r="AW779" s="4"/>
    </row>
    <row r="780" spans="1:49" ht="13.2">
      <c r="A780" s="120"/>
      <c r="B780" s="266"/>
      <c r="C780" s="117"/>
      <c r="D780" s="117"/>
      <c r="E780" s="117"/>
      <c r="F780" s="123"/>
      <c r="G780" s="125" t="s">
        <v>145</v>
      </c>
      <c r="H780" s="125"/>
      <c r="I780" s="125"/>
      <c r="J780" s="125"/>
      <c r="K780" s="82" t="str">
        <f t="shared" ca="1" si="987"/>
        <v>#REF!</v>
      </c>
      <c r="L780" s="82" t="str">
        <f t="shared" ca="1" si="977"/>
        <v>#REF!</v>
      </c>
      <c r="M780" s="82" t="str">
        <f t="shared" ca="1" si="550"/>
        <v>#REF!</v>
      </c>
      <c r="N780" s="93"/>
      <c r="O780" s="93"/>
      <c r="P780" s="95">
        <f t="shared" si="965"/>
        <v>0</v>
      </c>
      <c r="Q780" s="96">
        <f t="shared" si="1072"/>
        <v>0</v>
      </c>
      <c r="R780" s="96">
        <v>0</v>
      </c>
      <c r="S780" s="97">
        <f t="shared" si="553"/>
        <v>0</v>
      </c>
      <c r="T780" s="97" t="str">
        <f ca="1">ROUNDUP(HLOOKUP(ROUNDUP(K780,0),'배송비 조회'!A$10:AE$22,7,0)*C$3,-2)</f>
        <v>#REF!</v>
      </c>
      <c r="U780" s="97">
        <v>0</v>
      </c>
      <c r="V780" s="97" t="str">
        <f t="shared" ca="1" si="981"/>
        <v>#REF!</v>
      </c>
      <c r="W780" s="97" t="str">
        <f t="shared" ca="1" si="982"/>
        <v>#REF!</v>
      </c>
      <c r="X780" s="98" t="str">
        <f t="shared" ca="1" si="882"/>
        <v>#REF!</v>
      </c>
      <c r="Y780" s="98" t="str">
        <f t="shared" ca="1" si="883"/>
        <v>#REF!</v>
      </c>
      <c r="Z780" s="121">
        <v>0</v>
      </c>
      <c r="AA780" s="121" t="str">
        <f t="shared" ca="1" si="556"/>
        <v>#REF!</v>
      </c>
      <c r="AB780" s="121" t="str">
        <f t="shared" ca="1" si="557"/>
        <v>#REF!</v>
      </c>
      <c r="AC780" s="99" t="str">
        <f t="shared" ca="1" si="8"/>
        <v>#REF!</v>
      </c>
      <c r="AD780" s="121" t="str">
        <f t="shared" ca="1" si="558"/>
        <v>#REF!</v>
      </c>
      <c r="AE780" s="99" t="str">
        <f t="shared" ca="1" si="10"/>
        <v>#REF!</v>
      </c>
      <c r="AF780" s="121" t="str">
        <f t="shared" ca="1" si="559"/>
        <v>#REF!</v>
      </c>
      <c r="AG780" s="100" t="str">
        <f t="shared" ca="1" si="560"/>
        <v>#REF!</v>
      </c>
      <c r="AH780" s="101" t="str">
        <f t="shared" ca="1" si="891"/>
        <v>#REF!</v>
      </c>
      <c r="AI780" s="102" t="str">
        <f t="shared" ref="AI780:AJ780" ca="1" si="1110">AG780/X780</f>
        <v>#REF!</v>
      </c>
      <c r="AJ780" s="102" t="str">
        <f t="shared" ca="1" si="1110"/>
        <v>#REF!</v>
      </c>
      <c r="AK780" s="212"/>
      <c r="AL780" s="213"/>
      <c r="AM780" s="4"/>
      <c r="AN780" s="4"/>
      <c r="AO780" s="4"/>
      <c r="AP780" s="4"/>
      <c r="AQ780" s="4"/>
      <c r="AR780" s="4"/>
      <c r="AS780" s="4"/>
      <c r="AT780" s="4"/>
      <c r="AU780" s="4"/>
      <c r="AV780" s="4"/>
      <c r="AW780" s="4"/>
    </row>
    <row r="781" spans="1:49" ht="13.2">
      <c r="A781" s="120"/>
      <c r="B781" s="266"/>
      <c r="C781" s="117"/>
      <c r="D781" s="117"/>
      <c r="E781" s="117"/>
      <c r="F781" s="123"/>
      <c r="G781" s="125" t="s">
        <v>145</v>
      </c>
      <c r="H781" s="125"/>
      <c r="I781" s="125"/>
      <c r="J781" s="125"/>
      <c r="K781" s="82" t="str">
        <f t="shared" ca="1" si="987"/>
        <v>#REF!</v>
      </c>
      <c r="L781" s="82" t="str">
        <f t="shared" ca="1" si="977"/>
        <v>#REF!</v>
      </c>
      <c r="M781" s="82" t="str">
        <f t="shared" ca="1" si="550"/>
        <v>#REF!</v>
      </c>
      <c r="N781" s="93"/>
      <c r="O781" s="93"/>
      <c r="P781" s="95">
        <f t="shared" si="965"/>
        <v>0</v>
      </c>
      <c r="Q781" s="96">
        <f t="shared" si="1072"/>
        <v>0</v>
      </c>
      <c r="R781" s="96">
        <v>0</v>
      </c>
      <c r="S781" s="97">
        <f t="shared" si="553"/>
        <v>0</v>
      </c>
      <c r="T781" s="97" t="str">
        <f ca="1">ROUNDUP(HLOOKUP(ROUNDUP(K781,0),'배송비 조회'!A$10:AE$22,7,0)*C$3,-2)</f>
        <v>#REF!</v>
      </c>
      <c r="U781" s="97">
        <v>0</v>
      </c>
      <c r="V781" s="97" t="str">
        <f t="shared" ca="1" si="981"/>
        <v>#REF!</v>
      </c>
      <c r="W781" s="97" t="str">
        <f t="shared" ca="1" si="982"/>
        <v>#REF!</v>
      </c>
      <c r="X781" s="98" t="str">
        <f t="shared" ca="1" si="882"/>
        <v>#REF!</v>
      </c>
      <c r="Y781" s="98" t="str">
        <f t="shared" ca="1" si="883"/>
        <v>#REF!</v>
      </c>
      <c r="Z781" s="121">
        <v>0</v>
      </c>
      <c r="AA781" s="121" t="str">
        <f t="shared" ca="1" si="556"/>
        <v>#REF!</v>
      </c>
      <c r="AB781" s="121" t="str">
        <f t="shared" ca="1" si="557"/>
        <v>#REF!</v>
      </c>
      <c r="AC781" s="99" t="str">
        <f t="shared" ca="1" si="8"/>
        <v>#REF!</v>
      </c>
      <c r="AD781" s="121" t="str">
        <f t="shared" ca="1" si="558"/>
        <v>#REF!</v>
      </c>
      <c r="AE781" s="99" t="str">
        <f t="shared" ca="1" si="10"/>
        <v>#REF!</v>
      </c>
      <c r="AF781" s="121" t="str">
        <f t="shared" ca="1" si="559"/>
        <v>#REF!</v>
      </c>
      <c r="AG781" s="100" t="str">
        <f t="shared" ca="1" si="560"/>
        <v>#REF!</v>
      </c>
      <c r="AH781" s="101" t="str">
        <f t="shared" ca="1" si="891"/>
        <v>#REF!</v>
      </c>
      <c r="AI781" s="102" t="str">
        <f t="shared" ref="AI781:AJ781" ca="1" si="1111">AG781/X781</f>
        <v>#REF!</v>
      </c>
      <c r="AJ781" s="102" t="str">
        <f t="shared" ca="1" si="1111"/>
        <v>#REF!</v>
      </c>
      <c r="AK781" s="212"/>
      <c r="AL781" s="213"/>
      <c r="AM781" s="4"/>
      <c r="AN781" s="4"/>
      <c r="AO781" s="4"/>
      <c r="AP781" s="4"/>
      <c r="AQ781" s="4"/>
      <c r="AR781" s="4"/>
      <c r="AS781" s="4"/>
      <c r="AT781" s="4"/>
      <c r="AU781" s="4"/>
      <c r="AV781" s="4"/>
      <c r="AW781" s="4"/>
    </row>
    <row r="782" spans="1:49" ht="13.2">
      <c r="A782" s="120"/>
      <c r="B782" s="266"/>
      <c r="C782" s="117"/>
      <c r="D782" s="117"/>
      <c r="E782" s="117"/>
      <c r="F782" s="123"/>
      <c r="G782" s="125" t="s">
        <v>145</v>
      </c>
      <c r="H782" s="125"/>
      <c r="I782" s="125"/>
      <c r="J782" s="125"/>
      <c r="K782" s="82" t="str">
        <f t="shared" ca="1" si="987"/>
        <v>#REF!</v>
      </c>
      <c r="L782" s="82" t="str">
        <f t="shared" ca="1" si="977"/>
        <v>#REF!</v>
      </c>
      <c r="M782" s="82" t="str">
        <f t="shared" ca="1" si="550"/>
        <v>#REF!</v>
      </c>
      <c r="N782" s="93"/>
      <c r="O782" s="93"/>
      <c r="P782" s="95">
        <f t="shared" si="965"/>
        <v>0</v>
      </c>
      <c r="Q782" s="96">
        <f t="shared" si="1072"/>
        <v>0</v>
      </c>
      <c r="R782" s="96">
        <v>0</v>
      </c>
      <c r="S782" s="97">
        <f t="shared" si="553"/>
        <v>0</v>
      </c>
      <c r="T782" s="97" t="str">
        <f ca="1">ROUNDUP(HLOOKUP(ROUNDUP(K782,0),'배송비 조회'!A$10:AE$22,7,0)*C$3,-2)</f>
        <v>#REF!</v>
      </c>
      <c r="U782" s="97">
        <v>0</v>
      </c>
      <c r="V782" s="97" t="str">
        <f t="shared" ca="1" si="981"/>
        <v>#REF!</v>
      </c>
      <c r="W782" s="97" t="str">
        <f t="shared" ca="1" si="982"/>
        <v>#REF!</v>
      </c>
      <c r="X782" s="98" t="str">
        <f t="shared" ca="1" si="882"/>
        <v>#REF!</v>
      </c>
      <c r="Y782" s="98" t="str">
        <f t="shared" ca="1" si="883"/>
        <v>#REF!</v>
      </c>
      <c r="Z782" s="121">
        <v>0</v>
      </c>
      <c r="AA782" s="121" t="str">
        <f t="shared" ca="1" si="556"/>
        <v>#REF!</v>
      </c>
      <c r="AB782" s="121" t="str">
        <f t="shared" ca="1" si="557"/>
        <v>#REF!</v>
      </c>
      <c r="AC782" s="99" t="str">
        <f t="shared" ca="1" si="8"/>
        <v>#REF!</v>
      </c>
      <c r="AD782" s="121" t="str">
        <f t="shared" ca="1" si="558"/>
        <v>#REF!</v>
      </c>
      <c r="AE782" s="99" t="str">
        <f t="shared" ca="1" si="10"/>
        <v>#REF!</v>
      </c>
      <c r="AF782" s="121" t="str">
        <f t="shared" ca="1" si="559"/>
        <v>#REF!</v>
      </c>
      <c r="AG782" s="100" t="str">
        <f t="shared" ca="1" si="560"/>
        <v>#REF!</v>
      </c>
      <c r="AH782" s="101" t="str">
        <f t="shared" ca="1" si="891"/>
        <v>#REF!</v>
      </c>
      <c r="AI782" s="102" t="str">
        <f t="shared" ref="AI782:AJ782" ca="1" si="1112">AG782/X782</f>
        <v>#REF!</v>
      </c>
      <c r="AJ782" s="102" t="str">
        <f t="shared" ca="1" si="1112"/>
        <v>#REF!</v>
      </c>
      <c r="AK782" s="212"/>
      <c r="AL782" s="213"/>
      <c r="AM782" s="4"/>
      <c r="AN782" s="4"/>
      <c r="AO782" s="4"/>
      <c r="AP782" s="4"/>
      <c r="AQ782" s="4"/>
      <c r="AR782" s="4"/>
      <c r="AS782" s="4"/>
      <c r="AT782" s="4"/>
      <c r="AU782" s="4"/>
      <c r="AV782" s="4"/>
      <c r="AW782" s="4"/>
    </row>
    <row r="783" spans="1:49" ht="13.2">
      <c r="A783" s="120"/>
      <c r="B783" s="266"/>
      <c r="C783" s="117"/>
      <c r="D783" s="117"/>
      <c r="E783" s="117"/>
      <c r="F783" s="123"/>
      <c r="G783" s="125" t="s">
        <v>145</v>
      </c>
      <c r="H783" s="125"/>
      <c r="I783" s="125"/>
      <c r="J783" s="125"/>
      <c r="K783" s="82" t="str">
        <f t="shared" ca="1" si="987"/>
        <v>#REF!</v>
      </c>
      <c r="L783" s="82" t="str">
        <f t="shared" ca="1" si="977"/>
        <v>#REF!</v>
      </c>
      <c r="M783" s="82" t="str">
        <f t="shared" ca="1" si="550"/>
        <v>#REF!</v>
      </c>
      <c r="N783" s="93"/>
      <c r="O783" s="93"/>
      <c r="P783" s="95">
        <f t="shared" si="965"/>
        <v>0</v>
      </c>
      <c r="Q783" s="96">
        <f t="shared" si="1072"/>
        <v>0</v>
      </c>
      <c r="R783" s="96">
        <v>0</v>
      </c>
      <c r="S783" s="97">
        <f t="shared" si="553"/>
        <v>0</v>
      </c>
      <c r="T783" s="97" t="str">
        <f ca="1">ROUNDUP(HLOOKUP(ROUNDUP(K783,0),'배송비 조회'!A$10:AE$22,7,0)*C$3,-2)</f>
        <v>#REF!</v>
      </c>
      <c r="U783" s="97">
        <v>0</v>
      </c>
      <c r="V783" s="97" t="str">
        <f t="shared" ca="1" si="981"/>
        <v>#REF!</v>
      </c>
      <c r="W783" s="97" t="str">
        <f t="shared" ca="1" si="982"/>
        <v>#REF!</v>
      </c>
      <c r="X783" s="98" t="str">
        <f t="shared" ca="1" si="882"/>
        <v>#REF!</v>
      </c>
      <c r="Y783" s="98" t="str">
        <f t="shared" ca="1" si="883"/>
        <v>#REF!</v>
      </c>
      <c r="Z783" s="121">
        <v>0</v>
      </c>
      <c r="AA783" s="121" t="str">
        <f t="shared" ca="1" si="556"/>
        <v>#REF!</v>
      </c>
      <c r="AB783" s="121" t="str">
        <f t="shared" ca="1" si="557"/>
        <v>#REF!</v>
      </c>
      <c r="AC783" s="99" t="str">
        <f t="shared" ca="1" si="8"/>
        <v>#REF!</v>
      </c>
      <c r="AD783" s="121" t="str">
        <f t="shared" ca="1" si="558"/>
        <v>#REF!</v>
      </c>
      <c r="AE783" s="99" t="str">
        <f t="shared" ca="1" si="10"/>
        <v>#REF!</v>
      </c>
      <c r="AF783" s="121" t="str">
        <f t="shared" ca="1" si="559"/>
        <v>#REF!</v>
      </c>
      <c r="AG783" s="100" t="str">
        <f t="shared" ca="1" si="560"/>
        <v>#REF!</v>
      </c>
      <c r="AH783" s="101" t="str">
        <f t="shared" ca="1" si="891"/>
        <v>#REF!</v>
      </c>
      <c r="AI783" s="102" t="str">
        <f t="shared" ref="AI783:AJ783" ca="1" si="1113">AG783/X783</f>
        <v>#REF!</v>
      </c>
      <c r="AJ783" s="102" t="str">
        <f t="shared" ca="1" si="1113"/>
        <v>#REF!</v>
      </c>
      <c r="AK783" s="212"/>
      <c r="AL783" s="213"/>
      <c r="AM783" s="4"/>
      <c r="AN783" s="4"/>
      <c r="AO783" s="4"/>
      <c r="AP783" s="4"/>
      <c r="AQ783" s="4"/>
      <c r="AR783" s="4"/>
      <c r="AS783" s="4"/>
      <c r="AT783" s="4"/>
      <c r="AU783" s="4"/>
      <c r="AV783" s="4"/>
      <c r="AW783" s="4"/>
    </row>
    <row r="784" spans="1:49" ht="13.2">
      <c r="A784" s="120"/>
      <c r="B784" s="266"/>
      <c r="C784" s="117"/>
      <c r="D784" s="117"/>
      <c r="E784" s="117"/>
      <c r="F784" s="123"/>
      <c r="G784" s="125" t="s">
        <v>145</v>
      </c>
      <c r="H784" s="125"/>
      <c r="I784" s="125"/>
      <c r="J784" s="125"/>
      <c r="K784" s="82" t="str">
        <f t="shared" ca="1" si="987"/>
        <v>#REF!</v>
      </c>
      <c r="L784" s="82" t="str">
        <f t="shared" ca="1" si="977"/>
        <v>#REF!</v>
      </c>
      <c r="M784" s="82" t="str">
        <f t="shared" ca="1" si="550"/>
        <v>#REF!</v>
      </c>
      <c r="N784" s="93"/>
      <c r="O784" s="93"/>
      <c r="P784" s="95">
        <f t="shared" si="965"/>
        <v>0</v>
      </c>
      <c r="Q784" s="96">
        <f t="shared" si="1072"/>
        <v>0</v>
      </c>
      <c r="R784" s="96">
        <v>0</v>
      </c>
      <c r="S784" s="97">
        <f t="shared" si="553"/>
        <v>0</v>
      </c>
      <c r="T784" s="97" t="str">
        <f ca="1">ROUNDUP(HLOOKUP(ROUNDUP(K784,0),'배송비 조회'!A$10:AE$22,7,0)*C$3,-2)</f>
        <v>#REF!</v>
      </c>
      <c r="U784" s="97">
        <v>0</v>
      </c>
      <c r="V784" s="97" t="str">
        <f t="shared" ca="1" si="981"/>
        <v>#REF!</v>
      </c>
      <c r="W784" s="97" t="str">
        <f t="shared" ca="1" si="982"/>
        <v>#REF!</v>
      </c>
      <c r="X784" s="98" t="str">
        <f t="shared" ca="1" si="882"/>
        <v>#REF!</v>
      </c>
      <c r="Y784" s="98" t="str">
        <f t="shared" ca="1" si="883"/>
        <v>#REF!</v>
      </c>
      <c r="Z784" s="121">
        <v>0</v>
      </c>
      <c r="AA784" s="121" t="str">
        <f t="shared" ca="1" si="556"/>
        <v>#REF!</v>
      </c>
      <c r="AB784" s="121" t="str">
        <f t="shared" ca="1" si="557"/>
        <v>#REF!</v>
      </c>
      <c r="AC784" s="99" t="str">
        <f t="shared" ca="1" si="8"/>
        <v>#REF!</v>
      </c>
      <c r="AD784" s="121" t="str">
        <f t="shared" ca="1" si="558"/>
        <v>#REF!</v>
      </c>
      <c r="AE784" s="99" t="str">
        <f t="shared" ca="1" si="10"/>
        <v>#REF!</v>
      </c>
      <c r="AF784" s="121" t="str">
        <f t="shared" ca="1" si="559"/>
        <v>#REF!</v>
      </c>
      <c r="AG784" s="100" t="str">
        <f t="shared" ca="1" si="560"/>
        <v>#REF!</v>
      </c>
      <c r="AH784" s="101" t="str">
        <f t="shared" ca="1" si="891"/>
        <v>#REF!</v>
      </c>
      <c r="AI784" s="102" t="str">
        <f t="shared" ref="AI784:AJ784" ca="1" si="1114">AG784/X784</f>
        <v>#REF!</v>
      </c>
      <c r="AJ784" s="102" t="str">
        <f t="shared" ca="1" si="1114"/>
        <v>#REF!</v>
      </c>
      <c r="AK784" s="212"/>
      <c r="AL784" s="213"/>
      <c r="AM784" s="4"/>
      <c r="AN784" s="4"/>
      <c r="AO784" s="4"/>
      <c r="AP784" s="4"/>
      <c r="AQ784" s="4"/>
      <c r="AR784" s="4"/>
      <c r="AS784" s="4"/>
      <c r="AT784" s="4"/>
      <c r="AU784" s="4"/>
      <c r="AV784" s="4"/>
      <c r="AW784" s="4"/>
    </row>
    <row r="785" spans="1:49" ht="13.2">
      <c r="A785" s="120"/>
      <c r="B785" s="266"/>
      <c r="C785" s="117"/>
      <c r="D785" s="117"/>
      <c r="E785" s="117"/>
      <c r="F785" s="123"/>
      <c r="G785" s="125" t="s">
        <v>145</v>
      </c>
      <c r="H785" s="125"/>
      <c r="I785" s="125"/>
      <c r="J785" s="125"/>
      <c r="K785" s="82" t="str">
        <f t="shared" ca="1" si="987"/>
        <v>#REF!</v>
      </c>
      <c r="L785" s="82" t="str">
        <f t="shared" ca="1" si="977"/>
        <v>#REF!</v>
      </c>
      <c r="M785" s="82" t="str">
        <f t="shared" ca="1" si="550"/>
        <v>#REF!</v>
      </c>
      <c r="N785" s="93"/>
      <c r="O785" s="93"/>
      <c r="P785" s="95">
        <f t="shared" si="965"/>
        <v>0</v>
      </c>
      <c r="Q785" s="96">
        <f t="shared" si="1072"/>
        <v>0</v>
      </c>
      <c r="R785" s="96">
        <v>0</v>
      </c>
      <c r="S785" s="97">
        <f t="shared" si="553"/>
        <v>0</v>
      </c>
      <c r="T785" s="97" t="str">
        <f ca="1">ROUNDUP(HLOOKUP(ROUNDUP(K785,0),'배송비 조회'!A$10:AE$22,7,0)*C$3,-2)</f>
        <v>#REF!</v>
      </c>
      <c r="U785" s="97">
        <v>0</v>
      </c>
      <c r="V785" s="97" t="str">
        <f t="shared" ca="1" si="981"/>
        <v>#REF!</v>
      </c>
      <c r="W785" s="97" t="str">
        <f t="shared" ca="1" si="982"/>
        <v>#REF!</v>
      </c>
      <c r="X785" s="98" t="str">
        <f t="shared" ca="1" si="882"/>
        <v>#REF!</v>
      </c>
      <c r="Y785" s="98" t="str">
        <f t="shared" ca="1" si="883"/>
        <v>#REF!</v>
      </c>
      <c r="Z785" s="121">
        <v>0</v>
      </c>
      <c r="AA785" s="121" t="str">
        <f t="shared" ca="1" si="556"/>
        <v>#REF!</v>
      </c>
      <c r="AB785" s="121" t="str">
        <f t="shared" ca="1" si="557"/>
        <v>#REF!</v>
      </c>
      <c r="AC785" s="99" t="str">
        <f t="shared" ca="1" si="8"/>
        <v>#REF!</v>
      </c>
      <c r="AD785" s="121" t="str">
        <f t="shared" ca="1" si="558"/>
        <v>#REF!</v>
      </c>
      <c r="AE785" s="99" t="str">
        <f t="shared" ca="1" si="10"/>
        <v>#REF!</v>
      </c>
      <c r="AF785" s="121" t="str">
        <f t="shared" ca="1" si="559"/>
        <v>#REF!</v>
      </c>
      <c r="AG785" s="100" t="str">
        <f t="shared" ca="1" si="560"/>
        <v>#REF!</v>
      </c>
      <c r="AH785" s="101" t="str">
        <f t="shared" ca="1" si="891"/>
        <v>#REF!</v>
      </c>
      <c r="AI785" s="102" t="str">
        <f t="shared" ref="AI785:AJ785" ca="1" si="1115">AG785/X785</f>
        <v>#REF!</v>
      </c>
      <c r="AJ785" s="102" t="str">
        <f t="shared" ca="1" si="1115"/>
        <v>#REF!</v>
      </c>
      <c r="AK785" s="212"/>
      <c r="AL785" s="213"/>
      <c r="AM785" s="4"/>
      <c r="AN785" s="4"/>
      <c r="AO785" s="4"/>
      <c r="AP785" s="4"/>
      <c r="AQ785" s="4"/>
      <c r="AR785" s="4"/>
      <c r="AS785" s="4"/>
      <c r="AT785" s="4"/>
      <c r="AU785" s="4"/>
      <c r="AV785" s="4"/>
      <c r="AW785" s="4"/>
    </row>
    <row r="786" spans="1:49" ht="13.2">
      <c r="A786" s="120"/>
      <c r="B786" s="266"/>
      <c r="C786" s="117"/>
      <c r="D786" s="117"/>
      <c r="E786" s="117"/>
      <c r="F786" s="123"/>
      <c r="G786" s="125" t="s">
        <v>145</v>
      </c>
      <c r="H786" s="125"/>
      <c r="I786" s="125"/>
      <c r="J786" s="125"/>
      <c r="K786" s="82" t="str">
        <f t="shared" ca="1" si="987"/>
        <v>#REF!</v>
      </c>
      <c r="L786" s="82" t="str">
        <f t="shared" ca="1" si="977"/>
        <v>#REF!</v>
      </c>
      <c r="M786" s="82" t="str">
        <f t="shared" ca="1" si="550"/>
        <v>#REF!</v>
      </c>
      <c r="N786" s="93"/>
      <c r="O786" s="93"/>
      <c r="P786" s="95">
        <f t="shared" si="965"/>
        <v>0</v>
      </c>
      <c r="Q786" s="96">
        <f t="shared" si="1072"/>
        <v>0</v>
      </c>
      <c r="R786" s="96">
        <v>0</v>
      </c>
      <c r="S786" s="97">
        <f t="shared" si="553"/>
        <v>0</v>
      </c>
      <c r="T786" s="97" t="str">
        <f ca="1">ROUNDUP(HLOOKUP(ROUNDUP(K786,0),'배송비 조회'!A$10:AE$22,7,0)*C$3,-2)</f>
        <v>#REF!</v>
      </c>
      <c r="U786" s="97">
        <v>0</v>
      </c>
      <c r="V786" s="97" t="str">
        <f t="shared" ca="1" si="981"/>
        <v>#REF!</v>
      </c>
      <c r="W786" s="97" t="str">
        <f t="shared" ca="1" si="982"/>
        <v>#REF!</v>
      </c>
      <c r="X786" s="98" t="str">
        <f t="shared" ca="1" si="882"/>
        <v>#REF!</v>
      </c>
      <c r="Y786" s="98" t="str">
        <f t="shared" ca="1" si="883"/>
        <v>#REF!</v>
      </c>
      <c r="Z786" s="121">
        <v>0</v>
      </c>
      <c r="AA786" s="121" t="str">
        <f t="shared" ca="1" si="556"/>
        <v>#REF!</v>
      </c>
      <c r="AB786" s="121" t="str">
        <f t="shared" ca="1" si="557"/>
        <v>#REF!</v>
      </c>
      <c r="AC786" s="99" t="str">
        <f t="shared" ca="1" si="8"/>
        <v>#REF!</v>
      </c>
      <c r="AD786" s="121" t="str">
        <f t="shared" ca="1" si="558"/>
        <v>#REF!</v>
      </c>
      <c r="AE786" s="99" t="str">
        <f t="shared" ca="1" si="10"/>
        <v>#REF!</v>
      </c>
      <c r="AF786" s="121" t="str">
        <f t="shared" ca="1" si="559"/>
        <v>#REF!</v>
      </c>
      <c r="AG786" s="100" t="str">
        <f t="shared" ca="1" si="560"/>
        <v>#REF!</v>
      </c>
      <c r="AH786" s="101" t="str">
        <f t="shared" ca="1" si="891"/>
        <v>#REF!</v>
      </c>
      <c r="AI786" s="102" t="str">
        <f t="shared" ref="AI786:AJ786" ca="1" si="1116">AG786/X786</f>
        <v>#REF!</v>
      </c>
      <c r="AJ786" s="102" t="str">
        <f t="shared" ca="1" si="1116"/>
        <v>#REF!</v>
      </c>
      <c r="AK786" s="212"/>
      <c r="AL786" s="213"/>
      <c r="AM786" s="4"/>
      <c r="AN786" s="4"/>
      <c r="AO786" s="4"/>
      <c r="AP786" s="4"/>
      <c r="AQ786" s="4"/>
      <c r="AR786" s="4"/>
      <c r="AS786" s="4"/>
      <c r="AT786" s="4"/>
      <c r="AU786" s="4"/>
      <c r="AV786" s="4"/>
      <c r="AW786" s="4"/>
    </row>
    <row r="787" spans="1:49" ht="13.2">
      <c r="A787" s="120"/>
      <c r="B787" s="266"/>
      <c r="C787" s="117"/>
      <c r="D787" s="117"/>
      <c r="E787" s="117"/>
      <c r="F787" s="123"/>
      <c r="G787" s="125" t="s">
        <v>145</v>
      </c>
      <c r="H787" s="125"/>
      <c r="I787" s="125"/>
      <c r="J787" s="125"/>
      <c r="K787" s="82" t="str">
        <f t="shared" ca="1" si="987"/>
        <v>#REF!</v>
      </c>
      <c r="L787" s="82" t="str">
        <f t="shared" ca="1" si="977"/>
        <v>#REF!</v>
      </c>
      <c r="M787" s="82" t="str">
        <f t="shared" ca="1" si="550"/>
        <v>#REF!</v>
      </c>
      <c r="N787" s="93"/>
      <c r="O787" s="93"/>
      <c r="P787" s="95">
        <f t="shared" si="965"/>
        <v>0</v>
      </c>
      <c r="Q787" s="96">
        <f t="shared" si="1072"/>
        <v>0</v>
      </c>
      <c r="R787" s="96">
        <v>0</v>
      </c>
      <c r="S787" s="97">
        <f t="shared" si="553"/>
        <v>0</v>
      </c>
      <c r="T787" s="97" t="str">
        <f ca="1">ROUNDUP(HLOOKUP(ROUNDUP(K787,0),'배송비 조회'!A$10:AE$22,7,0)*C$3,-2)</f>
        <v>#REF!</v>
      </c>
      <c r="U787" s="97">
        <v>0</v>
      </c>
      <c r="V787" s="97" t="str">
        <f t="shared" ca="1" si="981"/>
        <v>#REF!</v>
      </c>
      <c r="W787" s="97" t="str">
        <f t="shared" ca="1" si="982"/>
        <v>#REF!</v>
      </c>
      <c r="X787" s="98" t="str">
        <f t="shared" ca="1" si="882"/>
        <v>#REF!</v>
      </c>
      <c r="Y787" s="98" t="str">
        <f t="shared" ca="1" si="883"/>
        <v>#REF!</v>
      </c>
      <c r="Z787" s="121">
        <v>0</v>
      </c>
      <c r="AA787" s="121" t="str">
        <f t="shared" ca="1" si="556"/>
        <v>#REF!</v>
      </c>
      <c r="AB787" s="121" t="str">
        <f t="shared" ca="1" si="557"/>
        <v>#REF!</v>
      </c>
      <c r="AC787" s="99" t="str">
        <f t="shared" ca="1" si="8"/>
        <v>#REF!</v>
      </c>
      <c r="AD787" s="121" t="str">
        <f t="shared" ca="1" si="558"/>
        <v>#REF!</v>
      </c>
      <c r="AE787" s="99" t="str">
        <f t="shared" ca="1" si="10"/>
        <v>#REF!</v>
      </c>
      <c r="AF787" s="121" t="str">
        <f t="shared" ca="1" si="559"/>
        <v>#REF!</v>
      </c>
      <c r="AG787" s="100" t="str">
        <f t="shared" ca="1" si="560"/>
        <v>#REF!</v>
      </c>
      <c r="AH787" s="101" t="str">
        <f t="shared" ca="1" si="891"/>
        <v>#REF!</v>
      </c>
      <c r="AI787" s="102" t="str">
        <f t="shared" ref="AI787:AJ787" ca="1" si="1117">AG787/X787</f>
        <v>#REF!</v>
      </c>
      <c r="AJ787" s="102" t="str">
        <f t="shared" ca="1" si="1117"/>
        <v>#REF!</v>
      </c>
      <c r="AK787" s="212"/>
      <c r="AL787" s="213"/>
      <c r="AM787" s="4"/>
      <c r="AN787" s="4"/>
      <c r="AO787" s="4"/>
      <c r="AP787" s="4"/>
      <c r="AQ787" s="4"/>
      <c r="AR787" s="4"/>
      <c r="AS787" s="4"/>
      <c r="AT787" s="4"/>
      <c r="AU787" s="4"/>
      <c r="AV787" s="4"/>
      <c r="AW787" s="4"/>
    </row>
    <row r="788" spans="1:49" ht="13.2">
      <c r="A788" s="120"/>
      <c r="B788" s="266"/>
      <c r="C788" s="117"/>
      <c r="D788" s="117"/>
      <c r="E788" s="117"/>
      <c r="F788" s="123"/>
      <c r="G788" s="125" t="s">
        <v>145</v>
      </c>
      <c r="H788" s="125"/>
      <c r="I788" s="125"/>
      <c r="J788" s="125"/>
      <c r="K788" s="82" t="str">
        <f t="shared" ca="1" si="987"/>
        <v>#REF!</v>
      </c>
      <c r="L788" s="82" t="str">
        <f t="shared" ca="1" si="977"/>
        <v>#REF!</v>
      </c>
      <c r="M788" s="82" t="str">
        <f t="shared" ca="1" si="550"/>
        <v>#REF!</v>
      </c>
      <c r="N788" s="93"/>
      <c r="O788" s="93"/>
      <c r="P788" s="95">
        <f t="shared" si="965"/>
        <v>0</v>
      </c>
      <c r="Q788" s="96">
        <f t="shared" si="1072"/>
        <v>0</v>
      </c>
      <c r="R788" s="96">
        <v>0</v>
      </c>
      <c r="S788" s="97">
        <f t="shared" si="553"/>
        <v>0</v>
      </c>
      <c r="T788" s="97" t="str">
        <f ca="1">ROUNDUP(HLOOKUP(ROUNDUP(K788,0),'배송비 조회'!A$10:AE$22,7,0)*C$3,-2)</f>
        <v>#REF!</v>
      </c>
      <c r="U788" s="97">
        <v>0</v>
      </c>
      <c r="V788" s="97" t="str">
        <f t="shared" ca="1" si="981"/>
        <v>#REF!</v>
      </c>
      <c r="W788" s="97" t="str">
        <f t="shared" ca="1" si="982"/>
        <v>#REF!</v>
      </c>
      <c r="X788" s="98" t="str">
        <f t="shared" ca="1" si="882"/>
        <v>#REF!</v>
      </c>
      <c r="Y788" s="98" t="str">
        <f t="shared" ca="1" si="883"/>
        <v>#REF!</v>
      </c>
      <c r="Z788" s="121">
        <v>0</v>
      </c>
      <c r="AA788" s="121" t="str">
        <f t="shared" ca="1" si="556"/>
        <v>#REF!</v>
      </c>
      <c r="AB788" s="121" t="str">
        <f t="shared" ca="1" si="557"/>
        <v>#REF!</v>
      </c>
      <c r="AC788" s="99" t="str">
        <f t="shared" ca="1" si="8"/>
        <v>#REF!</v>
      </c>
      <c r="AD788" s="121" t="str">
        <f t="shared" ca="1" si="558"/>
        <v>#REF!</v>
      </c>
      <c r="AE788" s="99" t="str">
        <f t="shared" ca="1" si="10"/>
        <v>#REF!</v>
      </c>
      <c r="AF788" s="121" t="str">
        <f t="shared" ca="1" si="559"/>
        <v>#REF!</v>
      </c>
      <c r="AG788" s="100" t="str">
        <f t="shared" ca="1" si="560"/>
        <v>#REF!</v>
      </c>
      <c r="AH788" s="101" t="str">
        <f t="shared" ca="1" si="891"/>
        <v>#REF!</v>
      </c>
      <c r="AI788" s="102" t="str">
        <f t="shared" ref="AI788:AJ788" ca="1" si="1118">AG788/X788</f>
        <v>#REF!</v>
      </c>
      <c r="AJ788" s="102" t="str">
        <f t="shared" ca="1" si="1118"/>
        <v>#REF!</v>
      </c>
      <c r="AK788" s="212"/>
      <c r="AL788" s="213"/>
      <c r="AM788" s="4"/>
      <c r="AN788" s="4"/>
      <c r="AO788" s="4"/>
      <c r="AP788" s="4"/>
      <c r="AQ788" s="4"/>
      <c r="AR788" s="4"/>
      <c r="AS788" s="4"/>
      <c r="AT788" s="4"/>
      <c r="AU788" s="4"/>
      <c r="AV788" s="4"/>
      <c r="AW788" s="4"/>
    </row>
    <row r="789" spans="1:49" ht="13.2">
      <c r="A789" s="120"/>
      <c r="B789" s="266"/>
      <c r="C789" s="117"/>
      <c r="D789" s="117"/>
      <c r="E789" s="117"/>
      <c r="F789" s="123"/>
      <c r="G789" s="125" t="s">
        <v>145</v>
      </c>
      <c r="H789" s="125"/>
      <c r="I789" s="125"/>
      <c r="J789" s="125"/>
      <c r="K789" s="82" t="str">
        <f t="shared" ca="1" si="987"/>
        <v>#REF!</v>
      </c>
      <c r="L789" s="82" t="str">
        <f t="shared" ca="1" si="977"/>
        <v>#REF!</v>
      </c>
      <c r="M789" s="82" t="str">
        <f t="shared" ca="1" si="550"/>
        <v>#REF!</v>
      </c>
      <c r="N789" s="93"/>
      <c r="O789" s="93"/>
      <c r="P789" s="95">
        <f t="shared" si="965"/>
        <v>0</v>
      </c>
      <c r="Q789" s="96">
        <f t="shared" si="1072"/>
        <v>0</v>
      </c>
      <c r="R789" s="96">
        <v>0</v>
      </c>
      <c r="S789" s="97">
        <f t="shared" si="553"/>
        <v>0</v>
      </c>
      <c r="T789" s="97" t="str">
        <f ca="1">ROUNDUP(HLOOKUP(ROUNDUP(K789,0),'배송비 조회'!A$10:AE$22,7,0)*C$3,-2)</f>
        <v>#REF!</v>
      </c>
      <c r="U789" s="97">
        <v>0</v>
      </c>
      <c r="V789" s="97" t="str">
        <f t="shared" ca="1" si="981"/>
        <v>#REF!</v>
      </c>
      <c r="W789" s="97" t="str">
        <f t="shared" ca="1" si="982"/>
        <v>#REF!</v>
      </c>
      <c r="X789" s="98" t="str">
        <f t="shared" ca="1" si="882"/>
        <v>#REF!</v>
      </c>
      <c r="Y789" s="98" t="str">
        <f t="shared" ca="1" si="883"/>
        <v>#REF!</v>
      </c>
      <c r="Z789" s="121">
        <v>0</v>
      </c>
      <c r="AA789" s="121" t="str">
        <f t="shared" ca="1" si="556"/>
        <v>#REF!</v>
      </c>
      <c r="AB789" s="121" t="str">
        <f t="shared" ca="1" si="557"/>
        <v>#REF!</v>
      </c>
      <c r="AC789" s="99" t="str">
        <f t="shared" ca="1" si="8"/>
        <v>#REF!</v>
      </c>
      <c r="AD789" s="121" t="str">
        <f t="shared" ca="1" si="558"/>
        <v>#REF!</v>
      </c>
      <c r="AE789" s="99" t="str">
        <f t="shared" ca="1" si="10"/>
        <v>#REF!</v>
      </c>
      <c r="AF789" s="121" t="str">
        <f t="shared" ca="1" si="559"/>
        <v>#REF!</v>
      </c>
      <c r="AG789" s="100" t="str">
        <f t="shared" ca="1" si="560"/>
        <v>#REF!</v>
      </c>
      <c r="AH789" s="101" t="str">
        <f t="shared" ca="1" si="891"/>
        <v>#REF!</v>
      </c>
      <c r="AI789" s="102" t="str">
        <f t="shared" ref="AI789:AJ789" ca="1" si="1119">AG789/X789</f>
        <v>#REF!</v>
      </c>
      <c r="AJ789" s="102" t="str">
        <f t="shared" ca="1" si="1119"/>
        <v>#REF!</v>
      </c>
      <c r="AK789" s="212"/>
      <c r="AL789" s="213"/>
      <c r="AM789" s="4"/>
      <c r="AN789" s="4"/>
      <c r="AO789" s="4"/>
      <c r="AP789" s="4"/>
      <c r="AQ789" s="4"/>
      <c r="AR789" s="4"/>
      <c r="AS789" s="4"/>
      <c r="AT789" s="4"/>
      <c r="AU789" s="4"/>
      <c r="AV789" s="4"/>
      <c r="AW789" s="4"/>
    </row>
    <row r="790" spans="1:49" ht="13.2">
      <c r="A790" s="120"/>
      <c r="B790" s="266"/>
      <c r="C790" s="117"/>
      <c r="D790" s="117"/>
      <c r="E790" s="117"/>
      <c r="F790" s="123"/>
      <c r="G790" s="125" t="s">
        <v>145</v>
      </c>
      <c r="H790" s="125"/>
      <c r="I790" s="125"/>
      <c r="J790" s="125"/>
      <c r="K790" s="82" t="str">
        <f t="shared" ca="1" si="987"/>
        <v>#REF!</v>
      </c>
      <c r="L790" s="82" t="str">
        <f t="shared" ca="1" si="977"/>
        <v>#REF!</v>
      </c>
      <c r="M790" s="82" t="str">
        <f t="shared" ca="1" si="550"/>
        <v>#REF!</v>
      </c>
      <c r="N790" s="93"/>
      <c r="O790" s="93"/>
      <c r="P790" s="95">
        <f t="shared" si="965"/>
        <v>0</v>
      </c>
      <c r="Q790" s="96">
        <f t="shared" si="1072"/>
        <v>0</v>
      </c>
      <c r="R790" s="96">
        <v>0</v>
      </c>
      <c r="S790" s="97">
        <f t="shared" si="553"/>
        <v>0</v>
      </c>
      <c r="T790" s="97" t="str">
        <f ca="1">ROUNDUP(HLOOKUP(ROUNDUP(K790,0),'배송비 조회'!A$10:AE$22,7,0)*C$3,-2)</f>
        <v>#REF!</v>
      </c>
      <c r="U790" s="97">
        <v>0</v>
      </c>
      <c r="V790" s="97" t="str">
        <f t="shared" ca="1" si="981"/>
        <v>#REF!</v>
      </c>
      <c r="W790" s="97" t="str">
        <f t="shared" ca="1" si="982"/>
        <v>#REF!</v>
      </c>
      <c r="X790" s="98" t="str">
        <f t="shared" ca="1" si="882"/>
        <v>#REF!</v>
      </c>
      <c r="Y790" s="98" t="str">
        <f t="shared" ca="1" si="883"/>
        <v>#REF!</v>
      </c>
      <c r="Z790" s="121">
        <v>0</v>
      </c>
      <c r="AA790" s="121" t="str">
        <f t="shared" ca="1" si="556"/>
        <v>#REF!</v>
      </c>
      <c r="AB790" s="121" t="str">
        <f t="shared" ca="1" si="557"/>
        <v>#REF!</v>
      </c>
      <c r="AC790" s="99" t="str">
        <f t="shared" ca="1" si="8"/>
        <v>#REF!</v>
      </c>
      <c r="AD790" s="121" t="str">
        <f t="shared" ca="1" si="558"/>
        <v>#REF!</v>
      </c>
      <c r="AE790" s="99" t="str">
        <f t="shared" ca="1" si="10"/>
        <v>#REF!</v>
      </c>
      <c r="AF790" s="121" t="str">
        <f t="shared" ca="1" si="559"/>
        <v>#REF!</v>
      </c>
      <c r="AG790" s="100" t="str">
        <f t="shared" ca="1" si="560"/>
        <v>#REF!</v>
      </c>
      <c r="AH790" s="101" t="str">
        <f t="shared" ca="1" si="891"/>
        <v>#REF!</v>
      </c>
      <c r="AI790" s="102" t="str">
        <f t="shared" ref="AI790:AJ790" ca="1" si="1120">AG790/X790</f>
        <v>#REF!</v>
      </c>
      <c r="AJ790" s="102" t="str">
        <f t="shared" ca="1" si="1120"/>
        <v>#REF!</v>
      </c>
      <c r="AK790" s="212"/>
      <c r="AL790" s="213"/>
      <c r="AM790" s="4"/>
      <c r="AN790" s="4"/>
      <c r="AO790" s="4"/>
      <c r="AP790" s="4"/>
      <c r="AQ790" s="4"/>
      <c r="AR790" s="4"/>
      <c r="AS790" s="4"/>
      <c r="AT790" s="4"/>
      <c r="AU790" s="4"/>
      <c r="AV790" s="4"/>
      <c r="AW790" s="4"/>
    </row>
    <row r="791" spans="1:49" ht="13.2">
      <c r="A791" s="120"/>
      <c r="B791" s="266"/>
      <c r="C791" s="117"/>
      <c r="D791" s="117"/>
      <c r="E791" s="117"/>
      <c r="F791" s="123"/>
      <c r="G791" s="125" t="s">
        <v>145</v>
      </c>
      <c r="H791" s="125"/>
      <c r="I791" s="125"/>
      <c r="J791" s="125"/>
      <c r="K791" s="82" t="str">
        <f t="shared" ca="1" si="987"/>
        <v>#REF!</v>
      </c>
      <c r="L791" s="82" t="str">
        <f t="shared" ca="1" si="977"/>
        <v>#REF!</v>
      </c>
      <c r="M791" s="82" t="str">
        <f t="shared" ca="1" si="550"/>
        <v>#REF!</v>
      </c>
      <c r="N791" s="93"/>
      <c r="O791" s="93"/>
      <c r="P791" s="95">
        <f t="shared" si="965"/>
        <v>0</v>
      </c>
      <c r="Q791" s="96">
        <f t="shared" si="1072"/>
        <v>0</v>
      </c>
      <c r="R791" s="96">
        <v>0</v>
      </c>
      <c r="S791" s="97">
        <f t="shared" si="553"/>
        <v>0</v>
      </c>
      <c r="T791" s="97" t="str">
        <f ca="1">ROUNDUP(HLOOKUP(ROUNDUP(K791,0),'배송비 조회'!A$10:AE$22,7,0)*C$3,-2)</f>
        <v>#REF!</v>
      </c>
      <c r="U791" s="97">
        <v>0</v>
      </c>
      <c r="V791" s="97" t="str">
        <f t="shared" ca="1" si="981"/>
        <v>#REF!</v>
      </c>
      <c r="W791" s="97" t="str">
        <f t="shared" ca="1" si="982"/>
        <v>#REF!</v>
      </c>
      <c r="X791" s="98" t="str">
        <f t="shared" ca="1" si="882"/>
        <v>#REF!</v>
      </c>
      <c r="Y791" s="98" t="str">
        <f t="shared" ca="1" si="883"/>
        <v>#REF!</v>
      </c>
      <c r="Z791" s="121">
        <v>0</v>
      </c>
      <c r="AA791" s="121" t="str">
        <f t="shared" ca="1" si="556"/>
        <v>#REF!</v>
      </c>
      <c r="AB791" s="121" t="str">
        <f t="shared" ca="1" si="557"/>
        <v>#REF!</v>
      </c>
      <c r="AC791" s="99" t="str">
        <f t="shared" ca="1" si="8"/>
        <v>#REF!</v>
      </c>
      <c r="AD791" s="121" t="str">
        <f t="shared" ca="1" si="558"/>
        <v>#REF!</v>
      </c>
      <c r="AE791" s="99" t="str">
        <f t="shared" ca="1" si="10"/>
        <v>#REF!</v>
      </c>
      <c r="AF791" s="121" t="str">
        <f t="shared" ca="1" si="559"/>
        <v>#REF!</v>
      </c>
      <c r="AG791" s="100" t="str">
        <f t="shared" ca="1" si="560"/>
        <v>#REF!</v>
      </c>
      <c r="AH791" s="101" t="str">
        <f t="shared" ca="1" si="891"/>
        <v>#REF!</v>
      </c>
      <c r="AI791" s="102" t="str">
        <f t="shared" ref="AI791:AJ791" ca="1" si="1121">AG791/X791</f>
        <v>#REF!</v>
      </c>
      <c r="AJ791" s="102" t="str">
        <f t="shared" ca="1" si="1121"/>
        <v>#REF!</v>
      </c>
      <c r="AK791" s="212"/>
      <c r="AL791" s="213"/>
      <c r="AM791" s="4"/>
      <c r="AN791" s="4"/>
      <c r="AO791" s="4"/>
      <c r="AP791" s="4"/>
      <c r="AQ791" s="4"/>
      <c r="AR791" s="4"/>
      <c r="AS791" s="4"/>
      <c r="AT791" s="4"/>
      <c r="AU791" s="4"/>
      <c r="AV791" s="4"/>
      <c r="AW791" s="4"/>
    </row>
    <row r="792" spans="1:49" ht="13.2">
      <c r="A792" s="120"/>
      <c r="B792" s="266"/>
      <c r="C792" s="117"/>
      <c r="D792" s="117"/>
      <c r="E792" s="117"/>
      <c r="F792" s="123"/>
      <c r="G792" s="125" t="s">
        <v>145</v>
      </c>
      <c r="H792" s="125"/>
      <c r="I792" s="125"/>
      <c r="J792" s="125"/>
      <c r="K792" s="82" t="str">
        <f t="shared" ca="1" si="987"/>
        <v>#REF!</v>
      </c>
      <c r="L792" s="82" t="str">
        <f t="shared" ca="1" si="977"/>
        <v>#REF!</v>
      </c>
      <c r="M792" s="82" t="str">
        <f t="shared" ca="1" si="550"/>
        <v>#REF!</v>
      </c>
      <c r="N792" s="93"/>
      <c r="O792" s="93"/>
      <c r="P792" s="95">
        <f t="shared" si="965"/>
        <v>0</v>
      </c>
      <c r="Q792" s="96">
        <f t="shared" si="1072"/>
        <v>0</v>
      </c>
      <c r="R792" s="96">
        <v>0</v>
      </c>
      <c r="S792" s="97">
        <f t="shared" si="553"/>
        <v>0</v>
      </c>
      <c r="T792" s="97" t="str">
        <f ca="1">ROUNDUP(HLOOKUP(ROUNDUP(K792,0),'배송비 조회'!A$10:AE$22,7,0)*C$3,-2)</f>
        <v>#REF!</v>
      </c>
      <c r="U792" s="97">
        <v>0</v>
      </c>
      <c r="V792" s="97" t="str">
        <f t="shared" ca="1" si="981"/>
        <v>#REF!</v>
      </c>
      <c r="W792" s="97" t="str">
        <f t="shared" ca="1" si="982"/>
        <v>#REF!</v>
      </c>
      <c r="X792" s="98" t="str">
        <f t="shared" ca="1" si="882"/>
        <v>#REF!</v>
      </c>
      <c r="Y792" s="98" t="str">
        <f t="shared" ca="1" si="883"/>
        <v>#REF!</v>
      </c>
      <c r="Z792" s="121">
        <v>0</v>
      </c>
      <c r="AA792" s="121" t="str">
        <f t="shared" ca="1" si="556"/>
        <v>#REF!</v>
      </c>
      <c r="AB792" s="121" t="str">
        <f t="shared" ca="1" si="557"/>
        <v>#REF!</v>
      </c>
      <c r="AC792" s="99" t="str">
        <f t="shared" ca="1" si="8"/>
        <v>#REF!</v>
      </c>
      <c r="AD792" s="121" t="str">
        <f t="shared" ca="1" si="558"/>
        <v>#REF!</v>
      </c>
      <c r="AE792" s="99" t="str">
        <f t="shared" ca="1" si="10"/>
        <v>#REF!</v>
      </c>
      <c r="AF792" s="121" t="str">
        <f t="shared" ca="1" si="559"/>
        <v>#REF!</v>
      </c>
      <c r="AG792" s="100" t="str">
        <f t="shared" ca="1" si="560"/>
        <v>#REF!</v>
      </c>
      <c r="AH792" s="101" t="str">
        <f t="shared" ca="1" si="891"/>
        <v>#REF!</v>
      </c>
      <c r="AI792" s="102" t="str">
        <f t="shared" ref="AI792:AJ792" ca="1" si="1122">AG792/X792</f>
        <v>#REF!</v>
      </c>
      <c r="AJ792" s="102" t="str">
        <f t="shared" ca="1" si="1122"/>
        <v>#REF!</v>
      </c>
      <c r="AK792" s="212"/>
      <c r="AL792" s="213"/>
      <c r="AM792" s="4"/>
      <c r="AN792" s="4"/>
      <c r="AO792" s="4"/>
      <c r="AP792" s="4"/>
      <c r="AQ792" s="4"/>
      <c r="AR792" s="4"/>
      <c r="AS792" s="4"/>
      <c r="AT792" s="4"/>
      <c r="AU792" s="4"/>
      <c r="AV792" s="4"/>
      <c r="AW792" s="4"/>
    </row>
    <row r="793" spans="1:49" ht="13.2">
      <c r="A793" s="120"/>
      <c r="B793" s="266"/>
      <c r="C793" s="117"/>
      <c r="D793" s="117"/>
      <c r="E793" s="117"/>
      <c r="F793" s="123"/>
      <c r="G793" s="125" t="s">
        <v>145</v>
      </c>
      <c r="H793" s="125"/>
      <c r="I793" s="125"/>
      <c r="J793" s="125"/>
      <c r="K793" s="82" t="str">
        <f t="shared" ca="1" si="987"/>
        <v>#REF!</v>
      </c>
      <c r="L793" s="82" t="str">
        <f t="shared" ca="1" si="977"/>
        <v>#REF!</v>
      </c>
      <c r="M793" s="82" t="str">
        <f t="shared" ca="1" si="550"/>
        <v>#REF!</v>
      </c>
      <c r="N793" s="93"/>
      <c r="O793" s="93"/>
      <c r="P793" s="95">
        <f t="shared" si="965"/>
        <v>0</v>
      </c>
      <c r="Q793" s="96">
        <f t="shared" si="1072"/>
        <v>0</v>
      </c>
      <c r="R793" s="96">
        <v>0</v>
      </c>
      <c r="S793" s="97">
        <f t="shared" si="553"/>
        <v>0</v>
      </c>
      <c r="T793" s="97" t="str">
        <f ca="1">ROUNDUP(HLOOKUP(ROUNDUP(K793,0),'배송비 조회'!A$10:AE$22,7,0)*C$3,-2)</f>
        <v>#REF!</v>
      </c>
      <c r="U793" s="97">
        <v>0</v>
      </c>
      <c r="V793" s="97" t="str">
        <f t="shared" ca="1" si="981"/>
        <v>#REF!</v>
      </c>
      <c r="W793" s="97" t="str">
        <f t="shared" ca="1" si="982"/>
        <v>#REF!</v>
      </c>
      <c r="X793" s="98" t="str">
        <f t="shared" ca="1" si="882"/>
        <v>#REF!</v>
      </c>
      <c r="Y793" s="98" t="str">
        <f t="shared" ca="1" si="883"/>
        <v>#REF!</v>
      </c>
      <c r="Z793" s="121">
        <v>0</v>
      </c>
      <c r="AA793" s="121" t="str">
        <f t="shared" ca="1" si="556"/>
        <v>#REF!</v>
      </c>
      <c r="AB793" s="121" t="str">
        <f t="shared" ca="1" si="557"/>
        <v>#REF!</v>
      </c>
      <c r="AC793" s="99" t="str">
        <f t="shared" ca="1" si="8"/>
        <v>#REF!</v>
      </c>
      <c r="AD793" s="121" t="str">
        <f t="shared" ca="1" si="558"/>
        <v>#REF!</v>
      </c>
      <c r="AE793" s="99" t="str">
        <f t="shared" ca="1" si="10"/>
        <v>#REF!</v>
      </c>
      <c r="AF793" s="121" t="str">
        <f t="shared" ca="1" si="559"/>
        <v>#REF!</v>
      </c>
      <c r="AG793" s="100" t="str">
        <f t="shared" ca="1" si="560"/>
        <v>#REF!</v>
      </c>
      <c r="AH793" s="101" t="str">
        <f t="shared" ca="1" si="891"/>
        <v>#REF!</v>
      </c>
      <c r="AI793" s="102" t="str">
        <f t="shared" ref="AI793:AJ793" ca="1" si="1123">AG793/X793</f>
        <v>#REF!</v>
      </c>
      <c r="AJ793" s="102" t="str">
        <f t="shared" ca="1" si="1123"/>
        <v>#REF!</v>
      </c>
      <c r="AK793" s="212"/>
      <c r="AL793" s="213"/>
      <c r="AM793" s="4"/>
      <c r="AN793" s="4"/>
      <c r="AO793" s="4"/>
      <c r="AP793" s="4"/>
      <c r="AQ793" s="4"/>
      <c r="AR793" s="4"/>
      <c r="AS793" s="4"/>
      <c r="AT793" s="4"/>
      <c r="AU793" s="4"/>
      <c r="AV793" s="4"/>
      <c r="AW793" s="4"/>
    </row>
    <row r="794" spans="1:49" ht="13.2">
      <c r="A794" s="120"/>
      <c r="B794" s="266"/>
      <c r="C794" s="117"/>
      <c r="D794" s="117"/>
      <c r="E794" s="117"/>
      <c r="F794" s="123"/>
      <c r="G794" s="125" t="s">
        <v>145</v>
      </c>
      <c r="H794" s="125"/>
      <c r="I794" s="125"/>
      <c r="J794" s="125"/>
      <c r="K794" s="82" t="str">
        <f ca="1">IF(L794&gt;0,L794*0.0625,IF(M794&gt;0,M794*2.204623,))</f>
        <v>#REF!</v>
      </c>
      <c r="L794" s="82" t="str">
        <f ca="1">IF(K794&gt;0,K794*16,IF(M794&gt;0,M794*35.273962,))</f>
        <v>#REF!</v>
      </c>
      <c r="M794" s="82" t="str">
        <f t="shared" ca="1" si="550"/>
        <v>#REF!</v>
      </c>
      <c r="N794" s="93"/>
      <c r="O794" s="93"/>
      <c r="P794" s="95">
        <f t="shared" si="965"/>
        <v>0</v>
      </c>
      <c r="Q794" s="96">
        <f t="shared" si="1072"/>
        <v>0</v>
      </c>
      <c r="R794" s="96">
        <v>0</v>
      </c>
      <c r="S794" s="97">
        <f t="shared" si="553"/>
        <v>0</v>
      </c>
      <c r="T794" s="97" t="str">
        <f ca="1">ROUNDUP(HLOOKUP(ROUNDUP(K794,0),'배송비 조회'!A$10:AE$22,7,0)*C$3,-2)</f>
        <v>#REF!</v>
      </c>
      <c r="U794" s="97">
        <v>0</v>
      </c>
      <c r="V794" s="97" t="str">
        <f t="shared" ca="1" si="981"/>
        <v>#REF!</v>
      </c>
      <c r="W794" s="97" t="str">
        <f t="shared" ca="1" si="982"/>
        <v>#REF!</v>
      </c>
      <c r="X794" s="98" t="str">
        <f t="shared" ca="1" si="882"/>
        <v>#REF!</v>
      </c>
      <c r="Y794" s="98" t="str">
        <f t="shared" ca="1" si="883"/>
        <v>#REF!</v>
      </c>
      <c r="Z794" s="121">
        <v>0</v>
      </c>
      <c r="AA794" s="121" t="str">
        <f t="shared" ca="1" si="556"/>
        <v>#REF!</v>
      </c>
      <c r="AB794" s="121" t="str">
        <f t="shared" ca="1" si="557"/>
        <v>#REF!</v>
      </c>
      <c r="AC794" s="99" t="str">
        <f t="shared" ca="1" si="8"/>
        <v>#REF!</v>
      </c>
      <c r="AD794" s="121" t="str">
        <f t="shared" ca="1" si="558"/>
        <v>#REF!</v>
      </c>
      <c r="AE794" s="99" t="str">
        <f t="shared" ca="1" si="10"/>
        <v>#REF!</v>
      </c>
      <c r="AF794" s="121" t="str">
        <f t="shared" ca="1" si="559"/>
        <v>#REF!</v>
      </c>
      <c r="AG794" s="100" t="str">
        <f t="shared" ca="1" si="560"/>
        <v>#REF!</v>
      </c>
      <c r="AH794" s="101" t="str">
        <f t="shared" ca="1" si="891"/>
        <v>#REF!</v>
      </c>
      <c r="AI794" s="102" t="str">
        <f t="shared" ref="AI794:AJ794" ca="1" si="1124">AG794/X794</f>
        <v>#REF!</v>
      </c>
      <c r="AJ794" s="102" t="str">
        <f t="shared" ca="1" si="1124"/>
        <v>#REF!</v>
      </c>
      <c r="AK794" s="212"/>
      <c r="AL794" s="213"/>
      <c r="AM794" s="4"/>
      <c r="AN794" s="4"/>
      <c r="AO794" s="4"/>
      <c r="AP794" s="4"/>
      <c r="AQ794" s="4"/>
      <c r="AR794" s="4"/>
      <c r="AS794" s="4"/>
      <c r="AT794" s="4"/>
      <c r="AU794" s="4"/>
      <c r="AV794" s="4"/>
      <c r="AW794" s="4"/>
    </row>
    <row r="795" spans="1:49" ht="13.2">
      <c r="A795" s="120"/>
      <c r="B795" s="266"/>
      <c r="C795" s="117"/>
      <c r="D795" s="117"/>
      <c r="E795" s="117"/>
      <c r="F795" s="123"/>
      <c r="G795" s="125" t="s">
        <v>145</v>
      </c>
      <c r="H795" s="125"/>
      <c r="I795" s="125"/>
      <c r="J795" s="125"/>
      <c r="K795" s="82" t="str">
        <f t="shared" ref="K795:K1018" ca="1" si="1125">IF(L795&gt;0,L795*0.0625,)</f>
        <v>#REF!</v>
      </c>
      <c r="L795" s="82" t="str">
        <f t="shared" ref="L795:L1018" ca="1" si="1126">IF(K795&gt;0,K795*16,)</f>
        <v>#REF!</v>
      </c>
      <c r="M795" s="82" t="str">
        <f t="shared" ca="1" si="550"/>
        <v>#REF!</v>
      </c>
      <c r="N795" s="93"/>
      <c r="O795" s="93"/>
      <c r="P795" s="95">
        <f t="shared" si="965"/>
        <v>0</v>
      </c>
      <c r="Q795" s="96">
        <f t="shared" si="1072"/>
        <v>0</v>
      </c>
      <c r="R795" s="96">
        <v>0</v>
      </c>
      <c r="S795" s="97">
        <f t="shared" si="553"/>
        <v>0</v>
      </c>
      <c r="T795" s="97" t="str">
        <f ca="1">ROUNDUP(HLOOKUP(ROUNDUP(K795,0),'배송비 조회'!A$10:AE$22,7,0)*C$3,-2)</f>
        <v>#REF!</v>
      </c>
      <c r="U795" s="97">
        <v>0</v>
      </c>
      <c r="V795" s="97" t="str">
        <f t="shared" ca="1" si="981"/>
        <v>#REF!</v>
      </c>
      <c r="W795" s="97" t="str">
        <f t="shared" ca="1" si="982"/>
        <v>#REF!</v>
      </c>
      <c r="X795" s="98" t="str">
        <f t="shared" ca="1" si="882"/>
        <v>#REF!</v>
      </c>
      <c r="Y795" s="98" t="str">
        <f t="shared" ca="1" si="883"/>
        <v>#REF!</v>
      </c>
      <c r="Z795" s="121">
        <v>0</v>
      </c>
      <c r="AA795" s="121" t="str">
        <f t="shared" ca="1" si="556"/>
        <v>#REF!</v>
      </c>
      <c r="AB795" s="121" t="str">
        <f t="shared" ca="1" si="557"/>
        <v>#REF!</v>
      </c>
      <c r="AC795" s="99" t="str">
        <f t="shared" ca="1" si="8"/>
        <v>#REF!</v>
      </c>
      <c r="AD795" s="121" t="str">
        <f t="shared" ca="1" si="558"/>
        <v>#REF!</v>
      </c>
      <c r="AE795" s="99" t="str">
        <f t="shared" ca="1" si="10"/>
        <v>#REF!</v>
      </c>
      <c r="AF795" s="121" t="str">
        <f t="shared" ca="1" si="559"/>
        <v>#REF!</v>
      </c>
      <c r="AG795" s="100" t="str">
        <f t="shared" ca="1" si="560"/>
        <v>#REF!</v>
      </c>
      <c r="AH795" s="101" t="str">
        <f t="shared" ca="1" si="891"/>
        <v>#REF!</v>
      </c>
      <c r="AI795" s="102" t="str">
        <f t="shared" ref="AI795:AJ795" ca="1" si="1127">AG795/X795</f>
        <v>#REF!</v>
      </c>
      <c r="AJ795" s="102" t="str">
        <f t="shared" ca="1" si="1127"/>
        <v>#REF!</v>
      </c>
      <c r="AK795" s="212"/>
      <c r="AL795" s="213"/>
      <c r="AM795" s="4"/>
      <c r="AN795" s="4"/>
      <c r="AO795" s="4"/>
      <c r="AP795" s="4"/>
      <c r="AQ795" s="4"/>
      <c r="AR795" s="4"/>
      <c r="AS795" s="4"/>
      <c r="AT795" s="4"/>
      <c r="AU795" s="4"/>
      <c r="AV795" s="4"/>
      <c r="AW795" s="4"/>
    </row>
    <row r="796" spans="1:49" ht="13.2">
      <c r="A796" s="120"/>
      <c r="B796" s="266"/>
      <c r="C796" s="117"/>
      <c r="D796" s="117"/>
      <c r="E796" s="117"/>
      <c r="F796" s="123"/>
      <c r="G796" s="125" t="s">
        <v>145</v>
      </c>
      <c r="H796" s="125"/>
      <c r="I796" s="125"/>
      <c r="J796" s="125"/>
      <c r="K796" s="82" t="str">
        <f t="shared" ca="1" si="1125"/>
        <v>#REF!</v>
      </c>
      <c r="L796" s="82" t="str">
        <f t="shared" ca="1" si="1126"/>
        <v>#REF!</v>
      </c>
      <c r="M796" s="82" t="str">
        <f t="shared" ca="1" si="550"/>
        <v>#REF!</v>
      </c>
      <c r="N796" s="93"/>
      <c r="O796" s="93"/>
      <c r="P796" s="95">
        <f t="shared" si="965"/>
        <v>0</v>
      </c>
      <c r="Q796" s="96">
        <f t="shared" si="1072"/>
        <v>0</v>
      </c>
      <c r="R796" s="96">
        <v>0</v>
      </c>
      <c r="S796" s="97">
        <f t="shared" si="553"/>
        <v>0</v>
      </c>
      <c r="T796" s="97" t="str">
        <f ca="1">ROUNDUP(HLOOKUP(ROUNDUP(K796,0),'배송비 조회'!A$10:AE$22,7,0)*C$3,-2)</f>
        <v>#REF!</v>
      </c>
      <c r="U796" s="97">
        <v>0</v>
      </c>
      <c r="V796" s="97" t="str">
        <f t="shared" ca="1" si="981"/>
        <v>#REF!</v>
      </c>
      <c r="W796" s="97" t="str">
        <f t="shared" ca="1" si="982"/>
        <v>#REF!</v>
      </c>
      <c r="X796" s="98" t="str">
        <f t="shared" ca="1" si="882"/>
        <v>#REF!</v>
      </c>
      <c r="Y796" s="98" t="str">
        <f t="shared" ca="1" si="883"/>
        <v>#REF!</v>
      </c>
      <c r="Z796" s="121">
        <v>0</v>
      </c>
      <c r="AA796" s="121" t="str">
        <f t="shared" ca="1" si="556"/>
        <v>#REF!</v>
      </c>
      <c r="AB796" s="121" t="str">
        <f t="shared" ca="1" si="557"/>
        <v>#REF!</v>
      </c>
      <c r="AC796" s="99" t="str">
        <f t="shared" ca="1" si="8"/>
        <v>#REF!</v>
      </c>
      <c r="AD796" s="121" t="str">
        <f t="shared" ca="1" si="558"/>
        <v>#REF!</v>
      </c>
      <c r="AE796" s="99" t="str">
        <f t="shared" ca="1" si="10"/>
        <v>#REF!</v>
      </c>
      <c r="AF796" s="121" t="str">
        <f t="shared" ca="1" si="559"/>
        <v>#REF!</v>
      </c>
      <c r="AG796" s="100" t="str">
        <f t="shared" ca="1" si="560"/>
        <v>#REF!</v>
      </c>
      <c r="AH796" s="101" t="str">
        <f t="shared" ca="1" si="891"/>
        <v>#REF!</v>
      </c>
      <c r="AI796" s="102" t="str">
        <f t="shared" ref="AI796:AJ796" ca="1" si="1128">AG796/X796</f>
        <v>#REF!</v>
      </c>
      <c r="AJ796" s="102" t="str">
        <f t="shared" ca="1" si="1128"/>
        <v>#REF!</v>
      </c>
      <c r="AK796" s="212"/>
      <c r="AL796" s="213"/>
      <c r="AM796" s="4"/>
      <c r="AN796" s="4"/>
      <c r="AO796" s="4"/>
      <c r="AP796" s="4"/>
      <c r="AQ796" s="4"/>
      <c r="AR796" s="4"/>
      <c r="AS796" s="4"/>
      <c r="AT796" s="4"/>
      <c r="AU796" s="4"/>
      <c r="AV796" s="4"/>
      <c r="AW796" s="4"/>
    </row>
    <row r="797" spans="1:49" ht="13.2">
      <c r="A797" s="120"/>
      <c r="B797" s="266"/>
      <c r="C797" s="117"/>
      <c r="D797" s="117"/>
      <c r="E797" s="117"/>
      <c r="F797" s="123"/>
      <c r="G797" s="125" t="s">
        <v>145</v>
      </c>
      <c r="H797" s="125"/>
      <c r="I797" s="125"/>
      <c r="J797" s="125"/>
      <c r="K797" s="82" t="str">
        <f t="shared" ca="1" si="1125"/>
        <v>#REF!</v>
      </c>
      <c r="L797" s="82" t="str">
        <f t="shared" ca="1" si="1126"/>
        <v>#REF!</v>
      </c>
      <c r="M797" s="82" t="str">
        <f t="shared" ca="1" si="550"/>
        <v>#REF!</v>
      </c>
      <c r="N797" s="93"/>
      <c r="O797" s="93"/>
      <c r="P797" s="95">
        <f t="shared" si="965"/>
        <v>0</v>
      </c>
      <c r="Q797" s="96">
        <f t="shared" si="1072"/>
        <v>0</v>
      </c>
      <c r="R797" s="96">
        <v>0</v>
      </c>
      <c r="S797" s="97">
        <f t="shared" si="553"/>
        <v>0</v>
      </c>
      <c r="T797" s="97" t="str">
        <f ca="1">ROUNDUP(HLOOKUP(ROUNDUP(K797,0),'배송비 조회'!A$10:AE$22,7,0)*C$3,-2)</f>
        <v>#REF!</v>
      </c>
      <c r="U797" s="97">
        <v>0</v>
      </c>
      <c r="V797" s="97" t="str">
        <f t="shared" ca="1" si="981"/>
        <v>#REF!</v>
      </c>
      <c r="W797" s="97" t="str">
        <f t="shared" ca="1" si="982"/>
        <v>#REF!</v>
      </c>
      <c r="X797" s="98" t="str">
        <f t="shared" ca="1" si="882"/>
        <v>#REF!</v>
      </c>
      <c r="Y797" s="98" t="str">
        <f t="shared" ca="1" si="883"/>
        <v>#REF!</v>
      </c>
      <c r="Z797" s="121">
        <v>0</v>
      </c>
      <c r="AA797" s="121" t="str">
        <f t="shared" ca="1" si="556"/>
        <v>#REF!</v>
      </c>
      <c r="AB797" s="121" t="str">
        <f t="shared" ca="1" si="557"/>
        <v>#REF!</v>
      </c>
      <c r="AC797" s="99" t="str">
        <f t="shared" ca="1" si="8"/>
        <v>#REF!</v>
      </c>
      <c r="AD797" s="121" t="str">
        <f t="shared" ca="1" si="558"/>
        <v>#REF!</v>
      </c>
      <c r="AE797" s="99" t="str">
        <f t="shared" ca="1" si="10"/>
        <v>#REF!</v>
      </c>
      <c r="AF797" s="121" t="str">
        <f t="shared" ca="1" si="559"/>
        <v>#REF!</v>
      </c>
      <c r="AG797" s="100" t="str">
        <f t="shared" ca="1" si="560"/>
        <v>#REF!</v>
      </c>
      <c r="AH797" s="101" t="str">
        <f t="shared" ca="1" si="891"/>
        <v>#REF!</v>
      </c>
      <c r="AI797" s="102" t="str">
        <f t="shared" ref="AI797:AJ797" ca="1" si="1129">AG797/X797</f>
        <v>#REF!</v>
      </c>
      <c r="AJ797" s="102" t="str">
        <f t="shared" ca="1" si="1129"/>
        <v>#REF!</v>
      </c>
      <c r="AK797" s="212"/>
      <c r="AL797" s="213"/>
      <c r="AM797" s="4"/>
      <c r="AN797" s="4"/>
      <c r="AO797" s="4"/>
      <c r="AP797" s="4"/>
      <c r="AQ797" s="4"/>
      <c r="AR797" s="4"/>
      <c r="AS797" s="4"/>
      <c r="AT797" s="4"/>
      <c r="AU797" s="4"/>
      <c r="AV797" s="4"/>
      <c r="AW797" s="4"/>
    </row>
    <row r="798" spans="1:49" ht="13.2">
      <c r="A798" s="120"/>
      <c r="B798" s="266"/>
      <c r="C798" s="117"/>
      <c r="D798" s="117"/>
      <c r="E798" s="117"/>
      <c r="F798" s="123"/>
      <c r="G798" s="125" t="s">
        <v>145</v>
      </c>
      <c r="H798" s="125"/>
      <c r="I798" s="125"/>
      <c r="J798" s="125"/>
      <c r="K798" s="82" t="str">
        <f t="shared" ca="1" si="1125"/>
        <v>#REF!</v>
      </c>
      <c r="L798" s="82" t="str">
        <f t="shared" ca="1" si="1126"/>
        <v>#REF!</v>
      </c>
      <c r="M798" s="82" t="str">
        <f t="shared" ca="1" si="550"/>
        <v>#REF!</v>
      </c>
      <c r="N798" s="93"/>
      <c r="O798" s="93"/>
      <c r="P798" s="95">
        <f t="shared" si="965"/>
        <v>0</v>
      </c>
      <c r="Q798" s="96">
        <f t="shared" si="1072"/>
        <v>0</v>
      </c>
      <c r="R798" s="96">
        <v>0</v>
      </c>
      <c r="S798" s="97">
        <f t="shared" si="553"/>
        <v>0</v>
      </c>
      <c r="T798" s="97" t="str">
        <f ca="1">ROUNDUP(HLOOKUP(ROUNDUP(K798,0),'배송비 조회'!A$10:AE$22,7,0)*C$3,-2)</f>
        <v>#REF!</v>
      </c>
      <c r="U798" s="97">
        <v>0</v>
      </c>
      <c r="V798" s="97" t="str">
        <f t="shared" ca="1" si="981"/>
        <v>#REF!</v>
      </c>
      <c r="W798" s="97" t="str">
        <f t="shared" ca="1" si="982"/>
        <v>#REF!</v>
      </c>
      <c r="X798" s="98" t="str">
        <f t="shared" ca="1" si="882"/>
        <v>#REF!</v>
      </c>
      <c r="Y798" s="98" t="str">
        <f t="shared" ca="1" si="883"/>
        <v>#REF!</v>
      </c>
      <c r="Z798" s="121">
        <v>0</v>
      </c>
      <c r="AA798" s="121" t="str">
        <f t="shared" ca="1" si="556"/>
        <v>#REF!</v>
      </c>
      <c r="AB798" s="121" t="str">
        <f t="shared" ca="1" si="557"/>
        <v>#REF!</v>
      </c>
      <c r="AC798" s="99" t="str">
        <f t="shared" ca="1" si="8"/>
        <v>#REF!</v>
      </c>
      <c r="AD798" s="121" t="str">
        <f t="shared" ca="1" si="558"/>
        <v>#REF!</v>
      </c>
      <c r="AE798" s="99" t="str">
        <f t="shared" ca="1" si="10"/>
        <v>#REF!</v>
      </c>
      <c r="AF798" s="121" t="str">
        <f t="shared" ca="1" si="559"/>
        <v>#REF!</v>
      </c>
      <c r="AG798" s="100" t="str">
        <f t="shared" ca="1" si="560"/>
        <v>#REF!</v>
      </c>
      <c r="AH798" s="101" t="str">
        <f t="shared" ca="1" si="891"/>
        <v>#REF!</v>
      </c>
      <c r="AI798" s="102" t="str">
        <f t="shared" ref="AI798:AJ798" ca="1" si="1130">AG798/X798</f>
        <v>#REF!</v>
      </c>
      <c r="AJ798" s="102" t="str">
        <f t="shared" ca="1" si="1130"/>
        <v>#REF!</v>
      </c>
      <c r="AK798" s="212"/>
      <c r="AL798" s="213"/>
      <c r="AM798" s="4"/>
      <c r="AN798" s="4"/>
      <c r="AO798" s="4"/>
      <c r="AP798" s="4"/>
      <c r="AQ798" s="4"/>
      <c r="AR798" s="4"/>
      <c r="AS798" s="4"/>
      <c r="AT798" s="4"/>
      <c r="AU798" s="4"/>
      <c r="AV798" s="4"/>
      <c r="AW798" s="4"/>
    </row>
    <row r="799" spans="1:49" ht="13.2">
      <c r="A799" s="120"/>
      <c r="B799" s="266"/>
      <c r="C799" s="117"/>
      <c r="D799" s="117"/>
      <c r="E799" s="117"/>
      <c r="F799" s="123"/>
      <c r="G799" s="125" t="s">
        <v>145</v>
      </c>
      <c r="H799" s="125"/>
      <c r="I799" s="125"/>
      <c r="J799" s="125"/>
      <c r="K799" s="82" t="str">
        <f t="shared" ca="1" si="1125"/>
        <v>#REF!</v>
      </c>
      <c r="L799" s="82" t="str">
        <f t="shared" ca="1" si="1126"/>
        <v>#REF!</v>
      </c>
      <c r="M799" s="82" t="str">
        <f t="shared" ca="1" si="550"/>
        <v>#REF!</v>
      </c>
      <c r="N799" s="93"/>
      <c r="O799" s="93"/>
      <c r="P799" s="95">
        <f t="shared" si="965"/>
        <v>0</v>
      </c>
      <c r="Q799" s="96">
        <f t="shared" si="1072"/>
        <v>0</v>
      </c>
      <c r="R799" s="96">
        <v>0</v>
      </c>
      <c r="S799" s="97">
        <f t="shared" si="553"/>
        <v>0</v>
      </c>
      <c r="T799" s="97" t="str">
        <f ca="1">ROUNDUP(HLOOKUP(ROUNDUP(K799,0),'배송비 조회'!A$10:AE$22,7,0)*C$3,-2)</f>
        <v>#REF!</v>
      </c>
      <c r="U799" s="97">
        <v>0</v>
      </c>
      <c r="V799" s="97" t="str">
        <f t="shared" ca="1" si="981"/>
        <v>#REF!</v>
      </c>
      <c r="W799" s="97" t="str">
        <f t="shared" ca="1" si="982"/>
        <v>#REF!</v>
      </c>
      <c r="X799" s="98" t="str">
        <f t="shared" ca="1" si="882"/>
        <v>#REF!</v>
      </c>
      <c r="Y799" s="98" t="str">
        <f t="shared" ca="1" si="883"/>
        <v>#REF!</v>
      </c>
      <c r="Z799" s="121">
        <v>0</v>
      </c>
      <c r="AA799" s="121" t="str">
        <f t="shared" ca="1" si="556"/>
        <v>#REF!</v>
      </c>
      <c r="AB799" s="121" t="str">
        <f t="shared" ca="1" si="557"/>
        <v>#REF!</v>
      </c>
      <c r="AC799" s="99" t="str">
        <f t="shared" ca="1" si="8"/>
        <v>#REF!</v>
      </c>
      <c r="AD799" s="121" t="str">
        <f t="shared" ca="1" si="558"/>
        <v>#REF!</v>
      </c>
      <c r="AE799" s="99" t="str">
        <f t="shared" ca="1" si="10"/>
        <v>#REF!</v>
      </c>
      <c r="AF799" s="121" t="str">
        <f t="shared" ca="1" si="559"/>
        <v>#REF!</v>
      </c>
      <c r="AG799" s="100" t="str">
        <f t="shared" ca="1" si="560"/>
        <v>#REF!</v>
      </c>
      <c r="AH799" s="101" t="str">
        <f t="shared" ca="1" si="891"/>
        <v>#REF!</v>
      </c>
      <c r="AI799" s="102" t="str">
        <f t="shared" ref="AI799:AJ799" ca="1" si="1131">AG799/X799</f>
        <v>#REF!</v>
      </c>
      <c r="AJ799" s="102" t="str">
        <f t="shared" ca="1" si="1131"/>
        <v>#REF!</v>
      </c>
      <c r="AK799" s="212"/>
      <c r="AL799" s="213"/>
      <c r="AM799" s="4"/>
      <c r="AN799" s="4"/>
      <c r="AO799" s="4"/>
      <c r="AP799" s="4"/>
      <c r="AQ799" s="4"/>
      <c r="AR799" s="4"/>
      <c r="AS799" s="4"/>
      <c r="AT799" s="4"/>
      <c r="AU799" s="4"/>
      <c r="AV799" s="4"/>
      <c r="AW799" s="4"/>
    </row>
    <row r="800" spans="1:49" ht="13.2">
      <c r="A800" s="120"/>
      <c r="B800" s="266"/>
      <c r="C800" s="117"/>
      <c r="D800" s="117"/>
      <c r="E800" s="117"/>
      <c r="F800" s="123"/>
      <c r="G800" s="125" t="s">
        <v>145</v>
      </c>
      <c r="H800" s="125"/>
      <c r="I800" s="125"/>
      <c r="J800" s="125"/>
      <c r="K800" s="82" t="str">
        <f t="shared" ca="1" si="1125"/>
        <v>#REF!</v>
      </c>
      <c r="L800" s="82" t="str">
        <f t="shared" ca="1" si="1126"/>
        <v>#REF!</v>
      </c>
      <c r="M800" s="82" t="str">
        <f t="shared" ca="1" si="550"/>
        <v>#REF!</v>
      </c>
      <c r="N800" s="93"/>
      <c r="O800" s="93"/>
      <c r="P800" s="95">
        <f t="shared" si="965"/>
        <v>0</v>
      </c>
      <c r="Q800" s="96">
        <f t="shared" si="1072"/>
        <v>0</v>
      </c>
      <c r="R800" s="96">
        <v>0</v>
      </c>
      <c r="S800" s="97">
        <f t="shared" si="553"/>
        <v>0</v>
      </c>
      <c r="T800" s="97" t="str">
        <f ca="1">ROUNDUP(HLOOKUP(ROUNDUP(K800,0),'배송비 조회'!A$10:AE$22,7,0)*C$3,-2)</f>
        <v>#REF!</v>
      </c>
      <c r="U800" s="97">
        <v>0</v>
      </c>
      <c r="V800" s="97" t="str">
        <f t="shared" ca="1" si="981"/>
        <v>#REF!</v>
      </c>
      <c r="W800" s="97" t="str">
        <f t="shared" ca="1" si="982"/>
        <v>#REF!</v>
      </c>
      <c r="X800" s="98" t="str">
        <f t="shared" ca="1" si="882"/>
        <v>#REF!</v>
      </c>
      <c r="Y800" s="98" t="str">
        <f t="shared" ca="1" si="883"/>
        <v>#REF!</v>
      </c>
      <c r="Z800" s="121">
        <v>0</v>
      </c>
      <c r="AA800" s="121" t="str">
        <f t="shared" ca="1" si="556"/>
        <v>#REF!</v>
      </c>
      <c r="AB800" s="121" t="str">
        <f t="shared" ca="1" si="557"/>
        <v>#REF!</v>
      </c>
      <c r="AC800" s="99" t="str">
        <f t="shared" ca="1" si="8"/>
        <v>#REF!</v>
      </c>
      <c r="AD800" s="121" t="str">
        <f t="shared" ca="1" si="558"/>
        <v>#REF!</v>
      </c>
      <c r="AE800" s="99" t="str">
        <f t="shared" ca="1" si="10"/>
        <v>#REF!</v>
      </c>
      <c r="AF800" s="121" t="str">
        <f t="shared" ca="1" si="559"/>
        <v>#REF!</v>
      </c>
      <c r="AG800" s="100" t="str">
        <f t="shared" ca="1" si="560"/>
        <v>#REF!</v>
      </c>
      <c r="AH800" s="101" t="str">
        <f t="shared" ca="1" si="891"/>
        <v>#REF!</v>
      </c>
      <c r="AI800" s="102" t="str">
        <f t="shared" ref="AI800:AJ800" ca="1" si="1132">AG800/X800</f>
        <v>#REF!</v>
      </c>
      <c r="AJ800" s="102" t="str">
        <f t="shared" ca="1" si="1132"/>
        <v>#REF!</v>
      </c>
      <c r="AK800" s="212"/>
      <c r="AL800" s="213"/>
      <c r="AM800" s="4"/>
      <c r="AN800" s="4"/>
      <c r="AO800" s="4"/>
      <c r="AP800" s="4"/>
      <c r="AQ800" s="4"/>
      <c r="AR800" s="4"/>
      <c r="AS800" s="4"/>
      <c r="AT800" s="4"/>
      <c r="AU800" s="4"/>
      <c r="AV800" s="4"/>
      <c r="AW800" s="4"/>
    </row>
    <row r="801" spans="1:49" ht="13.2">
      <c r="A801" s="120"/>
      <c r="B801" s="266"/>
      <c r="C801" s="117"/>
      <c r="D801" s="117"/>
      <c r="E801" s="117"/>
      <c r="F801" s="123"/>
      <c r="G801" s="125" t="s">
        <v>145</v>
      </c>
      <c r="H801" s="125"/>
      <c r="I801" s="125"/>
      <c r="J801" s="125"/>
      <c r="K801" s="82" t="str">
        <f t="shared" ca="1" si="1125"/>
        <v>#REF!</v>
      </c>
      <c r="L801" s="82" t="str">
        <f t="shared" ca="1" si="1126"/>
        <v>#REF!</v>
      </c>
      <c r="M801" s="82" t="str">
        <f t="shared" ca="1" si="550"/>
        <v>#REF!</v>
      </c>
      <c r="N801" s="93"/>
      <c r="O801" s="93"/>
      <c r="P801" s="95">
        <f t="shared" si="965"/>
        <v>0</v>
      </c>
      <c r="Q801" s="96">
        <f t="shared" si="1072"/>
        <v>0</v>
      </c>
      <c r="R801" s="96">
        <v>0</v>
      </c>
      <c r="S801" s="97">
        <f t="shared" si="553"/>
        <v>0</v>
      </c>
      <c r="T801" s="97" t="str">
        <f ca="1">ROUNDUP(HLOOKUP(ROUNDUP(K801,0),'배송비 조회'!A$10:AE$22,7,0)*C$3,-2)</f>
        <v>#REF!</v>
      </c>
      <c r="U801" s="97">
        <v>0</v>
      </c>
      <c r="V801" s="97" t="str">
        <f t="shared" ca="1" si="981"/>
        <v>#REF!</v>
      </c>
      <c r="W801" s="97" t="str">
        <f t="shared" ca="1" si="982"/>
        <v>#REF!</v>
      </c>
      <c r="X801" s="98" t="str">
        <f t="shared" ca="1" si="882"/>
        <v>#REF!</v>
      </c>
      <c r="Y801" s="98" t="str">
        <f t="shared" ca="1" si="883"/>
        <v>#REF!</v>
      </c>
      <c r="Z801" s="121">
        <v>0</v>
      </c>
      <c r="AA801" s="121" t="str">
        <f t="shared" ca="1" si="556"/>
        <v>#REF!</v>
      </c>
      <c r="AB801" s="121" t="str">
        <f t="shared" ca="1" si="557"/>
        <v>#REF!</v>
      </c>
      <c r="AC801" s="99" t="str">
        <f t="shared" ca="1" si="8"/>
        <v>#REF!</v>
      </c>
      <c r="AD801" s="121" t="str">
        <f t="shared" ca="1" si="558"/>
        <v>#REF!</v>
      </c>
      <c r="AE801" s="99" t="str">
        <f t="shared" ca="1" si="10"/>
        <v>#REF!</v>
      </c>
      <c r="AF801" s="121" t="str">
        <f t="shared" ca="1" si="559"/>
        <v>#REF!</v>
      </c>
      <c r="AG801" s="100" t="str">
        <f t="shared" ca="1" si="560"/>
        <v>#REF!</v>
      </c>
      <c r="AH801" s="101" t="str">
        <f t="shared" ca="1" si="891"/>
        <v>#REF!</v>
      </c>
      <c r="AI801" s="102" t="str">
        <f t="shared" ref="AI801:AJ801" ca="1" si="1133">AG801/X801</f>
        <v>#REF!</v>
      </c>
      <c r="AJ801" s="102" t="str">
        <f t="shared" ca="1" si="1133"/>
        <v>#REF!</v>
      </c>
      <c r="AK801" s="212"/>
      <c r="AL801" s="213"/>
      <c r="AM801" s="4"/>
      <c r="AN801" s="4"/>
      <c r="AO801" s="4"/>
      <c r="AP801" s="4"/>
      <c r="AQ801" s="4"/>
      <c r="AR801" s="4"/>
      <c r="AS801" s="4"/>
      <c r="AT801" s="4"/>
      <c r="AU801" s="4"/>
      <c r="AV801" s="4"/>
      <c r="AW801" s="4"/>
    </row>
    <row r="802" spans="1:49" ht="13.2">
      <c r="A802" s="120"/>
      <c r="B802" s="266"/>
      <c r="C802" s="117"/>
      <c r="D802" s="117"/>
      <c r="E802" s="117"/>
      <c r="F802" s="123"/>
      <c r="G802" s="125" t="s">
        <v>145</v>
      </c>
      <c r="H802" s="125"/>
      <c r="I802" s="125"/>
      <c r="J802" s="125"/>
      <c r="K802" s="82" t="str">
        <f t="shared" ca="1" si="1125"/>
        <v>#REF!</v>
      </c>
      <c r="L802" s="82" t="str">
        <f t="shared" ca="1" si="1126"/>
        <v>#REF!</v>
      </c>
      <c r="M802" s="82" t="str">
        <f t="shared" ca="1" si="550"/>
        <v>#REF!</v>
      </c>
      <c r="N802" s="93"/>
      <c r="O802" s="93"/>
      <c r="P802" s="95">
        <f t="shared" si="965"/>
        <v>0</v>
      </c>
      <c r="Q802" s="96">
        <f t="shared" si="1072"/>
        <v>0</v>
      </c>
      <c r="R802" s="96">
        <v>0</v>
      </c>
      <c r="S802" s="97">
        <f t="shared" si="553"/>
        <v>0</v>
      </c>
      <c r="T802" s="97" t="str">
        <f ca="1">ROUNDUP(HLOOKUP(ROUNDUP(K802,0),'배송비 조회'!A$10:AE$22,7,0)*C$3,-2)</f>
        <v>#REF!</v>
      </c>
      <c r="U802" s="97">
        <v>0</v>
      </c>
      <c r="V802" s="97" t="str">
        <f t="shared" ca="1" si="981"/>
        <v>#REF!</v>
      </c>
      <c r="W802" s="97" t="str">
        <f t="shared" ca="1" si="982"/>
        <v>#REF!</v>
      </c>
      <c r="X802" s="98" t="str">
        <f t="shared" ca="1" si="882"/>
        <v>#REF!</v>
      </c>
      <c r="Y802" s="98" t="str">
        <f t="shared" ca="1" si="883"/>
        <v>#REF!</v>
      </c>
      <c r="Z802" s="121">
        <v>0</v>
      </c>
      <c r="AA802" s="121" t="str">
        <f t="shared" ca="1" si="556"/>
        <v>#REF!</v>
      </c>
      <c r="AB802" s="121" t="str">
        <f t="shared" ca="1" si="557"/>
        <v>#REF!</v>
      </c>
      <c r="AC802" s="99" t="str">
        <f t="shared" ca="1" si="8"/>
        <v>#REF!</v>
      </c>
      <c r="AD802" s="121" t="str">
        <f t="shared" ca="1" si="558"/>
        <v>#REF!</v>
      </c>
      <c r="AE802" s="99" t="str">
        <f t="shared" ca="1" si="10"/>
        <v>#REF!</v>
      </c>
      <c r="AF802" s="121" t="str">
        <f t="shared" ca="1" si="559"/>
        <v>#REF!</v>
      </c>
      <c r="AG802" s="100" t="str">
        <f t="shared" ca="1" si="560"/>
        <v>#REF!</v>
      </c>
      <c r="AH802" s="101" t="str">
        <f t="shared" ca="1" si="891"/>
        <v>#REF!</v>
      </c>
      <c r="AI802" s="102" t="str">
        <f t="shared" ref="AI802:AJ802" ca="1" si="1134">AG802/X802</f>
        <v>#REF!</v>
      </c>
      <c r="AJ802" s="102" t="str">
        <f t="shared" ca="1" si="1134"/>
        <v>#REF!</v>
      </c>
      <c r="AK802" s="212"/>
      <c r="AL802" s="213"/>
      <c r="AM802" s="4"/>
      <c r="AN802" s="4"/>
      <c r="AO802" s="4"/>
      <c r="AP802" s="4"/>
      <c r="AQ802" s="4"/>
      <c r="AR802" s="4"/>
      <c r="AS802" s="4"/>
      <c r="AT802" s="4"/>
      <c r="AU802" s="4"/>
      <c r="AV802" s="4"/>
      <c r="AW802" s="4"/>
    </row>
    <row r="803" spans="1:49" ht="13.2">
      <c r="A803" s="120"/>
      <c r="B803" s="266"/>
      <c r="C803" s="117"/>
      <c r="D803" s="117"/>
      <c r="E803" s="117"/>
      <c r="F803" s="123"/>
      <c r="G803" s="125" t="s">
        <v>145</v>
      </c>
      <c r="H803" s="125"/>
      <c r="I803" s="125"/>
      <c r="J803" s="125"/>
      <c r="K803" s="82" t="str">
        <f t="shared" ca="1" si="1125"/>
        <v>#REF!</v>
      </c>
      <c r="L803" s="82" t="str">
        <f t="shared" ca="1" si="1126"/>
        <v>#REF!</v>
      </c>
      <c r="M803" s="82" t="str">
        <f t="shared" ca="1" si="550"/>
        <v>#REF!</v>
      </c>
      <c r="N803" s="93"/>
      <c r="O803" s="93"/>
      <c r="P803" s="95">
        <f t="shared" si="965"/>
        <v>0</v>
      </c>
      <c r="Q803" s="96">
        <f t="shared" si="1072"/>
        <v>0</v>
      </c>
      <c r="R803" s="96">
        <v>0</v>
      </c>
      <c r="S803" s="97">
        <f t="shared" si="553"/>
        <v>0</v>
      </c>
      <c r="T803" s="97" t="str">
        <f ca="1">ROUNDUP(HLOOKUP(ROUNDUP(K803,0),'배송비 조회'!A$10:AE$22,7,0)*C$3,-2)</f>
        <v>#REF!</v>
      </c>
      <c r="U803" s="97">
        <v>0</v>
      </c>
      <c r="V803" s="97" t="str">
        <f t="shared" ca="1" si="981"/>
        <v>#REF!</v>
      </c>
      <c r="W803" s="97" t="str">
        <f t="shared" ca="1" si="982"/>
        <v>#REF!</v>
      </c>
      <c r="X803" s="98" t="str">
        <f t="shared" ca="1" si="882"/>
        <v>#REF!</v>
      </c>
      <c r="Y803" s="98" t="str">
        <f t="shared" ca="1" si="883"/>
        <v>#REF!</v>
      </c>
      <c r="Z803" s="121">
        <v>0</v>
      </c>
      <c r="AA803" s="121" t="str">
        <f t="shared" ca="1" si="556"/>
        <v>#REF!</v>
      </c>
      <c r="AB803" s="121" t="str">
        <f t="shared" ca="1" si="557"/>
        <v>#REF!</v>
      </c>
      <c r="AC803" s="99" t="str">
        <f t="shared" ca="1" si="8"/>
        <v>#REF!</v>
      </c>
      <c r="AD803" s="121" t="str">
        <f t="shared" ca="1" si="558"/>
        <v>#REF!</v>
      </c>
      <c r="AE803" s="99" t="str">
        <f t="shared" ca="1" si="10"/>
        <v>#REF!</v>
      </c>
      <c r="AF803" s="121" t="str">
        <f t="shared" ca="1" si="559"/>
        <v>#REF!</v>
      </c>
      <c r="AG803" s="100" t="str">
        <f t="shared" ca="1" si="560"/>
        <v>#REF!</v>
      </c>
      <c r="AH803" s="101" t="str">
        <f t="shared" ca="1" si="891"/>
        <v>#REF!</v>
      </c>
      <c r="AI803" s="102" t="str">
        <f t="shared" ref="AI803:AJ803" ca="1" si="1135">AG803/X803</f>
        <v>#REF!</v>
      </c>
      <c r="AJ803" s="102" t="str">
        <f t="shared" ca="1" si="1135"/>
        <v>#REF!</v>
      </c>
      <c r="AK803" s="212"/>
      <c r="AL803" s="213"/>
      <c r="AM803" s="4"/>
      <c r="AN803" s="4"/>
      <c r="AO803" s="4"/>
      <c r="AP803" s="4"/>
      <c r="AQ803" s="4"/>
      <c r="AR803" s="4"/>
      <c r="AS803" s="4"/>
      <c r="AT803" s="4"/>
      <c r="AU803" s="4"/>
      <c r="AV803" s="4"/>
      <c r="AW803" s="4"/>
    </row>
    <row r="804" spans="1:49" ht="13.2">
      <c r="A804" s="120"/>
      <c r="B804" s="266"/>
      <c r="C804" s="117"/>
      <c r="D804" s="117"/>
      <c r="E804" s="117"/>
      <c r="F804" s="123"/>
      <c r="G804" s="125" t="s">
        <v>145</v>
      </c>
      <c r="H804" s="125"/>
      <c r="I804" s="125"/>
      <c r="J804" s="125"/>
      <c r="K804" s="82" t="str">
        <f t="shared" ca="1" si="1125"/>
        <v>#REF!</v>
      </c>
      <c r="L804" s="82" t="str">
        <f t="shared" ca="1" si="1126"/>
        <v>#REF!</v>
      </c>
      <c r="M804" s="82" t="str">
        <f t="shared" ca="1" si="550"/>
        <v>#REF!</v>
      </c>
      <c r="N804" s="93"/>
      <c r="O804" s="93"/>
      <c r="P804" s="95">
        <f t="shared" si="965"/>
        <v>0</v>
      </c>
      <c r="Q804" s="96">
        <f t="shared" si="1072"/>
        <v>0</v>
      </c>
      <c r="R804" s="96">
        <v>0</v>
      </c>
      <c r="S804" s="97">
        <f t="shared" si="553"/>
        <v>0</v>
      </c>
      <c r="T804" s="97" t="str">
        <f ca="1">ROUNDUP(HLOOKUP(ROUNDUP(K804,0),'배송비 조회'!A$10:AE$22,7,0)*C$3,-2)</f>
        <v>#REF!</v>
      </c>
      <c r="U804" s="97">
        <v>0</v>
      </c>
      <c r="V804" s="97" t="str">
        <f t="shared" ca="1" si="981"/>
        <v>#REF!</v>
      </c>
      <c r="W804" s="97" t="str">
        <f t="shared" ca="1" si="982"/>
        <v>#REF!</v>
      </c>
      <c r="X804" s="98" t="str">
        <f t="shared" ca="1" si="882"/>
        <v>#REF!</v>
      </c>
      <c r="Y804" s="98" t="str">
        <f t="shared" ca="1" si="883"/>
        <v>#REF!</v>
      </c>
      <c r="Z804" s="121">
        <v>0</v>
      </c>
      <c r="AA804" s="121" t="str">
        <f t="shared" ca="1" si="556"/>
        <v>#REF!</v>
      </c>
      <c r="AB804" s="121" t="str">
        <f t="shared" ca="1" si="557"/>
        <v>#REF!</v>
      </c>
      <c r="AC804" s="99" t="str">
        <f t="shared" ca="1" si="8"/>
        <v>#REF!</v>
      </c>
      <c r="AD804" s="121" t="str">
        <f t="shared" ca="1" si="558"/>
        <v>#REF!</v>
      </c>
      <c r="AE804" s="99" t="str">
        <f t="shared" ca="1" si="10"/>
        <v>#REF!</v>
      </c>
      <c r="AF804" s="121" t="str">
        <f t="shared" ca="1" si="559"/>
        <v>#REF!</v>
      </c>
      <c r="AG804" s="100" t="str">
        <f t="shared" ca="1" si="560"/>
        <v>#REF!</v>
      </c>
      <c r="AH804" s="101" t="str">
        <f t="shared" ca="1" si="891"/>
        <v>#REF!</v>
      </c>
      <c r="AI804" s="102" t="str">
        <f t="shared" ref="AI804:AJ804" ca="1" si="1136">AG804/X804</f>
        <v>#REF!</v>
      </c>
      <c r="AJ804" s="102" t="str">
        <f t="shared" ca="1" si="1136"/>
        <v>#REF!</v>
      </c>
      <c r="AK804" s="212"/>
      <c r="AL804" s="213"/>
      <c r="AM804" s="4"/>
      <c r="AN804" s="4"/>
      <c r="AO804" s="4"/>
      <c r="AP804" s="4"/>
      <c r="AQ804" s="4"/>
      <c r="AR804" s="4"/>
      <c r="AS804" s="4"/>
      <c r="AT804" s="4"/>
      <c r="AU804" s="4"/>
      <c r="AV804" s="4"/>
      <c r="AW804" s="4"/>
    </row>
    <row r="805" spans="1:49" ht="13.2">
      <c r="A805" s="120"/>
      <c r="B805" s="266"/>
      <c r="C805" s="117"/>
      <c r="D805" s="117"/>
      <c r="E805" s="117"/>
      <c r="F805" s="123"/>
      <c r="G805" s="125" t="s">
        <v>145</v>
      </c>
      <c r="H805" s="125"/>
      <c r="I805" s="125"/>
      <c r="J805" s="125"/>
      <c r="K805" s="82" t="str">
        <f t="shared" ca="1" si="1125"/>
        <v>#REF!</v>
      </c>
      <c r="L805" s="82" t="str">
        <f t="shared" ca="1" si="1126"/>
        <v>#REF!</v>
      </c>
      <c r="M805" s="82" t="str">
        <f t="shared" ca="1" si="550"/>
        <v>#REF!</v>
      </c>
      <c r="N805" s="93"/>
      <c r="O805" s="93"/>
      <c r="P805" s="95">
        <f t="shared" si="965"/>
        <v>0</v>
      </c>
      <c r="Q805" s="96">
        <f t="shared" si="1072"/>
        <v>0</v>
      </c>
      <c r="R805" s="96">
        <v>0</v>
      </c>
      <c r="S805" s="97">
        <f t="shared" si="553"/>
        <v>0</v>
      </c>
      <c r="T805" s="97" t="str">
        <f ca="1">ROUNDUP(HLOOKUP(ROUNDUP(K805,0),'배송비 조회'!A$10:AE$22,7,0)*C$3,-2)</f>
        <v>#REF!</v>
      </c>
      <c r="U805" s="97">
        <v>0</v>
      </c>
      <c r="V805" s="97" t="str">
        <f t="shared" ca="1" si="981"/>
        <v>#REF!</v>
      </c>
      <c r="W805" s="97" t="str">
        <f t="shared" ca="1" si="982"/>
        <v>#REF!</v>
      </c>
      <c r="X805" s="98" t="str">
        <f t="shared" ca="1" si="882"/>
        <v>#REF!</v>
      </c>
      <c r="Y805" s="98" t="str">
        <f t="shared" ca="1" si="883"/>
        <v>#REF!</v>
      </c>
      <c r="Z805" s="121">
        <v>0</v>
      </c>
      <c r="AA805" s="121" t="str">
        <f t="shared" ca="1" si="556"/>
        <v>#REF!</v>
      </c>
      <c r="AB805" s="121" t="str">
        <f t="shared" ca="1" si="557"/>
        <v>#REF!</v>
      </c>
      <c r="AC805" s="99" t="str">
        <f t="shared" ca="1" si="8"/>
        <v>#REF!</v>
      </c>
      <c r="AD805" s="121" t="str">
        <f t="shared" ca="1" si="558"/>
        <v>#REF!</v>
      </c>
      <c r="AE805" s="99" t="str">
        <f t="shared" ca="1" si="10"/>
        <v>#REF!</v>
      </c>
      <c r="AF805" s="121" t="str">
        <f t="shared" ca="1" si="559"/>
        <v>#REF!</v>
      </c>
      <c r="AG805" s="100" t="str">
        <f t="shared" ca="1" si="560"/>
        <v>#REF!</v>
      </c>
      <c r="AH805" s="101" t="str">
        <f t="shared" ca="1" si="891"/>
        <v>#REF!</v>
      </c>
      <c r="AI805" s="102" t="str">
        <f t="shared" ref="AI805:AJ805" ca="1" si="1137">AG805/X805</f>
        <v>#REF!</v>
      </c>
      <c r="AJ805" s="102" t="str">
        <f t="shared" ca="1" si="1137"/>
        <v>#REF!</v>
      </c>
      <c r="AK805" s="212"/>
      <c r="AL805" s="213"/>
      <c r="AM805" s="4"/>
      <c r="AN805" s="4"/>
      <c r="AO805" s="4"/>
      <c r="AP805" s="4"/>
      <c r="AQ805" s="4"/>
      <c r="AR805" s="4"/>
      <c r="AS805" s="4"/>
      <c r="AT805" s="4"/>
      <c r="AU805" s="4"/>
      <c r="AV805" s="4"/>
      <c r="AW805" s="4"/>
    </row>
    <row r="806" spans="1:49" ht="13.2">
      <c r="A806" s="120"/>
      <c r="B806" s="266"/>
      <c r="C806" s="117"/>
      <c r="D806" s="117"/>
      <c r="E806" s="117"/>
      <c r="F806" s="123"/>
      <c r="G806" s="125" t="s">
        <v>145</v>
      </c>
      <c r="H806" s="125"/>
      <c r="I806" s="125"/>
      <c r="J806" s="125"/>
      <c r="K806" s="82" t="str">
        <f t="shared" ca="1" si="1125"/>
        <v>#REF!</v>
      </c>
      <c r="L806" s="82" t="str">
        <f t="shared" ca="1" si="1126"/>
        <v>#REF!</v>
      </c>
      <c r="M806" s="82" t="str">
        <f t="shared" ca="1" si="550"/>
        <v>#REF!</v>
      </c>
      <c r="N806" s="93"/>
      <c r="O806" s="93"/>
      <c r="P806" s="95">
        <f t="shared" si="965"/>
        <v>0</v>
      </c>
      <c r="Q806" s="96">
        <f t="shared" si="1072"/>
        <v>0</v>
      </c>
      <c r="R806" s="96">
        <v>0</v>
      </c>
      <c r="S806" s="97">
        <f t="shared" si="553"/>
        <v>0</v>
      </c>
      <c r="T806" s="97" t="str">
        <f ca="1">ROUNDUP(HLOOKUP(ROUNDUP(K806,0),'배송비 조회'!A$10:AE$22,7,0)*C$3,-2)</f>
        <v>#REF!</v>
      </c>
      <c r="U806" s="97">
        <v>0</v>
      </c>
      <c r="V806" s="97" t="str">
        <f t="shared" ca="1" si="981"/>
        <v>#REF!</v>
      </c>
      <c r="W806" s="97" t="str">
        <f t="shared" ca="1" si="982"/>
        <v>#REF!</v>
      </c>
      <c r="X806" s="98" t="str">
        <f t="shared" ca="1" si="882"/>
        <v>#REF!</v>
      </c>
      <c r="Y806" s="98" t="str">
        <f t="shared" ca="1" si="883"/>
        <v>#REF!</v>
      </c>
      <c r="Z806" s="121">
        <v>0</v>
      </c>
      <c r="AA806" s="121" t="str">
        <f t="shared" ca="1" si="556"/>
        <v>#REF!</v>
      </c>
      <c r="AB806" s="121" t="str">
        <f t="shared" ca="1" si="557"/>
        <v>#REF!</v>
      </c>
      <c r="AC806" s="99" t="str">
        <f t="shared" ca="1" si="8"/>
        <v>#REF!</v>
      </c>
      <c r="AD806" s="121" t="str">
        <f t="shared" ca="1" si="558"/>
        <v>#REF!</v>
      </c>
      <c r="AE806" s="99" t="str">
        <f t="shared" ca="1" si="10"/>
        <v>#REF!</v>
      </c>
      <c r="AF806" s="121" t="str">
        <f t="shared" ca="1" si="559"/>
        <v>#REF!</v>
      </c>
      <c r="AG806" s="100" t="str">
        <f t="shared" ca="1" si="560"/>
        <v>#REF!</v>
      </c>
      <c r="AH806" s="101" t="str">
        <f t="shared" ca="1" si="891"/>
        <v>#REF!</v>
      </c>
      <c r="AI806" s="102" t="str">
        <f t="shared" ref="AI806:AJ806" ca="1" si="1138">AG806/X806</f>
        <v>#REF!</v>
      </c>
      <c r="AJ806" s="102" t="str">
        <f t="shared" ca="1" si="1138"/>
        <v>#REF!</v>
      </c>
      <c r="AK806" s="212"/>
      <c r="AL806" s="213"/>
      <c r="AM806" s="4"/>
      <c r="AN806" s="4"/>
      <c r="AO806" s="4"/>
      <c r="AP806" s="4"/>
      <c r="AQ806" s="4"/>
      <c r="AR806" s="4"/>
      <c r="AS806" s="4"/>
      <c r="AT806" s="4"/>
      <c r="AU806" s="4"/>
      <c r="AV806" s="4"/>
      <c r="AW806" s="4"/>
    </row>
    <row r="807" spans="1:49" ht="13.2">
      <c r="A807" s="120"/>
      <c r="B807" s="266"/>
      <c r="C807" s="117"/>
      <c r="D807" s="117"/>
      <c r="E807" s="117"/>
      <c r="F807" s="123"/>
      <c r="G807" s="125" t="s">
        <v>145</v>
      </c>
      <c r="H807" s="125"/>
      <c r="I807" s="125"/>
      <c r="J807" s="125"/>
      <c r="K807" s="82" t="str">
        <f t="shared" ca="1" si="1125"/>
        <v>#REF!</v>
      </c>
      <c r="L807" s="82" t="str">
        <f t="shared" ca="1" si="1126"/>
        <v>#REF!</v>
      </c>
      <c r="M807" s="82" t="str">
        <f t="shared" ca="1" si="550"/>
        <v>#REF!</v>
      </c>
      <c r="N807" s="93"/>
      <c r="O807" s="93"/>
      <c r="P807" s="95">
        <f t="shared" si="965"/>
        <v>0</v>
      </c>
      <c r="Q807" s="96">
        <f t="shared" ref="Q807:Q870" si="1139">P807*C$3</f>
        <v>0</v>
      </c>
      <c r="R807" s="96">
        <v>0</v>
      </c>
      <c r="S807" s="97">
        <f t="shared" si="553"/>
        <v>0</v>
      </c>
      <c r="T807" s="97" t="str">
        <f ca="1">ROUNDUP(HLOOKUP(ROUNDUP(K807,0),'배송비 조회'!A$10:AE$22,7,0)*C$3,-2)</f>
        <v>#REF!</v>
      </c>
      <c r="U807" s="97">
        <v>0</v>
      </c>
      <c r="V807" s="97" t="str">
        <f t="shared" ca="1" si="981"/>
        <v>#REF!</v>
      </c>
      <c r="W807" s="97" t="str">
        <f t="shared" ca="1" si="982"/>
        <v>#REF!</v>
      </c>
      <c r="X807" s="98" t="str">
        <f t="shared" ca="1" si="882"/>
        <v>#REF!</v>
      </c>
      <c r="Y807" s="98" t="str">
        <f t="shared" ca="1" si="883"/>
        <v>#REF!</v>
      </c>
      <c r="Z807" s="121">
        <v>0</v>
      </c>
      <c r="AA807" s="121" t="str">
        <f t="shared" ca="1" si="556"/>
        <v>#REF!</v>
      </c>
      <c r="AB807" s="121" t="str">
        <f t="shared" ca="1" si="557"/>
        <v>#REF!</v>
      </c>
      <c r="AC807" s="99" t="str">
        <f t="shared" ca="1" si="8"/>
        <v>#REF!</v>
      </c>
      <c r="AD807" s="121" t="str">
        <f t="shared" ca="1" si="558"/>
        <v>#REF!</v>
      </c>
      <c r="AE807" s="99" t="str">
        <f t="shared" ca="1" si="10"/>
        <v>#REF!</v>
      </c>
      <c r="AF807" s="121" t="str">
        <f t="shared" ca="1" si="559"/>
        <v>#REF!</v>
      </c>
      <c r="AG807" s="100" t="str">
        <f t="shared" ca="1" si="560"/>
        <v>#REF!</v>
      </c>
      <c r="AH807" s="101" t="str">
        <f t="shared" ca="1" si="891"/>
        <v>#REF!</v>
      </c>
      <c r="AI807" s="102" t="str">
        <f t="shared" ref="AI807:AJ807" ca="1" si="1140">AG807/X807</f>
        <v>#REF!</v>
      </c>
      <c r="AJ807" s="102" t="str">
        <f t="shared" ca="1" si="1140"/>
        <v>#REF!</v>
      </c>
      <c r="AK807" s="212"/>
      <c r="AL807" s="213"/>
      <c r="AM807" s="4"/>
      <c r="AN807" s="4"/>
      <c r="AO807" s="4"/>
      <c r="AP807" s="4"/>
      <c r="AQ807" s="4"/>
      <c r="AR807" s="4"/>
      <c r="AS807" s="4"/>
      <c r="AT807" s="4"/>
      <c r="AU807" s="4"/>
      <c r="AV807" s="4"/>
      <c r="AW807" s="4"/>
    </row>
    <row r="808" spans="1:49" ht="13.2">
      <c r="A808" s="120"/>
      <c r="B808" s="266"/>
      <c r="C808" s="117"/>
      <c r="D808" s="117"/>
      <c r="E808" s="117"/>
      <c r="F808" s="123"/>
      <c r="G808" s="125" t="s">
        <v>145</v>
      </c>
      <c r="H808" s="125"/>
      <c r="I808" s="125"/>
      <c r="J808" s="125"/>
      <c r="K808" s="82" t="str">
        <f t="shared" ca="1" si="1125"/>
        <v>#REF!</v>
      </c>
      <c r="L808" s="82" t="str">
        <f t="shared" ca="1" si="1126"/>
        <v>#REF!</v>
      </c>
      <c r="M808" s="82" t="str">
        <f t="shared" ca="1" si="550"/>
        <v>#REF!</v>
      </c>
      <c r="N808" s="93"/>
      <c r="O808" s="93"/>
      <c r="P808" s="95">
        <f t="shared" si="965"/>
        <v>0</v>
      </c>
      <c r="Q808" s="96">
        <f t="shared" si="1139"/>
        <v>0</v>
      </c>
      <c r="R808" s="96">
        <v>0</v>
      </c>
      <c r="S808" s="97">
        <f t="shared" si="553"/>
        <v>0</v>
      </c>
      <c r="T808" s="97" t="str">
        <f ca="1">ROUNDUP(HLOOKUP(ROUNDUP(K808,0),'배송비 조회'!A$10:AE$22,7,0)*C$3,-2)</f>
        <v>#REF!</v>
      </c>
      <c r="U808" s="97">
        <v>0</v>
      </c>
      <c r="V808" s="97" t="str">
        <f t="shared" ca="1" si="981"/>
        <v>#REF!</v>
      </c>
      <c r="W808" s="97" t="str">
        <f t="shared" ca="1" si="982"/>
        <v>#REF!</v>
      </c>
      <c r="X808" s="98" t="str">
        <f t="shared" ca="1" si="882"/>
        <v>#REF!</v>
      </c>
      <c r="Y808" s="98" t="str">
        <f t="shared" ca="1" si="883"/>
        <v>#REF!</v>
      </c>
      <c r="Z808" s="121">
        <v>0</v>
      </c>
      <c r="AA808" s="121" t="str">
        <f t="shared" ca="1" si="556"/>
        <v>#REF!</v>
      </c>
      <c r="AB808" s="121" t="str">
        <f t="shared" ca="1" si="557"/>
        <v>#REF!</v>
      </c>
      <c r="AC808" s="99" t="str">
        <f t="shared" ca="1" si="8"/>
        <v>#REF!</v>
      </c>
      <c r="AD808" s="121" t="str">
        <f t="shared" ca="1" si="558"/>
        <v>#REF!</v>
      </c>
      <c r="AE808" s="99" t="str">
        <f t="shared" ca="1" si="10"/>
        <v>#REF!</v>
      </c>
      <c r="AF808" s="121" t="str">
        <f t="shared" ca="1" si="559"/>
        <v>#REF!</v>
      </c>
      <c r="AG808" s="100" t="str">
        <f t="shared" ca="1" si="560"/>
        <v>#REF!</v>
      </c>
      <c r="AH808" s="101" t="str">
        <f t="shared" ca="1" si="891"/>
        <v>#REF!</v>
      </c>
      <c r="AI808" s="102" t="str">
        <f t="shared" ref="AI808:AJ808" ca="1" si="1141">AG808/X808</f>
        <v>#REF!</v>
      </c>
      <c r="AJ808" s="102" t="str">
        <f t="shared" ca="1" si="1141"/>
        <v>#REF!</v>
      </c>
      <c r="AK808" s="212"/>
      <c r="AL808" s="213"/>
      <c r="AM808" s="4"/>
      <c r="AN808" s="4"/>
      <c r="AO808" s="4"/>
      <c r="AP808" s="4"/>
      <c r="AQ808" s="4"/>
      <c r="AR808" s="4"/>
      <c r="AS808" s="4"/>
      <c r="AT808" s="4"/>
      <c r="AU808" s="4"/>
      <c r="AV808" s="4"/>
      <c r="AW808" s="4"/>
    </row>
    <row r="809" spans="1:49" ht="13.2">
      <c r="A809" s="120"/>
      <c r="B809" s="266"/>
      <c r="C809" s="117"/>
      <c r="D809" s="117"/>
      <c r="E809" s="117"/>
      <c r="F809" s="123"/>
      <c r="G809" s="125" t="s">
        <v>145</v>
      </c>
      <c r="H809" s="125"/>
      <c r="I809" s="125"/>
      <c r="J809" s="125"/>
      <c r="K809" s="82" t="str">
        <f t="shared" ca="1" si="1125"/>
        <v>#REF!</v>
      </c>
      <c r="L809" s="82" t="str">
        <f t="shared" ca="1" si="1126"/>
        <v>#REF!</v>
      </c>
      <c r="M809" s="82" t="str">
        <f t="shared" ca="1" si="550"/>
        <v>#REF!</v>
      </c>
      <c r="N809" s="93"/>
      <c r="O809" s="93"/>
      <c r="P809" s="95">
        <f t="shared" si="965"/>
        <v>0</v>
      </c>
      <c r="Q809" s="96">
        <f t="shared" si="1139"/>
        <v>0</v>
      </c>
      <c r="R809" s="96">
        <v>0</v>
      </c>
      <c r="S809" s="97">
        <f t="shared" si="553"/>
        <v>0</v>
      </c>
      <c r="T809" s="97" t="str">
        <f ca="1">ROUNDUP(HLOOKUP(ROUNDUP(K809,0),'배송비 조회'!A$10:AE$22,7,0)*C$3,-2)</f>
        <v>#REF!</v>
      </c>
      <c r="U809" s="97">
        <v>0</v>
      </c>
      <c r="V809" s="97" t="str">
        <f t="shared" ca="1" si="981"/>
        <v>#REF!</v>
      </c>
      <c r="W809" s="97" t="str">
        <f t="shared" ca="1" si="982"/>
        <v>#REF!</v>
      </c>
      <c r="X809" s="98" t="str">
        <f t="shared" ca="1" si="882"/>
        <v>#REF!</v>
      </c>
      <c r="Y809" s="98" t="str">
        <f t="shared" ca="1" si="883"/>
        <v>#REF!</v>
      </c>
      <c r="Z809" s="121">
        <v>0</v>
      </c>
      <c r="AA809" s="121" t="str">
        <f t="shared" ca="1" si="556"/>
        <v>#REF!</v>
      </c>
      <c r="AB809" s="121" t="str">
        <f t="shared" ca="1" si="557"/>
        <v>#REF!</v>
      </c>
      <c r="AC809" s="99" t="str">
        <f t="shared" ca="1" si="8"/>
        <v>#REF!</v>
      </c>
      <c r="AD809" s="121" t="str">
        <f t="shared" ca="1" si="558"/>
        <v>#REF!</v>
      </c>
      <c r="AE809" s="99" t="str">
        <f t="shared" ca="1" si="10"/>
        <v>#REF!</v>
      </c>
      <c r="AF809" s="121" t="str">
        <f t="shared" ca="1" si="559"/>
        <v>#REF!</v>
      </c>
      <c r="AG809" s="100" t="str">
        <f t="shared" ca="1" si="560"/>
        <v>#REF!</v>
      </c>
      <c r="AH809" s="101" t="str">
        <f t="shared" ca="1" si="891"/>
        <v>#REF!</v>
      </c>
      <c r="AI809" s="102" t="str">
        <f t="shared" ref="AI809:AJ809" ca="1" si="1142">AG809/X809</f>
        <v>#REF!</v>
      </c>
      <c r="AJ809" s="102" t="str">
        <f t="shared" ca="1" si="1142"/>
        <v>#REF!</v>
      </c>
      <c r="AK809" s="212"/>
      <c r="AL809" s="213"/>
      <c r="AM809" s="4"/>
      <c r="AN809" s="4"/>
      <c r="AO809" s="4"/>
      <c r="AP809" s="4"/>
      <c r="AQ809" s="4"/>
      <c r="AR809" s="4"/>
      <c r="AS809" s="4"/>
      <c r="AT809" s="4"/>
      <c r="AU809" s="4"/>
      <c r="AV809" s="4"/>
      <c r="AW809" s="4"/>
    </row>
    <row r="810" spans="1:49" ht="13.2">
      <c r="A810" s="120"/>
      <c r="B810" s="266"/>
      <c r="C810" s="117"/>
      <c r="D810" s="117"/>
      <c r="E810" s="117"/>
      <c r="F810" s="123"/>
      <c r="G810" s="125" t="s">
        <v>145</v>
      </c>
      <c r="H810" s="125"/>
      <c r="I810" s="125"/>
      <c r="J810" s="125"/>
      <c r="K810" s="82" t="str">
        <f t="shared" ca="1" si="1125"/>
        <v>#REF!</v>
      </c>
      <c r="L810" s="82" t="str">
        <f t="shared" ca="1" si="1126"/>
        <v>#REF!</v>
      </c>
      <c r="M810" s="82" t="str">
        <f t="shared" ca="1" si="550"/>
        <v>#REF!</v>
      </c>
      <c r="N810" s="93"/>
      <c r="O810" s="93"/>
      <c r="P810" s="95">
        <f t="shared" si="965"/>
        <v>0</v>
      </c>
      <c r="Q810" s="96">
        <f t="shared" si="1139"/>
        <v>0</v>
      </c>
      <c r="R810" s="96">
        <v>0</v>
      </c>
      <c r="S810" s="97">
        <f t="shared" si="553"/>
        <v>0</v>
      </c>
      <c r="T810" s="97" t="str">
        <f ca="1">ROUNDUP(HLOOKUP(ROUNDUP(K810,0),'배송비 조회'!A$10:AE$22,7,0)*C$3,-2)</f>
        <v>#REF!</v>
      </c>
      <c r="U810" s="97">
        <v>0</v>
      </c>
      <c r="V810" s="97" t="str">
        <f t="shared" ca="1" si="981"/>
        <v>#REF!</v>
      </c>
      <c r="W810" s="97" t="str">
        <f t="shared" ca="1" si="982"/>
        <v>#REF!</v>
      </c>
      <c r="X810" s="98" t="str">
        <f t="shared" ca="1" si="882"/>
        <v>#REF!</v>
      </c>
      <c r="Y810" s="98" t="str">
        <f t="shared" ca="1" si="883"/>
        <v>#REF!</v>
      </c>
      <c r="Z810" s="121">
        <v>0</v>
      </c>
      <c r="AA810" s="121" t="str">
        <f t="shared" ca="1" si="556"/>
        <v>#REF!</v>
      </c>
      <c r="AB810" s="121" t="str">
        <f t="shared" ca="1" si="557"/>
        <v>#REF!</v>
      </c>
      <c r="AC810" s="99" t="str">
        <f t="shared" ca="1" si="8"/>
        <v>#REF!</v>
      </c>
      <c r="AD810" s="121" t="str">
        <f t="shared" ca="1" si="558"/>
        <v>#REF!</v>
      </c>
      <c r="AE810" s="99" t="str">
        <f t="shared" ca="1" si="10"/>
        <v>#REF!</v>
      </c>
      <c r="AF810" s="121" t="str">
        <f t="shared" ca="1" si="559"/>
        <v>#REF!</v>
      </c>
      <c r="AG810" s="100" t="str">
        <f t="shared" ca="1" si="560"/>
        <v>#REF!</v>
      </c>
      <c r="AH810" s="101" t="str">
        <f t="shared" ca="1" si="891"/>
        <v>#REF!</v>
      </c>
      <c r="AI810" s="102" t="str">
        <f t="shared" ref="AI810:AJ810" ca="1" si="1143">AG810/X810</f>
        <v>#REF!</v>
      </c>
      <c r="AJ810" s="102" t="str">
        <f t="shared" ca="1" si="1143"/>
        <v>#REF!</v>
      </c>
      <c r="AK810" s="212"/>
      <c r="AL810" s="213"/>
      <c r="AM810" s="4"/>
      <c r="AN810" s="4"/>
      <c r="AO810" s="4"/>
      <c r="AP810" s="4"/>
      <c r="AQ810" s="4"/>
      <c r="AR810" s="4"/>
      <c r="AS810" s="4"/>
      <c r="AT810" s="4"/>
      <c r="AU810" s="4"/>
      <c r="AV810" s="4"/>
      <c r="AW810" s="4"/>
    </row>
    <row r="811" spans="1:49" ht="13.2">
      <c r="A811" s="120"/>
      <c r="B811" s="266"/>
      <c r="C811" s="117"/>
      <c r="D811" s="117"/>
      <c r="E811" s="117"/>
      <c r="F811" s="123"/>
      <c r="G811" s="125" t="s">
        <v>145</v>
      </c>
      <c r="H811" s="125"/>
      <c r="I811" s="125"/>
      <c r="J811" s="125"/>
      <c r="K811" s="82" t="str">
        <f t="shared" ca="1" si="1125"/>
        <v>#REF!</v>
      </c>
      <c r="L811" s="82" t="str">
        <f t="shared" ca="1" si="1126"/>
        <v>#REF!</v>
      </c>
      <c r="M811" s="82" t="str">
        <f t="shared" ca="1" si="550"/>
        <v>#REF!</v>
      </c>
      <c r="N811" s="93"/>
      <c r="O811" s="93"/>
      <c r="P811" s="95">
        <f t="shared" si="965"/>
        <v>0</v>
      </c>
      <c r="Q811" s="96">
        <f t="shared" si="1139"/>
        <v>0</v>
      </c>
      <c r="R811" s="96">
        <v>0</v>
      </c>
      <c r="S811" s="97">
        <f t="shared" si="553"/>
        <v>0</v>
      </c>
      <c r="T811" s="97" t="str">
        <f ca="1">ROUNDUP(HLOOKUP(ROUNDUP(K811,0),'배송비 조회'!A$10:AE$22,7,0)*C$3,-2)</f>
        <v>#REF!</v>
      </c>
      <c r="U811" s="97">
        <v>0</v>
      </c>
      <c r="V811" s="97" t="str">
        <f t="shared" ca="1" si="981"/>
        <v>#REF!</v>
      </c>
      <c r="W811" s="97" t="str">
        <f t="shared" ca="1" si="982"/>
        <v>#REF!</v>
      </c>
      <c r="X811" s="98" t="str">
        <f t="shared" ca="1" si="882"/>
        <v>#REF!</v>
      </c>
      <c r="Y811" s="98" t="str">
        <f t="shared" ca="1" si="883"/>
        <v>#REF!</v>
      </c>
      <c r="Z811" s="121">
        <v>0</v>
      </c>
      <c r="AA811" s="121" t="str">
        <f t="shared" ca="1" si="556"/>
        <v>#REF!</v>
      </c>
      <c r="AB811" s="121" t="str">
        <f t="shared" ca="1" si="557"/>
        <v>#REF!</v>
      </c>
      <c r="AC811" s="99" t="str">
        <f t="shared" ca="1" si="8"/>
        <v>#REF!</v>
      </c>
      <c r="AD811" s="121" t="str">
        <f t="shared" ca="1" si="558"/>
        <v>#REF!</v>
      </c>
      <c r="AE811" s="99" t="str">
        <f t="shared" ca="1" si="10"/>
        <v>#REF!</v>
      </c>
      <c r="AF811" s="121" t="str">
        <f t="shared" ca="1" si="559"/>
        <v>#REF!</v>
      </c>
      <c r="AG811" s="100" t="str">
        <f t="shared" ca="1" si="560"/>
        <v>#REF!</v>
      </c>
      <c r="AH811" s="101" t="str">
        <f t="shared" ca="1" si="891"/>
        <v>#REF!</v>
      </c>
      <c r="AI811" s="102" t="str">
        <f t="shared" ref="AI811:AJ811" ca="1" si="1144">AG811/X811</f>
        <v>#REF!</v>
      </c>
      <c r="AJ811" s="102" t="str">
        <f t="shared" ca="1" si="1144"/>
        <v>#REF!</v>
      </c>
      <c r="AK811" s="212"/>
      <c r="AL811" s="213"/>
      <c r="AM811" s="4"/>
      <c r="AN811" s="4"/>
      <c r="AO811" s="4"/>
      <c r="AP811" s="4"/>
      <c r="AQ811" s="4"/>
      <c r="AR811" s="4"/>
      <c r="AS811" s="4"/>
      <c r="AT811" s="4"/>
      <c r="AU811" s="4"/>
      <c r="AV811" s="4"/>
      <c r="AW811" s="4"/>
    </row>
    <row r="812" spans="1:49" ht="13.2">
      <c r="A812" s="120"/>
      <c r="B812" s="266"/>
      <c r="C812" s="117"/>
      <c r="D812" s="117"/>
      <c r="E812" s="117"/>
      <c r="F812" s="123"/>
      <c r="G812" s="125" t="s">
        <v>145</v>
      </c>
      <c r="H812" s="125"/>
      <c r="I812" s="125"/>
      <c r="J812" s="125"/>
      <c r="K812" s="82" t="str">
        <f t="shared" ca="1" si="1125"/>
        <v>#REF!</v>
      </c>
      <c r="L812" s="82" t="str">
        <f t="shared" ca="1" si="1126"/>
        <v>#REF!</v>
      </c>
      <c r="M812" s="82" t="str">
        <f t="shared" ca="1" si="550"/>
        <v>#REF!</v>
      </c>
      <c r="N812" s="93"/>
      <c r="O812" s="93"/>
      <c r="P812" s="95">
        <f t="shared" si="965"/>
        <v>0</v>
      </c>
      <c r="Q812" s="96">
        <f t="shared" si="1139"/>
        <v>0</v>
      </c>
      <c r="R812" s="96">
        <v>0</v>
      </c>
      <c r="S812" s="97">
        <f t="shared" si="553"/>
        <v>0</v>
      </c>
      <c r="T812" s="97" t="str">
        <f ca="1">ROUNDUP(HLOOKUP(ROUNDUP(K812,0),'배송비 조회'!A$10:AE$22,7,0)*C$3,-2)</f>
        <v>#REF!</v>
      </c>
      <c r="U812" s="97">
        <v>0</v>
      </c>
      <c r="V812" s="97" t="str">
        <f t="shared" ca="1" si="981"/>
        <v>#REF!</v>
      </c>
      <c r="W812" s="97" t="str">
        <f t="shared" ca="1" si="982"/>
        <v>#REF!</v>
      </c>
      <c r="X812" s="98" t="str">
        <f t="shared" ca="1" si="882"/>
        <v>#REF!</v>
      </c>
      <c r="Y812" s="98" t="str">
        <f t="shared" ca="1" si="883"/>
        <v>#REF!</v>
      </c>
      <c r="Z812" s="121">
        <v>0</v>
      </c>
      <c r="AA812" s="121" t="str">
        <f t="shared" ca="1" si="556"/>
        <v>#REF!</v>
      </c>
      <c r="AB812" s="121" t="str">
        <f t="shared" ca="1" si="557"/>
        <v>#REF!</v>
      </c>
      <c r="AC812" s="99" t="str">
        <f t="shared" ca="1" si="8"/>
        <v>#REF!</v>
      </c>
      <c r="AD812" s="121" t="str">
        <f t="shared" ca="1" si="558"/>
        <v>#REF!</v>
      </c>
      <c r="AE812" s="99" t="str">
        <f t="shared" ca="1" si="10"/>
        <v>#REF!</v>
      </c>
      <c r="AF812" s="121" t="str">
        <f t="shared" ca="1" si="559"/>
        <v>#REF!</v>
      </c>
      <c r="AG812" s="100" t="str">
        <f t="shared" ca="1" si="560"/>
        <v>#REF!</v>
      </c>
      <c r="AH812" s="101" t="str">
        <f t="shared" ca="1" si="891"/>
        <v>#REF!</v>
      </c>
      <c r="AI812" s="102" t="str">
        <f t="shared" ref="AI812:AJ812" ca="1" si="1145">AG812/X812</f>
        <v>#REF!</v>
      </c>
      <c r="AJ812" s="102" t="str">
        <f t="shared" ca="1" si="1145"/>
        <v>#REF!</v>
      </c>
      <c r="AK812" s="212"/>
      <c r="AL812" s="213"/>
      <c r="AM812" s="4"/>
      <c r="AN812" s="4"/>
      <c r="AO812" s="4"/>
      <c r="AP812" s="4"/>
      <c r="AQ812" s="4"/>
      <c r="AR812" s="4"/>
      <c r="AS812" s="4"/>
      <c r="AT812" s="4"/>
      <c r="AU812" s="4"/>
      <c r="AV812" s="4"/>
      <c r="AW812" s="4"/>
    </row>
    <row r="813" spans="1:49" ht="13.2">
      <c r="A813" s="120"/>
      <c r="B813" s="266"/>
      <c r="C813" s="117"/>
      <c r="D813" s="117"/>
      <c r="E813" s="117"/>
      <c r="F813" s="123"/>
      <c r="G813" s="125" t="s">
        <v>145</v>
      </c>
      <c r="H813" s="125"/>
      <c r="I813" s="125"/>
      <c r="J813" s="125"/>
      <c r="K813" s="82" t="str">
        <f t="shared" ca="1" si="1125"/>
        <v>#REF!</v>
      </c>
      <c r="L813" s="82" t="str">
        <f t="shared" ca="1" si="1126"/>
        <v>#REF!</v>
      </c>
      <c r="M813" s="82" t="str">
        <f t="shared" ca="1" si="550"/>
        <v>#REF!</v>
      </c>
      <c r="N813" s="93"/>
      <c r="O813" s="93"/>
      <c r="P813" s="95">
        <f t="shared" si="965"/>
        <v>0</v>
      </c>
      <c r="Q813" s="96">
        <f t="shared" si="1139"/>
        <v>0</v>
      </c>
      <c r="R813" s="96">
        <v>0</v>
      </c>
      <c r="S813" s="97">
        <f t="shared" si="553"/>
        <v>0</v>
      </c>
      <c r="T813" s="97" t="str">
        <f ca="1">ROUNDUP(HLOOKUP(ROUNDUP(K813,0),'배송비 조회'!A$10:AE$22,7,0)*C$3,-2)</f>
        <v>#REF!</v>
      </c>
      <c r="U813" s="97">
        <v>0</v>
      </c>
      <c r="V813" s="97" t="str">
        <f t="shared" ca="1" si="981"/>
        <v>#REF!</v>
      </c>
      <c r="W813" s="97" t="str">
        <f t="shared" ca="1" si="982"/>
        <v>#REF!</v>
      </c>
      <c r="X813" s="98" t="str">
        <f t="shared" ca="1" si="882"/>
        <v>#REF!</v>
      </c>
      <c r="Y813" s="98" t="str">
        <f t="shared" ca="1" si="883"/>
        <v>#REF!</v>
      </c>
      <c r="Z813" s="121">
        <v>0</v>
      </c>
      <c r="AA813" s="121" t="str">
        <f t="shared" ca="1" si="556"/>
        <v>#REF!</v>
      </c>
      <c r="AB813" s="121" t="str">
        <f t="shared" ca="1" si="557"/>
        <v>#REF!</v>
      </c>
      <c r="AC813" s="99" t="str">
        <f t="shared" ca="1" si="8"/>
        <v>#REF!</v>
      </c>
      <c r="AD813" s="121" t="str">
        <f t="shared" ca="1" si="558"/>
        <v>#REF!</v>
      </c>
      <c r="AE813" s="99" t="str">
        <f t="shared" ca="1" si="10"/>
        <v>#REF!</v>
      </c>
      <c r="AF813" s="121" t="str">
        <f t="shared" ca="1" si="559"/>
        <v>#REF!</v>
      </c>
      <c r="AG813" s="100" t="str">
        <f t="shared" ca="1" si="560"/>
        <v>#REF!</v>
      </c>
      <c r="AH813" s="101" t="str">
        <f t="shared" ca="1" si="891"/>
        <v>#REF!</v>
      </c>
      <c r="AI813" s="102" t="str">
        <f t="shared" ref="AI813:AJ813" ca="1" si="1146">AG813/X813</f>
        <v>#REF!</v>
      </c>
      <c r="AJ813" s="102" t="str">
        <f t="shared" ca="1" si="1146"/>
        <v>#REF!</v>
      </c>
      <c r="AK813" s="212"/>
      <c r="AL813" s="213"/>
      <c r="AM813" s="4"/>
      <c r="AN813" s="4"/>
      <c r="AO813" s="4"/>
      <c r="AP813" s="4"/>
      <c r="AQ813" s="4"/>
      <c r="AR813" s="4"/>
      <c r="AS813" s="4"/>
      <c r="AT813" s="4"/>
      <c r="AU813" s="4"/>
      <c r="AV813" s="4"/>
      <c r="AW813" s="4"/>
    </row>
    <row r="814" spans="1:49" ht="13.2">
      <c r="A814" s="120"/>
      <c r="B814" s="266"/>
      <c r="C814" s="117"/>
      <c r="D814" s="117"/>
      <c r="E814" s="117"/>
      <c r="F814" s="123"/>
      <c r="G814" s="125" t="s">
        <v>145</v>
      </c>
      <c r="H814" s="125"/>
      <c r="I814" s="125"/>
      <c r="J814" s="125"/>
      <c r="K814" s="82" t="str">
        <f t="shared" ca="1" si="1125"/>
        <v>#REF!</v>
      </c>
      <c r="L814" s="82" t="str">
        <f t="shared" ca="1" si="1126"/>
        <v>#REF!</v>
      </c>
      <c r="M814" s="82" t="str">
        <f t="shared" ca="1" si="550"/>
        <v>#REF!</v>
      </c>
      <c r="N814" s="93"/>
      <c r="O814" s="93"/>
      <c r="P814" s="95">
        <f t="shared" si="965"/>
        <v>0</v>
      </c>
      <c r="Q814" s="96">
        <f t="shared" si="1139"/>
        <v>0</v>
      </c>
      <c r="R814" s="96">
        <v>0</v>
      </c>
      <c r="S814" s="97">
        <f t="shared" si="553"/>
        <v>0</v>
      </c>
      <c r="T814" s="97" t="str">
        <f ca="1">ROUNDUP(HLOOKUP(ROUNDUP(K814,0),'배송비 조회'!A$10:AE$22,7,0)*C$3,-2)</f>
        <v>#REF!</v>
      </c>
      <c r="U814" s="97">
        <v>0</v>
      </c>
      <c r="V814" s="97" t="str">
        <f t="shared" ca="1" si="981"/>
        <v>#REF!</v>
      </c>
      <c r="W814" s="97" t="str">
        <f t="shared" ca="1" si="982"/>
        <v>#REF!</v>
      </c>
      <c r="X814" s="98" t="str">
        <f t="shared" ca="1" si="882"/>
        <v>#REF!</v>
      </c>
      <c r="Y814" s="98" t="str">
        <f t="shared" ca="1" si="883"/>
        <v>#REF!</v>
      </c>
      <c r="Z814" s="121">
        <v>0</v>
      </c>
      <c r="AA814" s="121" t="str">
        <f t="shared" ca="1" si="556"/>
        <v>#REF!</v>
      </c>
      <c r="AB814" s="121" t="str">
        <f t="shared" ca="1" si="557"/>
        <v>#REF!</v>
      </c>
      <c r="AC814" s="99" t="str">
        <f t="shared" ca="1" si="8"/>
        <v>#REF!</v>
      </c>
      <c r="AD814" s="121" t="str">
        <f t="shared" ca="1" si="558"/>
        <v>#REF!</v>
      </c>
      <c r="AE814" s="99" t="str">
        <f t="shared" ca="1" si="10"/>
        <v>#REF!</v>
      </c>
      <c r="AF814" s="121" t="str">
        <f t="shared" ca="1" si="559"/>
        <v>#REF!</v>
      </c>
      <c r="AG814" s="100" t="str">
        <f t="shared" ca="1" si="560"/>
        <v>#REF!</v>
      </c>
      <c r="AH814" s="101" t="str">
        <f t="shared" ca="1" si="891"/>
        <v>#REF!</v>
      </c>
      <c r="AI814" s="102" t="str">
        <f t="shared" ref="AI814:AJ814" ca="1" si="1147">AG814/X814</f>
        <v>#REF!</v>
      </c>
      <c r="AJ814" s="102" t="str">
        <f t="shared" ca="1" si="1147"/>
        <v>#REF!</v>
      </c>
      <c r="AK814" s="212"/>
      <c r="AL814" s="213"/>
      <c r="AM814" s="4"/>
      <c r="AN814" s="4"/>
      <c r="AO814" s="4"/>
      <c r="AP814" s="4"/>
      <c r="AQ814" s="4"/>
      <c r="AR814" s="4"/>
      <c r="AS814" s="4"/>
      <c r="AT814" s="4"/>
      <c r="AU814" s="4"/>
      <c r="AV814" s="4"/>
      <c r="AW814" s="4"/>
    </row>
    <row r="815" spans="1:49" ht="13.2">
      <c r="A815" s="120"/>
      <c r="B815" s="266"/>
      <c r="C815" s="117"/>
      <c r="D815" s="117"/>
      <c r="E815" s="117"/>
      <c r="F815" s="123"/>
      <c r="G815" s="125" t="s">
        <v>145</v>
      </c>
      <c r="H815" s="125"/>
      <c r="I815" s="125"/>
      <c r="J815" s="125"/>
      <c r="K815" s="82" t="str">
        <f t="shared" ca="1" si="1125"/>
        <v>#REF!</v>
      </c>
      <c r="L815" s="82" t="str">
        <f t="shared" ca="1" si="1126"/>
        <v>#REF!</v>
      </c>
      <c r="M815" s="82" t="str">
        <f t="shared" ca="1" si="550"/>
        <v>#REF!</v>
      </c>
      <c r="N815" s="93"/>
      <c r="O815" s="93"/>
      <c r="P815" s="95">
        <f t="shared" si="965"/>
        <v>0</v>
      </c>
      <c r="Q815" s="96">
        <f t="shared" si="1139"/>
        <v>0</v>
      </c>
      <c r="R815" s="96">
        <v>0</v>
      </c>
      <c r="S815" s="97">
        <f t="shared" si="553"/>
        <v>0</v>
      </c>
      <c r="T815" s="97" t="str">
        <f ca="1">ROUNDUP(HLOOKUP(ROUNDUP(K815,0),'배송비 조회'!A$10:AE$22,7,0)*C$3,-2)</f>
        <v>#REF!</v>
      </c>
      <c r="U815" s="97">
        <v>0</v>
      </c>
      <c r="V815" s="97" t="str">
        <f t="shared" ca="1" si="981"/>
        <v>#REF!</v>
      </c>
      <c r="W815" s="97" t="str">
        <f t="shared" ca="1" si="982"/>
        <v>#REF!</v>
      </c>
      <c r="X815" s="98" t="str">
        <f t="shared" ca="1" si="882"/>
        <v>#REF!</v>
      </c>
      <c r="Y815" s="98" t="str">
        <f t="shared" ca="1" si="883"/>
        <v>#REF!</v>
      </c>
      <c r="Z815" s="121">
        <v>0</v>
      </c>
      <c r="AA815" s="121" t="str">
        <f t="shared" ca="1" si="556"/>
        <v>#REF!</v>
      </c>
      <c r="AB815" s="121" t="str">
        <f t="shared" ca="1" si="557"/>
        <v>#REF!</v>
      </c>
      <c r="AC815" s="99" t="str">
        <f t="shared" ca="1" si="8"/>
        <v>#REF!</v>
      </c>
      <c r="AD815" s="121" t="str">
        <f t="shared" ca="1" si="558"/>
        <v>#REF!</v>
      </c>
      <c r="AE815" s="99" t="str">
        <f t="shared" ca="1" si="10"/>
        <v>#REF!</v>
      </c>
      <c r="AF815" s="121" t="str">
        <f t="shared" ca="1" si="559"/>
        <v>#REF!</v>
      </c>
      <c r="AG815" s="100" t="str">
        <f t="shared" ca="1" si="560"/>
        <v>#REF!</v>
      </c>
      <c r="AH815" s="101" t="str">
        <f t="shared" ca="1" si="891"/>
        <v>#REF!</v>
      </c>
      <c r="AI815" s="102" t="str">
        <f t="shared" ref="AI815:AJ815" ca="1" si="1148">AG815/X815</f>
        <v>#REF!</v>
      </c>
      <c r="AJ815" s="102" t="str">
        <f t="shared" ca="1" si="1148"/>
        <v>#REF!</v>
      </c>
      <c r="AK815" s="212"/>
      <c r="AL815" s="213"/>
      <c r="AM815" s="4"/>
      <c r="AN815" s="4"/>
      <c r="AO815" s="4"/>
      <c r="AP815" s="4"/>
      <c r="AQ815" s="4"/>
      <c r="AR815" s="4"/>
      <c r="AS815" s="4"/>
      <c r="AT815" s="4"/>
      <c r="AU815" s="4"/>
      <c r="AV815" s="4"/>
      <c r="AW815" s="4"/>
    </row>
    <row r="816" spans="1:49" ht="13.2">
      <c r="A816" s="120"/>
      <c r="B816" s="266"/>
      <c r="C816" s="117"/>
      <c r="D816" s="117"/>
      <c r="E816" s="117"/>
      <c r="F816" s="123"/>
      <c r="G816" s="125" t="s">
        <v>145</v>
      </c>
      <c r="H816" s="125"/>
      <c r="I816" s="125"/>
      <c r="J816" s="125"/>
      <c r="K816" s="82" t="str">
        <f t="shared" ca="1" si="1125"/>
        <v>#REF!</v>
      </c>
      <c r="L816" s="82" t="str">
        <f t="shared" ca="1" si="1126"/>
        <v>#REF!</v>
      </c>
      <c r="M816" s="82" t="str">
        <f t="shared" ca="1" si="550"/>
        <v>#REF!</v>
      </c>
      <c r="N816" s="93"/>
      <c r="O816" s="93"/>
      <c r="P816" s="95">
        <f t="shared" si="965"/>
        <v>0</v>
      </c>
      <c r="Q816" s="96">
        <f t="shared" si="1139"/>
        <v>0</v>
      </c>
      <c r="R816" s="96">
        <v>0</v>
      </c>
      <c r="S816" s="97">
        <f t="shared" si="553"/>
        <v>0</v>
      </c>
      <c r="T816" s="97" t="str">
        <f ca="1">ROUNDUP(HLOOKUP(ROUNDUP(K816,0),'배송비 조회'!A$10:AE$22,7,0)*C$3,-2)</f>
        <v>#REF!</v>
      </c>
      <c r="U816" s="97">
        <v>0</v>
      </c>
      <c r="V816" s="97" t="str">
        <f t="shared" ca="1" si="981"/>
        <v>#REF!</v>
      </c>
      <c r="W816" s="97" t="str">
        <f t="shared" ca="1" si="982"/>
        <v>#REF!</v>
      </c>
      <c r="X816" s="98" t="str">
        <f t="shared" ca="1" si="882"/>
        <v>#REF!</v>
      </c>
      <c r="Y816" s="98" t="str">
        <f t="shared" ca="1" si="883"/>
        <v>#REF!</v>
      </c>
      <c r="Z816" s="121">
        <v>0</v>
      </c>
      <c r="AA816" s="121" t="str">
        <f t="shared" ca="1" si="556"/>
        <v>#REF!</v>
      </c>
      <c r="AB816" s="121" t="str">
        <f t="shared" ca="1" si="557"/>
        <v>#REF!</v>
      </c>
      <c r="AC816" s="99" t="str">
        <f t="shared" ca="1" si="8"/>
        <v>#REF!</v>
      </c>
      <c r="AD816" s="121" t="str">
        <f t="shared" ca="1" si="558"/>
        <v>#REF!</v>
      </c>
      <c r="AE816" s="99" t="str">
        <f t="shared" ca="1" si="10"/>
        <v>#REF!</v>
      </c>
      <c r="AF816" s="121" t="str">
        <f t="shared" ca="1" si="559"/>
        <v>#REF!</v>
      </c>
      <c r="AG816" s="100" t="str">
        <f t="shared" ca="1" si="560"/>
        <v>#REF!</v>
      </c>
      <c r="AH816" s="101" t="str">
        <f t="shared" ca="1" si="891"/>
        <v>#REF!</v>
      </c>
      <c r="AI816" s="102" t="str">
        <f t="shared" ref="AI816:AJ816" ca="1" si="1149">AG816/X816</f>
        <v>#REF!</v>
      </c>
      <c r="AJ816" s="102" t="str">
        <f t="shared" ca="1" si="1149"/>
        <v>#REF!</v>
      </c>
      <c r="AK816" s="212"/>
      <c r="AL816" s="213"/>
      <c r="AM816" s="4"/>
      <c r="AN816" s="4"/>
      <c r="AO816" s="4"/>
      <c r="AP816" s="4"/>
      <c r="AQ816" s="4"/>
      <c r="AR816" s="4"/>
      <c r="AS816" s="4"/>
      <c r="AT816" s="4"/>
      <c r="AU816" s="4"/>
      <c r="AV816" s="4"/>
      <c r="AW816" s="4"/>
    </row>
    <row r="817" spans="1:49" ht="13.2">
      <c r="A817" s="120"/>
      <c r="B817" s="266"/>
      <c r="C817" s="117"/>
      <c r="D817" s="117"/>
      <c r="E817" s="117"/>
      <c r="F817" s="123"/>
      <c r="G817" s="125" t="s">
        <v>145</v>
      </c>
      <c r="H817" s="125"/>
      <c r="I817" s="125"/>
      <c r="J817" s="125"/>
      <c r="K817" s="82" t="str">
        <f t="shared" ca="1" si="1125"/>
        <v>#REF!</v>
      </c>
      <c r="L817" s="82" t="str">
        <f t="shared" ca="1" si="1126"/>
        <v>#REF!</v>
      </c>
      <c r="M817" s="82" t="str">
        <f t="shared" ca="1" si="550"/>
        <v>#REF!</v>
      </c>
      <c r="N817" s="93"/>
      <c r="O817" s="93"/>
      <c r="P817" s="95">
        <f t="shared" si="965"/>
        <v>0</v>
      </c>
      <c r="Q817" s="96">
        <f t="shared" si="1139"/>
        <v>0</v>
      </c>
      <c r="R817" s="96">
        <v>0</v>
      </c>
      <c r="S817" s="97">
        <f t="shared" si="553"/>
        <v>0</v>
      </c>
      <c r="T817" s="97" t="str">
        <f ca="1">ROUNDUP(HLOOKUP(ROUNDUP(K817,0),'배송비 조회'!A$10:AE$22,7,0)*C$3,-2)</f>
        <v>#REF!</v>
      </c>
      <c r="U817" s="97">
        <v>0</v>
      </c>
      <c r="V817" s="97" t="str">
        <f t="shared" ca="1" si="981"/>
        <v>#REF!</v>
      </c>
      <c r="W817" s="97" t="str">
        <f t="shared" ca="1" si="982"/>
        <v>#REF!</v>
      </c>
      <c r="X817" s="98" t="str">
        <f t="shared" ca="1" si="882"/>
        <v>#REF!</v>
      </c>
      <c r="Y817" s="98" t="str">
        <f t="shared" ca="1" si="883"/>
        <v>#REF!</v>
      </c>
      <c r="Z817" s="121">
        <v>0</v>
      </c>
      <c r="AA817" s="121" t="str">
        <f t="shared" ca="1" si="556"/>
        <v>#REF!</v>
      </c>
      <c r="AB817" s="121" t="str">
        <f t="shared" ca="1" si="557"/>
        <v>#REF!</v>
      </c>
      <c r="AC817" s="99" t="str">
        <f t="shared" ca="1" si="8"/>
        <v>#REF!</v>
      </c>
      <c r="AD817" s="121" t="str">
        <f t="shared" ca="1" si="558"/>
        <v>#REF!</v>
      </c>
      <c r="AE817" s="99" t="str">
        <f t="shared" ca="1" si="10"/>
        <v>#REF!</v>
      </c>
      <c r="AF817" s="121" t="str">
        <f t="shared" ca="1" si="559"/>
        <v>#REF!</v>
      </c>
      <c r="AG817" s="100" t="str">
        <f t="shared" ca="1" si="560"/>
        <v>#REF!</v>
      </c>
      <c r="AH817" s="101" t="str">
        <f t="shared" ca="1" si="891"/>
        <v>#REF!</v>
      </c>
      <c r="AI817" s="102" t="str">
        <f t="shared" ref="AI817:AJ817" ca="1" si="1150">AG817/X817</f>
        <v>#REF!</v>
      </c>
      <c r="AJ817" s="102" t="str">
        <f t="shared" ca="1" si="1150"/>
        <v>#REF!</v>
      </c>
      <c r="AK817" s="212"/>
      <c r="AL817" s="213"/>
      <c r="AM817" s="4"/>
      <c r="AN817" s="4"/>
      <c r="AO817" s="4"/>
      <c r="AP817" s="4"/>
      <c r="AQ817" s="4"/>
      <c r="AR817" s="4"/>
      <c r="AS817" s="4"/>
      <c r="AT817" s="4"/>
      <c r="AU817" s="4"/>
      <c r="AV817" s="4"/>
      <c r="AW817" s="4"/>
    </row>
    <row r="818" spans="1:49" ht="13.2">
      <c r="A818" s="120"/>
      <c r="B818" s="266"/>
      <c r="C818" s="117"/>
      <c r="D818" s="117"/>
      <c r="E818" s="117"/>
      <c r="F818" s="123"/>
      <c r="G818" s="125" t="s">
        <v>145</v>
      </c>
      <c r="H818" s="125"/>
      <c r="I818" s="125"/>
      <c r="J818" s="125"/>
      <c r="K818" s="82" t="str">
        <f t="shared" ca="1" si="1125"/>
        <v>#REF!</v>
      </c>
      <c r="L818" s="82" t="str">
        <f t="shared" ca="1" si="1126"/>
        <v>#REF!</v>
      </c>
      <c r="M818" s="82" t="str">
        <f t="shared" ca="1" si="550"/>
        <v>#REF!</v>
      </c>
      <c r="N818" s="93"/>
      <c r="O818" s="93"/>
      <c r="P818" s="95">
        <f t="shared" si="965"/>
        <v>0</v>
      </c>
      <c r="Q818" s="96">
        <f t="shared" si="1139"/>
        <v>0</v>
      </c>
      <c r="R818" s="96">
        <v>0</v>
      </c>
      <c r="S818" s="97">
        <f t="shared" si="553"/>
        <v>0</v>
      </c>
      <c r="T818" s="97" t="str">
        <f ca="1">ROUNDUP(HLOOKUP(ROUNDUP(K818,0),'배송비 조회'!A$10:AE$22,7,0)*C$3,-2)</f>
        <v>#REF!</v>
      </c>
      <c r="U818" s="97">
        <v>0</v>
      </c>
      <c r="V818" s="97" t="str">
        <f t="shared" ca="1" si="981"/>
        <v>#REF!</v>
      </c>
      <c r="W818" s="97" t="str">
        <f t="shared" ca="1" si="982"/>
        <v>#REF!</v>
      </c>
      <c r="X818" s="98" t="str">
        <f t="shared" ca="1" si="882"/>
        <v>#REF!</v>
      </c>
      <c r="Y818" s="98" t="str">
        <f t="shared" ca="1" si="883"/>
        <v>#REF!</v>
      </c>
      <c r="Z818" s="121">
        <v>0</v>
      </c>
      <c r="AA818" s="121" t="str">
        <f t="shared" ca="1" si="556"/>
        <v>#REF!</v>
      </c>
      <c r="AB818" s="121" t="str">
        <f t="shared" ca="1" si="557"/>
        <v>#REF!</v>
      </c>
      <c r="AC818" s="99" t="str">
        <f t="shared" ca="1" si="8"/>
        <v>#REF!</v>
      </c>
      <c r="AD818" s="121" t="str">
        <f t="shared" ca="1" si="558"/>
        <v>#REF!</v>
      </c>
      <c r="AE818" s="99" t="str">
        <f t="shared" ca="1" si="10"/>
        <v>#REF!</v>
      </c>
      <c r="AF818" s="121" t="str">
        <f t="shared" ca="1" si="559"/>
        <v>#REF!</v>
      </c>
      <c r="AG818" s="100" t="str">
        <f t="shared" ca="1" si="560"/>
        <v>#REF!</v>
      </c>
      <c r="AH818" s="101" t="str">
        <f t="shared" ca="1" si="891"/>
        <v>#REF!</v>
      </c>
      <c r="AI818" s="102" t="str">
        <f t="shared" ref="AI818:AJ818" ca="1" si="1151">AG818/X818</f>
        <v>#REF!</v>
      </c>
      <c r="AJ818" s="102" t="str">
        <f t="shared" ca="1" si="1151"/>
        <v>#REF!</v>
      </c>
      <c r="AK818" s="212"/>
      <c r="AL818" s="213"/>
      <c r="AM818" s="4"/>
      <c r="AN818" s="4"/>
      <c r="AO818" s="4"/>
      <c r="AP818" s="4"/>
      <c r="AQ818" s="4"/>
      <c r="AR818" s="4"/>
      <c r="AS818" s="4"/>
      <c r="AT818" s="4"/>
      <c r="AU818" s="4"/>
      <c r="AV818" s="4"/>
      <c r="AW818" s="4"/>
    </row>
    <row r="819" spans="1:49" ht="13.2">
      <c r="A819" s="120"/>
      <c r="B819" s="266"/>
      <c r="C819" s="117"/>
      <c r="D819" s="117"/>
      <c r="E819" s="117"/>
      <c r="F819" s="123"/>
      <c r="G819" s="125" t="s">
        <v>145</v>
      </c>
      <c r="H819" s="125"/>
      <c r="I819" s="125"/>
      <c r="J819" s="125"/>
      <c r="K819" s="82" t="str">
        <f t="shared" ca="1" si="1125"/>
        <v>#REF!</v>
      </c>
      <c r="L819" s="82" t="str">
        <f t="shared" ca="1" si="1126"/>
        <v>#REF!</v>
      </c>
      <c r="M819" s="82" t="str">
        <f t="shared" ca="1" si="550"/>
        <v>#REF!</v>
      </c>
      <c r="N819" s="93"/>
      <c r="O819" s="93"/>
      <c r="P819" s="95">
        <f t="shared" si="965"/>
        <v>0</v>
      </c>
      <c r="Q819" s="96">
        <f t="shared" si="1139"/>
        <v>0</v>
      </c>
      <c r="R819" s="96">
        <v>0</v>
      </c>
      <c r="S819" s="97">
        <f t="shared" si="553"/>
        <v>0</v>
      </c>
      <c r="T819" s="97" t="str">
        <f ca="1">ROUNDUP(HLOOKUP(ROUNDUP(K819,0),'배송비 조회'!A$10:AE$22,7,0)*C$3,-2)</f>
        <v>#REF!</v>
      </c>
      <c r="U819" s="97">
        <v>0</v>
      </c>
      <c r="V819" s="97" t="str">
        <f t="shared" ca="1" si="981"/>
        <v>#REF!</v>
      </c>
      <c r="W819" s="97" t="str">
        <f t="shared" ca="1" si="982"/>
        <v>#REF!</v>
      </c>
      <c r="X819" s="98" t="str">
        <f t="shared" ca="1" si="882"/>
        <v>#REF!</v>
      </c>
      <c r="Y819" s="98" t="str">
        <f t="shared" ca="1" si="883"/>
        <v>#REF!</v>
      </c>
      <c r="Z819" s="121">
        <v>0</v>
      </c>
      <c r="AA819" s="121" t="str">
        <f t="shared" ca="1" si="556"/>
        <v>#REF!</v>
      </c>
      <c r="AB819" s="121" t="str">
        <f t="shared" ca="1" si="557"/>
        <v>#REF!</v>
      </c>
      <c r="AC819" s="99" t="str">
        <f t="shared" ca="1" si="8"/>
        <v>#REF!</v>
      </c>
      <c r="AD819" s="121" t="str">
        <f t="shared" ca="1" si="558"/>
        <v>#REF!</v>
      </c>
      <c r="AE819" s="99" t="str">
        <f t="shared" ca="1" si="10"/>
        <v>#REF!</v>
      </c>
      <c r="AF819" s="121" t="str">
        <f t="shared" ca="1" si="559"/>
        <v>#REF!</v>
      </c>
      <c r="AG819" s="100" t="str">
        <f t="shared" ca="1" si="560"/>
        <v>#REF!</v>
      </c>
      <c r="AH819" s="101" t="str">
        <f t="shared" ca="1" si="891"/>
        <v>#REF!</v>
      </c>
      <c r="AI819" s="102" t="str">
        <f t="shared" ref="AI819:AJ819" ca="1" si="1152">AG819/X819</f>
        <v>#REF!</v>
      </c>
      <c r="AJ819" s="102" t="str">
        <f t="shared" ca="1" si="1152"/>
        <v>#REF!</v>
      </c>
      <c r="AK819" s="212"/>
      <c r="AL819" s="213"/>
      <c r="AM819" s="4"/>
      <c r="AN819" s="4"/>
      <c r="AO819" s="4"/>
      <c r="AP819" s="4"/>
      <c r="AQ819" s="4"/>
      <c r="AR819" s="4"/>
      <c r="AS819" s="4"/>
      <c r="AT819" s="4"/>
      <c r="AU819" s="4"/>
      <c r="AV819" s="4"/>
      <c r="AW819" s="4"/>
    </row>
    <row r="820" spans="1:49" ht="13.2">
      <c r="A820" s="120"/>
      <c r="B820" s="266"/>
      <c r="C820" s="117"/>
      <c r="D820" s="117"/>
      <c r="E820" s="117"/>
      <c r="F820" s="123"/>
      <c r="G820" s="125" t="s">
        <v>145</v>
      </c>
      <c r="H820" s="125"/>
      <c r="I820" s="125"/>
      <c r="J820" s="125"/>
      <c r="K820" s="82" t="str">
        <f t="shared" ca="1" si="1125"/>
        <v>#REF!</v>
      </c>
      <c r="L820" s="82" t="str">
        <f t="shared" ca="1" si="1126"/>
        <v>#REF!</v>
      </c>
      <c r="M820" s="82" t="str">
        <f t="shared" ca="1" si="550"/>
        <v>#REF!</v>
      </c>
      <c r="N820" s="93"/>
      <c r="O820" s="93"/>
      <c r="P820" s="95">
        <f t="shared" si="965"/>
        <v>0</v>
      </c>
      <c r="Q820" s="96">
        <f t="shared" si="1139"/>
        <v>0</v>
      </c>
      <c r="R820" s="96">
        <v>0</v>
      </c>
      <c r="S820" s="97">
        <f t="shared" si="553"/>
        <v>0</v>
      </c>
      <c r="T820" s="97" t="str">
        <f ca="1">ROUNDUP(HLOOKUP(ROUNDUP(K820,0),'배송비 조회'!A$10:AE$22,7,0)*C$3,-2)</f>
        <v>#REF!</v>
      </c>
      <c r="U820" s="97">
        <v>0</v>
      </c>
      <c r="V820" s="97" t="str">
        <f t="shared" ca="1" si="981"/>
        <v>#REF!</v>
      </c>
      <c r="W820" s="97" t="str">
        <f t="shared" ca="1" si="982"/>
        <v>#REF!</v>
      </c>
      <c r="X820" s="98" t="str">
        <f t="shared" ca="1" si="882"/>
        <v>#REF!</v>
      </c>
      <c r="Y820" s="98" t="str">
        <f t="shared" ca="1" si="883"/>
        <v>#REF!</v>
      </c>
      <c r="Z820" s="121">
        <v>0</v>
      </c>
      <c r="AA820" s="121" t="str">
        <f t="shared" ca="1" si="556"/>
        <v>#REF!</v>
      </c>
      <c r="AB820" s="121" t="str">
        <f t="shared" ca="1" si="557"/>
        <v>#REF!</v>
      </c>
      <c r="AC820" s="99" t="str">
        <f t="shared" ca="1" si="8"/>
        <v>#REF!</v>
      </c>
      <c r="AD820" s="121" t="str">
        <f t="shared" ca="1" si="558"/>
        <v>#REF!</v>
      </c>
      <c r="AE820" s="99" t="str">
        <f t="shared" ca="1" si="10"/>
        <v>#REF!</v>
      </c>
      <c r="AF820" s="121" t="str">
        <f t="shared" ca="1" si="559"/>
        <v>#REF!</v>
      </c>
      <c r="AG820" s="100" t="str">
        <f t="shared" ca="1" si="560"/>
        <v>#REF!</v>
      </c>
      <c r="AH820" s="101" t="str">
        <f t="shared" ca="1" si="891"/>
        <v>#REF!</v>
      </c>
      <c r="AI820" s="102" t="str">
        <f t="shared" ref="AI820:AJ820" ca="1" si="1153">AG820/X820</f>
        <v>#REF!</v>
      </c>
      <c r="AJ820" s="102" t="str">
        <f t="shared" ca="1" si="1153"/>
        <v>#REF!</v>
      </c>
      <c r="AK820" s="212"/>
      <c r="AL820" s="213"/>
      <c r="AM820" s="4"/>
      <c r="AN820" s="4"/>
      <c r="AO820" s="4"/>
      <c r="AP820" s="4"/>
      <c r="AQ820" s="4"/>
      <c r="AR820" s="4"/>
      <c r="AS820" s="4"/>
      <c r="AT820" s="4"/>
      <c r="AU820" s="4"/>
      <c r="AV820" s="4"/>
      <c r="AW820" s="4"/>
    </row>
    <row r="821" spans="1:49" ht="13.2">
      <c r="A821" s="120"/>
      <c r="B821" s="266"/>
      <c r="C821" s="117"/>
      <c r="D821" s="117"/>
      <c r="E821" s="117"/>
      <c r="F821" s="123"/>
      <c r="G821" s="125" t="s">
        <v>145</v>
      </c>
      <c r="H821" s="125"/>
      <c r="I821" s="125"/>
      <c r="J821" s="125"/>
      <c r="K821" s="82" t="str">
        <f t="shared" ca="1" si="1125"/>
        <v>#REF!</v>
      </c>
      <c r="L821" s="82" t="str">
        <f t="shared" ca="1" si="1126"/>
        <v>#REF!</v>
      </c>
      <c r="M821" s="82" t="str">
        <f t="shared" ca="1" si="550"/>
        <v>#REF!</v>
      </c>
      <c r="N821" s="93"/>
      <c r="O821" s="93"/>
      <c r="P821" s="95">
        <f t="shared" si="965"/>
        <v>0</v>
      </c>
      <c r="Q821" s="96">
        <f t="shared" si="1139"/>
        <v>0</v>
      </c>
      <c r="R821" s="96">
        <v>0</v>
      </c>
      <c r="S821" s="97">
        <f t="shared" si="553"/>
        <v>0</v>
      </c>
      <c r="T821" s="97" t="str">
        <f ca="1">ROUNDUP(HLOOKUP(ROUNDUP(K821,0),'배송비 조회'!A$10:AE$22,7,0)*C$3,-2)</f>
        <v>#REF!</v>
      </c>
      <c r="U821" s="97">
        <v>0</v>
      </c>
      <c r="V821" s="97" t="str">
        <f t="shared" ca="1" si="981"/>
        <v>#REF!</v>
      </c>
      <c r="W821" s="97" t="str">
        <f t="shared" ca="1" si="982"/>
        <v>#REF!</v>
      </c>
      <c r="X821" s="98" t="str">
        <f t="shared" ca="1" si="882"/>
        <v>#REF!</v>
      </c>
      <c r="Y821" s="98" t="str">
        <f t="shared" ca="1" si="883"/>
        <v>#REF!</v>
      </c>
      <c r="Z821" s="121">
        <v>0</v>
      </c>
      <c r="AA821" s="121" t="str">
        <f t="shared" ca="1" si="556"/>
        <v>#REF!</v>
      </c>
      <c r="AB821" s="121" t="str">
        <f t="shared" ca="1" si="557"/>
        <v>#REF!</v>
      </c>
      <c r="AC821" s="99" t="str">
        <f t="shared" ca="1" si="8"/>
        <v>#REF!</v>
      </c>
      <c r="AD821" s="121" t="str">
        <f t="shared" ca="1" si="558"/>
        <v>#REF!</v>
      </c>
      <c r="AE821" s="99" t="str">
        <f t="shared" ca="1" si="10"/>
        <v>#REF!</v>
      </c>
      <c r="AF821" s="121" t="str">
        <f t="shared" ca="1" si="559"/>
        <v>#REF!</v>
      </c>
      <c r="AG821" s="100" t="str">
        <f t="shared" ca="1" si="560"/>
        <v>#REF!</v>
      </c>
      <c r="AH821" s="101" t="str">
        <f t="shared" ca="1" si="891"/>
        <v>#REF!</v>
      </c>
      <c r="AI821" s="102" t="str">
        <f t="shared" ref="AI821:AJ821" ca="1" si="1154">AG821/X821</f>
        <v>#REF!</v>
      </c>
      <c r="AJ821" s="102" t="str">
        <f t="shared" ca="1" si="1154"/>
        <v>#REF!</v>
      </c>
      <c r="AK821" s="212"/>
      <c r="AL821" s="213"/>
      <c r="AM821" s="4"/>
      <c r="AN821" s="4"/>
      <c r="AO821" s="4"/>
      <c r="AP821" s="4"/>
      <c r="AQ821" s="4"/>
      <c r="AR821" s="4"/>
      <c r="AS821" s="4"/>
      <c r="AT821" s="4"/>
      <c r="AU821" s="4"/>
      <c r="AV821" s="4"/>
      <c r="AW821" s="4"/>
    </row>
    <row r="822" spans="1:49" ht="13.2">
      <c r="A822" s="120"/>
      <c r="B822" s="266"/>
      <c r="C822" s="117"/>
      <c r="D822" s="117"/>
      <c r="E822" s="117"/>
      <c r="F822" s="123"/>
      <c r="G822" s="125" t="s">
        <v>145</v>
      </c>
      <c r="H822" s="125"/>
      <c r="I822" s="125"/>
      <c r="J822" s="125"/>
      <c r="K822" s="82" t="str">
        <f t="shared" ca="1" si="1125"/>
        <v>#REF!</v>
      </c>
      <c r="L822" s="82" t="str">
        <f t="shared" ca="1" si="1126"/>
        <v>#REF!</v>
      </c>
      <c r="M822" s="82" t="str">
        <f t="shared" ca="1" si="550"/>
        <v>#REF!</v>
      </c>
      <c r="N822" s="93"/>
      <c r="O822" s="93"/>
      <c r="P822" s="95">
        <f t="shared" si="965"/>
        <v>0</v>
      </c>
      <c r="Q822" s="96">
        <f t="shared" si="1139"/>
        <v>0</v>
      </c>
      <c r="R822" s="96">
        <v>0</v>
      </c>
      <c r="S822" s="97">
        <f t="shared" si="553"/>
        <v>0</v>
      </c>
      <c r="T822" s="97" t="str">
        <f ca="1">ROUNDUP(HLOOKUP(ROUNDUP(K822,0),'배송비 조회'!A$10:AE$22,7,0)*C$3,-2)</f>
        <v>#REF!</v>
      </c>
      <c r="U822" s="97">
        <v>0</v>
      </c>
      <c r="V822" s="97" t="str">
        <f t="shared" ca="1" si="981"/>
        <v>#REF!</v>
      </c>
      <c r="W822" s="97" t="str">
        <f t="shared" ca="1" si="982"/>
        <v>#REF!</v>
      </c>
      <c r="X822" s="98" t="str">
        <f t="shared" ca="1" si="882"/>
        <v>#REF!</v>
      </c>
      <c r="Y822" s="98" t="str">
        <f t="shared" ca="1" si="883"/>
        <v>#REF!</v>
      </c>
      <c r="Z822" s="121">
        <v>0</v>
      </c>
      <c r="AA822" s="121" t="str">
        <f t="shared" ca="1" si="556"/>
        <v>#REF!</v>
      </c>
      <c r="AB822" s="121" t="str">
        <f t="shared" ca="1" si="557"/>
        <v>#REF!</v>
      </c>
      <c r="AC822" s="99" t="str">
        <f t="shared" ca="1" si="8"/>
        <v>#REF!</v>
      </c>
      <c r="AD822" s="121" t="str">
        <f t="shared" ca="1" si="558"/>
        <v>#REF!</v>
      </c>
      <c r="AE822" s="99" t="str">
        <f t="shared" ca="1" si="10"/>
        <v>#REF!</v>
      </c>
      <c r="AF822" s="121" t="str">
        <f t="shared" ca="1" si="559"/>
        <v>#REF!</v>
      </c>
      <c r="AG822" s="100" t="str">
        <f t="shared" ca="1" si="560"/>
        <v>#REF!</v>
      </c>
      <c r="AH822" s="101" t="str">
        <f t="shared" ca="1" si="891"/>
        <v>#REF!</v>
      </c>
      <c r="AI822" s="102" t="str">
        <f t="shared" ref="AI822:AJ822" ca="1" si="1155">AG822/X822</f>
        <v>#REF!</v>
      </c>
      <c r="AJ822" s="102" t="str">
        <f t="shared" ca="1" si="1155"/>
        <v>#REF!</v>
      </c>
      <c r="AK822" s="212"/>
      <c r="AL822" s="213"/>
      <c r="AM822" s="4"/>
      <c r="AN822" s="4"/>
      <c r="AO822" s="4"/>
      <c r="AP822" s="4"/>
      <c r="AQ822" s="4"/>
      <c r="AR822" s="4"/>
      <c r="AS822" s="4"/>
      <c r="AT822" s="4"/>
      <c r="AU822" s="4"/>
      <c r="AV822" s="4"/>
      <c r="AW822" s="4"/>
    </row>
    <row r="823" spans="1:49" ht="13.2">
      <c r="A823" s="120"/>
      <c r="B823" s="266"/>
      <c r="C823" s="117"/>
      <c r="D823" s="117"/>
      <c r="E823" s="117"/>
      <c r="F823" s="123"/>
      <c r="G823" s="125" t="s">
        <v>145</v>
      </c>
      <c r="H823" s="125"/>
      <c r="I823" s="125"/>
      <c r="J823" s="125"/>
      <c r="K823" s="82" t="str">
        <f t="shared" ca="1" si="1125"/>
        <v>#REF!</v>
      </c>
      <c r="L823" s="82" t="str">
        <f t="shared" ca="1" si="1126"/>
        <v>#REF!</v>
      </c>
      <c r="M823" s="82" t="str">
        <f t="shared" ca="1" si="550"/>
        <v>#REF!</v>
      </c>
      <c r="N823" s="93"/>
      <c r="O823" s="93"/>
      <c r="P823" s="95">
        <f t="shared" si="965"/>
        <v>0</v>
      </c>
      <c r="Q823" s="96">
        <f t="shared" si="1139"/>
        <v>0</v>
      </c>
      <c r="R823" s="96">
        <v>0</v>
      </c>
      <c r="S823" s="97">
        <f t="shared" si="553"/>
        <v>0</v>
      </c>
      <c r="T823" s="97" t="str">
        <f ca="1">ROUNDUP(HLOOKUP(ROUNDUP(K823,0),'배송비 조회'!A$10:AE$22,7,0)*C$3,-2)</f>
        <v>#REF!</v>
      </c>
      <c r="U823" s="97">
        <v>0</v>
      </c>
      <c r="V823" s="97" t="str">
        <f t="shared" ca="1" si="981"/>
        <v>#REF!</v>
      </c>
      <c r="W823" s="97" t="str">
        <f t="shared" ca="1" si="982"/>
        <v>#REF!</v>
      </c>
      <c r="X823" s="98" t="str">
        <f t="shared" ca="1" si="882"/>
        <v>#REF!</v>
      </c>
      <c r="Y823" s="98" t="str">
        <f t="shared" ca="1" si="883"/>
        <v>#REF!</v>
      </c>
      <c r="Z823" s="121">
        <v>0</v>
      </c>
      <c r="AA823" s="121" t="str">
        <f t="shared" ca="1" si="556"/>
        <v>#REF!</v>
      </c>
      <c r="AB823" s="121" t="str">
        <f t="shared" ca="1" si="557"/>
        <v>#REF!</v>
      </c>
      <c r="AC823" s="99" t="str">
        <f t="shared" ca="1" si="8"/>
        <v>#REF!</v>
      </c>
      <c r="AD823" s="121" t="str">
        <f t="shared" ca="1" si="558"/>
        <v>#REF!</v>
      </c>
      <c r="AE823" s="99" t="str">
        <f t="shared" ca="1" si="10"/>
        <v>#REF!</v>
      </c>
      <c r="AF823" s="121" t="str">
        <f t="shared" ca="1" si="559"/>
        <v>#REF!</v>
      </c>
      <c r="AG823" s="100" t="str">
        <f t="shared" ca="1" si="560"/>
        <v>#REF!</v>
      </c>
      <c r="AH823" s="101" t="str">
        <f t="shared" ca="1" si="891"/>
        <v>#REF!</v>
      </c>
      <c r="AI823" s="102" t="str">
        <f t="shared" ref="AI823:AJ823" ca="1" si="1156">AG823/X823</f>
        <v>#REF!</v>
      </c>
      <c r="AJ823" s="102" t="str">
        <f t="shared" ca="1" si="1156"/>
        <v>#REF!</v>
      </c>
      <c r="AK823" s="212"/>
      <c r="AL823" s="213"/>
      <c r="AM823" s="4"/>
      <c r="AN823" s="4"/>
      <c r="AO823" s="4"/>
      <c r="AP823" s="4"/>
      <c r="AQ823" s="4"/>
      <c r="AR823" s="4"/>
      <c r="AS823" s="4"/>
      <c r="AT823" s="4"/>
      <c r="AU823" s="4"/>
      <c r="AV823" s="4"/>
      <c r="AW823" s="4"/>
    </row>
    <row r="824" spans="1:49" ht="13.2">
      <c r="A824" s="120"/>
      <c r="B824" s="266"/>
      <c r="C824" s="117"/>
      <c r="D824" s="117"/>
      <c r="E824" s="117"/>
      <c r="F824" s="123"/>
      <c r="G824" s="125" t="s">
        <v>145</v>
      </c>
      <c r="H824" s="125"/>
      <c r="I824" s="125"/>
      <c r="J824" s="125"/>
      <c r="K824" s="82" t="str">
        <f t="shared" ca="1" si="1125"/>
        <v>#REF!</v>
      </c>
      <c r="L824" s="82" t="str">
        <f t="shared" ca="1" si="1126"/>
        <v>#REF!</v>
      </c>
      <c r="M824" s="82" t="str">
        <f t="shared" ca="1" si="550"/>
        <v>#REF!</v>
      </c>
      <c r="N824" s="93"/>
      <c r="O824" s="93"/>
      <c r="P824" s="95">
        <f t="shared" si="965"/>
        <v>0</v>
      </c>
      <c r="Q824" s="96">
        <f t="shared" si="1139"/>
        <v>0</v>
      </c>
      <c r="R824" s="96">
        <v>0</v>
      </c>
      <c r="S824" s="97">
        <f t="shared" si="553"/>
        <v>0</v>
      </c>
      <c r="T824" s="97" t="str">
        <f ca="1">ROUNDUP(HLOOKUP(ROUNDUP(K824,0),'배송비 조회'!A$10:AE$22,7,0)*C$3,-2)</f>
        <v>#REF!</v>
      </c>
      <c r="U824" s="97">
        <v>0</v>
      </c>
      <c r="V824" s="97" t="str">
        <f t="shared" ca="1" si="981"/>
        <v>#REF!</v>
      </c>
      <c r="W824" s="97" t="str">
        <f t="shared" ca="1" si="982"/>
        <v>#REF!</v>
      </c>
      <c r="X824" s="98" t="str">
        <f t="shared" ca="1" si="882"/>
        <v>#REF!</v>
      </c>
      <c r="Y824" s="98" t="str">
        <f t="shared" ca="1" si="883"/>
        <v>#REF!</v>
      </c>
      <c r="Z824" s="121">
        <v>0</v>
      </c>
      <c r="AA824" s="121" t="str">
        <f t="shared" ca="1" si="556"/>
        <v>#REF!</v>
      </c>
      <c r="AB824" s="121" t="str">
        <f t="shared" ca="1" si="557"/>
        <v>#REF!</v>
      </c>
      <c r="AC824" s="99" t="str">
        <f t="shared" ca="1" si="8"/>
        <v>#REF!</v>
      </c>
      <c r="AD824" s="121" t="str">
        <f t="shared" ca="1" si="558"/>
        <v>#REF!</v>
      </c>
      <c r="AE824" s="99" t="str">
        <f t="shared" ca="1" si="10"/>
        <v>#REF!</v>
      </c>
      <c r="AF824" s="121" t="str">
        <f t="shared" ca="1" si="559"/>
        <v>#REF!</v>
      </c>
      <c r="AG824" s="100" t="str">
        <f t="shared" ca="1" si="560"/>
        <v>#REF!</v>
      </c>
      <c r="AH824" s="101" t="str">
        <f t="shared" ca="1" si="891"/>
        <v>#REF!</v>
      </c>
      <c r="AI824" s="102" t="str">
        <f t="shared" ref="AI824:AJ824" ca="1" si="1157">AG824/X824</f>
        <v>#REF!</v>
      </c>
      <c r="AJ824" s="102" t="str">
        <f t="shared" ca="1" si="1157"/>
        <v>#REF!</v>
      </c>
      <c r="AK824" s="212"/>
      <c r="AL824" s="213"/>
      <c r="AM824" s="4"/>
      <c r="AN824" s="4"/>
      <c r="AO824" s="4"/>
      <c r="AP824" s="4"/>
      <c r="AQ824" s="4"/>
      <c r="AR824" s="4"/>
      <c r="AS824" s="4"/>
      <c r="AT824" s="4"/>
      <c r="AU824" s="4"/>
      <c r="AV824" s="4"/>
      <c r="AW824" s="4"/>
    </row>
    <row r="825" spans="1:49" ht="13.2">
      <c r="A825" s="120"/>
      <c r="B825" s="266"/>
      <c r="C825" s="117"/>
      <c r="D825" s="117"/>
      <c r="E825" s="117"/>
      <c r="F825" s="123"/>
      <c r="G825" s="125" t="s">
        <v>145</v>
      </c>
      <c r="H825" s="125"/>
      <c r="I825" s="125"/>
      <c r="J825" s="125"/>
      <c r="K825" s="82" t="str">
        <f t="shared" ca="1" si="1125"/>
        <v>#REF!</v>
      </c>
      <c r="L825" s="82" t="str">
        <f t="shared" ca="1" si="1126"/>
        <v>#REF!</v>
      </c>
      <c r="M825" s="82" t="str">
        <f t="shared" ca="1" si="550"/>
        <v>#REF!</v>
      </c>
      <c r="N825" s="93"/>
      <c r="O825" s="93"/>
      <c r="P825" s="95">
        <f t="shared" si="965"/>
        <v>0</v>
      </c>
      <c r="Q825" s="96">
        <f t="shared" si="1139"/>
        <v>0</v>
      </c>
      <c r="R825" s="96">
        <v>0</v>
      </c>
      <c r="S825" s="97">
        <f t="shared" si="553"/>
        <v>0</v>
      </c>
      <c r="T825" s="97" t="str">
        <f ca="1">ROUNDUP(HLOOKUP(ROUNDUP(K825,0),'배송비 조회'!A$10:AE$22,7,0)*C$3,-2)</f>
        <v>#REF!</v>
      </c>
      <c r="U825" s="97">
        <v>0</v>
      </c>
      <c r="V825" s="97" t="str">
        <f t="shared" ca="1" si="981"/>
        <v>#REF!</v>
      </c>
      <c r="W825" s="97" t="str">
        <f t="shared" ca="1" si="982"/>
        <v>#REF!</v>
      </c>
      <c r="X825" s="98" t="str">
        <f t="shared" ca="1" si="882"/>
        <v>#REF!</v>
      </c>
      <c r="Y825" s="98" t="str">
        <f t="shared" ca="1" si="883"/>
        <v>#REF!</v>
      </c>
      <c r="Z825" s="121">
        <v>0</v>
      </c>
      <c r="AA825" s="121" t="str">
        <f t="shared" ca="1" si="556"/>
        <v>#REF!</v>
      </c>
      <c r="AB825" s="121" t="str">
        <f t="shared" ca="1" si="557"/>
        <v>#REF!</v>
      </c>
      <c r="AC825" s="99" t="str">
        <f t="shared" ca="1" si="8"/>
        <v>#REF!</v>
      </c>
      <c r="AD825" s="121" t="str">
        <f t="shared" ca="1" si="558"/>
        <v>#REF!</v>
      </c>
      <c r="AE825" s="99" t="str">
        <f t="shared" ca="1" si="10"/>
        <v>#REF!</v>
      </c>
      <c r="AF825" s="121" t="str">
        <f t="shared" ca="1" si="559"/>
        <v>#REF!</v>
      </c>
      <c r="AG825" s="100" t="str">
        <f t="shared" ca="1" si="560"/>
        <v>#REF!</v>
      </c>
      <c r="AH825" s="101" t="str">
        <f t="shared" ca="1" si="891"/>
        <v>#REF!</v>
      </c>
      <c r="AI825" s="102" t="str">
        <f t="shared" ref="AI825:AJ825" ca="1" si="1158">AG825/X825</f>
        <v>#REF!</v>
      </c>
      <c r="AJ825" s="102" t="str">
        <f t="shared" ca="1" si="1158"/>
        <v>#REF!</v>
      </c>
      <c r="AK825" s="212"/>
      <c r="AL825" s="213"/>
      <c r="AM825" s="4"/>
      <c r="AN825" s="4"/>
      <c r="AO825" s="4"/>
      <c r="AP825" s="4"/>
      <c r="AQ825" s="4"/>
      <c r="AR825" s="4"/>
      <c r="AS825" s="4"/>
      <c r="AT825" s="4"/>
      <c r="AU825" s="4"/>
      <c r="AV825" s="4"/>
      <c r="AW825" s="4"/>
    </row>
    <row r="826" spans="1:49" ht="13.2">
      <c r="A826" s="120"/>
      <c r="B826" s="266"/>
      <c r="C826" s="117"/>
      <c r="D826" s="117"/>
      <c r="E826" s="117"/>
      <c r="F826" s="123"/>
      <c r="G826" s="125" t="s">
        <v>145</v>
      </c>
      <c r="H826" s="125"/>
      <c r="I826" s="125"/>
      <c r="J826" s="125"/>
      <c r="K826" s="82" t="str">
        <f t="shared" ca="1" si="1125"/>
        <v>#REF!</v>
      </c>
      <c r="L826" s="82" t="str">
        <f t="shared" ca="1" si="1126"/>
        <v>#REF!</v>
      </c>
      <c r="M826" s="82" t="str">
        <f t="shared" ca="1" si="550"/>
        <v>#REF!</v>
      </c>
      <c r="N826" s="93"/>
      <c r="O826" s="93"/>
      <c r="P826" s="95">
        <f t="shared" si="965"/>
        <v>0</v>
      </c>
      <c r="Q826" s="96">
        <f t="shared" si="1139"/>
        <v>0</v>
      </c>
      <c r="R826" s="96">
        <v>0</v>
      </c>
      <c r="S826" s="97">
        <f t="shared" si="553"/>
        <v>0</v>
      </c>
      <c r="T826" s="97" t="str">
        <f ca="1">ROUNDUP(HLOOKUP(ROUNDUP(K826,0),'배송비 조회'!A$10:AE$22,7,0)*C$3,-2)</f>
        <v>#REF!</v>
      </c>
      <c r="U826" s="97">
        <v>0</v>
      </c>
      <c r="V826" s="97" t="str">
        <f t="shared" ca="1" si="981"/>
        <v>#REF!</v>
      </c>
      <c r="W826" s="97" t="str">
        <f t="shared" ca="1" si="982"/>
        <v>#REF!</v>
      </c>
      <c r="X826" s="98" t="str">
        <f t="shared" ca="1" si="882"/>
        <v>#REF!</v>
      </c>
      <c r="Y826" s="98" t="str">
        <f t="shared" ca="1" si="883"/>
        <v>#REF!</v>
      </c>
      <c r="Z826" s="121">
        <v>0</v>
      </c>
      <c r="AA826" s="121" t="str">
        <f t="shared" ca="1" si="556"/>
        <v>#REF!</v>
      </c>
      <c r="AB826" s="121" t="str">
        <f t="shared" ca="1" si="557"/>
        <v>#REF!</v>
      </c>
      <c r="AC826" s="99" t="str">
        <f t="shared" ca="1" si="8"/>
        <v>#REF!</v>
      </c>
      <c r="AD826" s="121" t="str">
        <f t="shared" ca="1" si="558"/>
        <v>#REF!</v>
      </c>
      <c r="AE826" s="99" t="str">
        <f t="shared" ca="1" si="10"/>
        <v>#REF!</v>
      </c>
      <c r="AF826" s="121" t="str">
        <f t="shared" ca="1" si="559"/>
        <v>#REF!</v>
      </c>
      <c r="AG826" s="100" t="str">
        <f t="shared" ca="1" si="560"/>
        <v>#REF!</v>
      </c>
      <c r="AH826" s="101" t="str">
        <f t="shared" ca="1" si="891"/>
        <v>#REF!</v>
      </c>
      <c r="AI826" s="102" t="str">
        <f t="shared" ref="AI826:AJ826" ca="1" si="1159">AG826/X826</f>
        <v>#REF!</v>
      </c>
      <c r="AJ826" s="102" t="str">
        <f t="shared" ca="1" si="1159"/>
        <v>#REF!</v>
      </c>
      <c r="AK826" s="212"/>
      <c r="AL826" s="213"/>
      <c r="AM826" s="4"/>
      <c r="AN826" s="4"/>
      <c r="AO826" s="4"/>
      <c r="AP826" s="4"/>
      <c r="AQ826" s="4"/>
      <c r="AR826" s="4"/>
      <c r="AS826" s="4"/>
      <c r="AT826" s="4"/>
      <c r="AU826" s="4"/>
      <c r="AV826" s="4"/>
      <c r="AW826" s="4"/>
    </row>
    <row r="827" spans="1:49" ht="13.2">
      <c r="A827" s="120"/>
      <c r="B827" s="266"/>
      <c r="C827" s="117"/>
      <c r="D827" s="117"/>
      <c r="E827" s="117"/>
      <c r="F827" s="123"/>
      <c r="G827" s="125" t="s">
        <v>145</v>
      </c>
      <c r="H827" s="125"/>
      <c r="I827" s="125"/>
      <c r="J827" s="125"/>
      <c r="K827" s="82" t="str">
        <f t="shared" ca="1" si="1125"/>
        <v>#REF!</v>
      </c>
      <c r="L827" s="82" t="str">
        <f t="shared" ca="1" si="1126"/>
        <v>#REF!</v>
      </c>
      <c r="M827" s="82" t="str">
        <f t="shared" ca="1" si="550"/>
        <v>#REF!</v>
      </c>
      <c r="N827" s="93"/>
      <c r="O827" s="93"/>
      <c r="P827" s="95">
        <f t="shared" si="965"/>
        <v>0</v>
      </c>
      <c r="Q827" s="96">
        <f t="shared" si="1139"/>
        <v>0</v>
      </c>
      <c r="R827" s="96">
        <v>0</v>
      </c>
      <c r="S827" s="97">
        <f t="shared" si="553"/>
        <v>0</v>
      </c>
      <c r="T827" s="97" t="str">
        <f ca="1">ROUNDUP(HLOOKUP(ROUNDUP(K827,0),'배송비 조회'!A$10:AE$22,7,0)*C$3,-2)</f>
        <v>#REF!</v>
      </c>
      <c r="U827" s="97">
        <v>0</v>
      </c>
      <c r="V827" s="97" t="str">
        <f t="shared" ca="1" si="981"/>
        <v>#REF!</v>
      </c>
      <c r="W827" s="97" t="str">
        <f t="shared" ca="1" si="982"/>
        <v>#REF!</v>
      </c>
      <c r="X827" s="98" t="str">
        <f t="shared" ca="1" si="882"/>
        <v>#REF!</v>
      </c>
      <c r="Y827" s="98" t="str">
        <f t="shared" ca="1" si="883"/>
        <v>#REF!</v>
      </c>
      <c r="Z827" s="121">
        <v>0</v>
      </c>
      <c r="AA827" s="121" t="str">
        <f t="shared" ca="1" si="556"/>
        <v>#REF!</v>
      </c>
      <c r="AB827" s="121" t="str">
        <f t="shared" ca="1" si="557"/>
        <v>#REF!</v>
      </c>
      <c r="AC827" s="99" t="str">
        <f t="shared" ca="1" si="8"/>
        <v>#REF!</v>
      </c>
      <c r="AD827" s="121" t="str">
        <f t="shared" ca="1" si="558"/>
        <v>#REF!</v>
      </c>
      <c r="AE827" s="99" t="str">
        <f t="shared" ca="1" si="10"/>
        <v>#REF!</v>
      </c>
      <c r="AF827" s="121" t="str">
        <f t="shared" ca="1" si="559"/>
        <v>#REF!</v>
      </c>
      <c r="AG827" s="100" t="str">
        <f t="shared" ca="1" si="560"/>
        <v>#REF!</v>
      </c>
      <c r="AH827" s="101" t="str">
        <f t="shared" ca="1" si="891"/>
        <v>#REF!</v>
      </c>
      <c r="AI827" s="102" t="str">
        <f t="shared" ref="AI827:AJ827" ca="1" si="1160">AG827/X827</f>
        <v>#REF!</v>
      </c>
      <c r="AJ827" s="102" t="str">
        <f t="shared" ca="1" si="1160"/>
        <v>#REF!</v>
      </c>
      <c r="AK827" s="212"/>
      <c r="AL827" s="213"/>
      <c r="AM827" s="4"/>
      <c r="AN827" s="4"/>
      <c r="AO827" s="4"/>
      <c r="AP827" s="4"/>
      <c r="AQ827" s="4"/>
      <c r="AR827" s="4"/>
      <c r="AS827" s="4"/>
      <c r="AT827" s="4"/>
      <c r="AU827" s="4"/>
      <c r="AV827" s="4"/>
      <c r="AW827" s="4"/>
    </row>
    <row r="828" spans="1:49" ht="13.2">
      <c r="A828" s="120"/>
      <c r="B828" s="266"/>
      <c r="C828" s="117"/>
      <c r="D828" s="117"/>
      <c r="E828" s="117"/>
      <c r="F828" s="123"/>
      <c r="G828" s="125" t="s">
        <v>145</v>
      </c>
      <c r="H828" s="125"/>
      <c r="I828" s="125"/>
      <c r="J828" s="125"/>
      <c r="K828" s="82" t="str">
        <f t="shared" ca="1" si="1125"/>
        <v>#REF!</v>
      </c>
      <c r="L828" s="82" t="str">
        <f t="shared" ca="1" si="1126"/>
        <v>#REF!</v>
      </c>
      <c r="M828" s="82" t="str">
        <f t="shared" ca="1" si="550"/>
        <v>#REF!</v>
      </c>
      <c r="N828" s="93"/>
      <c r="O828" s="93"/>
      <c r="P828" s="95">
        <f t="shared" si="965"/>
        <v>0</v>
      </c>
      <c r="Q828" s="96">
        <f t="shared" si="1139"/>
        <v>0</v>
      </c>
      <c r="R828" s="96">
        <v>0</v>
      </c>
      <c r="S828" s="97">
        <f t="shared" si="553"/>
        <v>0</v>
      </c>
      <c r="T828" s="97" t="str">
        <f ca="1">ROUNDUP(HLOOKUP(ROUNDUP(K828,0),'배송비 조회'!A$10:AE$22,7,0)*C$3,-2)</f>
        <v>#REF!</v>
      </c>
      <c r="U828" s="97">
        <v>0</v>
      </c>
      <c r="V828" s="97" t="str">
        <f t="shared" ca="1" si="981"/>
        <v>#REF!</v>
      </c>
      <c r="W828" s="97" t="str">
        <f t="shared" ca="1" si="982"/>
        <v>#REF!</v>
      </c>
      <c r="X828" s="98" t="str">
        <f t="shared" ca="1" si="882"/>
        <v>#REF!</v>
      </c>
      <c r="Y828" s="98" t="str">
        <f t="shared" ca="1" si="883"/>
        <v>#REF!</v>
      </c>
      <c r="Z828" s="121">
        <v>0</v>
      </c>
      <c r="AA828" s="121" t="str">
        <f t="shared" ca="1" si="556"/>
        <v>#REF!</v>
      </c>
      <c r="AB828" s="121" t="str">
        <f t="shared" ca="1" si="557"/>
        <v>#REF!</v>
      </c>
      <c r="AC828" s="99" t="str">
        <f t="shared" ca="1" si="8"/>
        <v>#REF!</v>
      </c>
      <c r="AD828" s="121" t="str">
        <f t="shared" ca="1" si="558"/>
        <v>#REF!</v>
      </c>
      <c r="AE828" s="99" t="str">
        <f t="shared" ca="1" si="10"/>
        <v>#REF!</v>
      </c>
      <c r="AF828" s="121" t="str">
        <f t="shared" ca="1" si="559"/>
        <v>#REF!</v>
      </c>
      <c r="AG828" s="100" t="str">
        <f t="shared" ca="1" si="560"/>
        <v>#REF!</v>
      </c>
      <c r="AH828" s="101" t="str">
        <f t="shared" ca="1" si="891"/>
        <v>#REF!</v>
      </c>
      <c r="AI828" s="102" t="str">
        <f t="shared" ref="AI828:AJ828" ca="1" si="1161">AG828/X828</f>
        <v>#REF!</v>
      </c>
      <c r="AJ828" s="102" t="str">
        <f t="shared" ca="1" si="1161"/>
        <v>#REF!</v>
      </c>
      <c r="AK828" s="212"/>
      <c r="AL828" s="213"/>
      <c r="AM828" s="4"/>
      <c r="AN828" s="4"/>
      <c r="AO828" s="4"/>
      <c r="AP828" s="4"/>
      <c r="AQ828" s="4"/>
      <c r="AR828" s="4"/>
      <c r="AS828" s="4"/>
      <c r="AT828" s="4"/>
      <c r="AU828" s="4"/>
      <c r="AV828" s="4"/>
      <c r="AW828" s="4"/>
    </row>
    <row r="829" spans="1:49" ht="13.2">
      <c r="A829" s="120"/>
      <c r="B829" s="266"/>
      <c r="C829" s="117"/>
      <c r="D829" s="117"/>
      <c r="E829" s="117"/>
      <c r="F829" s="123"/>
      <c r="G829" s="125" t="s">
        <v>145</v>
      </c>
      <c r="H829" s="125"/>
      <c r="I829" s="125"/>
      <c r="J829" s="125"/>
      <c r="K829" s="82" t="str">
        <f t="shared" ca="1" si="1125"/>
        <v>#REF!</v>
      </c>
      <c r="L829" s="82" t="str">
        <f t="shared" ca="1" si="1126"/>
        <v>#REF!</v>
      </c>
      <c r="M829" s="82" t="str">
        <f t="shared" ca="1" si="550"/>
        <v>#REF!</v>
      </c>
      <c r="N829" s="93"/>
      <c r="O829" s="93"/>
      <c r="P829" s="95">
        <f t="shared" si="965"/>
        <v>0</v>
      </c>
      <c r="Q829" s="96">
        <f t="shared" si="1139"/>
        <v>0</v>
      </c>
      <c r="R829" s="96">
        <v>0</v>
      </c>
      <c r="S829" s="97">
        <f t="shared" si="553"/>
        <v>0</v>
      </c>
      <c r="T829" s="97" t="str">
        <f ca="1">ROUNDUP(HLOOKUP(ROUNDUP(K829,0),'배송비 조회'!A$10:AE$22,7,0)*C$3,-2)</f>
        <v>#REF!</v>
      </c>
      <c r="U829" s="97">
        <v>0</v>
      </c>
      <c r="V829" s="97" t="str">
        <f t="shared" ca="1" si="981"/>
        <v>#REF!</v>
      </c>
      <c r="W829" s="97" t="str">
        <f t="shared" ca="1" si="982"/>
        <v>#REF!</v>
      </c>
      <c r="X829" s="98" t="str">
        <f t="shared" ca="1" si="882"/>
        <v>#REF!</v>
      </c>
      <c r="Y829" s="98" t="str">
        <f t="shared" ca="1" si="883"/>
        <v>#REF!</v>
      </c>
      <c r="Z829" s="121">
        <v>0</v>
      </c>
      <c r="AA829" s="121" t="str">
        <f t="shared" ca="1" si="556"/>
        <v>#REF!</v>
      </c>
      <c r="AB829" s="121" t="str">
        <f t="shared" ca="1" si="557"/>
        <v>#REF!</v>
      </c>
      <c r="AC829" s="99" t="str">
        <f t="shared" ca="1" si="8"/>
        <v>#REF!</v>
      </c>
      <c r="AD829" s="121" t="str">
        <f t="shared" ca="1" si="558"/>
        <v>#REF!</v>
      </c>
      <c r="AE829" s="99" t="str">
        <f t="shared" ca="1" si="10"/>
        <v>#REF!</v>
      </c>
      <c r="AF829" s="121" t="str">
        <f t="shared" ca="1" si="559"/>
        <v>#REF!</v>
      </c>
      <c r="AG829" s="100" t="str">
        <f t="shared" ca="1" si="560"/>
        <v>#REF!</v>
      </c>
      <c r="AH829" s="101" t="str">
        <f t="shared" ca="1" si="891"/>
        <v>#REF!</v>
      </c>
      <c r="AI829" s="102" t="str">
        <f t="shared" ref="AI829:AJ829" ca="1" si="1162">AG829/X829</f>
        <v>#REF!</v>
      </c>
      <c r="AJ829" s="102" t="str">
        <f t="shared" ca="1" si="1162"/>
        <v>#REF!</v>
      </c>
      <c r="AK829" s="212"/>
      <c r="AL829" s="213"/>
      <c r="AM829" s="4"/>
      <c r="AN829" s="4"/>
      <c r="AO829" s="4"/>
      <c r="AP829" s="4"/>
      <c r="AQ829" s="4"/>
      <c r="AR829" s="4"/>
      <c r="AS829" s="4"/>
      <c r="AT829" s="4"/>
      <c r="AU829" s="4"/>
      <c r="AV829" s="4"/>
      <c r="AW829" s="4"/>
    </row>
    <row r="830" spans="1:49" ht="13.2">
      <c r="A830" s="120"/>
      <c r="B830" s="266"/>
      <c r="C830" s="117"/>
      <c r="D830" s="117"/>
      <c r="E830" s="117"/>
      <c r="F830" s="123"/>
      <c r="G830" s="125" t="s">
        <v>145</v>
      </c>
      <c r="H830" s="125"/>
      <c r="I830" s="125"/>
      <c r="J830" s="125"/>
      <c r="K830" s="82" t="str">
        <f t="shared" ca="1" si="1125"/>
        <v>#REF!</v>
      </c>
      <c r="L830" s="82" t="str">
        <f t="shared" ca="1" si="1126"/>
        <v>#REF!</v>
      </c>
      <c r="M830" s="82" t="str">
        <f t="shared" ca="1" si="550"/>
        <v>#REF!</v>
      </c>
      <c r="N830" s="93"/>
      <c r="O830" s="93"/>
      <c r="P830" s="95">
        <f t="shared" si="965"/>
        <v>0</v>
      </c>
      <c r="Q830" s="96">
        <f t="shared" si="1139"/>
        <v>0</v>
      </c>
      <c r="R830" s="96">
        <v>0</v>
      </c>
      <c r="S830" s="97">
        <f t="shared" si="553"/>
        <v>0</v>
      </c>
      <c r="T830" s="97" t="str">
        <f ca="1">ROUNDUP(HLOOKUP(ROUNDUP(K830,0),'배송비 조회'!A$10:AE$22,7,0)*C$3,-2)</f>
        <v>#REF!</v>
      </c>
      <c r="U830" s="97">
        <v>0</v>
      </c>
      <c r="V830" s="97" t="str">
        <f t="shared" ca="1" si="981"/>
        <v>#REF!</v>
      </c>
      <c r="W830" s="97" t="str">
        <f t="shared" ca="1" si="982"/>
        <v>#REF!</v>
      </c>
      <c r="X830" s="98" t="str">
        <f t="shared" ca="1" si="882"/>
        <v>#REF!</v>
      </c>
      <c r="Y830" s="98" t="str">
        <f t="shared" ca="1" si="883"/>
        <v>#REF!</v>
      </c>
      <c r="Z830" s="121">
        <v>0</v>
      </c>
      <c r="AA830" s="121" t="str">
        <f t="shared" ca="1" si="556"/>
        <v>#REF!</v>
      </c>
      <c r="AB830" s="121" t="str">
        <f t="shared" ca="1" si="557"/>
        <v>#REF!</v>
      </c>
      <c r="AC830" s="99" t="str">
        <f t="shared" ca="1" si="8"/>
        <v>#REF!</v>
      </c>
      <c r="AD830" s="121" t="str">
        <f t="shared" ca="1" si="558"/>
        <v>#REF!</v>
      </c>
      <c r="AE830" s="99" t="str">
        <f t="shared" ca="1" si="10"/>
        <v>#REF!</v>
      </c>
      <c r="AF830" s="121" t="str">
        <f t="shared" ca="1" si="559"/>
        <v>#REF!</v>
      </c>
      <c r="AG830" s="100" t="str">
        <f t="shared" ca="1" si="560"/>
        <v>#REF!</v>
      </c>
      <c r="AH830" s="101" t="str">
        <f t="shared" ca="1" si="891"/>
        <v>#REF!</v>
      </c>
      <c r="AI830" s="102" t="str">
        <f t="shared" ref="AI830:AJ830" ca="1" si="1163">AG830/X830</f>
        <v>#REF!</v>
      </c>
      <c r="AJ830" s="102" t="str">
        <f t="shared" ca="1" si="1163"/>
        <v>#REF!</v>
      </c>
      <c r="AK830" s="212"/>
      <c r="AL830" s="213"/>
      <c r="AM830" s="4"/>
      <c r="AN830" s="4"/>
      <c r="AO830" s="4"/>
      <c r="AP830" s="4"/>
      <c r="AQ830" s="4"/>
      <c r="AR830" s="4"/>
      <c r="AS830" s="4"/>
      <c r="AT830" s="4"/>
      <c r="AU830" s="4"/>
      <c r="AV830" s="4"/>
      <c r="AW830" s="4"/>
    </row>
    <row r="831" spans="1:49" ht="13.2">
      <c r="A831" s="120"/>
      <c r="B831" s="266"/>
      <c r="C831" s="117"/>
      <c r="D831" s="117"/>
      <c r="E831" s="117"/>
      <c r="F831" s="123"/>
      <c r="G831" s="125" t="s">
        <v>145</v>
      </c>
      <c r="H831" s="125"/>
      <c r="I831" s="125"/>
      <c r="J831" s="125"/>
      <c r="K831" s="82" t="str">
        <f t="shared" ca="1" si="1125"/>
        <v>#REF!</v>
      </c>
      <c r="L831" s="82" t="str">
        <f t="shared" ca="1" si="1126"/>
        <v>#REF!</v>
      </c>
      <c r="M831" s="82" t="str">
        <f t="shared" ca="1" si="550"/>
        <v>#REF!</v>
      </c>
      <c r="N831" s="93"/>
      <c r="O831" s="93"/>
      <c r="P831" s="95">
        <f t="shared" si="965"/>
        <v>0</v>
      </c>
      <c r="Q831" s="96">
        <f t="shared" si="1139"/>
        <v>0</v>
      </c>
      <c r="R831" s="96">
        <v>0</v>
      </c>
      <c r="S831" s="97">
        <f t="shared" si="553"/>
        <v>0</v>
      </c>
      <c r="T831" s="97" t="str">
        <f ca="1">ROUNDUP(HLOOKUP(ROUNDUP(K831,0),'배송비 조회'!A$10:AE$22,7,0)*C$3,-2)</f>
        <v>#REF!</v>
      </c>
      <c r="U831" s="97">
        <v>0</v>
      </c>
      <c r="V831" s="97" t="str">
        <f t="shared" ca="1" si="981"/>
        <v>#REF!</v>
      </c>
      <c r="W831" s="97" t="str">
        <f t="shared" ca="1" si="982"/>
        <v>#REF!</v>
      </c>
      <c r="X831" s="98" t="str">
        <f t="shared" ca="1" si="882"/>
        <v>#REF!</v>
      </c>
      <c r="Y831" s="98" t="str">
        <f t="shared" ca="1" si="883"/>
        <v>#REF!</v>
      </c>
      <c r="Z831" s="121">
        <v>0</v>
      </c>
      <c r="AA831" s="121" t="str">
        <f t="shared" ca="1" si="556"/>
        <v>#REF!</v>
      </c>
      <c r="AB831" s="121" t="str">
        <f t="shared" ca="1" si="557"/>
        <v>#REF!</v>
      </c>
      <c r="AC831" s="99" t="str">
        <f t="shared" ca="1" si="8"/>
        <v>#REF!</v>
      </c>
      <c r="AD831" s="121" t="str">
        <f t="shared" ca="1" si="558"/>
        <v>#REF!</v>
      </c>
      <c r="AE831" s="99" t="str">
        <f t="shared" ca="1" si="10"/>
        <v>#REF!</v>
      </c>
      <c r="AF831" s="121" t="str">
        <f t="shared" ca="1" si="559"/>
        <v>#REF!</v>
      </c>
      <c r="AG831" s="100" t="str">
        <f t="shared" ca="1" si="560"/>
        <v>#REF!</v>
      </c>
      <c r="AH831" s="101" t="str">
        <f t="shared" ca="1" si="891"/>
        <v>#REF!</v>
      </c>
      <c r="AI831" s="102" t="str">
        <f t="shared" ref="AI831:AJ831" ca="1" si="1164">AG831/X831</f>
        <v>#REF!</v>
      </c>
      <c r="AJ831" s="102" t="str">
        <f t="shared" ca="1" si="1164"/>
        <v>#REF!</v>
      </c>
      <c r="AK831" s="212"/>
      <c r="AL831" s="213"/>
      <c r="AM831" s="4"/>
      <c r="AN831" s="4"/>
      <c r="AO831" s="4"/>
      <c r="AP831" s="4"/>
      <c r="AQ831" s="4"/>
      <c r="AR831" s="4"/>
      <c r="AS831" s="4"/>
      <c r="AT831" s="4"/>
      <c r="AU831" s="4"/>
      <c r="AV831" s="4"/>
      <c r="AW831" s="4"/>
    </row>
    <row r="832" spans="1:49" ht="13.2">
      <c r="A832" s="120"/>
      <c r="B832" s="266"/>
      <c r="C832" s="117"/>
      <c r="D832" s="117"/>
      <c r="E832" s="117"/>
      <c r="F832" s="123"/>
      <c r="G832" s="125" t="s">
        <v>145</v>
      </c>
      <c r="H832" s="125"/>
      <c r="I832" s="125"/>
      <c r="J832" s="125"/>
      <c r="K832" s="82" t="str">
        <f t="shared" ca="1" si="1125"/>
        <v>#REF!</v>
      </c>
      <c r="L832" s="82" t="str">
        <f t="shared" ca="1" si="1126"/>
        <v>#REF!</v>
      </c>
      <c r="M832" s="82" t="str">
        <f t="shared" ca="1" si="550"/>
        <v>#REF!</v>
      </c>
      <c r="N832" s="93"/>
      <c r="O832" s="93"/>
      <c r="P832" s="95">
        <f t="shared" si="965"/>
        <v>0</v>
      </c>
      <c r="Q832" s="96">
        <f t="shared" si="1139"/>
        <v>0</v>
      </c>
      <c r="R832" s="96">
        <v>0</v>
      </c>
      <c r="S832" s="97">
        <f t="shared" si="553"/>
        <v>0</v>
      </c>
      <c r="T832" s="97" t="str">
        <f ca="1">ROUNDUP(HLOOKUP(ROUNDUP(K832,0),'배송비 조회'!A$10:AE$22,7,0)*C$3,-2)</f>
        <v>#REF!</v>
      </c>
      <c r="U832" s="97">
        <v>0</v>
      </c>
      <c r="V832" s="97" t="str">
        <f t="shared" ca="1" si="981"/>
        <v>#REF!</v>
      </c>
      <c r="W832" s="97" t="str">
        <f t="shared" ca="1" si="982"/>
        <v>#REF!</v>
      </c>
      <c r="X832" s="98" t="str">
        <f t="shared" ca="1" si="882"/>
        <v>#REF!</v>
      </c>
      <c r="Y832" s="98" t="str">
        <f t="shared" ca="1" si="883"/>
        <v>#REF!</v>
      </c>
      <c r="Z832" s="121">
        <v>0</v>
      </c>
      <c r="AA832" s="121" t="str">
        <f t="shared" ca="1" si="556"/>
        <v>#REF!</v>
      </c>
      <c r="AB832" s="121" t="str">
        <f t="shared" ca="1" si="557"/>
        <v>#REF!</v>
      </c>
      <c r="AC832" s="99" t="str">
        <f t="shared" ca="1" si="8"/>
        <v>#REF!</v>
      </c>
      <c r="AD832" s="121" t="str">
        <f t="shared" ca="1" si="558"/>
        <v>#REF!</v>
      </c>
      <c r="AE832" s="99" t="str">
        <f t="shared" ca="1" si="10"/>
        <v>#REF!</v>
      </c>
      <c r="AF832" s="121" t="str">
        <f t="shared" ca="1" si="559"/>
        <v>#REF!</v>
      </c>
      <c r="AG832" s="100" t="str">
        <f t="shared" ca="1" si="560"/>
        <v>#REF!</v>
      </c>
      <c r="AH832" s="101" t="str">
        <f t="shared" ca="1" si="891"/>
        <v>#REF!</v>
      </c>
      <c r="AI832" s="102" t="str">
        <f t="shared" ref="AI832:AJ832" ca="1" si="1165">AG832/X832</f>
        <v>#REF!</v>
      </c>
      <c r="AJ832" s="102" t="str">
        <f t="shared" ca="1" si="1165"/>
        <v>#REF!</v>
      </c>
      <c r="AK832" s="212"/>
      <c r="AL832" s="213"/>
      <c r="AM832" s="4"/>
      <c r="AN832" s="4"/>
      <c r="AO832" s="4"/>
      <c r="AP832" s="4"/>
      <c r="AQ832" s="4"/>
      <c r="AR832" s="4"/>
      <c r="AS832" s="4"/>
      <c r="AT832" s="4"/>
      <c r="AU832" s="4"/>
      <c r="AV832" s="4"/>
      <c r="AW832" s="4"/>
    </row>
    <row r="833" spans="1:49" ht="13.2">
      <c r="A833" s="120"/>
      <c r="B833" s="266"/>
      <c r="C833" s="117"/>
      <c r="D833" s="117"/>
      <c r="E833" s="117"/>
      <c r="F833" s="123"/>
      <c r="G833" s="125" t="s">
        <v>145</v>
      </c>
      <c r="H833" s="125"/>
      <c r="I833" s="125"/>
      <c r="J833" s="125"/>
      <c r="K833" s="82" t="str">
        <f t="shared" ca="1" si="1125"/>
        <v>#REF!</v>
      </c>
      <c r="L833" s="82" t="str">
        <f t="shared" ca="1" si="1126"/>
        <v>#REF!</v>
      </c>
      <c r="M833" s="82" t="str">
        <f t="shared" ca="1" si="550"/>
        <v>#REF!</v>
      </c>
      <c r="N833" s="93"/>
      <c r="O833" s="93"/>
      <c r="P833" s="95">
        <f t="shared" si="965"/>
        <v>0</v>
      </c>
      <c r="Q833" s="96">
        <f t="shared" si="1139"/>
        <v>0</v>
      </c>
      <c r="R833" s="96">
        <v>0</v>
      </c>
      <c r="S833" s="97">
        <f t="shared" si="553"/>
        <v>0</v>
      </c>
      <c r="T833" s="97" t="str">
        <f ca="1">ROUNDUP(HLOOKUP(ROUNDUP(K833,0),'배송비 조회'!A$10:AE$22,7,0)*C$3,-2)</f>
        <v>#REF!</v>
      </c>
      <c r="U833" s="97">
        <v>0</v>
      </c>
      <c r="V833" s="97" t="str">
        <f t="shared" ca="1" si="981"/>
        <v>#REF!</v>
      </c>
      <c r="W833" s="97" t="str">
        <f t="shared" ca="1" si="982"/>
        <v>#REF!</v>
      </c>
      <c r="X833" s="98" t="str">
        <f t="shared" ca="1" si="882"/>
        <v>#REF!</v>
      </c>
      <c r="Y833" s="98" t="str">
        <f t="shared" ca="1" si="883"/>
        <v>#REF!</v>
      </c>
      <c r="Z833" s="121">
        <v>0</v>
      </c>
      <c r="AA833" s="121" t="str">
        <f t="shared" ca="1" si="556"/>
        <v>#REF!</v>
      </c>
      <c r="AB833" s="121" t="str">
        <f t="shared" ca="1" si="557"/>
        <v>#REF!</v>
      </c>
      <c r="AC833" s="99" t="str">
        <f t="shared" ca="1" si="8"/>
        <v>#REF!</v>
      </c>
      <c r="AD833" s="121" t="str">
        <f t="shared" ca="1" si="558"/>
        <v>#REF!</v>
      </c>
      <c r="AE833" s="99" t="str">
        <f t="shared" ca="1" si="10"/>
        <v>#REF!</v>
      </c>
      <c r="AF833" s="121" t="str">
        <f t="shared" ca="1" si="559"/>
        <v>#REF!</v>
      </c>
      <c r="AG833" s="100" t="str">
        <f t="shared" ca="1" si="560"/>
        <v>#REF!</v>
      </c>
      <c r="AH833" s="101" t="str">
        <f t="shared" ca="1" si="891"/>
        <v>#REF!</v>
      </c>
      <c r="AI833" s="102" t="str">
        <f t="shared" ref="AI833:AJ833" ca="1" si="1166">AG833/X833</f>
        <v>#REF!</v>
      </c>
      <c r="AJ833" s="102" t="str">
        <f t="shared" ca="1" si="1166"/>
        <v>#REF!</v>
      </c>
      <c r="AK833" s="212"/>
      <c r="AL833" s="213"/>
      <c r="AM833" s="4"/>
      <c r="AN833" s="4"/>
      <c r="AO833" s="4"/>
      <c r="AP833" s="4"/>
      <c r="AQ833" s="4"/>
      <c r="AR833" s="4"/>
      <c r="AS833" s="4"/>
      <c r="AT833" s="4"/>
      <c r="AU833" s="4"/>
      <c r="AV833" s="4"/>
      <c r="AW833" s="4"/>
    </row>
    <row r="834" spans="1:49" ht="13.2">
      <c r="A834" s="120"/>
      <c r="B834" s="266"/>
      <c r="C834" s="117"/>
      <c r="D834" s="117"/>
      <c r="E834" s="117"/>
      <c r="F834" s="123"/>
      <c r="G834" s="125" t="s">
        <v>145</v>
      </c>
      <c r="H834" s="125"/>
      <c r="I834" s="125"/>
      <c r="J834" s="125"/>
      <c r="K834" s="82" t="str">
        <f t="shared" ca="1" si="1125"/>
        <v>#REF!</v>
      </c>
      <c r="L834" s="82" t="str">
        <f t="shared" ca="1" si="1126"/>
        <v>#REF!</v>
      </c>
      <c r="M834" s="82" t="str">
        <f t="shared" ca="1" si="550"/>
        <v>#REF!</v>
      </c>
      <c r="N834" s="93"/>
      <c r="O834" s="93"/>
      <c r="P834" s="95">
        <f t="shared" si="965"/>
        <v>0</v>
      </c>
      <c r="Q834" s="96">
        <f t="shared" si="1139"/>
        <v>0</v>
      </c>
      <c r="R834" s="96">
        <v>0</v>
      </c>
      <c r="S834" s="97">
        <f t="shared" si="553"/>
        <v>0</v>
      </c>
      <c r="T834" s="97" t="str">
        <f ca="1">ROUNDUP(HLOOKUP(ROUNDUP(K834,0),'배송비 조회'!A$10:AE$22,7,0)*C$3,-2)</f>
        <v>#REF!</v>
      </c>
      <c r="U834" s="97">
        <v>0</v>
      </c>
      <c r="V834" s="97" t="str">
        <f t="shared" ca="1" si="981"/>
        <v>#REF!</v>
      </c>
      <c r="W834" s="97" t="str">
        <f t="shared" ca="1" si="982"/>
        <v>#REF!</v>
      </c>
      <c r="X834" s="98" t="str">
        <f t="shared" ca="1" si="882"/>
        <v>#REF!</v>
      </c>
      <c r="Y834" s="98" t="str">
        <f t="shared" ca="1" si="883"/>
        <v>#REF!</v>
      </c>
      <c r="Z834" s="121">
        <v>0</v>
      </c>
      <c r="AA834" s="121" t="str">
        <f t="shared" ca="1" si="556"/>
        <v>#REF!</v>
      </c>
      <c r="AB834" s="121" t="str">
        <f t="shared" ca="1" si="557"/>
        <v>#REF!</v>
      </c>
      <c r="AC834" s="99" t="str">
        <f t="shared" ca="1" si="8"/>
        <v>#REF!</v>
      </c>
      <c r="AD834" s="121" t="str">
        <f t="shared" ca="1" si="558"/>
        <v>#REF!</v>
      </c>
      <c r="AE834" s="99" t="str">
        <f t="shared" ca="1" si="10"/>
        <v>#REF!</v>
      </c>
      <c r="AF834" s="121" t="str">
        <f t="shared" ca="1" si="559"/>
        <v>#REF!</v>
      </c>
      <c r="AG834" s="100" t="str">
        <f t="shared" ca="1" si="560"/>
        <v>#REF!</v>
      </c>
      <c r="AH834" s="101" t="str">
        <f t="shared" ca="1" si="891"/>
        <v>#REF!</v>
      </c>
      <c r="AI834" s="102" t="str">
        <f t="shared" ref="AI834:AJ834" ca="1" si="1167">AG834/X834</f>
        <v>#REF!</v>
      </c>
      <c r="AJ834" s="102" t="str">
        <f t="shared" ca="1" si="1167"/>
        <v>#REF!</v>
      </c>
      <c r="AK834" s="212"/>
      <c r="AL834" s="213"/>
      <c r="AM834" s="4"/>
      <c r="AN834" s="4"/>
      <c r="AO834" s="4"/>
      <c r="AP834" s="4"/>
      <c r="AQ834" s="4"/>
      <c r="AR834" s="4"/>
      <c r="AS834" s="4"/>
      <c r="AT834" s="4"/>
      <c r="AU834" s="4"/>
      <c r="AV834" s="4"/>
      <c r="AW834" s="4"/>
    </row>
    <row r="835" spans="1:49" ht="13.2">
      <c r="A835" s="120"/>
      <c r="B835" s="266"/>
      <c r="C835" s="117"/>
      <c r="D835" s="117"/>
      <c r="E835" s="117"/>
      <c r="F835" s="123"/>
      <c r="G835" s="125" t="s">
        <v>145</v>
      </c>
      <c r="H835" s="125"/>
      <c r="I835" s="125"/>
      <c r="J835" s="125"/>
      <c r="K835" s="82" t="str">
        <f t="shared" ca="1" si="1125"/>
        <v>#REF!</v>
      </c>
      <c r="L835" s="82" t="str">
        <f t="shared" ca="1" si="1126"/>
        <v>#REF!</v>
      </c>
      <c r="M835" s="82" t="str">
        <f t="shared" ca="1" si="550"/>
        <v>#REF!</v>
      </c>
      <c r="N835" s="93"/>
      <c r="O835" s="93"/>
      <c r="P835" s="95">
        <f t="shared" si="965"/>
        <v>0</v>
      </c>
      <c r="Q835" s="96">
        <f t="shared" si="1139"/>
        <v>0</v>
      </c>
      <c r="R835" s="96">
        <v>0</v>
      </c>
      <c r="S835" s="97">
        <f t="shared" si="553"/>
        <v>0</v>
      </c>
      <c r="T835" s="97" t="str">
        <f ca="1">ROUNDUP(HLOOKUP(ROUNDUP(K835,0),'배송비 조회'!A$10:AE$22,7,0)*C$3,-2)</f>
        <v>#REF!</v>
      </c>
      <c r="U835" s="97">
        <v>0</v>
      </c>
      <c r="V835" s="97" t="str">
        <f t="shared" ca="1" si="981"/>
        <v>#REF!</v>
      </c>
      <c r="W835" s="97" t="str">
        <f t="shared" ca="1" si="982"/>
        <v>#REF!</v>
      </c>
      <c r="X835" s="98" t="str">
        <f t="shared" ca="1" si="882"/>
        <v>#REF!</v>
      </c>
      <c r="Y835" s="98" t="str">
        <f t="shared" ca="1" si="883"/>
        <v>#REF!</v>
      </c>
      <c r="Z835" s="121">
        <v>0</v>
      </c>
      <c r="AA835" s="121" t="str">
        <f t="shared" ca="1" si="556"/>
        <v>#REF!</v>
      </c>
      <c r="AB835" s="121" t="str">
        <f t="shared" ca="1" si="557"/>
        <v>#REF!</v>
      </c>
      <c r="AC835" s="99" t="str">
        <f t="shared" ca="1" si="8"/>
        <v>#REF!</v>
      </c>
      <c r="AD835" s="121" t="str">
        <f t="shared" ca="1" si="558"/>
        <v>#REF!</v>
      </c>
      <c r="AE835" s="99" t="str">
        <f t="shared" ca="1" si="10"/>
        <v>#REF!</v>
      </c>
      <c r="AF835" s="121" t="str">
        <f t="shared" ca="1" si="559"/>
        <v>#REF!</v>
      </c>
      <c r="AG835" s="100" t="str">
        <f t="shared" ca="1" si="560"/>
        <v>#REF!</v>
      </c>
      <c r="AH835" s="101" t="str">
        <f t="shared" ca="1" si="891"/>
        <v>#REF!</v>
      </c>
      <c r="AI835" s="102" t="str">
        <f t="shared" ref="AI835:AJ835" ca="1" si="1168">AG835/X835</f>
        <v>#REF!</v>
      </c>
      <c r="AJ835" s="102" t="str">
        <f t="shared" ca="1" si="1168"/>
        <v>#REF!</v>
      </c>
      <c r="AK835" s="212"/>
      <c r="AL835" s="213"/>
      <c r="AM835" s="4"/>
      <c r="AN835" s="4"/>
      <c r="AO835" s="4"/>
      <c r="AP835" s="4"/>
      <c r="AQ835" s="4"/>
      <c r="AR835" s="4"/>
      <c r="AS835" s="4"/>
      <c r="AT835" s="4"/>
      <c r="AU835" s="4"/>
      <c r="AV835" s="4"/>
      <c r="AW835" s="4"/>
    </row>
    <row r="836" spans="1:49" ht="13.2">
      <c r="A836" s="120"/>
      <c r="B836" s="266"/>
      <c r="C836" s="117"/>
      <c r="D836" s="117"/>
      <c r="E836" s="117"/>
      <c r="F836" s="123"/>
      <c r="G836" s="125" t="s">
        <v>145</v>
      </c>
      <c r="H836" s="125"/>
      <c r="I836" s="125"/>
      <c r="J836" s="125"/>
      <c r="K836" s="82" t="str">
        <f t="shared" ca="1" si="1125"/>
        <v>#REF!</v>
      </c>
      <c r="L836" s="82" t="str">
        <f t="shared" ca="1" si="1126"/>
        <v>#REF!</v>
      </c>
      <c r="M836" s="82" t="str">
        <f t="shared" ca="1" si="550"/>
        <v>#REF!</v>
      </c>
      <c r="N836" s="93"/>
      <c r="O836" s="93"/>
      <c r="P836" s="95">
        <f t="shared" si="965"/>
        <v>0</v>
      </c>
      <c r="Q836" s="96">
        <f t="shared" si="1139"/>
        <v>0</v>
      </c>
      <c r="R836" s="96">
        <v>0</v>
      </c>
      <c r="S836" s="97">
        <f t="shared" si="553"/>
        <v>0</v>
      </c>
      <c r="T836" s="97" t="str">
        <f ca="1">ROUNDUP(HLOOKUP(ROUNDUP(K836,0),'배송비 조회'!A$10:AE$22,7,0)*C$3,-2)</f>
        <v>#REF!</v>
      </c>
      <c r="U836" s="97">
        <v>0</v>
      </c>
      <c r="V836" s="97" t="str">
        <f t="shared" ca="1" si="981"/>
        <v>#REF!</v>
      </c>
      <c r="W836" s="97" t="str">
        <f t="shared" ca="1" si="982"/>
        <v>#REF!</v>
      </c>
      <c r="X836" s="98" t="str">
        <f t="shared" ca="1" si="882"/>
        <v>#REF!</v>
      </c>
      <c r="Y836" s="98" t="str">
        <f t="shared" ca="1" si="883"/>
        <v>#REF!</v>
      </c>
      <c r="Z836" s="121">
        <v>0</v>
      </c>
      <c r="AA836" s="121" t="str">
        <f t="shared" ca="1" si="556"/>
        <v>#REF!</v>
      </c>
      <c r="AB836" s="121" t="str">
        <f t="shared" ca="1" si="557"/>
        <v>#REF!</v>
      </c>
      <c r="AC836" s="99" t="str">
        <f t="shared" ca="1" si="8"/>
        <v>#REF!</v>
      </c>
      <c r="AD836" s="121" t="str">
        <f t="shared" ca="1" si="558"/>
        <v>#REF!</v>
      </c>
      <c r="AE836" s="99" t="str">
        <f t="shared" ca="1" si="10"/>
        <v>#REF!</v>
      </c>
      <c r="AF836" s="121" t="str">
        <f t="shared" ca="1" si="559"/>
        <v>#REF!</v>
      </c>
      <c r="AG836" s="100" t="str">
        <f t="shared" ca="1" si="560"/>
        <v>#REF!</v>
      </c>
      <c r="AH836" s="101" t="str">
        <f t="shared" ca="1" si="891"/>
        <v>#REF!</v>
      </c>
      <c r="AI836" s="102" t="str">
        <f t="shared" ref="AI836:AJ836" ca="1" si="1169">AG836/X836</f>
        <v>#REF!</v>
      </c>
      <c r="AJ836" s="102" t="str">
        <f t="shared" ca="1" si="1169"/>
        <v>#REF!</v>
      </c>
      <c r="AK836" s="212"/>
      <c r="AL836" s="213"/>
      <c r="AM836" s="4"/>
      <c r="AN836" s="4"/>
      <c r="AO836" s="4"/>
      <c r="AP836" s="4"/>
      <c r="AQ836" s="4"/>
      <c r="AR836" s="4"/>
      <c r="AS836" s="4"/>
      <c r="AT836" s="4"/>
      <c r="AU836" s="4"/>
      <c r="AV836" s="4"/>
      <c r="AW836" s="4"/>
    </row>
    <row r="837" spans="1:49" ht="13.2">
      <c r="A837" s="120"/>
      <c r="B837" s="266"/>
      <c r="C837" s="117"/>
      <c r="D837" s="117"/>
      <c r="E837" s="117"/>
      <c r="F837" s="123"/>
      <c r="G837" s="125" t="s">
        <v>145</v>
      </c>
      <c r="H837" s="125"/>
      <c r="I837" s="125"/>
      <c r="J837" s="125"/>
      <c r="K837" s="82" t="str">
        <f t="shared" ca="1" si="1125"/>
        <v>#REF!</v>
      </c>
      <c r="L837" s="82" t="str">
        <f t="shared" ca="1" si="1126"/>
        <v>#REF!</v>
      </c>
      <c r="M837" s="82" t="str">
        <f t="shared" ca="1" si="550"/>
        <v>#REF!</v>
      </c>
      <c r="N837" s="93"/>
      <c r="O837" s="93"/>
      <c r="P837" s="95">
        <f t="shared" si="965"/>
        <v>0</v>
      </c>
      <c r="Q837" s="96">
        <f t="shared" si="1139"/>
        <v>0</v>
      </c>
      <c r="R837" s="96">
        <v>0</v>
      </c>
      <c r="S837" s="97">
        <f t="shared" si="553"/>
        <v>0</v>
      </c>
      <c r="T837" s="97" t="str">
        <f ca="1">ROUNDUP(HLOOKUP(ROUNDUP(K837,0),'배송비 조회'!A$10:AE$22,7,0)*C$3,-2)</f>
        <v>#REF!</v>
      </c>
      <c r="U837" s="97">
        <v>0</v>
      </c>
      <c r="V837" s="97" t="str">
        <f t="shared" ca="1" si="981"/>
        <v>#REF!</v>
      </c>
      <c r="W837" s="97" t="str">
        <f t="shared" ca="1" si="982"/>
        <v>#REF!</v>
      </c>
      <c r="X837" s="98" t="str">
        <f t="shared" ca="1" si="882"/>
        <v>#REF!</v>
      </c>
      <c r="Y837" s="98" t="str">
        <f t="shared" ca="1" si="883"/>
        <v>#REF!</v>
      </c>
      <c r="Z837" s="121">
        <v>0</v>
      </c>
      <c r="AA837" s="121" t="str">
        <f t="shared" ca="1" si="556"/>
        <v>#REF!</v>
      </c>
      <c r="AB837" s="121" t="str">
        <f t="shared" ca="1" si="557"/>
        <v>#REF!</v>
      </c>
      <c r="AC837" s="99" t="str">
        <f t="shared" ca="1" si="8"/>
        <v>#REF!</v>
      </c>
      <c r="AD837" s="121" t="str">
        <f t="shared" ca="1" si="558"/>
        <v>#REF!</v>
      </c>
      <c r="AE837" s="99" t="str">
        <f t="shared" ca="1" si="10"/>
        <v>#REF!</v>
      </c>
      <c r="AF837" s="121" t="str">
        <f t="shared" ca="1" si="559"/>
        <v>#REF!</v>
      </c>
      <c r="AG837" s="100" t="str">
        <f t="shared" ca="1" si="560"/>
        <v>#REF!</v>
      </c>
      <c r="AH837" s="101" t="str">
        <f t="shared" ca="1" si="891"/>
        <v>#REF!</v>
      </c>
      <c r="AI837" s="102" t="str">
        <f t="shared" ref="AI837:AJ837" ca="1" si="1170">AG837/X837</f>
        <v>#REF!</v>
      </c>
      <c r="AJ837" s="102" t="str">
        <f t="shared" ca="1" si="1170"/>
        <v>#REF!</v>
      </c>
      <c r="AK837" s="212"/>
      <c r="AL837" s="213"/>
      <c r="AM837" s="4"/>
      <c r="AN837" s="4"/>
      <c r="AO837" s="4"/>
      <c r="AP837" s="4"/>
      <c r="AQ837" s="4"/>
      <c r="AR837" s="4"/>
      <c r="AS837" s="4"/>
      <c r="AT837" s="4"/>
      <c r="AU837" s="4"/>
      <c r="AV837" s="4"/>
      <c r="AW837" s="4"/>
    </row>
    <row r="838" spans="1:49" ht="13.2">
      <c r="A838" s="120"/>
      <c r="B838" s="266"/>
      <c r="C838" s="117"/>
      <c r="D838" s="117"/>
      <c r="E838" s="117"/>
      <c r="F838" s="123"/>
      <c r="G838" s="125" t="s">
        <v>145</v>
      </c>
      <c r="H838" s="125"/>
      <c r="I838" s="125"/>
      <c r="J838" s="125"/>
      <c r="K838" s="82" t="str">
        <f t="shared" ca="1" si="1125"/>
        <v>#REF!</v>
      </c>
      <c r="L838" s="82" t="str">
        <f t="shared" ca="1" si="1126"/>
        <v>#REF!</v>
      </c>
      <c r="M838" s="82" t="str">
        <f t="shared" ca="1" si="550"/>
        <v>#REF!</v>
      </c>
      <c r="N838" s="93"/>
      <c r="O838" s="93"/>
      <c r="P838" s="95">
        <f t="shared" si="965"/>
        <v>0</v>
      </c>
      <c r="Q838" s="96">
        <f t="shared" si="1139"/>
        <v>0</v>
      </c>
      <c r="R838" s="96">
        <v>0</v>
      </c>
      <c r="S838" s="97">
        <f t="shared" si="553"/>
        <v>0</v>
      </c>
      <c r="T838" s="97" t="str">
        <f ca="1">ROUNDUP(HLOOKUP(ROUNDUP(K838,0),'배송비 조회'!A$10:AE$22,7,0)*C$3,-2)</f>
        <v>#REF!</v>
      </c>
      <c r="U838" s="97">
        <v>0</v>
      </c>
      <c r="V838" s="97" t="str">
        <f t="shared" ca="1" si="981"/>
        <v>#REF!</v>
      </c>
      <c r="W838" s="97" t="str">
        <f t="shared" ca="1" si="982"/>
        <v>#REF!</v>
      </c>
      <c r="X838" s="98" t="str">
        <f t="shared" ca="1" si="882"/>
        <v>#REF!</v>
      </c>
      <c r="Y838" s="98" t="str">
        <f t="shared" ca="1" si="883"/>
        <v>#REF!</v>
      </c>
      <c r="Z838" s="121">
        <v>0</v>
      </c>
      <c r="AA838" s="121" t="str">
        <f t="shared" ca="1" si="556"/>
        <v>#REF!</v>
      </c>
      <c r="AB838" s="121" t="str">
        <f t="shared" ca="1" si="557"/>
        <v>#REF!</v>
      </c>
      <c r="AC838" s="99" t="str">
        <f t="shared" ca="1" si="8"/>
        <v>#REF!</v>
      </c>
      <c r="AD838" s="121" t="str">
        <f t="shared" ca="1" si="558"/>
        <v>#REF!</v>
      </c>
      <c r="AE838" s="99" t="str">
        <f t="shared" ca="1" si="10"/>
        <v>#REF!</v>
      </c>
      <c r="AF838" s="121" t="str">
        <f t="shared" ca="1" si="559"/>
        <v>#REF!</v>
      </c>
      <c r="AG838" s="100" t="str">
        <f t="shared" ca="1" si="560"/>
        <v>#REF!</v>
      </c>
      <c r="AH838" s="101" t="str">
        <f t="shared" ca="1" si="891"/>
        <v>#REF!</v>
      </c>
      <c r="AI838" s="102" t="str">
        <f t="shared" ref="AI838:AJ838" ca="1" si="1171">AG838/X838</f>
        <v>#REF!</v>
      </c>
      <c r="AJ838" s="102" t="str">
        <f t="shared" ca="1" si="1171"/>
        <v>#REF!</v>
      </c>
      <c r="AK838" s="212"/>
      <c r="AL838" s="213"/>
      <c r="AM838" s="4"/>
      <c r="AN838" s="4"/>
      <c r="AO838" s="4"/>
      <c r="AP838" s="4"/>
      <c r="AQ838" s="4"/>
      <c r="AR838" s="4"/>
      <c r="AS838" s="4"/>
      <c r="AT838" s="4"/>
      <c r="AU838" s="4"/>
      <c r="AV838" s="4"/>
      <c r="AW838" s="4"/>
    </row>
    <row r="839" spans="1:49" ht="13.2">
      <c r="A839" s="120"/>
      <c r="B839" s="266"/>
      <c r="C839" s="117"/>
      <c r="D839" s="117"/>
      <c r="E839" s="117"/>
      <c r="F839" s="123"/>
      <c r="G839" s="125" t="s">
        <v>145</v>
      </c>
      <c r="H839" s="125"/>
      <c r="I839" s="125"/>
      <c r="J839" s="125"/>
      <c r="K839" s="82" t="str">
        <f t="shared" ca="1" si="1125"/>
        <v>#REF!</v>
      </c>
      <c r="L839" s="82" t="str">
        <f t="shared" ca="1" si="1126"/>
        <v>#REF!</v>
      </c>
      <c r="M839" s="82" t="str">
        <f t="shared" ca="1" si="550"/>
        <v>#REF!</v>
      </c>
      <c r="N839" s="93"/>
      <c r="O839" s="93"/>
      <c r="P839" s="95">
        <f t="shared" si="965"/>
        <v>0</v>
      </c>
      <c r="Q839" s="96">
        <f t="shared" si="1139"/>
        <v>0</v>
      </c>
      <c r="R839" s="96">
        <v>0</v>
      </c>
      <c r="S839" s="97">
        <f t="shared" si="553"/>
        <v>0</v>
      </c>
      <c r="T839" s="97" t="str">
        <f ca="1">ROUNDUP(HLOOKUP(ROUNDUP(K839,0),'배송비 조회'!A$10:AE$22,7,0)*C$3,-2)</f>
        <v>#REF!</v>
      </c>
      <c r="U839" s="97">
        <v>0</v>
      </c>
      <c r="V839" s="97" t="str">
        <f t="shared" ca="1" si="981"/>
        <v>#REF!</v>
      </c>
      <c r="W839" s="97" t="str">
        <f t="shared" ca="1" si="982"/>
        <v>#REF!</v>
      </c>
      <c r="X839" s="98" t="str">
        <f t="shared" ca="1" si="882"/>
        <v>#REF!</v>
      </c>
      <c r="Y839" s="98" t="str">
        <f t="shared" ca="1" si="883"/>
        <v>#REF!</v>
      </c>
      <c r="Z839" s="121">
        <v>0</v>
      </c>
      <c r="AA839" s="121" t="str">
        <f t="shared" ca="1" si="556"/>
        <v>#REF!</v>
      </c>
      <c r="AB839" s="121" t="str">
        <f t="shared" ca="1" si="557"/>
        <v>#REF!</v>
      </c>
      <c r="AC839" s="99" t="str">
        <f t="shared" ca="1" si="8"/>
        <v>#REF!</v>
      </c>
      <c r="AD839" s="121" t="str">
        <f t="shared" ca="1" si="558"/>
        <v>#REF!</v>
      </c>
      <c r="AE839" s="99" t="str">
        <f t="shared" ca="1" si="10"/>
        <v>#REF!</v>
      </c>
      <c r="AF839" s="121" t="str">
        <f t="shared" ca="1" si="559"/>
        <v>#REF!</v>
      </c>
      <c r="AG839" s="100" t="str">
        <f t="shared" ca="1" si="560"/>
        <v>#REF!</v>
      </c>
      <c r="AH839" s="101" t="str">
        <f t="shared" ca="1" si="891"/>
        <v>#REF!</v>
      </c>
      <c r="AI839" s="102" t="str">
        <f t="shared" ref="AI839:AJ839" ca="1" si="1172">AG839/X839</f>
        <v>#REF!</v>
      </c>
      <c r="AJ839" s="102" t="str">
        <f t="shared" ca="1" si="1172"/>
        <v>#REF!</v>
      </c>
      <c r="AK839" s="212"/>
      <c r="AL839" s="213"/>
      <c r="AM839" s="4"/>
      <c r="AN839" s="4"/>
      <c r="AO839" s="4"/>
      <c r="AP839" s="4"/>
      <c r="AQ839" s="4"/>
      <c r="AR839" s="4"/>
      <c r="AS839" s="4"/>
      <c r="AT839" s="4"/>
      <c r="AU839" s="4"/>
      <c r="AV839" s="4"/>
      <c r="AW839" s="4"/>
    </row>
    <row r="840" spans="1:49" ht="13.2">
      <c r="A840" s="120"/>
      <c r="B840" s="266"/>
      <c r="C840" s="117"/>
      <c r="D840" s="117"/>
      <c r="E840" s="117"/>
      <c r="F840" s="123"/>
      <c r="G840" s="125" t="s">
        <v>145</v>
      </c>
      <c r="H840" s="125"/>
      <c r="I840" s="125"/>
      <c r="J840" s="125"/>
      <c r="K840" s="82" t="str">
        <f t="shared" ca="1" si="1125"/>
        <v>#REF!</v>
      </c>
      <c r="L840" s="82" t="str">
        <f t="shared" ca="1" si="1126"/>
        <v>#REF!</v>
      </c>
      <c r="M840" s="82" t="str">
        <f t="shared" ca="1" si="550"/>
        <v>#REF!</v>
      </c>
      <c r="N840" s="93"/>
      <c r="O840" s="93"/>
      <c r="P840" s="95">
        <f t="shared" si="965"/>
        <v>0</v>
      </c>
      <c r="Q840" s="96">
        <f t="shared" si="1139"/>
        <v>0</v>
      </c>
      <c r="R840" s="96">
        <v>0</v>
      </c>
      <c r="S840" s="97">
        <f t="shared" si="553"/>
        <v>0</v>
      </c>
      <c r="T840" s="97" t="str">
        <f ca="1">ROUNDUP(HLOOKUP(ROUNDUP(K840,0),'배송비 조회'!A$10:AE$22,7,0)*C$3,-2)</f>
        <v>#REF!</v>
      </c>
      <c r="U840" s="97">
        <v>0</v>
      </c>
      <c r="V840" s="97" t="str">
        <f t="shared" ca="1" si="981"/>
        <v>#REF!</v>
      </c>
      <c r="W840" s="97" t="str">
        <f t="shared" ca="1" si="982"/>
        <v>#REF!</v>
      </c>
      <c r="X840" s="98" t="str">
        <f t="shared" ca="1" si="882"/>
        <v>#REF!</v>
      </c>
      <c r="Y840" s="98" t="str">
        <f t="shared" ca="1" si="883"/>
        <v>#REF!</v>
      </c>
      <c r="Z840" s="121">
        <v>0</v>
      </c>
      <c r="AA840" s="121" t="str">
        <f t="shared" ca="1" si="556"/>
        <v>#REF!</v>
      </c>
      <c r="AB840" s="121" t="str">
        <f t="shared" ca="1" si="557"/>
        <v>#REF!</v>
      </c>
      <c r="AC840" s="99" t="str">
        <f t="shared" ca="1" si="8"/>
        <v>#REF!</v>
      </c>
      <c r="AD840" s="121" t="str">
        <f t="shared" ca="1" si="558"/>
        <v>#REF!</v>
      </c>
      <c r="AE840" s="99" t="str">
        <f t="shared" ca="1" si="10"/>
        <v>#REF!</v>
      </c>
      <c r="AF840" s="121" t="str">
        <f t="shared" ca="1" si="559"/>
        <v>#REF!</v>
      </c>
      <c r="AG840" s="100" t="str">
        <f t="shared" ca="1" si="560"/>
        <v>#REF!</v>
      </c>
      <c r="AH840" s="101" t="str">
        <f t="shared" ca="1" si="891"/>
        <v>#REF!</v>
      </c>
      <c r="AI840" s="102" t="str">
        <f t="shared" ref="AI840:AJ840" ca="1" si="1173">AG840/X840</f>
        <v>#REF!</v>
      </c>
      <c r="AJ840" s="102" t="str">
        <f t="shared" ca="1" si="1173"/>
        <v>#REF!</v>
      </c>
      <c r="AK840" s="212"/>
      <c r="AL840" s="213"/>
      <c r="AM840" s="4"/>
      <c r="AN840" s="4"/>
      <c r="AO840" s="4"/>
      <c r="AP840" s="4"/>
      <c r="AQ840" s="4"/>
      <c r="AR840" s="4"/>
      <c r="AS840" s="4"/>
      <c r="AT840" s="4"/>
      <c r="AU840" s="4"/>
      <c r="AV840" s="4"/>
      <c r="AW840" s="4"/>
    </row>
    <row r="841" spans="1:49" ht="13.2">
      <c r="A841" s="120"/>
      <c r="B841" s="266"/>
      <c r="C841" s="117"/>
      <c r="D841" s="117"/>
      <c r="E841" s="117"/>
      <c r="F841" s="123"/>
      <c r="G841" s="125" t="s">
        <v>145</v>
      </c>
      <c r="H841" s="125"/>
      <c r="I841" s="125"/>
      <c r="J841" s="125"/>
      <c r="K841" s="82" t="str">
        <f t="shared" ca="1" si="1125"/>
        <v>#REF!</v>
      </c>
      <c r="L841" s="82" t="str">
        <f t="shared" ca="1" si="1126"/>
        <v>#REF!</v>
      </c>
      <c r="M841" s="82" t="str">
        <f t="shared" ca="1" si="550"/>
        <v>#REF!</v>
      </c>
      <c r="N841" s="93"/>
      <c r="O841" s="93"/>
      <c r="P841" s="95">
        <f t="shared" si="965"/>
        <v>0</v>
      </c>
      <c r="Q841" s="96">
        <f t="shared" si="1139"/>
        <v>0</v>
      </c>
      <c r="R841" s="96">
        <v>0</v>
      </c>
      <c r="S841" s="97">
        <f t="shared" si="553"/>
        <v>0</v>
      </c>
      <c r="T841" s="97" t="str">
        <f ca="1">ROUNDUP(HLOOKUP(ROUNDUP(K841,0),'배송비 조회'!A$10:AE$22,7,0)*C$3,-2)</f>
        <v>#REF!</v>
      </c>
      <c r="U841" s="97">
        <v>0</v>
      </c>
      <c r="V841" s="97" t="str">
        <f t="shared" ca="1" si="981"/>
        <v>#REF!</v>
      </c>
      <c r="W841" s="97" t="str">
        <f t="shared" ca="1" si="982"/>
        <v>#REF!</v>
      </c>
      <c r="X841" s="98" t="str">
        <f t="shared" ca="1" si="882"/>
        <v>#REF!</v>
      </c>
      <c r="Y841" s="98" t="str">
        <f t="shared" ca="1" si="883"/>
        <v>#REF!</v>
      </c>
      <c r="Z841" s="121">
        <v>0</v>
      </c>
      <c r="AA841" s="121" t="str">
        <f t="shared" ca="1" si="556"/>
        <v>#REF!</v>
      </c>
      <c r="AB841" s="121" t="str">
        <f t="shared" ca="1" si="557"/>
        <v>#REF!</v>
      </c>
      <c r="AC841" s="99" t="str">
        <f t="shared" ca="1" si="8"/>
        <v>#REF!</v>
      </c>
      <c r="AD841" s="121" t="str">
        <f t="shared" ca="1" si="558"/>
        <v>#REF!</v>
      </c>
      <c r="AE841" s="99" t="str">
        <f t="shared" ca="1" si="10"/>
        <v>#REF!</v>
      </c>
      <c r="AF841" s="121" t="str">
        <f t="shared" ca="1" si="559"/>
        <v>#REF!</v>
      </c>
      <c r="AG841" s="100" t="str">
        <f t="shared" ca="1" si="560"/>
        <v>#REF!</v>
      </c>
      <c r="AH841" s="101" t="str">
        <f t="shared" ca="1" si="891"/>
        <v>#REF!</v>
      </c>
      <c r="AI841" s="102" t="str">
        <f t="shared" ref="AI841:AJ841" ca="1" si="1174">AG841/X841</f>
        <v>#REF!</v>
      </c>
      <c r="AJ841" s="102" t="str">
        <f t="shared" ca="1" si="1174"/>
        <v>#REF!</v>
      </c>
      <c r="AK841" s="212"/>
      <c r="AL841" s="213"/>
      <c r="AM841" s="4"/>
      <c r="AN841" s="4"/>
      <c r="AO841" s="4"/>
      <c r="AP841" s="4"/>
      <c r="AQ841" s="4"/>
      <c r="AR841" s="4"/>
      <c r="AS841" s="4"/>
      <c r="AT841" s="4"/>
      <c r="AU841" s="4"/>
      <c r="AV841" s="4"/>
      <c r="AW841" s="4"/>
    </row>
    <row r="842" spans="1:49" ht="13.2">
      <c r="A842" s="120"/>
      <c r="B842" s="266"/>
      <c r="C842" s="117"/>
      <c r="D842" s="117"/>
      <c r="E842" s="117"/>
      <c r="F842" s="123"/>
      <c r="G842" s="125" t="s">
        <v>145</v>
      </c>
      <c r="H842" s="125"/>
      <c r="I842" s="125"/>
      <c r="J842" s="125"/>
      <c r="K842" s="82" t="str">
        <f t="shared" ca="1" si="1125"/>
        <v>#REF!</v>
      </c>
      <c r="L842" s="82" t="str">
        <f t="shared" ca="1" si="1126"/>
        <v>#REF!</v>
      </c>
      <c r="M842" s="82" t="str">
        <f t="shared" ca="1" si="550"/>
        <v>#REF!</v>
      </c>
      <c r="N842" s="93"/>
      <c r="O842" s="93"/>
      <c r="P842" s="95">
        <f t="shared" si="965"/>
        <v>0</v>
      </c>
      <c r="Q842" s="96">
        <f t="shared" si="1139"/>
        <v>0</v>
      </c>
      <c r="R842" s="96">
        <v>0</v>
      </c>
      <c r="S842" s="97">
        <f t="shared" si="553"/>
        <v>0</v>
      </c>
      <c r="T842" s="97" t="str">
        <f ca="1">ROUNDUP(HLOOKUP(ROUNDUP(K842,0),'배송비 조회'!A$10:AE$22,7,0)*C$3,-2)</f>
        <v>#REF!</v>
      </c>
      <c r="U842" s="97">
        <v>0</v>
      </c>
      <c r="V842" s="97" t="str">
        <f t="shared" ca="1" si="981"/>
        <v>#REF!</v>
      </c>
      <c r="W842" s="97" t="str">
        <f t="shared" ca="1" si="982"/>
        <v>#REF!</v>
      </c>
      <c r="X842" s="98" t="str">
        <f t="shared" ca="1" si="882"/>
        <v>#REF!</v>
      </c>
      <c r="Y842" s="98" t="str">
        <f t="shared" ca="1" si="883"/>
        <v>#REF!</v>
      </c>
      <c r="Z842" s="121">
        <v>0</v>
      </c>
      <c r="AA842" s="121" t="str">
        <f t="shared" ca="1" si="556"/>
        <v>#REF!</v>
      </c>
      <c r="AB842" s="121" t="str">
        <f t="shared" ca="1" si="557"/>
        <v>#REF!</v>
      </c>
      <c r="AC842" s="99" t="str">
        <f t="shared" ca="1" si="8"/>
        <v>#REF!</v>
      </c>
      <c r="AD842" s="121" t="str">
        <f t="shared" ca="1" si="558"/>
        <v>#REF!</v>
      </c>
      <c r="AE842" s="99" t="str">
        <f t="shared" ca="1" si="10"/>
        <v>#REF!</v>
      </c>
      <c r="AF842" s="121" t="str">
        <f t="shared" ca="1" si="559"/>
        <v>#REF!</v>
      </c>
      <c r="AG842" s="100" t="str">
        <f t="shared" ca="1" si="560"/>
        <v>#REF!</v>
      </c>
      <c r="AH842" s="101" t="str">
        <f t="shared" ca="1" si="891"/>
        <v>#REF!</v>
      </c>
      <c r="AI842" s="102" t="str">
        <f t="shared" ref="AI842:AJ842" ca="1" si="1175">AG842/X842</f>
        <v>#REF!</v>
      </c>
      <c r="AJ842" s="102" t="str">
        <f t="shared" ca="1" si="1175"/>
        <v>#REF!</v>
      </c>
      <c r="AK842" s="212"/>
      <c r="AL842" s="213"/>
      <c r="AM842" s="4"/>
      <c r="AN842" s="4"/>
      <c r="AO842" s="4"/>
      <c r="AP842" s="4"/>
      <c r="AQ842" s="4"/>
      <c r="AR842" s="4"/>
      <c r="AS842" s="4"/>
      <c r="AT842" s="4"/>
      <c r="AU842" s="4"/>
      <c r="AV842" s="4"/>
      <c r="AW842" s="4"/>
    </row>
    <row r="843" spans="1:49" ht="13.2">
      <c r="A843" s="120"/>
      <c r="B843" s="266"/>
      <c r="C843" s="117"/>
      <c r="D843" s="117"/>
      <c r="E843" s="117"/>
      <c r="F843" s="123"/>
      <c r="G843" s="125" t="s">
        <v>145</v>
      </c>
      <c r="H843" s="125"/>
      <c r="I843" s="125"/>
      <c r="J843" s="125"/>
      <c r="K843" s="82" t="str">
        <f t="shared" ca="1" si="1125"/>
        <v>#REF!</v>
      </c>
      <c r="L843" s="82" t="str">
        <f t="shared" ca="1" si="1126"/>
        <v>#REF!</v>
      </c>
      <c r="M843" s="82" t="str">
        <f t="shared" ca="1" si="550"/>
        <v>#REF!</v>
      </c>
      <c r="N843" s="93"/>
      <c r="O843" s="93"/>
      <c r="P843" s="95">
        <f t="shared" si="965"/>
        <v>0</v>
      </c>
      <c r="Q843" s="96">
        <f t="shared" si="1139"/>
        <v>0</v>
      </c>
      <c r="R843" s="96">
        <v>0</v>
      </c>
      <c r="S843" s="97">
        <f t="shared" si="553"/>
        <v>0</v>
      </c>
      <c r="T843" s="97" t="str">
        <f ca="1">ROUNDUP(HLOOKUP(ROUNDUP(K843,0),'배송비 조회'!A$10:AE$22,7,0)*C$3,-2)</f>
        <v>#REF!</v>
      </c>
      <c r="U843" s="97">
        <v>0</v>
      </c>
      <c r="V843" s="97" t="str">
        <f t="shared" ca="1" si="981"/>
        <v>#REF!</v>
      </c>
      <c r="W843" s="97" t="str">
        <f t="shared" ca="1" si="982"/>
        <v>#REF!</v>
      </c>
      <c r="X843" s="98" t="str">
        <f t="shared" ca="1" si="882"/>
        <v>#REF!</v>
      </c>
      <c r="Y843" s="98" t="str">
        <f t="shared" ca="1" si="883"/>
        <v>#REF!</v>
      </c>
      <c r="Z843" s="121">
        <v>0</v>
      </c>
      <c r="AA843" s="121" t="str">
        <f t="shared" ca="1" si="556"/>
        <v>#REF!</v>
      </c>
      <c r="AB843" s="121" t="str">
        <f t="shared" ca="1" si="557"/>
        <v>#REF!</v>
      </c>
      <c r="AC843" s="99" t="str">
        <f t="shared" ca="1" si="8"/>
        <v>#REF!</v>
      </c>
      <c r="AD843" s="121" t="str">
        <f t="shared" ca="1" si="558"/>
        <v>#REF!</v>
      </c>
      <c r="AE843" s="99" t="str">
        <f t="shared" ca="1" si="10"/>
        <v>#REF!</v>
      </c>
      <c r="AF843" s="121" t="str">
        <f t="shared" ca="1" si="559"/>
        <v>#REF!</v>
      </c>
      <c r="AG843" s="100" t="str">
        <f t="shared" ca="1" si="560"/>
        <v>#REF!</v>
      </c>
      <c r="AH843" s="101" t="str">
        <f t="shared" ca="1" si="891"/>
        <v>#REF!</v>
      </c>
      <c r="AI843" s="102" t="str">
        <f t="shared" ref="AI843:AJ843" ca="1" si="1176">AG843/X843</f>
        <v>#REF!</v>
      </c>
      <c r="AJ843" s="102" t="str">
        <f t="shared" ca="1" si="1176"/>
        <v>#REF!</v>
      </c>
      <c r="AK843" s="212"/>
      <c r="AL843" s="213"/>
      <c r="AM843" s="4"/>
      <c r="AN843" s="4"/>
      <c r="AO843" s="4"/>
      <c r="AP843" s="4"/>
      <c r="AQ843" s="4"/>
      <c r="AR843" s="4"/>
      <c r="AS843" s="4"/>
      <c r="AT843" s="4"/>
      <c r="AU843" s="4"/>
      <c r="AV843" s="4"/>
      <c r="AW843" s="4"/>
    </row>
    <row r="844" spans="1:49" ht="13.2">
      <c r="A844" s="120"/>
      <c r="B844" s="266"/>
      <c r="C844" s="117"/>
      <c r="D844" s="117"/>
      <c r="E844" s="117"/>
      <c r="F844" s="123"/>
      <c r="G844" s="125" t="s">
        <v>145</v>
      </c>
      <c r="H844" s="125"/>
      <c r="I844" s="125"/>
      <c r="J844" s="125"/>
      <c r="K844" s="82" t="str">
        <f t="shared" ca="1" si="1125"/>
        <v>#REF!</v>
      </c>
      <c r="L844" s="82" t="str">
        <f t="shared" ca="1" si="1126"/>
        <v>#REF!</v>
      </c>
      <c r="M844" s="82" t="str">
        <f t="shared" ca="1" si="550"/>
        <v>#REF!</v>
      </c>
      <c r="N844" s="93"/>
      <c r="O844" s="93"/>
      <c r="P844" s="95">
        <f t="shared" si="965"/>
        <v>0</v>
      </c>
      <c r="Q844" s="96">
        <f t="shared" si="1139"/>
        <v>0</v>
      </c>
      <c r="R844" s="96">
        <v>0</v>
      </c>
      <c r="S844" s="97">
        <f t="shared" si="553"/>
        <v>0</v>
      </c>
      <c r="T844" s="97" t="str">
        <f ca="1">ROUNDUP(HLOOKUP(ROUNDUP(K844,0),'배송비 조회'!A$10:AE$22,7,0)*C$3,-2)</f>
        <v>#REF!</v>
      </c>
      <c r="U844" s="97">
        <v>0</v>
      </c>
      <c r="V844" s="97" t="str">
        <f t="shared" ca="1" si="981"/>
        <v>#REF!</v>
      </c>
      <c r="W844" s="97" t="str">
        <f t="shared" ca="1" si="982"/>
        <v>#REF!</v>
      </c>
      <c r="X844" s="98" t="str">
        <f t="shared" ca="1" si="882"/>
        <v>#REF!</v>
      </c>
      <c r="Y844" s="98" t="str">
        <f t="shared" ca="1" si="883"/>
        <v>#REF!</v>
      </c>
      <c r="Z844" s="121">
        <v>0</v>
      </c>
      <c r="AA844" s="121" t="str">
        <f t="shared" ca="1" si="556"/>
        <v>#REF!</v>
      </c>
      <c r="AB844" s="121" t="str">
        <f t="shared" ca="1" si="557"/>
        <v>#REF!</v>
      </c>
      <c r="AC844" s="99" t="str">
        <f t="shared" ca="1" si="8"/>
        <v>#REF!</v>
      </c>
      <c r="AD844" s="121" t="str">
        <f t="shared" ca="1" si="558"/>
        <v>#REF!</v>
      </c>
      <c r="AE844" s="99" t="str">
        <f t="shared" ca="1" si="10"/>
        <v>#REF!</v>
      </c>
      <c r="AF844" s="121" t="str">
        <f t="shared" ca="1" si="559"/>
        <v>#REF!</v>
      </c>
      <c r="AG844" s="100" t="str">
        <f t="shared" ca="1" si="560"/>
        <v>#REF!</v>
      </c>
      <c r="AH844" s="101" t="str">
        <f t="shared" ca="1" si="891"/>
        <v>#REF!</v>
      </c>
      <c r="AI844" s="102" t="str">
        <f t="shared" ref="AI844:AJ844" ca="1" si="1177">AG844/X844</f>
        <v>#REF!</v>
      </c>
      <c r="AJ844" s="102" t="str">
        <f t="shared" ca="1" si="1177"/>
        <v>#REF!</v>
      </c>
      <c r="AK844" s="212"/>
      <c r="AL844" s="213"/>
      <c r="AM844" s="4"/>
      <c r="AN844" s="4"/>
      <c r="AO844" s="4"/>
      <c r="AP844" s="4"/>
      <c r="AQ844" s="4"/>
      <c r="AR844" s="4"/>
      <c r="AS844" s="4"/>
      <c r="AT844" s="4"/>
      <c r="AU844" s="4"/>
      <c r="AV844" s="4"/>
      <c r="AW844" s="4"/>
    </row>
    <row r="845" spans="1:49" ht="13.2">
      <c r="A845" s="120"/>
      <c r="B845" s="266"/>
      <c r="C845" s="117"/>
      <c r="D845" s="117"/>
      <c r="E845" s="117"/>
      <c r="F845" s="123"/>
      <c r="G845" s="125" t="s">
        <v>145</v>
      </c>
      <c r="H845" s="125"/>
      <c r="I845" s="125"/>
      <c r="J845" s="125"/>
      <c r="K845" s="82" t="str">
        <f t="shared" ca="1" si="1125"/>
        <v>#REF!</v>
      </c>
      <c r="L845" s="82" t="str">
        <f t="shared" ca="1" si="1126"/>
        <v>#REF!</v>
      </c>
      <c r="M845" s="82" t="str">
        <f t="shared" ca="1" si="550"/>
        <v>#REF!</v>
      </c>
      <c r="N845" s="93"/>
      <c r="O845" s="93"/>
      <c r="P845" s="95">
        <f t="shared" si="965"/>
        <v>0</v>
      </c>
      <c r="Q845" s="96">
        <f t="shared" si="1139"/>
        <v>0</v>
      </c>
      <c r="R845" s="96">
        <v>0</v>
      </c>
      <c r="S845" s="97">
        <f t="shared" si="553"/>
        <v>0</v>
      </c>
      <c r="T845" s="97" t="str">
        <f ca="1">ROUNDUP(HLOOKUP(ROUNDUP(K845,0),'배송비 조회'!A$10:AE$22,7,0)*C$3,-2)</f>
        <v>#REF!</v>
      </c>
      <c r="U845" s="97">
        <v>0</v>
      </c>
      <c r="V845" s="97" t="str">
        <f t="shared" ca="1" si="981"/>
        <v>#REF!</v>
      </c>
      <c r="W845" s="97" t="str">
        <f t="shared" ca="1" si="982"/>
        <v>#REF!</v>
      </c>
      <c r="X845" s="98" t="str">
        <f t="shared" ca="1" si="882"/>
        <v>#REF!</v>
      </c>
      <c r="Y845" s="98" t="str">
        <f t="shared" ca="1" si="883"/>
        <v>#REF!</v>
      </c>
      <c r="Z845" s="121">
        <v>0</v>
      </c>
      <c r="AA845" s="121" t="str">
        <f t="shared" ca="1" si="556"/>
        <v>#REF!</v>
      </c>
      <c r="AB845" s="121" t="str">
        <f t="shared" ca="1" si="557"/>
        <v>#REF!</v>
      </c>
      <c r="AC845" s="99" t="str">
        <f t="shared" ca="1" si="8"/>
        <v>#REF!</v>
      </c>
      <c r="AD845" s="121" t="str">
        <f t="shared" ca="1" si="558"/>
        <v>#REF!</v>
      </c>
      <c r="AE845" s="99" t="str">
        <f t="shared" ca="1" si="10"/>
        <v>#REF!</v>
      </c>
      <c r="AF845" s="121" t="str">
        <f t="shared" ca="1" si="559"/>
        <v>#REF!</v>
      </c>
      <c r="AG845" s="100" t="str">
        <f t="shared" ca="1" si="560"/>
        <v>#REF!</v>
      </c>
      <c r="AH845" s="101" t="str">
        <f t="shared" ca="1" si="891"/>
        <v>#REF!</v>
      </c>
      <c r="AI845" s="102" t="str">
        <f t="shared" ref="AI845:AJ845" ca="1" si="1178">AG845/X845</f>
        <v>#REF!</v>
      </c>
      <c r="AJ845" s="102" t="str">
        <f t="shared" ca="1" si="1178"/>
        <v>#REF!</v>
      </c>
      <c r="AK845" s="212"/>
      <c r="AL845" s="213"/>
      <c r="AM845" s="4"/>
      <c r="AN845" s="4"/>
      <c r="AO845" s="4"/>
      <c r="AP845" s="4"/>
      <c r="AQ845" s="4"/>
      <c r="AR845" s="4"/>
      <c r="AS845" s="4"/>
      <c r="AT845" s="4"/>
      <c r="AU845" s="4"/>
      <c r="AV845" s="4"/>
      <c r="AW845" s="4"/>
    </row>
    <row r="846" spans="1:49" ht="13.2">
      <c r="A846" s="120"/>
      <c r="B846" s="266"/>
      <c r="C846" s="117"/>
      <c r="D846" s="117"/>
      <c r="E846" s="117"/>
      <c r="F846" s="123"/>
      <c r="G846" s="125" t="s">
        <v>145</v>
      </c>
      <c r="H846" s="125"/>
      <c r="I846" s="125"/>
      <c r="J846" s="125"/>
      <c r="K846" s="82" t="str">
        <f t="shared" ca="1" si="1125"/>
        <v>#REF!</v>
      </c>
      <c r="L846" s="82" t="str">
        <f t="shared" ca="1" si="1126"/>
        <v>#REF!</v>
      </c>
      <c r="M846" s="82" t="str">
        <f t="shared" ca="1" si="550"/>
        <v>#REF!</v>
      </c>
      <c r="N846" s="93"/>
      <c r="O846" s="93"/>
      <c r="P846" s="95">
        <f t="shared" si="965"/>
        <v>0</v>
      </c>
      <c r="Q846" s="96">
        <f t="shared" si="1139"/>
        <v>0</v>
      </c>
      <c r="R846" s="96">
        <v>0</v>
      </c>
      <c r="S846" s="97">
        <f t="shared" si="553"/>
        <v>0</v>
      </c>
      <c r="T846" s="97" t="str">
        <f ca="1">ROUNDUP(HLOOKUP(ROUNDUP(K846,0),'배송비 조회'!A$10:AE$22,7,0)*C$3,-2)</f>
        <v>#REF!</v>
      </c>
      <c r="U846" s="97">
        <v>0</v>
      </c>
      <c r="V846" s="97" t="str">
        <f t="shared" ca="1" si="981"/>
        <v>#REF!</v>
      </c>
      <c r="W846" s="97" t="str">
        <f t="shared" ca="1" si="982"/>
        <v>#REF!</v>
      </c>
      <c r="X846" s="98" t="str">
        <f t="shared" ca="1" si="882"/>
        <v>#REF!</v>
      </c>
      <c r="Y846" s="98" t="str">
        <f t="shared" ca="1" si="883"/>
        <v>#REF!</v>
      </c>
      <c r="Z846" s="121">
        <v>0</v>
      </c>
      <c r="AA846" s="121" t="str">
        <f t="shared" ca="1" si="556"/>
        <v>#REF!</v>
      </c>
      <c r="AB846" s="121" t="str">
        <f t="shared" ca="1" si="557"/>
        <v>#REF!</v>
      </c>
      <c r="AC846" s="99" t="str">
        <f t="shared" ca="1" si="8"/>
        <v>#REF!</v>
      </c>
      <c r="AD846" s="121" t="str">
        <f t="shared" ca="1" si="558"/>
        <v>#REF!</v>
      </c>
      <c r="AE846" s="99" t="str">
        <f t="shared" ca="1" si="10"/>
        <v>#REF!</v>
      </c>
      <c r="AF846" s="121" t="str">
        <f t="shared" ca="1" si="559"/>
        <v>#REF!</v>
      </c>
      <c r="AG846" s="100" t="str">
        <f t="shared" ca="1" si="560"/>
        <v>#REF!</v>
      </c>
      <c r="AH846" s="101" t="str">
        <f t="shared" ca="1" si="891"/>
        <v>#REF!</v>
      </c>
      <c r="AI846" s="102" t="str">
        <f t="shared" ref="AI846:AJ846" ca="1" si="1179">AG846/X846</f>
        <v>#REF!</v>
      </c>
      <c r="AJ846" s="102" t="str">
        <f t="shared" ca="1" si="1179"/>
        <v>#REF!</v>
      </c>
      <c r="AK846" s="212"/>
      <c r="AL846" s="213"/>
      <c r="AM846" s="4"/>
      <c r="AN846" s="4"/>
      <c r="AO846" s="4"/>
      <c r="AP846" s="4"/>
      <c r="AQ846" s="4"/>
      <c r="AR846" s="4"/>
      <c r="AS846" s="4"/>
      <c r="AT846" s="4"/>
      <c r="AU846" s="4"/>
      <c r="AV846" s="4"/>
      <c r="AW846" s="4"/>
    </row>
    <row r="847" spans="1:49" ht="13.2">
      <c r="A847" s="120"/>
      <c r="B847" s="266"/>
      <c r="C847" s="117"/>
      <c r="D847" s="117"/>
      <c r="E847" s="117"/>
      <c r="F847" s="123"/>
      <c r="G847" s="125" t="s">
        <v>145</v>
      </c>
      <c r="H847" s="125"/>
      <c r="I847" s="125"/>
      <c r="J847" s="125"/>
      <c r="K847" s="82" t="str">
        <f t="shared" ca="1" si="1125"/>
        <v>#REF!</v>
      </c>
      <c r="L847" s="82" t="str">
        <f t="shared" ca="1" si="1126"/>
        <v>#REF!</v>
      </c>
      <c r="M847" s="82" t="str">
        <f t="shared" ca="1" si="550"/>
        <v>#REF!</v>
      </c>
      <c r="N847" s="93"/>
      <c r="O847" s="93"/>
      <c r="P847" s="95">
        <f t="shared" si="965"/>
        <v>0</v>
      </c>
      <c r="Q847" s="96">
        <f t="shared" si="1139"/>
        <v>0</v>
      </c>
      <c r="R847" s="96">
        <v>0</v>
      </c>
      <c r="S847" s="97">
        <f t="shared" si="553"/>
        <v>0</v>
      </c>
      <c r="T847" s="97" t="str">
        <f ca="1">ROUNDUP(HLOOKUP(ROUNDUP(K847,0),'배송비 조회'!A$10:AE$22,7,0)*C$3,-2)</f>
        <v>#REF!</v>
      </c>
      <c r="U847" s="97">
        <v>0</v>
      </c>
      <c r="V847" s="97" t="str">
        <f t="shared" ca="1" si="981"/>
        <v>#REF!</v>
      </c>
      <c r="W847" s="97" t="str">
        <f t="shared" ca="1" si="982"/>
        <v>#REF!</v>
      </c>
      <c r="X847" s="98" t="str">
        <f t="shared" ca="1" si="882"/>
        <v>#REF!</v>
      </c>
      <c r="Y847" s="98" t="str">
        <f t="shared" ca="1" si="883"/>
        <v>#REF!</v>
      </c>
      <c r="Z847" s="121">
        <v>0</v>
      </c>
      <c r="AA847" s="121" t="str">
        <f t="shared" ca="1" si="556"/>
        <v>#REF!</v>
      </c>
      <c r="AB847" s="121" t="str">
        <f t="shared" ca="1" si="557"/>
        <v>#REF!</v>
      </c>
      <c r="AC847" s="99" t="str">
        <f t="shared" ca="1" si="8"/>
        <v>#REF!</v>
      </c>
      <c r="AD847" s="121" t="str">
        <f t="shared" ca="1" si="558"/>
        <v>#REF!</v>
      </c>
      <c r="AE847" s="99" t="str">
        <f t="shared" ca="1" si="10"/>
        <v>#REF!</v>
      </c>
      <c r="AF847" s="121" t="str">
        <f t="shared" ca="1" si="559"/>
        <v>#REF!</v>
      </c>
      <c r="AG847" s="100" t="str">
        <f t="shared" ca="1" si="560"/>
        <v>#REF!</v>
      </c>
      <c r="AH847" s="101" t="str">
        <f t="shared" ca="1" si="891"/>
        <v>#REF!</v>
      </c>
      <c r="AI847" s="102" t="str">
        <f t="shared" ref="AI847:AJ847" ca="1" si="1180">AG847/X847</f>
        <v>#REF!</v>
      </c>
      <c r="AJ847" s="102" t="str">
        <f t="shared" ca="1" si="1180"/>
        <v>#REF!</v>
      </c>
      <c r="AK847" s="212"/>
      <c r="AL847" s="213"/>
      <c r="AM847" s="4"/>
      <c r="AN847" s="4"/>
      <c r="AO847" s="4"/>
      <c r="AP847" s="4"/>
      <c r="AQ847" s="4"/>
      <c r="AR847" s="4"/>
      <c r="AS847" s="4"/>
      <c r="AT847" s="4"/>
      <c r="AU847" s="4"/>
      <c r="AV847" s="4"/>
      <c r="AW847" s="4"/>
    </row>
    <row r="848" spans="1:49" ht="13.2">
      <c r="A848" s="120"/>
      <c r="B848" s="266"/>
      <c r="C848" s="117"/>
      <c r="D848" s="117"/>
      <c r="E848" s="117"/>
      <c r="F848" s="123"/>
      <c r="G848" s="125" t="s">
        <v>145</v>
      </c>
      <c r="H848" s="125"/>
      <c r="I848" s="125"/>
      <c r="J848" s="125"/>
      <c r="K848" s="82" t="str">
        <f t="shared" ca="1" si="1125"/>
        <v>#REF!</v>
      </c>
      <c r="L848" s="82" t="str">
        <f t="shared" ca="1" si="1126"/>
        <v>#REF!</v>
      </c>
      <c r="M848" s="82" t="str">
        <f t="shared" ca="1" si="550"/>
        <v>#REF!</v>
      </c>
      <c r="N848" s="93"/>
      <c r="O848" s="93"/>
      <c r="P848" s="95">
        <f t="shared" si="965"/>
        <v>0</v>
      </c>
      <c r="Q848" s="96">
        <f t="shared" si="1139"/>
        <v>0</v>
      </c>
      <c r="R848" s="96">
        <v>0</v>
      </c>
      <c r="S848" s="97">
        <f t="shared" si="553"/>
        <v>0</v>
      </c>
      <c r="T848" s="97" t="str">
        <f ca="1">ROUNDUP(HLOOKUP(ROUNDUP(K848,0),'배송비 조회'!A$10:AE$22,7,0)*C$3,-2)</f>
        <v>#REF!</v>
      </c>
      <c r="U848" s="97">
        <v>0</v>
      </c>
      <c r="V848" s="97" t="str">
        <f t="shared" ca="1" si="981"/>
        <v>#REF!</v>
      </c>
      <c r="W848" s="97" t="str">
        <f t="shared" ca="1" si="982"/>
        <v>#REF!</v>
      </c>
      <c r="X848" s="98" t="str">
        <f t="shared" ca="1" si="882"/>
        <v>#REF!</v>
      </c>
      <c r="Y848" s="98" t="str">
        <f t="shared" ca="1" si="883"/>
        <v>#REF!</v>
      </c>
      <c r="Z848" s="121">
        <v>0</v>
      </c>
      <c r="AA848" s="121" t="str">
        <f t="shared" ca="1" si="556"/>
        <v>#REF!</v>
      </c>
      <c r="AB848" s="121" t="str">
        <f t="shared" ca="1" si="557"/>
        <v>#REF!</v>
      </c>
      <c r="AC848" s="99" t="str">
        <f t="shared" ca="1" si="8"/>
        <v>#REF!</v>
      </c>
      <c r="AD848" s="121" t="str">
        <f t="shared" ca="1" si="558"/>
        <v>#REF!</v>
      </c>
      <c r="AE848" s="99" t="str">
        <f t="shared" ca="1" si="10"/>
        <v>#REF!</v>
      </c>
      <c r="AF848" s="121" t="str">
        <f t="shared" ca="1" si="559"/>
        <v>#REF!</v>
      </c>
      <c r="AG848" s="100" t="str">
        <f t="shared" ca="1" si="560"/>
        <v>#REF!</v>
      </c>
      <c r="AH848" s="101" t="str">
        <f t="shared" ca="1" si="891"/>
        <v>#REF!</v>
      </c>
      <c r="AI848" s="102" t="str">
        <f t="shared" ref="AI848:AJ848" ca="1" si="1181">AG848/X848</f>
        <v>#REF!</v>
      </c>
      <c r="AJ848" s="102" t="str">
        <f t="shared" ca="1" si="1181"/>
        <v>#REF!</v>
      </c>
      <c r="AK848" s="212"/>
      <c r="AL848" s="213"/>
      <c r="AM848" s="4"/>
      <c r="AN848" s="4"/>
      <c r="AO848" s="4"/>
      <c r="AP848" s="4"/>
      <c r="AQ848" s="4"/>
      <c r="AR848" s="4"/>
      <c r="AS848" s="4"/>
      <c r="AT848" s="4"/>
      <c r="AU848" s="4"/>
      <c r="AV848" s="4"/>
      <c r="AW848" s="4"/>
    </row>
    <row r="849" spans="1:49" ht="13.2">
      <c r="A849" s="120"/>
      <c r="B849" s="266"/>
      <c r="C849" s="117"/>
      <c r="D849" s="117"/>
      <c r="E849" s="117"/>
      <c r="F849" s="123"/>
      <c r="G849" s="125" t="s">
        <v>145</v>
      </c>
      <c r="H849" s="125"/>
      <c r="I849" s="125"/>
      <c r="J849" s="125"/>
      <c r="K849" s="82" t="str">
        <f t="shared" ca="1" si="1125"/>
        <v>#REF!</v>
      </c>
      <c r="L849" s="82" t="str">
        <f t="shared" ca="1" si="1126"/>
        <v>#REF!</v>
      </c>
      <c r="M849" s="82" t="str">
        <f t="shared" ca="1" si="550"/>
        <v>#REF!</v>
      </c>
      <c r="N849" s="93"/>
      <c r="O849" s="93"/>
      <c r="P849" s="95">
        <f t="shared" si="965"/>
        <v>0</v>
      </c>
      <c r="Q849" s="96">
        <f t="shared" si="1139"/>
        <v>0</v>
      </c>
      <c r="R849" s="96">
        <v>0</v>
      </c>
      <c r="S849" s="97">
        <f t="shared" si="553"/>
        <v>0</v>
      </c>
      <c r="T849" s="97" t="str">
        <f ca="1">ROUNDUP(HLOOKUP(ROUNDUP(K849,0),'배송비 조회'!A$10:AE$22,7,0)*C$3,-2)</f>
        <v>#REF!</v>
      </c>
      <c r="U849" s="97">
        <v>0</v>
      </c>
      <c r="V849" s="97" t="str">
        <f t="shared" ca="1" si="981"/>
        <v>#REF!</v>
      </c>
      <c r="W849" s="97" t="str">
        <f t="shared" ca="1" si="982"/>
        <v>#REF!</v>
      </c>
      <c r="X849" s="98" t="str">
        <f t="shared" ca="1" si="882"/>
        <v>#REF!</v>
      </c>
      <c r="Y849" s="98" t="str">
        <f t="shared" ca="1" si="883"/>
        <v>#REF!</v>
      </c>
      <c r="Z849" s="121">
        <v>0</v>
      </c>
      <c r="AA849" s="121" t="str">
        <f t="shared" ca="1" si="556"/>
        <v>#REF!</v>
      </c>
      <c r="AB849" s="121" t="str">
        <f t="shared" ca="1" si="557"/>
        <v>#REF!</v>
      </c>
      <c r="AC849" s="99" t="str">
        <f t="shared" ca="1" si="8"/>
        <v>#REF!</v>
      </c>
      <c r="AD849" s="121" t="str">
        <f t="shared" ca="1" si="558"/>
        <v>#REF!</v>
      </c>
      <c r="AE849" s="99" t="str">
        <f t="shared" ca="1" si="10"/>
        <v>#REF!</v>
      </c>
      <c r="AF849" s="121" t="str">
        <f t="shared" ca="1" si="559"/>
        <v>#REF!</v>
      </c>
      <c r="AG849" s="100" t="str">
        <f t="shared" ca="1" si="560"/>
        <v>#REF!</v>
      </c>
      <c r="AH849" s="101" t="str">
        <f t="shared" ca="1" si="891"/>
        <v>#REF!</v>
      </c>
      <c r="AI849" s="102" t="str">
        <f t="shared" ref="AI849:AJ849" ca="1" si="1182">AG849/X849</f>
        <v>#REF!</v>
      </c>
      <c r="AJ849" s="102" t="str">
        <f t="shared" ca="1" si="1182"/>
        <v>#REF!</v>
      </c>
      <c r="AK849" s="212"/>
      <c r="AL849" s="213"/>
      <c r="AM849" s="4"/>
      <c r="AN849" s="4"/>
      <c r="AO849" s="4"/>
      <c r="AP849" s="4"/>
      <c r="AQ849" s="4"/>
      <c r="AR849" s="4"/>
      <c r="AS849" s="4"/>
      <c r="AT849" s="4"/>
      <c r="AU849" s="4"/>
      <c r="AV849" s="4"/>
      <c r="AW849" s="4"/>
    </row>
    <row r="850" spans="1:49" ht="13.2">
      <c r="A850" s="120"/>
      <c r="B850" s="266"/>
      <c r="C850" s="117"/>
      <c r="D850" s="117"/>
      <c r="E850" s="117"/>
      <c r="F850" s="123"/>
      <c r="G850" s="125" t="s">
        <v>145</v>
      </c>
      <c r="H850" s="125"/>
      <c r="I850" s="125"/>
      <c r="J850" s="125"/>
      <c r="K850" s="82" t="str">
        <f t="shared" ca="1" si="1125"/>
        <v>#REF!</v>
      </c>
      <c r="L850" s="82" t="str">
        <f t="shared" ca="1" si="1126"/>
        <v>#REF!</v>
      </c>
      <c r="M850" s="82" t="str">
        <f t="shared" ca="1" si="550"/>
        <v>#REF!</v>
      </c>
      <c r="N850" s="93"/>
      <c r="O850" s="93"/>
      <c r="P850" s="95">
        <f t="shared" si="965"/>
        <v>0</v>
      </c>
      <c r="Q850" s="96">
        <f t="shared" si="1139"/>
        <v>0</v>
      </c>
      <c r="R850" s="96">
        <v>0</v>
      </c>
      <c r="S850" s="97">
        <f t="shared" si="553"/>
        <v>0</v>
      </c>
      <c r="T850" s="97" t="str">
        <f ca="1">ROUNDUP(HLOOKUP(ROUNDUP(K850,0),'배송비 조회'!A$10:AE$22,7,0)*C$3,-2)</f>
        <v>#REF!</v>
      </c>
      <c r="U850" s="97">
        <v>0</v>
      </c>
      <c r="V850" s="97" t="str">
        <f t="shared" ca="1" si="981"/>
        <v>#REF!</v>
      </c>
      <c r="W850" s="97" t="str">
        <f t="shared" ca="1" si="982"/>
        <v>#REF!</v>
      </c>
      <c r="X850" s="98" t="str">
        <f t="shared" ca="1" si="882"/>
        <v>#REF!</v>
      </c>
      <c r="Y850" s="98" t="str">
        <f t="shared" ca="1" si="883"/>
        <v>#REF!</v>
      </c>
      <c r="Z850" s="121">
        <v>0</v>
      </c>
      <c r="AA850" s="121" t="str">
        <f t="shared" ca="1" si="556"/>
        <v>#REF!</v>
      </c>
      <c r="AB850" s="121" t="str">
        <f t="shared" ca="1" si="557"/>
        <v>#REF!</v>
      </c>
      <c r="AC850" s="99" t="str">
        <f t="shared" ca="1" si="8"/>
        <v>#REF!</v>
      </c>
      <c r="AD850" s="121" t="str">
        <f t="shared" ca="1" si="558"/>
        <v>#REF!</v>
      </c>
      <c r="AE850" s="99" t="str">
        <f t="shared" ca="1" si="10"/>
        <v>#REF!</v>
      </c>
      <c r="AF850" s="121" t="str">
        <f t="shared" ca="1" si="559"/>
        <v>#REF!</v>
      </c>
      <c r="AG850" s="100" t="str">
        <f t="shared" ca="1" si="560"/>
        <v>#REF!</v>
      </c>
      <c r="AH850" s="101" t="str">
        <f t="shared" ca="1" si="891"/>
        <v>#REF!</v>
      </c>
      <c r="AI850" s="102" t="str">
        <f t="shared" ref="AI850:AJ850" ca="1" si="1183">AG850/X850</f>
        <v>#REF!</v>
      </c>
      <c r="AJ850" s="102" t="str">
        <f t="shared" ca="1" si="1183"/>
        <v>#REF!</v>
      </c>
      <c r="AK850" s="212"/>
      <c r="AL850" s="213"/>
      <c r="AM850" s="4"/>
      <c r="AN850" s="4"/>
      <c r="AO850" s="4"/>
      <c r="AP850" s="4"/>
      <c r="AQ850" s="4"/>
      <c r="AR850" s="4"/>
      <c r="AS850" s="4"/>
      <c r="AT850" s="4"/>
      <c r="AU850" s="4"/>
      <c r="AV850" s="4"/>
      <c r="AW850" s="4"/>
    </row>
    <row r="851" spans="1:49" ht="13.2">
      <c r="A851" s="120"/>
      <c r="B851" s="266"/>
      <c r="C851" s="117"/>
      <c r="D851" s="117"/>
      <c r="E851" s="117"/>
      <c r="F851" s="123"/>
      <c r="G851" s="125" t="s">
        <v>145</v>
      </c>
      <c r="H851" s="125"/>
      <c r="I851" s="125"/>
      <c r="J851" s="125"/>
      <c r="K851" s="82" t="str">
        <f t="shared" ca="1" si="1125"/>
        <v>#REF!</v>
      </c>
      <c r="L851" s="82" t="str">
        <f t="shared" ca="1" si="1126"/>
        <v>#REF!</v>
      </c>
      <c r="M851" s="82" t="str">
        <f t="shared" ca="1" si="550"/>
        <v>#REF!</v>
      </c>
      <c r="N851" s="93"/>
      <c r="O851" s="93"/>
      <c r="P851" s="95">
        <f t="shared" si="965"/>
        <v>0</v>
      </c>
      <c r="Q851" s="96">
        <f t="shared" si="1139"/>
        <v>0</v>
      </c>
      <c r="R851" s="96">
        <v>0</v>
      </c>
      <c r="S851" s="97">
        <f t="shared" si="553"/>
        <v>0</v>
      </c>
      <c r="T851" s="97" t="str">
        <f ca="1">ROUNDUP(HLOOKUP(ROUNDUP(K851,0),'배송비 조회'!A$10:AE$22,7,0)*C$3,-2)</f>
        <v>#REF!</v>
      </c>
      <c r="U851" s="97">
        <v>0</v>
      </c>
      <c r="V851" s="97" t="str">
        <f t="shared" ca="1" si="981"/>
        <v>#REF!</v>
      </c>
      <c r="W851" s="97" t="str">
        <f t="shared" ca="1" si="982"/>
        <v>#REF!</v>
      </c>
      <c r="X851" s="98" t="str">
        <f t="shared" ca="1" si="882"/>
        <v>#REF!</v>
      </c>
      <c r="Y851" s="98" t="str">
        <f t="shared" ca="1" si="883"/>
        <v>#REF!</v>
      </c>
      <c r="Z851" s="121">
        <v>0</v>
      </c>
      <c r="AA851" s="121" t="str">
        <f t="shared" ca="1" si="556"/>
        <v>#REF!</v>
      </c>
      <c r="AB851" s="121" t="str">
        <f t="shared" ca="1" si="557"/>
        <v>#REF!</v>
      </c>
      <c r="AC851" s="99" t="str">
        <f t="shared" ca="1" si="8"/>
        <v>#REF!</v>
      </c>
      <c r="AD851" s="121" t="str">
        <f t="shared" ca="1" si="558"/>
        <v>#REF!</v>
      </c>
      <c r="AE851" s="99" t="str">
        <f t="shared" ca="1" si="10"/>
        <v>#REF!</v>
      </c>
      <c r="AF851" s="121" t="str">
        <f t="shared" ca="1" si="559"/>
        <v>#REF!</v>
      </c>
      <c r="AG851" s="100" t="str">
        <f t="shared" ca="1" si="560"/>
        <v>#REF!</v>
      </c>
      <c r="AH851" s="101" t="str">
        <f t="shared" ca="1" si="891"/>
        <v>#REF!</v>
      </c>
      <c r="AI851" s="102" t="str">
        <f t="shared" ref="AI851:AJ851" ca="1" si="1184">AG851/X851</f>
        <v>#REF!</v>
      </c>
      <c r="AJ851" s="102" t="str">
        <f t="shared" ca="1" si="1184"/>
        <v>#REF!</v>
      </c>
      <c r="AK851" s="212"/>
      <c r="AL851" s="213"/>
      <c r="AM851" s="4"/>
      <c r="AN851" s="4"/>
      <c r="AO851" s="4"/>
      <c r="AP851" s="4"/>
      <c r="AQ851" s="4"/>
      <c r="AR851" s="4"/>
      <c r="AS851" s="4"/>
      <c r="AT851" s="4"/>
      <c r="AU851" s="4"/>
      <c r="AV851" s="4"/>
      <c r="AW851" s="4"/>
    </row>
    <row r="852" spans="1:49" ht="13.2">
      <c r="A852" s="120"/>
      <c r="B852" s="266"/>
      <c r="C852" s="117"/>
      <c r="D852" s="117"/>
      <c r="E852" s="117"/>
      <c r="F852" s="123"/>
      <c r="G852" s="125" t="s">
        <v>145</v>
      </c>
      <c r="H852" s="125"/>
      <c r="I852" s="125"/>
      <c r="J852" s="125"/>
      <c r="K852" s="82" t="str">
        <f t="shared" ca="1" si="1125"/>
        <v>#REF!</v>
      </c>
      <c r="L852" s="82" t="str">
        <f t="shared" ca="1" si="1126"/>
        <v>#REF!</v>
      </c>
      <c r="M852" s="82" t="str">
        <f t="shared" ca="1" si="550"/>
        <v>#REF!</v>
      </c>
      <c r="N852" s="93"/>
      <c r="O852" s="93"/>
      <c r="P852" s="95">
        <f t="shared" si="965"/>
        <v>0</v>
      </c>
      <c r="Q852" s="96">
        <f t="shared" si="1139"/>
        <v>0</v>
      </c>
      <c r="R852" s="96">
        <v>0</v>
      </c>
      <c r="S852" s="97">
        <f t="shared" si="553"/>
        <v>0</v>
      </c>
      <c r="T852" s="97" t="str">
        <f ca="1">ROUNDUP(HLOOKUP(ROUNDUP(K852,0),'배송비 조회'!A$10:AE$22,7,0)*C$3,-2)</f>
        <v>#REF!</v>
      </c>
      <c r="U852" s="97">
        <v>0</v>
      </c>
      <c r="V852" s="97" t="str">
        <f t="shared" ca="1" si="981"/>
        <v>#REF!</v>
      </c>
      <c r="W852" s="97" t="str">
        <f t="shared" ca="1" si="982"/>
        <v>#REF!</v>
      </c>
      <c r="X852" s="98" t="str">
        <f t="shared" ca="1" si="882"/>
        <v>#REF!</v>
      </c>
      <c r="Y852" s="98" t="str">
        <f t="shared" ca="1" si="883"/>
        <v>#REF!</v>
      </c>
      <c r="Z852" s="121">
        <v>0</v>
      </c>
      <c r="AA852" s="121" t="str">
        <f t="shared" ca="1" si="556"/>
        <v>#REF!</v>
      </c>
      <c r="AB852" s="121" t="str">
        <f t="shared" ca="1" si="557"/>
        <v>#REF!</v>
      </c>
      <c r="AC852" s="99" t="str">
        <f t="shared" ca="1" si="8"/>
        <v>#REF!</v>
      </c>
      <c r="AD852" s="121" t="str">
        <f t="shared" ca="1" si="558"/>
        <v>#REF!</v>
      </c>
      <c r="AE852" s="99" t="str">
        <f t="shared" ca="1" si="10"/>
        <v>#REF!</v>
      </c>
      <c r="AF852" s="121" t="str">
        <f t="shared" ca="1" si="559"/>
        <v>#REF!</v>
      </c>
      <c r="AG852" s="100" t="str">
        <f t="shared" ca="1" si="560"/>
        <v>#REF!</v>
      </c>
      <c r="AH852" s="101" t="str">
        <f t="shared" ca="1" si="891"/>
        <v>#REF!</v>
      </c>
      <c r="AI852" s="102" t="str">
        <f t="shared" ref="AI852:AJ852" ca="1" si="1185">AG852/X852</f>
        <v>#REF!</v>
      </c>
      <c r="AJ852" s="102" t="str">
        <f t="shared" ca="1" si="1185"/>
        <v>#REF!</v>
      </c>
      <c r="AK852" s="212"/>
      <c r="AL852" s="213"/>
      <c r="AM852" s="4"/>
      <c r="AN852" s="4"/>
      <c r="AO852" s="4"/>
      <c r="AP852" s="4"/>
      <c r="AQ852" s="4"/>
      <c r="AR852" s="4"/>
      <c r="AS852" s="4"/>
      <c r="AT852" s="4"/>
      <c r="AU852" s="4"/>
      <c r="AV852" s="4"/>
      <c r="AW852" s="4"/>
    </row>
    <row r="853" spans="1:49" ht="13.2">
      <c r="A853" s="120"/>
      <c r="B853" s="266"/>
      <c r="C853" s="117"/>
      <c r="D853" s="117"/>
      <c r="E853" s="117"/>
      <c r="F853" s="123"/>
      <c r="G853" s="125" t="s">
        <v>145</v>
      </c>
      <c r="H853" s="125"/>
      <c r="I853" s="125"/>
      <c r="J853" s="125"/>
      <c r="K853" s="82" t="str">
        <f t="shared" ca="1" si="1125"/>
        <v>#REF!</v>
      </c>
      <c r="L853" s="82" t="str">
        <f t="shared" ca="1" si="1126"/>
        <v>#REF!</v>
      </c>
      <c r="M853" s="82" t="str">
        <f t="shared" ca="1" si="550"/>
        <v>#REF!</v>
      </c>
      <c r="N853" s="93"/>
      <c r="O853" s="93"/>
      <c r="P853" s="95">
        <f t="shared" si="965"/>
        <v>0</v>
      </c>
      <c r="Q853" s="96">
        <f t="shared" si="1139"/>
        <v>0</v>
      </c>
      <c r="R853" s="96">
        <v>0</v>
      </c>
      <c r="S853" s="97">
        <f t="shared" si="553"/>
        <v>0</v>
      </c>
      <c r="T853" s="97" t="str">
        <f ca="1">ROUNDUP(HLOOKUP(ROUNDUP(K853,0),'배송비 조회'!A$10:AE$22,7,0)*C$3,-2)</f>
        <v>#REF!</v>
      </c>
      <c r="U853" s="97">
        <v>0</v>
      </c>
      <c r="V853" s="97" t="str">
        <f t="shared" ca="1" si="981"/>
        <v>#REF!</v>
      </c>
      <c r="W853" s="97" t="str">
        <f t="shared" ca="1" si="982"/>
        <v>#REF!</v>
      </c>
      <c r="X853" s="98" t="str">
        <f t="shared" ca="1" si="882"/>
        <v>#REF!</v>
      </c>
      <c r="Y853" s="98" t="str">
        <f t="shared" ca="1" si="883"/>
        <v>#REF!</v>
      </c>
      <c r="Z853" s="121">
        <v>0</v>
      </c>
      <c r="AA853" s="121" t="str">
        <f t="shared" ca="1" si="556"/>
        <v>#REF!</v>
      </c>
      <c r="AB853" s="121" t="str">
        <f t="shared" ca="1" si="557"/>
        <v>#REF!</v>
      </c>
      <c r="AC853" s="99" t="str">
        <f t="shared" ca="1" si="8"/>
        <v>#REF!</v>
      </c>
      <c r="AD853" s="121" t="str">
        <f t="shared" ca="1" si="558"/>
        <v>#REF!</v>
      </c>
      <c r="AE853" s="99" t="str">
        <f t="shared" ca="1" si="10"/>
        <v>#REF!</v>
      </c>
      <c r="AF853" s="121" t="str">
        <f t="shared" ca="1" si="559"/>
        <v>#REF!</v>
      </c>
      <c r="AG853" s="100" t="str">
        <f t="shared" ca="1" si="560"/>
        <v>#REF!</v>
      </c>
      <c r="AH853" s="101" t="str">
        <f t="shared" ca="1" si="891"/>
        <v>#REF!</v>
      </c>
      <c r="AI853" s="102" t="str">
        <f t="shared" ref="AI853:AJ853" ca="1" si="1186">AG853/X853</f>
        <v>#REF!</v>
      </c>
      <c r="AJ853" s="102" t="str">
        <f t="shared" ca="1" si="1186"/>
        <v>#REF!</v>
      </c>
      <c r="AK853" s="212"/>
      <c r="AL853" s="213"/>
      <c r="AM853" s="4"/>
      <c r="AN853" s="4"/>
      <c r="AO853" s="4"/>
      <c r="AP853" s="4"/>
      <c r="AQ853" s="4"/>
      <c r="AR853" s="4"/>
      <c r="AS853" s="4"/>
      <c r="AT853" s="4"/>
      <c r="AU853" s="4"/>
      <c r="AV853" s="4"/>
      <c r="AW853" s="4"/>
    </row>
    <row r="854" spans="1:49" ht="13.2">
      <c r="A854" s="120"/>
      <c r="B854" s="266"/>
      <c r="C854" s="117"/>
      <c r="D854" s="117"/>
      <c r="E854" s="117"/>
      <c r="F854" s="123"/>
      <c r="G854" s="125" t="s">
        <v>145</v>
      </c>
      <c r="H854" s="125"/>
      <c r="I854" s="125"/>
      <c r="J854" s="125"/>
      <c r="K854" s="82" t="str">
        <f t="shared" ca="1" si="1125"/>
        <v>#REF!</v>
      </c>
      <c r="L854" s="82" t="str">
        <f t="shared" ca="1" si="1126"/>
        <v>#REF!</v>
      </c>
      <c r="M854" s="82" t="str">
        <f t="shared" ca="1" si="550"/>
        <v>#REF!</v>
      </c>
      <c r="N854" s="93"/>
      <c r="O854" s="93"/>
      <c r="P854" s="95">
        <f t="shared" si="965"/>
        <v>0</v>
      </c>
      <c r="Q854" s="96">
        <f t="shared" si="1139"/>
        <v>0</v>
      </c>
      <c r="R854" s="96">
        <v>0</v>
      </c>
      <c r="S854" s="97">
        <f t="shared" si="553"/>
        <v>0</v>
      </c>
      <c r="T854" s="97" t="str">
        <f ca="1">ROUNDUP(HLOOKUP(ROUNDUP(K854,0),'배송비 조회'!A$10:AE$22,7,0)*C$3,-2)</f>
        <v>#REF!</v>
      </c>
      <c r="U854" s="97">
        <v>0</v>
      </c>
      <c r="V854" s="97" t="str">
        <f t="shared" ca="1" si="981"/>
        <v>#REF!</v>
      </c>
      <c r="W854" s="97" t="str">
        <f t="shared" ca="1" si="982"/>
        <v>#REF!</v>
      </c>
      <c r="X854" s="98" t="str">
        <f t="shared" ca="1" si="882"/>
        <v>#REF!</v>
      </c>
      <c r="Y854" s="98" t="str">
        <f t="shared" ca="1" si="883"/>
        <v>#REF!</v>
      </c>
      <c r="Z854" s="121">
        <v>0</v>
      </c>
      <c r="AA854" s="121" t="str">
        <f t="shared" ca="1" si="556"/>
        <v>#REF!</v>
      </c>
      <c r="AB854" s="121" t="str">
        <f t="shared" ca="1" si="557"/>
        <v>#REF!</v>
      </c>
      <c r="AC854" s="99" t="str">
        <f t="shared" ca="1" si="8"/>
        <v>#REF!</v>
      </c>
      <c r="AD854" s="121" t="str">
        <f t="shared" ca="1" si="558"/>
        <v>#REF!</v>
      </c>
      <c r="AE854" s="99" t="str">
        <f t="shared" ca="1" si="10"/>
        <v>#REF!</v>
      </c>
      <c r="AF854" s="121" t="str">
        <f t="shared" ca="1" si="559"/>
        <v>#REF!</v>
      </c>
      <c r="AG854" s="100" t="str">
        <f t="shared" ca="1" si="560"/>
        <v>#REF!</v>
      </c>
      <c r="AH854" s="101" t="str">
        <f t="shared" ca="1" si="891"/>
        <v>#REF!</v>
      </c>
      <c r="AI854" s="102" t="str">
        <f t="shared" ref="AI854:AJ854" ca="1" si="1187">AG854/X854</f>
        <v>#REF!</v>
      </c>
      <c r="AJ854" s="102" t="str">
        <f t="shared" ca="1" si="1187"/>
        <v>#REF!</v>
      </c>
      <c r="AK854" s="212"/>
      <c r="AL854" s="213"/>
      <c r="AM854" s="4"/>
      <c r="AN854" s="4"/>
      <c r="AO854" s="4"/>
      <c r="AP854" s="4"/>
      <c r="AQ854" s="4"/>
      <c r="AR854" s="4"/>
      <c r="AS854" s="4"/>
      <c r="AT854" s="4"/>
      <c r="AU854" s="4"/>
      <c r="AV854" s="4"/>
      <c r="AW854" s="4"/>
    </row>
    <row r="855" spans="1:49" ht="13.2">
      <c r="A855" s="120"/>
      <c r="B855" s="266"/>
      <c r="C855" s="117"/>
      <c r="D855" s="117"/>
      <c r="E855" s="117"/>
      <c r="F855" s="123"/>
      <c r="G855" s="125" t="s">
        <v>145</v>
      </c>
      <c r="H855" s="125"/>
      <c r="I855" s="125"/>
      <c r="J855" s="125"/>
      <c r="K855" s="82" t="str">
        <f t="shared" ca="1" si="1125"/>
        <v>#REF!</v>
      </c>
      <c r="L855" s="82" t="str">
        <f t="shared" ca="1" si="1126"/>
        <v>#REF!</v>
      </c>
      <c r="M855" s="82" t="str">
        <f t="shared" ca="1" si="550"/>
        <v>#REF!</v>
      </c>
      <c r="N855" s="93"/>
      <c r="O855" s="93"/>
      <c r="P855" s="95">
        <f t="shared" si="965"/>
        <v>0</v>
      </c>
      <c r="Q855" s="96">
        <f t="shared" si="1139"/>
        <v>0</v>
      </c>
      <c r="R855" s="96">
        <v>0</v>
      </c>
      <c r="S855" s="97">
        <f t="shared" si="553"/>
        <v>0</v>
      </c>
      <c r="T855" s="97" t="str">
        <f ca="1">ROUNDUP(HLOOKUP(ROUNDUP(K855,0),'배송비 조회'!A$10:AE$22,7,0)*C$3,-2)</f>
        <v>#REF!</v>
      </c>
      <c r="U855" s="97">
        <v>0</v>
      </c>
      <c r="V855" s="97" t="str">
        <f t="shared" ca="1" si="981"/>
        <v>#REF!</v>
      </c>
      <c r="W855" s="97" t="str">
        <f t="shared" ca="1" si="982"/>
        <v>#REF!</v>
      </c>
      <c r="X855" s="98" t="str">
        <f t="shared" ca="1" si="882"/>
        <v>#REF!</v>
      </c>
      <c r="Y855" s="98" t="str">
        <f t="shared" ca="1" si="883"/>
        <v>#REF!</v>
      </c>
      <c r="Z855" s="121">
        <v>0</v>
      </c>
      <c r="AA855" s="121" t="str">
        <f t="shared" ca="1" si="556"/>
        <v>#REF!</v>
      </c>
      <c r="AB855" s="121" t="str">
        <f t="shared" ca="1" si="557"/>
        <v>#REF!</v>
      </c>
      <c r="AC855" s="99" t="str">
        <f t="shared" ca="1" si="8"/>
        <v>#REF!</v>
      </c>
      <c r="AD855" s="121" t="str">
        <f t="shared" ca="1" si="558"/>
        <v>#REF!</v>
      </c>
      <c r="AE855" s="99" t="str">
        <f t="shared" ca="1" si="10"/>
        <v>#REF!</v>
      </c>
      <c r="AF855" s="121" t="str">
        <f t="shared" ca="1" si="559"/>
        <v>#REF!</v>
      </c>
      <c r="AG855" s="100" t="str">
        <f t="shared" ca="1" si="560"/>
        <v>#REF!</v>
      </c>
      <c r="AH855" s="101" t="str">
        <f t="shared" ca="1" si="891"/>
        <v>#REF!</v>
      </c>
      <c r="AI855" s="102" t="str">
        <f t="shared" ref="AI855:AJ855" ca="1" si="1188">AG855/X855</f>
        <v>#REF!</v>
      </c>
      <c r="AJ855" s="102" t="str">
        <f t="shared" ca="1" si="1188"/>
        <v>#REF!</v>
      </c>
      <c r="AK855" s="212"/>
      <c r="AL855" s="213"/>
      <c r="AM855" s="4"/>
      <c r="AN855" s="4"/>
      <c r="AO855" s="4"/>
      <c r="AP855" s="4"/>
      <c r="AQ855" s="4"/>
      <c r="AR855" s="4"/>
      <c r="AS855" s="4"/>
      <c r="AT855" s="4"/>
      <c r="AU855" s="4"/>
      <c r="AV855" s="4"/>
      <c r="AW855" s="4"/>
    </row>
    <row r="856" spans="1:49" ht="13.2">
      <c r="A856" s="120"/>
      <c r="B856" s="266"/>
      <c r="C856" s="117"/>
      <c r="D856" s="117"/>
      <c r="E856" s="117"/>
      <c r="F856" s="123"/>
      <c r="G856" s="125" t="s">
        <v>145</v>
      </c>
      <c r="H856" s="125"/>
      <c r="I856" s="125"/>
      <c r="J856" s="125"/>
      <c r="K856" s="82" t="str">
        <f t="shared" ca="1" si="1125"/>
        <v>#REF!</v>
      </c>
      <c r="L856" s="82" t="str">
        <f t="shared" ca="1" si="1126"/>
        <v>#REF!</v>
      </c>
      <c r="M856" s="82" t="str">
        <f t="shared" ca="1" si="550"/>
        <v>#REF!</v>
      </c>
      <c r="N856" s="93"/>
      <c r="O856" s="93"/>
      <c r="P856" s="95">
        <f t="shared" si="965"/>
        <v>0</v>
      </c>
      <c r="Q856" s="96">
        <f t="shared" si="1139"/>
        <v>0</v>
      </c>
      <c r="R856" s="96">
        <v>0</v>
      </c>
      <c r="S856" s="97">
        <f t="shared" si="553"/>
        <v>0</v>
      </c>
      <c r="T856" s="97" t="str">
        <f ca="1">ROUNDUP(HLOOKUP(ROUNDUP(K856,0),'배송비 조회'!A$10:AE$22,7,0)*C$3,-2)</f>
        <v>#REF!</v>
      </c>
      <c r="U856" s="97">
        <v>0</v>
      </c>
      <c r="V856" s="97" t="str">
        <f t="shared" ca="1" si="981"/>
        <v>#REF!</v>
      </c>
      <c r="W856" s="97" t="str">
        <f t="shared" ca="1" si="982"/>
        <v>#REF!</v>
      </c>
      <c r="X856" s="98" t="str">
        <f t="shared" ca="1" si="882"/>
        <v>#REF!</v>
      </c>
      <c r="Y856" s="98" t="str">
        <f t="shared" ca="1" si="883"/>
        <v>#REF!</v>
      </c>
      <c r="Z856" s="121">
        <v>0</v>
      </c>
      <c r="AA856" s="121" t="str">
        <f t="shared" ca="1" si="556"/>
        <v>#REF!</v>
      </c>
      <c r="AB856" s="121" t="str">
        <f t="shared" ca="1" si="557"/>
        <v>#REF!</v>
      </c>
      <c r="AC856" s="99" t="str">
        <f t="shared" ca="1" si="8"/>
        <v>#REF!</v>
      </c>
      <c r="AD856" s="121" t="str">
        <f t="shared" ca="1" si="558"/>
        <v>#REF!</v>
      </c>
      <c r="AE856" s="99" t="str">
        <f t="shared" ca="1" si="10"/>
        <v>#REF!</v>
      </c>
      <c r="AF856" s="121" t="str">
        <f t="shared" ca="1" si="559"/>
        <v>#REF!</v>
      </c>
      <c r="AG856" s="100" t="str">
        <f t="shared" ca="1" si="560"/>
        <v>#REF!</v>
      </c>
      <c r="AH856" s="101" t="str">
        <f t="shared" ca="1" si="891"/>
        <v>#REF!</v>
      </c>
      <c r="AI856" s="102" t="str">
        <f t="shared" ref="AI856:AJ856" ca="1" si="1189">AG856/X856</f>
        <v>#REF!</v>
      </c>
      <c r="AJ856" s="102" t="str">
        <f t="shared" ca="1" si="1189"/>
        <v>#REF!</v>
      </c>
      <c r="AK856" s="212"/>
      <c r="AL856" s="213"/>
      <c r="AM856" s="4"/>
      <c r="AN856" s="4"/>
      <c r="AO856" s="4"/>
      <c r="AP856" s="4"/>
      <c r="AQ856" s="4"/>
      <c r="AR856" s="4"/>
      <c r="AS856" s="4"/>
      <c r="AT856" s="4"/>
      <c r="AU856" s="4"/>
      <c r="AV856" s="4"/>
      <c r="AW856" s="4"/>
    </row>
    <row r="857" spans="1:49" ht="13.2">
      <c r="A857" s="120"/>
      <c r="B857" s="266"/>
      <c r="C857" s="117"/>
      <c r="D857" s="117"/>
      <c r="E857" s="117"/>
      <c r="F857" s="123"/>
      <c r="G857" s="125" t="s">
        <v>145</v>
      </c>
      <c r="H857" s="125"/>
      <c r="I857" s="125"/>
      <c r="J857" s="125"/>
      <c r="K857" s="82" t="str">
        <f t="shared" ca="1" si="1125"/>
        <v>#REF!</v>
      </c>
      <c r="L857" s="82" t="str">
        <f t="shared" ca="1" si="1126"/>
        <v>#REF!</v>
      </c>
      <c r="M857" s="82" t="str">
        <f t="shared" ca="1" si="550"/>
        <v>#REF!</v>
      </c>
      <c r="N857" s="93"/>
      <c r="O857" s="93"/>
      <c r="P857" s="95">
        <f t="shared" si="965"/>
        <v>0</v>
      </c>
      <c r="Q857" s="96">
        <f t="shared" si="1139"/>
        <v>0</v>
      </c>
      <c r="R857" s="96">
        <v>0</v>
      </c>
      <c r="S857" s="97">
        <f t="shared" si="553"/>
        <v>0</v>
      </c>
      <c r="T857" s="97" t="str">
        <f ca="1">ROUNDUP(HLOOKUP(ROUNDUP(K857,0),'배송비 조회'!A$10:AE$22,7,0)*C$3,-2)</f>
        <v>#REF!</v>
      </c>
      <c r="U857" s="97">
        <v>0</v>
      </c>
      <c r="V857" s="97" t="str">
        <f t="shared" ca="1" si="981"/>
        <v>#REF!</v>
      </c>
      <c r="W857" s="97" t="str">
        <f t="shared" ca="1" si="982"/>
        <v>#REF!</v>
      </c>
      <c r="X857" s="98" t="str">
        <f t="shared" ca="1" si="882"/>
        <v>#REF!</v>
      </c>
      <c r="Y857" s="98" t="str">
        <f t="shared" ca="1" si="883"/>
        <v>#REF!</v>
      </c>
      <c r="Z857" s="121">
        <v>0</v>
      </c>
      <c r="AA857" s="121" t="str">
        <f t="shared" ca="1" si="556"/>
        <v>#REF!</v>
      </c>
      <c r="AB857" s="121" t="str">
        <f t="shared" ca="1" si="557"/>
        <v>#REF!</v>
      </c>
      <c r="AC857" s="99" t="str">
        <f t="shared" ca="1" si="8"/>
        <v>#REF!</v>
      </c>
      <c r="AD857" s="121" t="str">
        <f t="shared" ca="1" si="558"/>
        <v>#REF!</v>
      </c>
      <c r="AE857" s="99" t="str">
        <f t="shared" ca="1" si="10"/>
        <v>#REF!</v>
      </c>
      <c r="AF857" s="121" t="str">
        <f t="shared" ca="1" si="559"/>
        <v>#REF!</v>
      </c>
      <c r="AG857" s="100" t="str">
        <f t="shared" ca="1" si="560"/>
        <v>#REF!</v>
      </c>
      <c r="AH857" s="101" t="str">
        <f t="shared" ca="1" si="891"/>
        <v>#REF!</v>
      </c>
      <c r="AI857" s="102" t="str">
        <f t="shared" ref="AI857:AJ857" ca="1" si="1190">AG857/X857</f>
        <v>#REF!</v>
      </c>
      <c r="AJ857" s="102" t="str">
        <f t="shared" ca="1" si="1190"/>
        <v>#REF!</v>
      </c>
      <c r="AK857" s="212"/>
      <c r="AL857" s="213"/>
      <c r="AM857" s="4"/>
      <c r="AN857" s="4"/>
      <c r="AO857" s="4"/>
      <c r="AP857" s="4"/>
      <c r="AQ857" s="4"/>
      <c r="AR857" s="4"/>
      <c r="AS857" s="4"/>
      <c r="AT857" s="4"/>
      <c r="AU857" s="4"/>
      <c r="AV857" s="4"/>
      <c r="AW857" s="4"/>
    </row>
    <row r="858" spans="1:49" ht="13.2">
      <c r="A858" s="120"/>
      <c r="B858" s="266"/>
      <c r="C858" s="117"/>
      <c r="D858" s="117"/>
      <c r="E858" s="117"/>
      <c r="F858" s="123"/>
      <c r="G858" s="125" t="s">
        <v>145</v>
      </c>
      <c r="H858" s="125"/>
      <c r="I858" s="125"/>
      <c r="J858" s="125"/>
      <c r="K858" s="82" t="str">
        <f t="shared" ca="1" si="1125"/>
        <v>#REF!</v>
      </c>
      <c r="L858" s="82" t="str">
        <f t="shared" ca="1" si="1126"/>
        <v>#REF!</v>
      </c>
      <c r="M858" s="82" t="str">
        <f t="shared" ca="1" si="550"/>
        <v>#REF!</v>
      </c>
      <c r="N858" s="93"/>
      <c r="O858" s="93"/>
      <c r="P858" s="95">
        <f t="shared" si="965"/>
        <v>0</v>
      </c>
      <c r="Q858" s="96">
        <f t="shared" si="1139"/>
        <v>0</v>
      </c>
      <c r="R858" s="96">
        <v>0</v>
      </c>
      <c r="S858" s="97">
        <f t="shared" si="553"/>
        <v>0</v>
      </c>
      <c r="T858" s="97" t="str">
        <f ca="1">ROUNDUP(HLOOKUP(ROUNDUP(K858,0),'배송비 조회'!A$10:AE$22,7,0)*C$3,-2)</f>
        <v>#REF!</v>
      </c>
      <c r="U858" s="97">
        <v>0</v>
      </c>
      <c r="V858" s="97" t="str">
        <f t="shared" ca="1" si="981"/>
        <v>#REF!</v>
      </c>
      <c r="W858" s="97" t="str">
        <f t="shared" ca="1" si="982"/>
        <v>#REF!</v>
      </c>
      <c r="X858" s="98" t="str">
        <f t="shared" ca="1" si="882"/>
        <v>#REF!</v>
      </c>
      <c r="Y858" s="98" t="str">
        <f t="shared" ca="1" si="883"/>
        <v>#REF!</v>
      </c>
      <c r="Z858" s="121">
        <v>0</v>
      </c>
      <c r="AA858" s="121" t="str">
        <f t="shared" ca="1" si="556"/>
        <v>#REF!</v>
      </c>
      <c r="AB858" s="121" t="str">
        <f t="shared" ca="1" si="557"/>
        <v>#REF!</v>
      </c>
      <c r="AC858" s="99" t="str">
        <f t="shared" ca="1" si="8"/>
        <v>#REF!</v>
      </c>
      <c r="AD858" s="121" t="str">
        <f t="shared" ca="1" si="558"/>
        <v>#REF!</v>
      </c>
      <c r="AE858" s="99" t="str">
        <f t="shared" ca="1" si="10"/>
        <v>#REF!</v>
      </c>
      <c r="AF858" s="121" t="str">
        <f t="shared" ca="1" si="559"/>
        <v>#REF!</v>
      </c>
      <c r="AG858" s="100" t="str">
        <f t="shared" ca="1" si="560"/>
        <v>#REF!</v>
      </c>
      <c r="AH858" s="101" t="str">
        <f t="shared" ca="1" si="891"/>
        <v>#REF!</v>
      </c>
      <c r="AI858" s="102" t="str">
        <f t="shared" ref="AI858:AJ858" ca="1" si="1191">AG858/X858</f>
        <v>#REF!</v>
      </c>
      <c r="AJ858" s="102" t="str">
        <f t="shared" ca="1" si="1191"/>
        <v>#REF!</v>
      </c>
      <c r="AK858" s="212"/>
      <c r="AL858" s="213"/>
      <c r="AM858" s="4"/>
      <c r="AN858" s="4"/>
      <c r="AO858" s="4"/>
      <c r="AP858" s="4"/>
      <c r="AQ858" s="4"/>
      <c r="AR858" s="4"/>
      <c r="AS858" s="4"/>
      <c r="AT858" s="4"/>
      <c r="AU858" s="4"/>
      <c r="AV858" s="4"/>
      <c r="AW858" s="4"/>
    </row>
    <row r="859" spans="1:49" ht="13.2">
      <c r="A859" s="120"/>
      <c r="B859" s="266"/>
      <c r="C859" s="117"/>
      <c r="D859" s="117"/>
      <c r="E859" s="117"/>
      <c r="F859" s="123"/>
      <c r="G859" s="125" t="s">
        <v>145</v>
      </c>
      <c r="H859" s="125"/>
      <c r="I859" s="125"/>
      <c r="J859" s="125"/>
      <c r="K859" s="82" t="str">
        <f t="shared" ca="1" si="1125"/>
        <v>#REF!</v>
      </c>
      <c r="L859" s="82" t="str">
        <f t="shared" ca="1" si="1126"/>
        <v>#REF!</v>
      </c>
      <c r="M859" s="82" t="str">
        <f t="shared" ca="1" si="550"/>
        <v>#REF!</v>
      </c>
      <c r="N859" s="93"/>
      <c r="O859" s="93"/>
      <c r="P859" s="95">
        <f t="shared" si="965"/>
        <v>0</v>
      </c>
      <c r="Q859" s="96">
        <f t="shared" si="1139"/>
        <v>0</v>
      </c>
      <c r="R859" s="96">
        <v>0</v>
      </c>
      <c r="S859" s="97">
        <f t="shared" si="553"/>
        <v>0</v>
      </c>
      <c r="T859" s="97" t="str">
        <f ca="1">ROUNDUP(HLOOKUP(ROUNDUP(K859,0),'배송비 조회'!A$10:AE$22,7,0)*C$3,-2)</f>
        <v>#REF!</v>
      </c>
      <c r="U859" s="97">
        <v>0</v>
      </c>
      <c r="V859" s="97" t="str">
        <f t="shared" ca="1" si="981"/>
        <v>#REF!</v>
      </c>
      <c r="W859" s="97" t="str">
        <f t="shared" ca="1" si="982"/>
        <v>#REF!</v>
      </c>
      <c r="X859" s="98" t="str">
        <f t="shared" ca="1" si="882"/>
        <v>#REF!</v>
      </c>
      <c r="Y859" s="98" t="str">
        <f t="shared" ca="1" si="883"/>
        <v>#REF!</v>
      </c>
      <c r="Z859" s="121">
        <v>0</v>
      </c>
      <c r="AA859" s="121" t="str">
        <f t="shared" ca="1" si="556"/>
        <v>#REF!</v>
      </c>
      <c r="AB859" s="121" t="str">
        <f t="shared" ca="1" si="557"/>
        <v>#REF!</v>
      </c>
      <c r="AC859" s="99" t="str">
        <f t="shared" ca="1" si="8"/>
        <v>#REF!</v>
      </c>
      <c r="AD859" s="121" t="str">
        <f t="shared" ca="1" si="558"/>
        <v>#REF!</v>
      </c>
      <c r="AE859" s="99" t="str">
        <f t="shared" ca="1" si="10"/>
        <v>#REF!</v>
      </c>
      <c r="AF859" s="121" t="str">
        <f t="shared" ca="1" si="559"/>
        <v>#REF!</v>
      </c>
      <c r="AG859" s="100" t="str">
        <f t="shared" ca="1" si="560"/>
        <v>#REF!</v>
      </c>
      <c r="AH859" s="101" t="str">
        <f t="shared" ca="1" si="891"/>
        <v>#REF!</v>
      </c>
      <c r="AI859" s="102" t="str">
        <f t="shared" ref="AI859:AJ859" ca="1" si="1192">AG859/X859</f>
        <v>#REF!</v>
      </c>
      <c r="AJ859" s="102" t="str">
        <f t="shared" ca="1" si="1192"/>
        <v>#REF!</v>
      </c>
      <c r="AK859" s="212"/>
      <c r="AL859" s="213"/>
      <c r="AM859" s="4"/>
      <c r="AN859" s="4"/>
      <c r="AO859" s="4"/>
      <c r="AP859" s="4"/>
      <c r="AQ859" s="4"/>
      <c r="AR859" s="4"/>
      <c r="AS859" s="4"/>
      <c r="AT859" s="4"/>
      <c r="AU859" s="4"/>
      <c r="AV859" s="4"/>
      <c r="AW859" s="4"/>
    </row>
    <row r="860" spans="1:49" ht="13.2">
      <c r="A860" s="120"/>
      <c r="B860" s="266"/>
      <c r="C860" s="117"/>
      <c r="D860" s="117"/>
      <c r="E860" s="117"/>
      <c r="F860" s="123"/>
      <c r="G860" s="125" t="s">
        <v>145</v>
      </c>
      <c r="H860" s="125"/>
      <c r="I860" s="125"/>
      <c r="J860" s="125"/>
      <c r="K860" s="82" t="str">
        <f t="shared" ca="1" si="1125"/>
        <v>#REF!</v>
      </c>
      <c r="L860" s="82" t="str">
        <f t="shared" ca="1" si="1126"/>
        <v>#REF!</v>
      </c>
      <c r="M860" s="82" t="str">
        <f t="shared" ca="1" si="550"/>
        <v>#REF!</v>
      </c>
      <c r="N860" s="93"/>
      <c r="O860" s="93"/>
      <c r="P860" s="95">
        <f t="shared" si="965"/>
        <v>0</v>
      </c>
      <c r="Q860" s="96">
        <f t="shared" si="1139"/>
        <v>0</v>
      </c>
      <c r="R860" s="96">
        <v>0</v>
      </c>
      <c r="S860" s="97">
        <f t="shared" si="553"/>
        <v>0</v>
      </c>
      <c r="T860" s="97" t="str">
        <f ca="1">ROUNDUP(HLOOKUP(ROUNDUP(K860,0),'배송비 조회'!A$10:AE$22,7,0)*C$3,-2)</f>
        <v>#REF!</v>
      </c>
      <c r="U860" s="97">
        <v>0</v>
      </c>
      <c r="V860" s="97" t="str">
        <f t="shared" ca="1" si="981"/>
        <v>#REF!</v>
      </c>
      <c r="W860" s="97" t="str">
        <f t="shared" ca="1" si="982"/>
        <v>#REF!</v>
      </c>
      <c r="X860" s="98" t="str">
        <f t="shared" ca="1" si="882"/>
        <v>#REF!</v>
      </c>
      <c r="Y860" s="98" t="str">
        <f t="shared" ca="1" si="883"/>
        <v>#REF!</v>
      </c>
      <c r="Z860" s="121">
        <v>0</v>
      </c>
      <c r="AA860" s="121" t="str">
        <f t="shared" ca="1" si="556"/>
        <v>#REF!</v>
      </c>
      <c r="AB860" s="121" t="str">
        <f t="shared" ca="1" si="557"/>
        <v>#REF!</v>
      </c>
      <c r="AC860" s="99" t="str">
        <f t="shared" ca="1" si="8"/>
        <v>#REF!</v>
      </c>
      <c r="AD860" s="121" t="str">
        <f t="shared" ca="1" si="558"/>
        <v>#REF!</v>
      </c>
      <c r="AE860" s="99" t="str">
        <f t="shared" ca="1" si="10"/>
        <v>#REF!</v>
      </c>
      <c r="AF860" s="121" t="str">
        <f t="shared" ca="1" si="559"/>
        <v>#REF!</v>
      </c>
      <c r="AG860" s="100" t="str">
        <f t="shared" ca="1" si="560"/>
        <v>#REF!</v>
      </c>
      <c r="AH860" s="101" t="str">
        <f t="shared" ca="1" si="891"/>
        <v>#REF!</v>
      </c>
      <c r="AI860" s="102" t="str">
        <f t="shared" ref="AI860:AJ860" ca="1" si="1193">AG860/X860</f>
        <v>#REF!</v>
      </c>
      <c r="AJ860" s="102" t="str">
        <f t="shared" ca="1" si="1193"/>
        <v>#REF!</v>
      </c>
      <c r="AK860" s="212"/>
      <c r="AL860" s="213"/>
      <c r="AM860" s="4"/>
      <c r="AN860" s="4"/>
      <c r="AO860" s="4"/>
      <c r="AP860" s="4"/>
      <c r="AQ860" s="4"/>
      <c r="AR860" s="4"/>
      <c r="AS860" s="4"/>
      <c r="AT860" s="4"/>
      <c r="AU860" s="4"/>
      <c r="AV860" s="4"/>
      <c r="AW860" s="4"/>
    </row>
    <row r="861" spans="1:49" ht="13.2">
      <c r="A861" s="120"/>
      <c r="B861" s="266"/>
      <c r="C861" s="117"/>
      <c r="D861" s="117"/>
      <c r="E861" s="117"/>
      <c r="F861" s="123"/>
      <c r="G861" s="125" t="s">
        <v>145</v>
      </c>
      <c r="H861" s="125"/>
      <c r="I861" s="125"/>
      <c r="J861" s="125"/>
      <c r="K861" s="82" t="str">
        <f t="shared" ca="1" si="1125"/>
        <v>#REF!</v>
      </c>
      <c r="L861" s="82" t="str">
        <f t="shared" ca="1" si="1126"/>
        <v>#REF!</v>
      </c>
      <c r="M861" s="82" t="str">
        <f t="shared" ca="1" si="550"/>
        <v>#REF!</v>
      </c>
      <c r="N861" s="93"/>
      <c r="O861" s="93"/>
      <c r="P861" s="95">
        <f t="shared" si="965"/>
        <v>0</v>
      </c>
      <c r="Q861" s="96">
        <f t="shared" si="1139"/>
        <v>0</v>
      </c>
      <c r="R861" s="96">
        <v>0</v>
      </c>
      <c r="S861" s="97">
        <f t="shared" si="553"/>
        <v>0</v>
      </c>
      <c r="T861" s="97" t="str">
        <f ca="1">ROUNDUP(HLOOKUP(ROUNDUP(K861,0),'배송비 조회'!A$10:AE$22,7,0)*C$3,-2)</f>
        <v>#REF!</v>
      </c>
      <c r="U861" s="97">
        <v>0</v>
      </c>
      <c r="V861" s="97" t="str">
        <f t="shared" ca="1" si="981"/>
        <v>#REF!</v>
      </c>
      <c r="W861" s="97" t="str">
        <f t="shared" ca="1" si="982"/>
        <v>#REF!</v>
      </c>
      <c r="X861" s="98" t="str">
        <f t="shared" ca="1" si="882"/>
        <v>#REF!</v>
      </c>
      <c r="Y861" s="98" t="str">
        <f t="shared" ca="1" si="883"/>
        <v>#REF!</v>
      </c>
      <c r="Z861" s="121">
        <v>0</v>
      </c>
      <c r="AA861" s="121" t="str">
        <f t="shared" ca="1" si="556"/>
        <v>#REF!</v>
      </c>
      <c r="AB861" s="121" t="str">
        <f t="shared" ca="1" si="557"/>
        <v>#REF!</v>
      </c>
      <c r="AC861" s="99" t="str">
        <f t="shared" ca="1" si="8"/>
        <v>#REF!</v>
      </c>
      <c r="AD861" s="121" t="str">
        <f t="shared" ca="1" si="558"/>
        <v>#REF!</v>
      </c>
      <c r="AE861" s="99" t="str">
        <f t="shared" ca="1" si="10"/>
        <v>#REF!</v>
      </c>
      <c r="AF861" s="121" t="str">
        <f t="shared" ca="1" si="559"/>
        <v>#REF!</v>
      </c>
      <c r="AG861" s="100" t="str">
        <f t="shared" ca="1" si="560"/>
        <v>#REF!</v>
      </c>
      <c r="AH861" s="101" t="str">
        <f t="shared" ca="1" si="891"/>
        <v>#REF!</v>
      </c>
      <c r="AI861" s="102" t="str">
        <f t="shared" ref="AI861:AJ861" ca="1" si="1194">AG861/X861</f>
        <v>#REF!</v>
      </c>
      <c r="AJ861" s="102" t="str">
        <f t="shared" ca="1" si="1194"/>
        <v>#REF!</v>
      </c>
      <c r="AK861" s="212"/>
      <c r="AL861" s="213"/>
      <c r="AM861" s="4"/>
      <c r="AN861" s="4"/>
      <c r="AO861" s="4"/>
      <c r="AP861" s="4"/>
      <c r="AQ861" s="4"/>
      <c r="AR861" s="4"/>
      <c r="AS861" s="4"/>
      <c r="AT861" s="4"/>
      <c r="AU861" s="4"/>
      <c r="AV861" s="4"/>
      <c r="AW861" s="4"/>
    </row>
    <row r="862" spans="1:49" ht="13.2">
      <c r="A862" s="120"/>
      <c r="B862" s="266"/>
      <c r="C862" s="117"/>
      <c r="D862" s="117"/>
      <c r="E862" s="117"/>
      <c r="F862" s="123"/>
      <c r="G862" s="125" t="s">
        <v>145</v>
      </c>
      <c r="H862" s="125"/>
      <c r="I862" s="125"/>
      <c r="J862" s="125"/>
      <c r="K862" s="82" t="str">
        <f t="shared" ca="1" si="1125"/>
        <v>#REF!</v>
      </c>
      <c r="L862" s="82" t="str">
        <f t="shared" ca="1" si="1126"/>
        <v>#REF!</v>
      </c>
      <c r="M862" s="82" t="str">
        <f t="shared" ca="1" si="550"/>
        <v>#REF!</v>
      </c>
      <c r="N862" s="93"/>
      <c r="O862" s="93"/>
      <c r="P862" s="95">
        <f t="shared" si="965"/>
        <v>0</v>
      </c>
      <c r="Q862" s="96">
        <f t="shared" si="1139"/>
        <v>0</v>
      </c>
      <c r="R862" s="96">
        <v>0</v>
      </c>
      <c r="S862" s="97">
        <f t="shared" si="553"/>
        <v>0</v>
      </c>
      <c r="T862" s="97" t="str">
        <f ca="1">ROUNDUP(HLOOKUP(ROUNDUP(K862,0),'배송비 조회'!A$10:AE$22,7,0)*C$3,-2)</f>
        <v>#REF!</v>
      </c>
      <c r="U862" s="97">
        <v>0</v>
      </c>
      <c r="V862" s="97" t="str">
        <f t="shared" ca="1" si="981"/>
        <v>#REF!</v>
      </c>
      <c r="W862" s="97" t="str">
        <f t="shared" ca="1" si="982"/>
        <v>#REF!</v>
      </c>
      <c r="X862" s="98" t="str">
        <f t="shared" ca="1" si="882"/>
        <v>#REF!</v>
      </c>
      <c r="Y862" s="98" t="str">
        <f t="shared" ca="1" si="883"/>
        <v>#REF!</v>
      </c>
      <c r="Z862" s="121">
        <v>0</v>
      </c>
      <c r="AA862" s="121" t="str">
        <f t="shared" ca="1" si="556"/>
        <v>#REF!</v>
      </c>
      <c r="AB862" s="121" t="str">
        <f t="shared" ca="1" si="557"/>
        <v>#REF!</v>
      </c>
      <c r="AC862" s="99" t="str">
        <f t="shared" ca="1" si="8"/>
        <v>#REF!</v>
      </c>
      <c r="AD862" s="121" t="str">
        <f t="shared" ca="1" si="558"/>
        <v>#REF!</v>
      </c>
      <c r="AE862" s="99" t="str">
        <f t="shared" ca="1" si="10"/>
        <v>#REF!</v>
      </c>
      <c r="AF862" s="121" t="str">
        <f t="shared" ca="1" si="559"/>
        <v>#REF!</v>
      </c>
      <c r="AG862" s="100" t="str">
        <f t="shared" ca="1" si="560"/>
        <v>#REF!</v>
      </c>
      <c r="AH862" s="101" t="str">
        <f t="shared" ca="1" si="891"/>
        <v>#REF!</v>
      </c>
      <c r="AI862" s="102" t="str">
        <f t="shared" ref="AI862:AJ862" ca="1" si="1195">AG862/X862</f>
        <v>#REF!</v>
      </c>
      <c r="AJ862" s="102" t="str">
        <f t="shared" ca="1" si="1195"/>
        <v>#REF!</v>
      </c>
      <c r="AK862" s="212"/>
      <c r="AL862" s="213"/>
      <c r="AM862" s="4"/>
      <c r="AN862" s="4"/>
      <c r="AO862" s="4"/>
      <c r="AP862" s="4"/>
      <c r="AQ862" s="4"/>
      <c r="AR862" s="4"/>
      <c r="AS862" s="4"/>
      <c r="AT862" s="4"/>
      <c r="AU862" s="4"/>
      <c r="AV862" s="4"/>
      <c r="AW862" s="4"/>
    </row>
    <row r="863" spans="1:49" ht="13.2">
      <c r="A863" s="120"/>
      <c r="B863" s="266"/>
      <c r="C863" s="117"/>
      <c r="D863" s="117"/>
      <c r="E863" s="117"/>
      <c r="F863" s="123"/>
      <c r="G863" s="125" t="s">
        <v>145</v>
      </c>
      <c r="H863" s="125"/>
      <c r="I863" s="125"/>
      <c r="J863" s="125"/>
      <c r="K863" s="82" t="str">
        <f t="shared" ca="1" si="1125"/>
        <v>#REF!</v>
      </c>
      <c r="L863" s="82" t="str">
        <f t="shared" ca="1" si="1126"/>
        <v>#REF!</v>
      </c>
      <c r="M863" s="82" t="str">
        <f t="shared" ca="1" si="550"/>
        <v>#REF!</v>
      </c>
      <c r="N863" s="93"/>
      <c r="O863" s="93"/>
      <c r="P863" s="95">
        <f t="shared" si="965"/>
        <v>0</v>
      </c>
      <c r="Q863" s="96">
        <f t="shared" si="1139"/>
        <v>0</v>
      </c>
      <c r="R863" s="96">
        <v>0</v>
      </c>
      <c r="S863" s="97">
        <f t="shared" si="553"/>
        <v>0</v>
      </c>
      <c r="T863" s="97" t="str">
        <f ca="1">ROUNDUP(HLOOKUP(ROUNDUP(K863,0),'배송비 조회'!A$10:AE$22,7,0)*C$3,-2)</f>
        <v>#REF!</v>
      </c>
      <c r="U863" s="97">
        <v>0</v>
      </c>
      <c r="V863" s="97" t="str">
        <f t="shared" ca="1" si="981"/>
        <v>#REF!</v>
      </c>
      <c r="W863" s="97" t="str">
        <f t="shared" ca="1" si="982"/>
        <v>#REF!</v>
      </c>
      <c r="X863" s="98" t="str">
        <f t="shared" ca="1" si="882"/>
        <v>#REF!</v>
      </c>
      <c r="Y863" s="98" t="str">
        <f t="shared" ca="1" si="883"/>
        <v>#REF!</v>
      </c>
      <c r="Z863" s="121">
        <v>0</v>
      </c>
      <c r="AA863" s="121" t="str">
        <f t="shared" ca="1" si="556"/>
        <v>#REF!</v>
      </c>
      <c r="AB863" s="121" t="str">
        <f t="shared" ca="1" si="557"/>
        <v>#REF!</v>
      </c>
      <c r="AC863" s="99" t="str">
        <f t="shared" ca="1" si="8"/>
        <v>#REF!</v>
      </c>
      <c r="AD863" s="121" t="str">
        <f t="shared" ca="1" si="558"/>
        <v>#REF!</v>
      </c>
      <c r="AE863" s="99" t="str">
        <f t="shared" ca="1" si="10"/>
        <v>#REF!</v>
      </c>
      <c r="AF863" s="121" t="str">
        <f t="shared" ca="1" si="559"/>
        <v>#REF!</v>
      </c>
      <c r="AG863" s="100" t="str">
        <f t="shared" ca="1" si="560"/>
        <v>#REF!</v>
      </c>
      <c r="AH863" s="101" t="str">
        <f t="shared" ca="1" si="891"/>
        <v>#REF!</v>
      </c>
      <c r="AI863" s="102" t="str">
        <f t="shared" ref="AI863:AJ863" ca="1" si="1196">AG863/X863</f>
        <v>#REF!</v>
      </c>
      <c r="AJ863" s="102" t="str">
        <f t="shared" ca="1" si="1196"/>
        <v>#REF!</v>
      </c>
      <c r="AK863" s="212"/>
      <c r="AL863" s="213"/>
      <c r="AM863" s="4"/>
      <c r="AN863" s="4"/>
      <c r="AO863" s="4"/>
      <c r="AP863" s="4"/>
      <c r="AQ863" s="4"/>
      <c r="AR863" s="4"/>
      <c r="AS863" s="4"/>
      <c r="AT863" s="4"/>
      <c r="AU863" s="4"/>
      <c r="AV863" s="4"/>
      <c r="AW863" s="4"/>
    </row>
    <row r="864" spans="1:49" ht="13.2">
      <c r="A864" s="120"/>
      <c r="B864" s="266"/>
      <c r="C864" s="117"/>
      <c r="D864" s="117"/>
      <c r="E864" s="117"/>
      <c r="F864" s="123"/>
      <c r="G864" s="125" t="s">
        <v>145</v>
      </c>
      <c r="H864" s="125"/>
      <c r="I864" s="125"/>
      <c r="J864" s="125"/>
      <c r="K864" s="82" t="str">
        <f t="shared" ca="1" si="1125"/>
        <v>#REF!</v>
      </c>
      <c r="L864" s="82" t="str">
        <f t="shared" ca="1" si="1126"/>
        <v>#REF!</v>
      </c>
      <c r="M864" s="82" t="str">
        <f t="shared" ca="1" si="550"/>
        <v>#REF!</v>
      </c>
      <c r="N864" s="93"/>
      <c r="O864" s="93"/>
      <c r="P864" s="95">
        <f t="shared" si="965"/>
        <v>0</v>
      </c>
      <c r="Q864" s="96">
        <f t="shared" si="1139"/>
        <v>0</v>
      </c>
      <c r="R864" s="96">
        <v>0</v>
      </c>
      <c r="S864" s="97">
        <f t="shared" si="553"/>
        <v>0</v>
      </c>
      <c r="T864" s="97" t="str">
        <f ca="1">ROUNDUP(HLOOKUP(ROUNDUP(K864,0),'배송비 조회'!A$10:AE$22,7,0)*C$3,-2)</f>
        <v>#REF!</v>
      </c>
      <c r="U864" s="97">
        <v>0</v>
      </c>
      <c r="V864" s="97" t="str">
        <f t="shared" ca="1" si="981"/>
        <v>#REF!</v>
      </c>
      <c r="W864" s="97" t="str">
        <f t="shared" ca="1" si="982"/>
        <v>#REF!</v>
      </c>
      <c r="X864" s="98" t="str">
        <f t="shared" ca="1" si="882"/>
        <v>#REF!</v>
      </c>
      <c r="Y864" s="98" t="str">
        <f t="shared" ca="1" si="883"/>
        <v>#REF!</v>
      </c>
      <c r="Z864" s="121">
        <v>0</v>
      </c>
      <c r="AA864" s="121" t="str">
        <f t="shared" ca="1" si="556"/>
        <v>#REF!</v>
      </c>
      <c r="AB864" s="121" t="str">
        <f t="shared" ca="1" si="557"/>
        <v>#REF!</v>
      </c>
      <c r="AC864" s="99" t="str">
        <f t="shared" ca="1" si="8"/>
        <v>#REF!</v>
      </c>
      <c r="AD864" s="121" t="str">
        <f t="shared" ca="1" si="558"/>
        <v>#REF!</v>
      </c>
      <c r="AE864" s="99" t="str">
        <f t="shared" ca="1" si="10"/>
        <v>#REF!</v>
      </c>
      <c r="AF864" s="121" t="str">
        <f t="shared" ca="1" si="559"/>
        <v>#REF!</v>
      </c>
      <c r="AG864" s="100" t="str">
        <f t="shared" ca="1" si="560"/>
        <v>#REF!</v>
      </c>
      <c r="AH864" s="101" t="str">
        <f t="shared" ca="1" si="891"/>
        <v>#REF!</v>
      </c>
      <c r="AI864" s="102" t="str">
        <f t="shared" ref="AI864:AJ864" ca="1" si="1197">AG864/X864</f>
        <v>#REF!</v>
      </c>
      <c r="AJ864" s="102" t="str">
        <f t="shared" ca="1" si="1197"/>
        <v>#REF!</v>
      </c>
      <c r="AK864" s="212"/>
      <c r="AL864" s="213"/>
      <c r="AM864" s="4"/>
      <c r="AN864" s="4"/>
      <c r="AO864" s="4"/>
      <c r="AP864" s="4"/>
      <c r="AQ864" s="4"/>
      <c r="AR864" s="4"/>
      <c r="AS864" s="4"/>
      <c r="AT864" s="4"/>
      <c r="AU864" s="4"/>
      <c r="AV864" s="4"/>
      <c r="AW864" s="4"/>
    </row>
    <row r="865" spans="1:49" ht="13.2">
      <c r="A865" s="120"/>
      <c r="B865" s="266"/>
      <c r="C865" s="117"/>
      <c r="D865" s="117"/>
      <c r="E865" s="117"/>
      <c r="F865" s="123"/>
      <c r="G865" s="125" t="s">
        <v>145</v>
      </c>
      <c r="H865" s="125"/>
      <c r="I865" s="125"/>
      <c r="J865" s="125"/>
      <c r="K865" s="82" t="str">
        <f t="shared" ca="1" si="1125"/>
        <v>#REF!</v>
      </c>
      <c r="L865" s="82" t="str">
        <f t="shared" ca="1" si="1126"/>
        <v>#REF!</v>
      </c>
      <c r="M865" s="82" t="str">
        <f t="shared" ca="1" si="550"/>
        <v>#REF!</v>
      </c>
      <c r="N865" s="93"/>
      <c r="O865" s="93"/>
      <c r="P865" s="95">
        <f t="shared" si="965"/>
        <v>0</v>
      </c>
      <c r="Q865" s="96">
        <f t="shared" si="1139"/>
        <v>0</v>
      </c>
      <c r="R865" s="96">
        <v>0</v>
      </c>
      <c r="S865" s="97">
        <f t="shared" si="553"/>
        <v>0</v>
      </c>
      <c r="T865" s="97" t="str">
        <f ca="1">ROUNDUP(HLOOKUP(ROUNDUP(K865,0),'배송비 조회'!A$10:AE$22,7,0)*C$3,-2)</f>
        <v>#REF!</v>
      </c>
      <c r="U865" s="97">
        <v>0</v>
      </c>
      <c r="V865" s="97" t="str">
        <f t="shared" ca="1" si="981"/>
        <v>#REF!</v>
      </c>
      <c r="W865" s="97" t="str">
        <f t="shared" ca="1" si="982"/>
        <v>#REF!</v>
      </c>
      <c r="X865" s="98" t="str">
        <f t="shared" ca="1" si="882"/>
        <v>#REF!</v>
      </c>
      <c r="Y865" s="98" t="str">
        <f t="shared" ca="1" si="883"/>
        <v>#REF!</v>
      </c>
      <c r="Z865" s="121">
        <v>0</v>
      </c>
      <c r="AA865" s="121" t="str">
        <f t="shared" ca="1" si="556"/>
        <v>#REF!</v>
      </c>
      <c r="AB865" s="121" t="str">
        <f t="shared" ca="1" si="557"/>
        <v>#REF!</v>
      </c>
      <c r="AC865" s="99" t="str">
        <f t="shared" ca="1" si="8"/>
        <v>#REF!</v>
      </c>
      <c r="AD865" s="121" t="str">
        <f t="shared" ca="1" si="558"/>
        <v>#REF!</v>
      </c>
      <c r="AE865" s="99" t="str">
        <f t="shared" ca="1" si="10"/>
        <v>#REF!</v>
      </c>
      <c r="AF865" s="121" t="str">
        <f t="shared" ca="1" si="559"/>
        <v>#REF!</v>
      </c>
      <c r="AG865" s="100" t="str">
        <f t="shared" ca="1" si="560"/>
        <v>#REF!</v>
      </c>
      <c r="AH865" s="101" t="str">
        <f t="shared" ca="1" si="891"/>
        <v>#REF!</v>
      </c>
      <c r="AI865" s="102" t="str">
        <f t="shared" ref="AI865:AJ865" ca="1" si="1198">AG865/X865</f>
        <v>#REF!</v>
      </c>
      <c r="AJ865" s="102" t="str">
        <f t="shared" ca="1" si="1198"/>
        <v>#REF!</v>
      </c>
      <c r="AK865" s="212"/>
      <c r="AL865" s="213"/>
      <c r="AM865" s="4"/>
      <c r="AN865" s="4"/>
      <c r="AO865" s="4"/>
      <c r="AP865" s="4"/>
      <c r="AQ865" s="4"/>
      <c r="AR865" s="4"/>
      <c r="AS865" s="4"/>
      <c r="AT865" s="4"/>
      <c r="AU865" s="4"/>
      <c r="AV865" s="4"/>
      <c r="AW865" s="4"/>
    </row>
    <row r="866" spans="1:49" ht="13.2">
      <c r="A866" s="120"/>
      <c r="B866" s="266"/>
      <c r="C866" s="117"/>
      <c r="D866" s="117"/>
      <c r="E866" s="117"/>
      <c r="F866" s="123"/>
      <c r="G866" s="125" t="s">
        <v>145</v>
      </c>
      <c r="H866" s="125"/>
      <c r="I866" s="125"/>
      <c r="J866" s="125"/>
      <c r="K866" s="82" t="str">
        <f t="shared" ca="1" si="1125"/>
        <v>#REF!</v>
      </c>
      <c r="L866" s="82" t="str">
        <f t="shared" ca="1" si="1126"/>
        <v>#REF!</v>
      </c>
      <c r="M866" s="82" t="str">
        <f t="shared" ca="1" si="550"/>
        <v>#REF!</v>
      </c>
      <c r="N866" s="93"/>
      <c r="O866" s="93"/>
      <c r="P866" s="95">
        <f t="shared" si="965"/>
        <v>0</v>
      </c>
      <c r="Q866" s="96">
        <f t="shared" si="1139"/>
        <v>0</v>
      </c>
      <c r="R866" s="96">
        <v>0</v>
      </c>
      <c r="S866" s="97">
        <f t="shared" si="553"/>
        <v>0</v>
      </c>
      <c r="T866" s="97" t="str">
        <f ca="1">ROUNDUP(HLOOKUP(ROUNDUP(K866,0),'배송비 조회'!A$10:AE$22,7,0)*C$3,-2)</f>
        <v>#REF!</v>
      </c>
      <c r="U866" s="97">
        <v>0</v>
      </c>
      <c r="V866" s="97" t="str">
        <f t="shared" ca="1" si="981"/>
        <v>#REF!</v>
      </c>
      <c r="W866" s="97" t="str">
        <f t="shared" ca="1" si="982"/>
        <v>#REF!</v>
      </c>
      <c r="X866" s="98" t="str">
        <f t="shared" ca="1" si="882"/>
        <v>#REF!</v>
      </c>
      <c r="Y866" s="98" t="str">
        <f t="shared" ca="1" si="883"/>
        <v>#REF!</v>
      </c>
      <c r="Z866" s="121">
        <v>0</v>
      </c>
      <c r="AA866" s="121" t="str">
        <f t="shared" ca="1" si="556"/>
        <v>#REF!</v>
      </c>
      <c r="AB866" s="121" t="str">
        <f t="shared" ca="1" si="557"/>
        <v>#REF!</v>
      </c>
      <c r="AC866" s="99" t="str">
        <f t="shared" ca="1" si="8"/>
        <v>#REF!</v>
      </c>
      <c r="AD866" s="121" t="str">
        <f t="shared" ca="1" si="558"/>
        <v>#REF!</v>
      </c>
      <c r="AE866" s="99" t="str">
        <f t="shared" ca="1" si="10"/>
        <v>#REF!</v>
      </c>
      <c r="AF866" s="121" t="str">
        <f t="shared" ca="1" si="559"/>
        <v>#REF!</v>
      </c>
      <c r="AG866" s="100" t="str">
        <f t="shared" ca="1" si="560"/>
        <v>#REF!</v>
      </c>
      <c r="AH866" s="101" t="str">
        <f t="shared" ca="1" si="891"/>
        <v>#REF!</v>
      </c>
      <c r="AI866" s="102" t="str">
        <f t="shared" ref="AI866:AJ866" ca="1" si="1199">AG866/X866</f>
        <v>#REF!</v>
      </c>
      <c r="AJ866" s="102" t="str">
        <f t="shared" ca="1" si="1199"/>
        <v>#REF!</v>
      </c>
      <c r="AK866" s="212"/>
      <c r="AL866" s="213"/>
      <c r="AM866" s="4"/>
      <c r="AN866" s="4"/>
      <c r="AO866" s="4"/>
      <c r="AP866" s="4"/>
      <c r="AQ866" s="4"/>
      <c r="AR866" s="4"/>
      <c r="AS866" s="4"/>
      <c r="AT866" s="4"/>
      <c r="AU866" s="4"/>
      <c r="AV866" s="4"/>
      <c r="AW866" s="4"/>
    </row>
    <row r="867" spans="1:49" ht="13.2">
      <c r="A867" s="120"/>
      <c r="B867" s="266"/>
      <c r="C867" s="117"/>
      <c r="D867" s="117"/>
      <c r="E867" s="117"/>
      <c r="F867" s="123"/>
      <c r="G867" s="125" t="s">
        <v>145</v>
      </c>
      <c r="H867" s="125"/>
      <c r="I867" s="125"/>
      <c r="J867" s="125"/>
      <c r="K867" s="82" t="str">
        <f t="shared" ca="1" si="1125"/>
        <v>#REF!</v>
      </c>
      <c r="L867" s="82" t="str">
        <f t="shared" ca="1" si="1126"/>
        <v>#REF!</v>
      </c>
      <c r="M867" s="82" t="str">
        <f t="shared" ca="1" si="550"/>
        <v>#REF!</v>
      </c>
      <c r="N867" s="93"/>
      <c r="O867" s="93"/>
      <c r="P867" s="95">
        <f t="shared" si="965"/>
        <v>0</v>
      </c>
      <c r="Q867" s="96">
        <f t="shared" si="1139"/>
        <v>0</v>
      </c>
      <c r="R867" s="96">
        <v>0</v>
      </c>
      <c r="S867" s="97">
        <f t="shared" si="553"/>
        <v>0</v>
      </c>
      <c r="T867" s="97" t="str">
        <f ca="1">ROUNDUP(HLOOKUP(ROUNDUP(K867,0),'배송비 조회'!A$10:AE$22,7,0)*C$3,-2)</f>
        <v>#REF!</v>
      </c>
      <c r="U867" s="97">
        <v>0</v>
      </c>
      <c r="V867" s="97" t="str">
        <f t="shared" ca="1" si="981"/>
        <v>#REF!</v>
      </c>
      <c r="W867" s="97" t="str">
        <f t="shared" ca="1" si="982"/>
        <v>#REF!</v>
      </c>
      <c r="X867" s="98" t="str">
        <f t="shared" ca="1" si="882"/>
        <v>#REF!</v>
      </c>
      <c r="Y867" s="98" t="str">
        <f t="shared" ca="1" si="883"/>
        <v>#REF!</v>
      </c>
      <c r="Z867" s="121">
        <v>0</v>
      </c>
      <c r="AA867" s="121" t="str">
        <f t="shared" ca="1" si="556"/>
        <v>#REF!</v>
      </c>
      <c r="AB867" s="121" t="str">
        <f t="shared" ca="1" si="557"/>
        <v>#REF!</v>
      </c>
      <c r="AC867" s="99" t="str">
        <f t="shared" ca="1" si="8"/>
        <v>#REF!</v>
      </c>
      <c r="AD867" s="121" t="str">
        <f t="shared" ca="1" si="558"/>
        <v>#REF!</v>
      </c>
      <c r="AE867" s="99" t="str">
        <f t="shared" ca="1" si="10"/>
        <v>#REF!</v>
      </c>
      <c r="AF867" s="121" t="str">
        <f t="shared" ca="1" si="559"/>
        <v>#REF!</v>
      </c>
      <c r="AG867" s="100" t="str">
        <f t="shared" ca="1" si="560"/>
        <v>#REF!</v>
      </c>
      <c r="AH867" s="101" t="str">
        <f t="shared" ca="1" si="891"/>
        <v>#REF!</v>
      </c>
      <c r="AI867" s="102" t="str">
        <f t="shared" ref="AI867:AJ867" ca="1" si="1200">AG867/X867</f>
        <v>#REF!</v>
      </c>
      <c r="AJ867" s="102" t="str">
        <f t="shared" ca="1" si="1200"/>
        <v>#REF!</v>
      </c>
      <c r="AK867" s="212"/>
      <c r="AL867" s="213"/>
      <c r="AM867" s="4"/>
      <c r="AN867" s="4"/>
      <c r="AO867" s="4"/>
      <c r="AP867" s="4"/>
      <c r="AQ867" s="4"/>
      <c r="AR867" s="4"/>
      <c r="AS867" s="4"/>
      <c r="AT867" s="4"/>
      <c r="AU867" s="4"/>
      <c r="AV867" s="4"/>
      <c r="AW867" s="4"/>
    </row>
    <row r="868" spans="1:49" ht="13.2">
      <c r="A868" s="120"/>
      <c r="B868" s="266"/>
      <c r="C868" s="117"/>
      <c r="D868" s="117"/>
      <c r="E868" s="117"/>
      <c r="F868" s="123"/>
      <c r="G868" s="125" t="s">
        <v>145</v>
      </c>
      <c r="H868" s="125"/>
      <c r="I868" s="125"/>
      <c r="J868" s="125"/>
      <c r="K868" s="82" t="str">
        <f t="shared" ca="1" si="1125"/>
        <v>#REF!</v>
      </c>
      <c r="L868" s="82" t="str">
        <f t="shared" ca="1" si="1126"/>
        <v>#REF!</v>
      </c>
      <c r="M868" s="82" t="str">
        <f t="shared" ca="1" si="550"/>
        <v>#REF!</v>
      </c>
      <c r="N868" s="93"/>
      <c r="O868" s="93"/>
      <c r="P868" s="95">
        <f t="shared" si="965"/>
        <v>0</v>
      </c>
      <c r="Q868" s="96">
        <f t="shared" si="1139"/>
        <v>0</v>
      </c>
      <c r="R868" s="96">
        <v>0</v>
      </c>
      <c r="S868" s="97">
        <f t="shared" si="553"/>
        <v>0</v>
      </c>
      <c r="T868" s="97" t="str">
        <f ca="1">ROUNDUP(HLOOKUP(ROUNDUP(K868,0),'배송비 조회'!A$10:AE$22,7,0)*C$3,-2)</f>
        <v>#REF!</v>
      </c>
      <c r="U868" s="97">
        <v>0</v>
      </c>
      <c r="V868" s="97" t="str">
        <f t="shared" ca="1" si="981"/>
        <v>#REF!</v>
      </c>
      <c r="W868" s="97" t="str">
        <f t="shared" ca="1" si="982"/>
        <v>#REF!</v>
      </c>
      <c r="X868" s="98" t="str">
        <f t="shared" ca="1" si="882"/>
        <v>#REF!</v>
      </c>
      <c r="Y868" s="98" t="str">
        <f t="shared" ca="1" si="883"/>
        <v>#REF!</v>
      </c>
      <c r="Z868" s="121">
        <v>0</v>
      </c>
      <c r="AA868" s="121" t="str">
        <f t="shared" ca="1" si="556"/>
        <v>#REF!</v>
      </c>
      <c r="AB868" s="121" t="str">
        <f t="shared" ca="1" si="557"/>
        <v>#REF!</v>
      </c>
      <c r="AC868" s="99" t="str">
        <f t="shared" ca="1" si="8"/>
        <v>#REF!</v>
      </c>
      <c r="AD868" s="121" t="str">
        <f t="shared" ca="1" si="558"/>
        <v>#REF!</v>
      </c>
      <c r="AE868" s="99" t="str">
        <f t="shared" ca="1" si="10"/>
        <v>#REF!</v>
      </c>
      <c r="AF868" s="121" t="str">
        <f t="shared" ca="1" si="559"/>
        <v>#REF!</v>
      </c>
      <c r="AG868" s="100" t="str">
        <f t="shared" ca="1" si="560"/>
        <v>#REF!</v>
      </c>
      <c r="AH868" s="101" t="str">
        <f t="shared" ca="1" si="891"/>
        <v>#REF!</v>
      </c>
      <c r="AI868" s="102" t="str">
        <f t="shared" ref="AI868:AJ868" ca="1" si="1201">AG868/X868</f>
        <v>#REF!</v>
      </c>
      <c r="AJ868" s="102" t="str">
        <f t="shared" ca="1" si="1201"/>
        <v>#REF!</v>
      </c>
      <c r="AK868" s="212"/>
      <c r="AL868" s="213"/>
      <c r="AM868" s="4"/>
      <c r="AN868" s="4"/>
      <c r="AO868" s="4"/>
      <c r="AP868" s="4"/>
      <c r="AQ868" s="4"/>
      <c r="AR868" s="4"/>
      <c r="AS868" s="4"/>
      <c r="AT868" s="4"/>
      <c r="AU868" s="4"/>
      <c r="AV868" s="4"/>
      <c r="AW868" s="4"/>
    </row>
    <row r="869" spans="1:49" ht="13.2">
      <c r="A869" s="120"/>
      <c r="B869" s="266"/>
      <c r="C869" s="117"/>
      <c r="D869" s="117"/>
      <c r="E869" s="117"/>
      <c r="F869" s="123"/>
      <c r="G869" s="125" t="s">
        <v>145</v>
      </c>
      <c r="H869" s="125"/>
      <c r="I869" s="125"/>
      <c r="J869" s="125"/>
      <c r="K869" s="82" t="str">
        <f t="shared" ca="1" si="1125"/>
        <v>#REF!</v>
      </c>
      <c r="L869" s="82" t="str">
        <f t="shared" ca="1" si="1126"/>
        <v>#REF!</v>
      </c>
      <c r="M869" s="82" t="str">
        <f t="shared" ca="1" si="550"/>
        <v>#REF!</v>
      </c>
      <c r="N869" s="93"/>
      <c r="O869" s="93"/>
      <c r="P869" s="95">
        <f t="shared" si="965"/>
        <v>0</v>
      </c>
      <c r="Q869" s="96">
        <f t="shared" si="1139"/>
        <v>0</v>
      </c>
      <c r="R869" s="96">
        <v>0</v>
      </c>
      <c r="S869" s="97">
        <f t="shared" si="553"/>
        <v>0</v>
      </c>
      <c r="T869" s="97" t="str">
        <f ca="1">ROUNDUP(HLOOKUP(ROUNDUP(K869,0),'배송비 조회'!A$10:AE$22,7,0)*C$3,-2)</f>
        <v>#REF!</v>
      </c>
      <c r="U869" s="97">
        <v>0</v>
      </c>
      <c r="V869" s="97" t="str">
        <f t="shared" ca="1" si="981"/>
        <v>#REF!</v>
      </c>
      <c r="W869" s="97" t="str">
        <f t="shared" ca="1" si="982"/>
        <v>#REF!</v>
      </c>
      <c r="X869" s="98" t="str">
        <f t="shared" ca="1" si="882"/>
        <v>#REF!</v>
      </c>
      <c r="Y869" s="98" t="str">
        <f t="shared" ca="1" si="883"/>
        <v>#REF!</v>
      </c>
      <c r="Z869" s="121">
        <v>0</v>
      </c>
      <c r="AA869" s="121" t="str">
        <f t="shared" ca="1" si="556"/>
        <v>#REF!</v>
      </c>
      <c r="AB869" s="121" t="str">
        <f t="shared" ca="1" si="557"/>
        <v>#REF!</v>
      </c>
      <c r="AC869" s="99" t="str">
        <f t="shared" ca="1" si="8"/>
        <v>#REF!</v>
      </c>
      <c r="AD869" s="121" t="str">
        <f t="shared" ca="1" si="558"/>
        <v>#REF!</v>
      </c>
      <c r="AE869" s="99" t="str">
        <f t="shared" ca="1" si="10"/>
        <v>#REF!</v>
      </c>
      <c r="AF869" s="121" t="str">
        <f t="shared" ca="1" si="559"/>
        <v>#REF!</v>
      </c>
      <c r="AG869" s="100" t="str">
        <f t="shared" ca="1" si="560"/>
        <v>#REF!</v>
      </c>
      <c r="AH869" s="101" t="str">
        <f t="shared" ca="1" si="891"/>
        <v>#REF!</v>
      </c>
      <c r="AI869" s="102" t="str">
        <f t="shared" ref="AI869:AJ869" ca="1" si="1202">AG869/X869</f>
        <v>#REF!</v>
      </c>
      <c r="AJ869" s="102" t="str">
        <f t="shared" ca="1" si="1202"/>
        <v>#REF!</v>
      </c>
      <c r="AK869" s="212"/>
      <c r="AL869" s="213"/>
      <c r="AM869" s="4"/>
      <c r="AN869" s="4"/>
      <c r="AO869" s="4"/>
      <c r="AP869" s="4"/>
      <c r="AQ869" s="4"/>
      <c r="AR869" s="4"/>
      <c r="AS869" s="4"/>
      <c r="AT869" s="4"/>
      <c r="AU869" s="4"/>
      <c r="AV869" s="4"/>
      <c r="AW869" s="4"/>
    </row>
    <row r="870" spans="1:49" ht="13.2">
      <c r="A870" s="120"/>
      <c r="B870" s="266"/>
      <c r="C870" s="117"/>
      <c r="D870" s="117"/>
      <c r="E870" s="117"/>
      <c r="F870" s="123"/>
      <c r="G870" s="125" t="s">
        <v>145</v>
      </c>
      <c r="H870" s="125"/>
      <c r="I870" s="125"/>
      <c r="J870" s="125"/>
      <c r="K870" s="82" t="str">
        <f t="shared" ca="1" si="1125"/>
        <v>#REF!</v>
      </c>
      <c r="L870" s="82" t="str">
        <f t="shared" ca="1" si="1126"/>
        <v>#REF!</v>
      </c>
      <c r="M870" s="82" t="str">
        <f t="shared" ca="1" si="550"/>
        <v>#REF!</v>
      </c>
      <c r="N870" s="93"/>
      <c r="O870" s="93"/>
      <c r="P870" s="95">
        <f t="shared" si="965"/>
        <v>0</v>
      </c>
      <c r="Q870" s="96">
        <f t="shared" si="1139"/>
        <v>0</v>
      </c>
      <c r="R870" s="96">
        <v>0</v>
      </c>
      <c r="S870" s="97">
        <f t="shared" si="553"/>
        <v>0</v>
      </c>
      <c r="T870" s="97" t="str">
        <f ca="1">ROUNDUP(HLOOKUP(ROUNDUP(K870,0),'배송비 조회'!A$10:AE$22,7,0)*C$3,-2)</f>
        <v>#REF!</v>
      </c>
      <c r="U870" s="97">
        <v>0</v>
      </c>
      <c r="V870" s="97" t="str">
        <f t="shared" ca="1" si="981"/>
        <v>#REF!</v>
      </c>
      <c r="W870" s="97" t="str">
        <f t="shared" ca="1" si="982"/>
        <v>#REF!</v>
      </c>
      <c r="X870" s="98" t="str">
        <f t="shared" ca="1" si="882"/>
        <v>#REF!</v>
      </c>
      <c r="Y870" s="98" t="str">
        <f t="shared" ca="1" si="883"/>
        <v>#REF!</v>
      </c>
      <c r="Z870" s="121">
        <v>0</v>
      </c>
      <c r="AA870" s="121" t="str">
        <f t="shared" ca="1" si="556"/>
        <v>#REF!</v>
      </c>
      <c r="AB870" s="121" t="str">
        <f t="shared" ca="1" si="557"/>
        <v>#REF!</v>
      </c>
      <c r="AC870" s="99" t="str">
        <f t="shared" ca="1" si="8"/>
        <v>#REF!</v>
      </c>
      <c r="AD870" s="121" t="str">
        <f t="shared" ca="1" si="558"/>
        <v>#REF!</v>
      </c>
      <c r="AE870" s="99" t="str">
        <f t="shared" ca="1" si="10"/>
        <v>#REF!</v>
      </c>
      <c r="AF870" s="121" t="str">
        <f t="shared" ca="1" si="559"/>
        <v>#REF!</v>
      </c>
      <c r="AG870" s="100" t="str">
        <f t="shared" ca="1" si="560"/>
        <v>#REF!</v>
      </c>
      <c r="AH870" s="101" t="str">
        <f t="shared" ca="1" si="891"/>
        <v>#REF!</v>
      </c>
      <c r="AI870" s="102" t="str">
        <f t="shared" ref="AI870:AJ870" ca="1" si="1203">AG870/X870</f>
        <v>#REF!</v>
      </c>
      <c r="AJ870" s="102" t="str">
        <f t="shared" ca="1" si="1203"/>
        <v>#REF!</v>
      </c>
      <c r="AK870" s="212"/>
      <c r="AL870" s="213"/>
      <c r="AM870" s="4"/>
      <c r="AN870" s="4"/>
      <c r="AO870" s="4"/>
      <c r="AP870" s="4"/>
      <c r="AQ870" s="4"/>
      <c r="AR870" s="4"/>
      <c r="AS870" s="4"/>
      <c r="AT870" s="4"/>
      <c r="AU870" s="4"/>
      <c r="AV870" s="4"/>
      <c r="AW870" s="4"/>
    </row>
    <row r="871" spans="1:49" ht="13.2">
      <c r="A871" s="120"/>
      <c r="B871" s="266"/>
      <c r="C871" s="117"/>
      <c r="D871" s="117"/>
      <c r="E871" s="117"/>
      <c r="F871" s="123"/>
      <c r="G871" s="125" t="s">
        <v>145</v>
      </c>
      <c r="H871" s="125"/>
      <c r="I871" s="125"/>
      <c r="J871" s="125"/>
      <c r="K871" s="82" t="str">
        <f t="shared" ca="1" si="1125"/>
        <v>#REF!</v>
      </c>
      <c r="L871" s="82" t="str">
        <f t="shared" ca="1" si="1126"/>
        <v>#REF!</v>
      </c>
      <c r="M871" s="82" t="str">
        <f t="shared" ca="1" si="550"/>
        <v>#REF!</v>
      </c>
      <c r="N871" s="93"/>
      <c r="O871" s="93"/>
      <c r="P871" s="95">
        <f t="shared" si="965"/>
        <v>0</v>
      </c>
      <c r="Q871" s="96">
        <f t="shared" ref="Q871:Q934" si="1204">P871*C$3</f>
        <v>0</v>
      </c>
      <c r="R871" s="96">
        <v>0</v>
      </c>
      <c r="S871" s="97">
        <f t="shared" si="553"/>
        <v>0</v>
      </c>
      <c r="T871" s="97" t="str">
        <f ca="1">ROUNDUP(HLOOKUP(ROUNDUP(K871,0),'배송비 조회'!A$10:AE$22,7,0)*C$3,-2)</f>
        <v>#REF!</v>
      </c>
      <c r="U871" s="97">
        <v>0</v>
      </c>
      <c r="V871" s="97" t="str">
        <f t="shared" ca="1" si="981"/>
        <v>#REF!</v>
      </c>
      <c r="W871" s="97" t="str">
        <f t="shared" ca="1" si="982"/>
        <v>#REF!</v>
      </c>
      <c r="X871" s="98" t="str">
        <f t="shared" ca="1" si="882"/>
        <v>#REF!</v>
      </c>
      <c r="Y871" s="98" t="str">
        <f t="shared" ca="1" si="883"/>
        <v>#REF!</v>
      </c>
      <c r="Z871" s="121">
        <v>0</v>
      </c>
      <c r="AA871" s="121" t="str">
        <f t="shared" ca="1" si="556"/>
        <v>#REF!</v>
      </c>
      <c r="AB871" s="121" t="str">
        <f t="shared" ca="1" si="557"/>
        <v>#REF!</v>
      </c>
      <c r="AC871" s="99" t="str">
        <f t="shared" ca="1" si="8"/>
        <v>#REF!</v>
      </c>
      <c r="AD871" s="121" t="str">
        <f t="shared" ca="1" si="558"/>
        <v>#REF!</v>
      </c>
      <c r="AE871" s="99" t="str">
        <f t="shared" ca="1" si="10"/>
        <v>#REF!</v>
      </c>
      <c r="AF871" s="121" t="str">
        <f t="shared" ca="1" si="559"/>
        <v>#REF!</v>
      </c>
      <c r="AG871" s="100" t="str">
        <f t="shared" ca="1" si="560"/>
        <v>#REF!</v>
      </c>
      <c r="AH871" s="101" t="str">
        <f t="shared" ca="1" si="891"/>
        <v>#REF!</v>
      </c>
      <c r="AI871" s="102" t="str">
        <f t="shared" ref="AI871:AJ871" ca="1" si="1205">AG871/X871</f>
        <v>#REF!</v>
      </c>
      <c r="AJ871" s="102" t="str">
        <f t="shared" ca="1" si="1205"/>
        <v>#REF!</v>
      </c>
      <c r="AK871" s="212"/>
      <c r="AL871" s="213"/>
      <c r="AM871" s="4"/>
      <c r="AN871" s="4"/>
      <c r="AO871" s="4"/>
      <c r="AP871" s="4"/>
      <c r="AQ871" s="4"/>
      <c r="AR871" s="4"/>
      <c r="AS871" s="4"/>
      <c r="AT871" s="4"/>
      <c r="AU871" s="4"/>
      <c r="AV871" s="4"/>
      <c r="AW871" s="4"/>
    </row>
    <row r="872" spans="1:49" ht="13.2">
      <c r="A872" s="120"/>
      <c r="B872" s="266"/>
      <c r="C872" s="117"/>
      <c r="D872" s="117"/>
      <c r="E872" s="117"/>
      <c r="F872" s="123"/>
      <c r="G872" s="125" t="s">
        <v>145</v>
      </c>
      <c r="H872" s="125"/>
      <c r="I872" s="125"/>
      <c r="J872" s="125"/>
      <c r="K872" s="82" t="str">
        <f t="shared" ca="1" si="1125"/>
        <v>#REF!</v>
      </c>
      <c r="L872" s="82" t="str">
        <f t="shared" ca="1" si="1126"/>
        <v>#REF!</v>
      </c>
      <c r="M872" s="82" t="str">
        <f t="shared" ca="1" si="550"/>
        <v>#REF!</v>
      </c>
      <c r="N872" s="93"/>
      <c r="O872" s="93"/>
      <c r="P872" s="95">
        <f t="shared" si="965"/>
        <v>0</v>
      </c>
      <c r="Q872" s="96">
        <f t="shared" si="1204"/>
        <v>0</v>
      </c>
      <c r="R872" s="96">
        <v>0</v>
      </c>
      <c r="S872" s="97">
        <f t="shared" si="553"/>
        <v>0</v>
      </c>
      <c r="T872" s="97" t="str">
        <f ca="1">ROUNDUP(HLOOKUP(ROUNDUP(K872,0),'배송비 조회'!A$10:AE$22,7,0)*C$3,-2)</f>
        <v>#REF!</v>
      </c>
      <c r="U872" s="97">
        <v>0</v>
      </c>
      <c r="V872" s="97" t="str">
        <f t="shared" ca="1" si="981"/>
        <v>#REF!</v>
      </c>
      <c r="W872" s="97" t="str">
        <f t="shared" ca="1" si="982"/>
        <v>#REF!</v>
      </c>
      <c r="X872" s="98" t="str">
        <f t="shared" ca="1" si="882"/>
        <v>#REF!</v>
      </c>
      <c r="Y872" s="98" t="str">
        <f t="shared" ca="1" si="883"/>
        <v>#REF!</v>
      </c>
      <c r="Z872" s="121">
        <v>0</v>
      </c>
      <c r="AA872" s="121" t="str">
        <f t="shared" ca="1" si="556"/>
        <v>#REF!</v>
      </c>
      <c r="AB872" s="121" t="str">
        <f t="shared" ca="1" si="557"/>
        <v>#REF!</v>
      </c>
      <c r="AC872" s="99" t="str">
        <f t="shared" ca="1" si="8"/>
        <v>#REF!</v>
      </c>
      <c r="AD872" s="121" t="str">
        <f t="shared" ca="1" si="558"/>
        <v>#REF!</v>
      </c>
      <c r="AE872" s="99" t="str">
        <f t="shared" ca="1" si="10"/>
        <v>#REF!</v>
      </c>
      <c r="AF872" s="121" t="str">
        <f t="shared" ca="1" si="559"/>
        <v>#REF!</v>
      </c>
      <c r="AG872" s="100" t="str">
        <f t="shared" ca="1" si="560"/>
        <v>#REF!</v>
      </c>
      <c r="AH872" s="101" t="str">
        <f t="shared" ca="1" si="891"/>
        <v>#REF!</v>
      </c>
      <c r="AI872" s="102" t="str">
        <f t="shared" ref="AI872:AJ872" ca="1" si="1206">AG872/X872</f>
        <v>#REF!</v>
      </c>
      <c r="AJ872" s="102" t="str">
        <f t="shared" ca="1" si="1206"/>
        <v>#REF!</v>
      </c>
      <c r="AK872" s="212"/>
      <c r="AL872" s="213"/>
      <c r="AM872" s="4"/>
      <c r="AN872" s="4"/>
      <c r="AO872" s="4"/>
      <c r="AP872" s="4"/>
      <c r="AQ872" s="4"/>
      <c r="AR872" s="4"/>
      <c r="AS872" s="4"/>
      <c r="AT872" s="4"/>
      <c r="AU872" s="4"/>
      <c r="AV872" s="4"/>
      <c r="AW872" s="4"/>
    </row>
    <row r="873" spans="1:49" ht="13.2">
      <c r="A873" s="120"/>
      <c r="B873" s="266"/>
      <c r="C873" s="117"/>
      <c r="D873" s="117"/>
      <c r="E873" s="117"/>
      <c r="F873" s="123"/>
      <c r="G873" s="125" t="s">
        <v>145</v>
      </c>
      <c r="H873" s="125"/>
      <c r="I873" s="125"/>
      <c r="J873" s="125"/>
      <c r="K873" s="82" t="str">
        <f t="shared" ca="1" si="1125"/>
        <v>#REF!</v>
      </c>
      <c r="L873" s="82" t="str">
        <f t="shared" ca="1" si="1126"/>
        <v>#REF!</v>
      </c>
      <c r="M873" s="82" t="str">
        <f t="shared" ca="1" si="550"/>
        <v>#REF!</v>
      </c>
      <c r="N873" s="93"/>
      <c r="O873" s="93"/>
      <c r="P873" s="95">
        <f t="shared" si="965"/>
        <v>0</v>
      </c>
      <c r="Q873" s="96">
        <f t="shared" si="1204"/>
        <v>0</v>
      </c>
      <c r="R873" s="96">
        <v>0</v>
      </c>
      <c r="S873" s="97">
        <f t="shared" si="553"/>
        <v>0</v>
      </c>
      <c r="T873" s="97" t="str">
        <f ca="1">ROUNDUP(HLOOKUP(ROUNDUP(K873,0),'배송비 조회'!A$10:AE$22,7,0)*C$3,-2)</f>
        <v>#REF!</v>
      </c>
      <c r="U873" s="97">
        <v>0</v>
      </c>
      <c r="V873" s="97" t="str">
        <f t="shared" ca="1" si="981"/>
        <v>#REF!</v>
      </c>
      <c r="W873" s="97" t="str">
        <f t="shared" ca="1" si="982"/>
        <v>#REF!</v>
      </c>
      <c r="X873" s="98" t="str">
        <f t="shared" ca="1" si="882"/>
        <v>#REF!</v>
      </c>
      <c r="Y873" s="98" t="str">
        <f t="shared" ca="1" si="883"/>
        <v>#REF!</v>
      </c>
      <c r="Z873" s="121">
        <v>0</v>
      </c>
      <c r="AA873" s="121" t="str">
        <f t="shared" ca="1" si="556"/>
        <v>#REF!</v>
      </c>
      <c r="AB873" s="121" t="str">
        <f t="shared" ca="1" si="557"/>
        <v>#REF!</v>
      </c>
      <c r="AC873" s="99" t="str">
        <f t="shared" ca="1" si="8"/>
        <v>#REF!</v>
      </c>
      <c r="AD873" s="121" t="str">
        <f t="shared" ca="1" si="558"/>
        <v>#REF!</v>
      </c>
      <c r="AE873" s="99" t="str">
        <f t="shared" ca="1" si="10"/>
        <v>#REF!</v>
      </c>
      <c r="AF873" s="121" t="str">
        <f t="shared" ca="1" si="559"/>
        <v>#REF!</v>
      </c>
      <c r="AG873" s="100" t="str">
        <f t="shared" ca="1" si="560"/>
        <v>#REF!</v>
      </c>
      <c r="AH873" s="101" t="str">
        <f t="shared" ca="1" si="891"/>
        <v>#REF!</v>
      </c>
      <c r="AI873" s="102" t="str">
        <f t="shared" ref="AI873:AJ873" ca="1" si="1207">AG873/X873</f>
        <v>#REF!</v>
      </c>
      <c r="AJ873" s="102" t="str">
        <f t="shared" ca="1" si="1207"/>
        <v>#REF!</v>
      </c>
      <c r="AK873" s="212"/>
      <c r="AL873" s="213"/>
      <c r="AM873" s="4"/>
      <c r="AN873" s="4"/>
      <c r="AO873" s="4"/>
      <c r="AP873" s="4"/>
      <c r="AQ873" s="4"/>
      <c r="AR873" s="4"/>
      <c r="AS873" s="4"/>
      <c r="AT873" s="4"/>
      <c r="AU873" s="4"/>
      <c r="AV873" s="4"/>
      <c r="AW873" s="4"/>
    </row>
    <row r="874" spans="1:49" ht="13.2">
      <c r="A874" s="120"/>
      <c r="B874" s="266"/>
      <c r="C874" s="117"/>
      <c r="D874" s="117"/>
      <c r="E874" s="117"/>
      <c r="F874" s="123"/>
      <c r="G874" s="125" t="s">
        <v>145</v>
      </c>
      <c r="H874" s="125"/>
      <c r="I874" s="125"/>
      <c r="J874" s="125"/>
      <c r="K874" s="82" t="str">
        <f t="shared" ca="1" si="1125"/>
        <v>#REF!</v>
      </c>
      <c r="L874" s="82" t="str">
        <f t="shared" ca="1" si="1126"/>
        <v>#REF!</v>
      </c>
      <c r="M874" s="82" t="str">
        <f t="shared" ca="1" si="550"/>
        <v>#REF!</v>
      </c>
      <c r="N874" s="93"/>
      <c r="O874" s="93"/>
      <c r="P874" s="95">
        <f t="shared" si="965"/>
        <v>0</v>
      </c>
      <c r="Q874" s="96">
        <f t="shared" si="1204"/>
        <v>0</v>
      </c>
      <c r="R874" s="96">
        <v>0</v>
      </c>
      <c r="S874" s="97">
        <f t="shared" si="553"/>
        <v>0</v>
      </c>
      <c r="T874" s="97" t="str">
        <f ca="1">ROUNDUP(HLOOKUP(ROUNDUP(K874,0),'배송비 조회'!A$10:AE$22,7,0)*C$3,-2)</f>
        <v>#REF!</v>
      </c>
      <c r="U874" s="97">
        <v>0</v>
      </c>
      <c r="V874" s="97" t="str">
        <f t="shared" ca="1" si="981"/>
        <v>#REF!</v>
      </c>
      <c r="W874" s="97" t="str">
        <f t="shared" ca="1" si="982"/>
        <v>#REF!</v>
      </c>
      <c r="X874" s="98" t="str">
        <f t="shared" ca="1" si="882"/>
        <v>#REF!</v>
      </c>
      <c r="Y874" s="98" t="str">
        <f t="shared" ca="1" si="883"/>
        <v>#REF!</v>
      </c>
      <c r="Z874" s="121">
        <v>0</v>
      </c>
      <c r="AA874" s="121" t="str">
        <f t="shared" ca="1" si="556"/>
        <v>#REF!</v>
      </c>
      <c r="AB874" s="121" t="str">
        <f t="shared" ca="1" si="557"/>
        <v>#REF!</v>
      </c>
      <c r="AC874" s="99" t="str">
        <f t="shared" ca="1" si="8"/>
        <v>#REF!</v>
      </c>
      <c r="AD874" s="121" t="str">
        <f t="shared" ca="1" si="558"/>
        <v>#REF!</v>
      </c>
      <c r="AE874" s="99" t="str">
        <f t="shared" ca="1" si="10"/>
        <v>#REF!</v>
      </c>
      <c r="AF874" s="121" t="str">
        <f t="shared" ca="1" si="559"/>
        <v>#REF!</v>
      </c>
      <c r="AG874" s="100" t="str">
        <f t="shared" ca="1" si="560"/>
        <v>#REF!</v>
      </c>
      <c r="AH874" s="101" t="str">
        <f t="shared" ca="1" si="891"/>
        <v>#REF!</v>
      </c>
      <c r="AI874" s="102" t="str">
        <f t="shared" ref="AI874:AJ874" ca="1" si="1208">AG874/X874</f>
        <v>#REF!</v>
      </c>
      <c r="AJ874" s="102" t="str">
        <f t="shared" ca="1" si="1208"/>
        <v>#REF!</v>
      </c>
      <c r="AK874" s="212"/>
      <c r="AL874" s="213"/>
      <c r="AM874" s="4"/>
      <c r="AN874" s="4"/>
      <c r="AO874" s="4"/>
      <c r="AP874" s="4"/>
      <c r="AQ874" s="4"/>
      <c r="AR874" s="4"/>
      <c r="AS874" s="4"/>
      <c r="AT874" s="4"/>
      <c r="AU874" s="4"/>
      <c r="AV874" s="4"/>
      <c r="AW874" s="4"/>
    </row>
    <row r="875" spans="1:49" ht="13.2">
      <c r="A875" s="120"/>
      <c r="B875" s="266"/>
      <c r="C875" s="117"/>
      <c r="D875" s="117"/>
      <c r="E875" s="117"/>
      <c r="F875" s="123"/>
      <c r="G875" s="125" t="s">
        <v>145</v>
      </c>
      <c r="H875" s="125"/>
      <c r="I875" s="125"/>
      <c r="J875" s="125"/>
      <c r="K875" s="82" t="str">
        <f t="shared" ca="1" si="1125"/>
        <v>#REF!</v>
      </c>
      <c r="L875" s="82" t="str">
        <f t="shared" ca="1" si="1126"/>
        <v>#REF!</v>
      </c>
      <c r="M875" s="82" t="str">
        <f t="shared" ca="1" si="550"/>
        <v>#REF!</v>
      </c>
      <c r="N875" s="93"/>
      <c r="O875" s="93"/>
      <c r="P875" s="95">
        <f t="shared" si="965"/>
        <v>0</v>
      </c>
      <c r="Q875" s="96">
        <f t="shared" si="1204"/>
        <v>0</v>
      </c>
      <c r="R875" s="96">
        <v>0</v>
      </c>
      <c r="S875" s="97">
        <f t="shared" si="553"/>
        <v>0</v>
      </c>
      <c r="T875" s="97" t="str">
        <f ca="1">ROUNDUP(HLOOKUP(ROUNDUP(K875,0),'배송비 조회'!A$10:AE$22,7,0)*C$3,-2)</f>
        <v>#REF!</v>
      </c>
      <c r="U875" s="97">
        <v>0</v>
      </c>
      <c r="V875" s="97" t="str">
        <f t="shared" ca="1" si="981"/>
        <v>#REF!</v>
      </c>
      <c r="W875" s="97" t="str">
        <f t="shared" ca="1" si="982"/>
        <v>#REF!</v>
      </c>
      <c r="X875" s="98" t="str">
        <f t="shared" ca="1" si="882"/>
        <v>#REF!</v>
      </c>
      <c r="Y875" s="98" t="str">
        <f t="shared" ca="1" si="883"/>
        <v>#REF!</v>
      </c>
      <c r="Z875" s="121">
        <v>0</v>
      </c>
      <c r="AA875" s="121" t="str">
        <f t="shared" ca="1" si="556"/>
        <v>#REF!</v>
      </c>
      <c r="AB875" s="121" t="str">
        <f t="shared" ca="1" si="557"/>
        <v>#REF!</v>
      </c>
      <c r="AC875" s="99" t="str">
        <f t="shared" ca="1" si="8"/>
        <v>#REF!</v>
      </c>
      <c r="AD875" s="121" t="str">
        <f t="shared" ca="1" si="558"/>
        <v>#REF!</v>
      </c>
      <c r="AE875" s="99" t="str">
        <f t="shared" ca="1" si="10"/>
        <v>#REF!</v>
      </c>
      <c r="AF875" s="121" t="str">
        <f t="shared" ca="1" si="559"/>
        <v>#REF!</v>
      </c>
      <c r="AG875" s="100" t="str">
        <f t="shared" ca="1" si="560"/>
        <v>#REF!</v>
      </c>
      <c r="AH875" s="101" t="str">
        <f t="shared" ca="1" si="891"/>
        <v>#REF!</v>
      </c>
      <c r="AI875" s="102" t="str">
        <f t="shared" ref="AI875:AJ875" ca="1" si="1209">AG875/X875</f>
        <v>#REF!</v>
      </c>
      <c r="AJ875" s="102" t="str">
        <f t="shared" ca="1" si="1209"/>
        <v>#REF!</v>
      </c>
      <c r="AK875" s="212"/>
      <c r="AL875" s="213"/>
      <c r="AM875" s="4"/>
      <c r="AN875" s="4"/>
      <c r="AO875" s="4"/>
      <c r="AP875" s="4"/>
      <c r="AQ875" s="4"/>
      <c r="AR875" s="4"/>
      <c r="AS875" s="4"/>
      <c r="AT875" s="4"/>
      <c r="AU875" s="4"/>
      <c r="AV875" s="4"/>
      <c r="AW875" s="4"/>
    </row>
    <row r="876" spans="1:49" ht="13.2">
      <c r="A876" s="120"/>
      <c r="B876" s="266"/>
      <c r="C876" s="117"/>
      <c r="D876" s="117"/>
      <c r="E876" s="117"/>
      <c r="F876" s="123"/>
      <c r="G876" s="125" t="s">
        <v>145</v>
      </c>
      <c r="H876" s="125"/>
      <c r="I876" s="125"/>
      <c r="J876" s="125"/>
      <c r="K876" s="82" t="str">
        <f t="shared" ca="1" si="1125"/>
        <v>#REF!</v>
      </c>
      <c r="L876" s="82" t="str">
        <f t="shared" ca="1" si="1126"/>
        <v>#REF!</v>
      </c>
      <c r="M876" s="82" t="str">
        <f t="shared" ca="1" si="550"/>
        <v>#REF!</v>
      </c>
      <c r="N876" s="93"/>
      <c r="O876" s="93"/>
      <c r="P876" s="95">
        <f t="shared" si="965"/>
        <v>0</v>
      </c>
      <c r="Q876" s="96">
        <f t="shared" si="1204"/>
        <v>0</v>
      </c>
      <c r="R876" s="96">
        <v>0</v>
      </c>
      <c r="S876" s="97">
        <f t="shared" si="553"/>
        <v>0</v>
      </c>
      <c r="T876" s="97" t="str">
        <f ca="1">ROUNDUP(HLOOKUP(ROUNDUP(K876,0),'배송비 조회'!A$10:AE$22,7,0)*C$3,-2)</f>
        <v>#REF!</v>
      </c>
      <c r="U876" s="97">
        <v>0</v>
      </c>
      <c r="V876" s="97" t="str">
        <f t="shared" ca="1" si="981"/>
        <v>#REF!</v>
      </c>
      <c r="W876" s="97" t="str">
        <f t="shared" ca="1" si="982"/>
        <v>#REF!</v>
      </c>
      <c r="X876" s="98" t="str">
        <f t="shared" ca="1" si="882"/>
        <v>#REF!</v>
      </c>
      <c r="Y876" s="98" t="str">
        <f t="shared" ca="1" si="883"/>
        <v>#REF!</v>
      </c>
      <c r="Z876" s="121">
        <v>0</v>
      </c>
      <c r="AA876" s="121" t="str">
        <f t="shared" ca="1" si="556"/>
        <v>#REF!</v>
      </c>
      <c r="AB876" s="121" t="str">
        <f t="shared" ca="1" si="557"/>
        <v>#REF!</v>
      </c>
      <c r="AC876" s="99" t="str">
        <f t="shared" ca="1" si="8"/>
        <v>#REF!</v>
      </c>
      <c r="AD876" s="121" t="str">
        <f t="shared" ca="1" si="558"/>
        <v>#REF!</v>
      </c>
      <c r="AE876" s="99" t="str">
        <f t="shared" ca="1" si="10"/>
        <v>#REF!</v>
      </c>
      <c r="AF876" s="121" t="str">
        <f t="shared" ca="1" si="559"/>
        <v>#REF!</v>
      </c>
      <c r="AG876" s="100" t="str">
        <f t="shared" ca="1" si="560"/>
        <v>#REF!</v>
      </c>
      <c r="AH876" s="101" t="str">
        <f t="shared" ca="1" si="891"/>
        <v>#REF!</v>
      </c>
      <c r="AI876" s="102" t="str">
        <f t="shared" ref="AI876:AJ876" ca="1" si="1210">AG876/X876</f>
        <v>#REF!</v>
      </c>
      <c r="AJ876" s="102" t="str">
        <f t="shared" ca="1" si="1210"/>
        <v>#REF!</v>
      </c>
      <c r="AK876" s="212"/>
      <c r="AL876" s="213"/>
      <c r="AM876" s="4"/>
      <c r="AN876" s="4"/>
      <c r="AO876" s="4"/>
      <c r="AP876" s="4"/>
      <c r="AQ876" s="4"/>
      <c r="AR876" s="4"/>
      <c r="AS876" s="4"/>
      <c r="AT876" s="4"/>
      <c r="AU876" s="4"/>
      <c r="AV876" s="4"/>
      <c r="AW876" s="4"/>
    </row>
    <row r="877" spans="1:49" ht="13.2">
      <c r="A877" s="120"/>
      <c r="B877" s="266"/>
      <c r="C877" s="117"/>
      <c r="D877" s="117"/>
      <c r="E877" s="117"/>
      <c r="F877" s="123"/>
      <c r="G877" s="125" t="s">
        <v>145</v>
      </c>
      <c r="H877" s="125"/>
      <c r="I877" s="125"/>
      <c r="J877" s="125"/>
      <c r="K877" s="82" t="str">
        <f t="shared" ca="1" si="1125"/>
        <v>#REF!</v>
      </c>
      <c r="L877" s="82" t="str">
        <f t="shared" ca="1" si="1126"/>
        <v>#REF!</v>
      </c>
      <c r="M877" s="82" t="str">
        <f t="shared" ca="1" si="550"/>
        <v>#REF!</v>
      </c>
      <c r="N877" s="93"/>
      <c r="O877" s="93"/>
      <c r="P877" s="95">
        <f t="shared" si="965"/>
        <v>0</v>
      </c>
      <c r="Q877" s="96">
        <f t="shared" si="1204"/>
        <v>0</v>
      </c>
      <c r="R877" s="96">
        <v>0</v>
      </c>
      <c r="S877" s="97">
        <f t="shared" si="553"/>
        <v>0</v>
      </c>
      <c r="T877" s="97" t="str">
        <f ca="1">ROUNDUP(HLOOKUP(ROUNDUP(K877,0),'배송비 조회'!A$10:AE$22,7,0)*C$3,-2)</f>
        <v>#REF!</v>
      </c>
      <c r="U877" s="97">
        <v>0</v>
      </c>
      <c r="V877" s="97" t="str">
        <f t="shared" ca="1" si="981"/>
        <v>#REF!</v>
      </c>
      <c r="W877" s="97" t="str">
        <f t="shared" ca="1" si="982"/>
        <v>#REF!</v>
      </c>
      <c r="X877" s="98" t="str">
        <f t="shared" ca="1" si="882"/>
        <v>#REF!</v>
      </c>
      <c r="Y877" s="98" t="str">
        <f t="shared" ca="1" si="883"/>
        <v>#REF!</v>
      </c>
      <c r="Z877" s="121">
        <v>0</v>
      </c>
      <c r="AA877" s="121" t="str">
        <f t="shared" ca="1" si="556"/>
        <v>#REF!</v>
      </c>
      <c r="AB877" s="121" t="str">
        <f t="shared" ca="1" si="557"/>
        <v>#REF!</v>
      </c>
      <c r="AC877" s="99" t="str">
        <f t="shared" ca="1" si="8"/>
        <v>#REF!</v>
      </c>
      <c r="AD877" s="121" t="str">
        <f t="shared" ca="1" si="558"/>
        <v>#REF!</v>
      </c>
      <c r="AE877" s="99" t="str">
        <f t="shared" ca="1" si="10"/>
        <v>#REF!</v>
      </c>
      <c r="AF877" s="121" t="str">
        <f t="shared" ca="1" si="559"/>
        <v>#REF!</v>
      </c>
      <c r="AG877" s="100" t="str">
        <f t="shared" ca="1" si="560"/>
        <v>#REF!</v>
      </c>
      <c r="AH877" s="101" t="str">
        <f t="shared" ca="1" si="891"/>
        <v>#REF!</v>
      </c>
      <c r="AI877" s="102" t="str">
        <f t="shared" ref="AI877:AJ877" ca="1" si="1211">AG877/X877</f>
        <v>#REF!</v>
      </c>
      <c r="AJ877" s="102" t="str">
        <f t="shared" ca="1" si="1211"/>
        <v>#REF!</v>
      </c>
      <c r="AK877" s="212"/>
      <c r="AL877" s="213"/>
      <c r="AM877" s="4"/>
      <c r="AN877" s="4"/>
      <c r="AO877" s="4"/>
      <c r="AP877" s="4"/>
      <c r="AQ877" s="4"/>
      <c r="AR877" s="4"/>
      <c r="AS877" s="4"/>
      <c r="AT877" s="4"/>
      <c r="AU877" s="4"/>
      <c r="AV877" s="4"/>
      <c r="AW877" s="4"/>
    </row>
    <row r="878" spans="1:49" ht="13.2">
      <c r="A878" s="120"/>
      <c r="B878" s="266"/>
      <c r="C878" s="117"/>
      <c r="D878" s="117"/>
      <c r="E878" s="117"/>
      <c r="F878" s="123"/>
      <c r="G878" s="125" t="s">
        <v>145</v>
      </c>
      <c r="H878" s="125"/>
      <c r="I878" s="125"/>
      <c r="J878" s="125"/>
      <c r="K878" s="82" t="str">
        <f t="shared" ca="1" si="1125"/>
        <v>#REF!</v>
      </c>
      <c r="L878" s="82" t="str">
        <f t="shared" ca="1" si="1126"/>
        <v>#REF!</v>
      </c>
      <c r="M878" s="82" t="str">
        <f t="shared" ca="1" si="550"/>
        <v>#REF!</v>
      </c>
      <c r="N878" s="93"/>
      <c r="O878" s="93"/>
      <c r="P878" s="95">
        <f t="shared" si="965"/>
        <v>0</v>
      </c>
      <c r="Q878" s="96">
        <f t="shared" si="1204"/>
        <v>0</v>
      </c>
      <c r="R878" s="96">
        <v>0</v>
      </c>
      <c r="S878" s="97">
        <f t="shared" si="553"/>
        <v>0</v>
      </c>
      <c r="T878" s="97" t="str">
        <f ca="1">ROUNDUP(HLOOKUP(ROUNDUP(K878,0),'배송비 조회'!A$10:AE$22,7,0)*C$3,-2)</f>
        <v>#REF!</v>
      </c>
      <c r="U878" s="97">
        <v>0</v>
      </c>
      <c r="V878" s="97" t="str">
        <f t="shared" ca="1" si="981"/>
        <v>#REF!</v>
      </c>
      <c r="W878" s="97" t="str">
        <f t="shared" ca="1" si="982"/>
        <v>#REF!</v>
      </c>
      <c r="X878" s="98" t="str">
        <f t="shared" ca="1" si="882"/>
        <v>#REF!</v>
      </c>
      <c r="Y878" s="98" t="str">
        <f t="shared" ca="1" si="883"/>
        <v>#REF!</v>
      </c>
      <c r="Z878" s="121">
        <v>0</v>
      </c>
      <c r="AA878" s="121" t="str">
        <f t="shared" ca="1" si="556"/>
        <v>#REF!</v>
      </c>
      <c r="AB878" s="121" t="str">
        <f t="shared" ca="1" si="557"/>
        <v>#REF!</v>
      </c>
      <c r="AC878" s="99" t="str">
        <f t="shared" ca="1" si="8"/>
        <v>#REF!</v>
      </c>
      <c r="AD878" s="121" t="str">
        <f t="shared" ca="1" si="558"/>
        <v>#REF!</v>
      </c>
      <c r="AE878" s="99" t="str">
        <f t="shared" ca="1" si="10"/>
        <v>#REF!</v>
      </c>
      <c r="AF878" s="121" t="str">
        <f t="shared" ca="1" si="559"/>
        <v>#REF!</v>
      </c>
      <c r="AG878" s="100" t="str">
        <f t="shared" ca="1" si="560"/>
        <v>#REF!</v>
      </c>
      <c r="AH878" s="101" t="str">
        <f t="shared" ca="1" si="891"/>
        <v>#REF!</v>
      </c>
      <c r="AI878" s="102" t="str">
        <f t="shared" ref="AI878:AJ878" ca="1" si="1212">AG878/X878</f>
        <v>#REF!</v>
      </c>
      <c r="AJ878" s="102" t="str">
        <f t="shared" ca="1" si="1212"/>
        <v>#REF!</v>
      </c>
      <c r="AK878" s="212"/>
      <c r="AL878" s="213"/>
      <c r="AM878" s="4"/>
      <c r="AN878" s="4"/>
      <c r="AO878" s="4"/>
      <c r="AP878" s="4"/>
      <c r="AQ878" s="4"/>
      <c r="AR878" s="4"/>
      <c r="AS878" s="4"/>
      <c r="AT878" s="4"/>
      <c r="AU878" s="4"/>
      <c r="AV878" s="4"/>
      <c r="AW878" s="4"/>
    </row>
    <row r="879" spans="1:49" ht="13.2">
      <c r="A879" s="120"/>
      <c r="B879" s="266"/>
      <c r="C879" s="117"/>
      <c r="D879" s="117"/>
      <c r="E879" s="117"/>
      <c r="F879" s="123"/>
      <c r="G879" s="125" t="s">
        <v>145</v>
      </c>
      <c r="H879" s="125"/>
      <c r="I879" s="125"/>
      <c r="J879" s="125"/>
      <c r="K879" s="82" t="str">
        <f t="shared" ca="1" si="1125"/>
        <v>#REF!</v>
      </c>
      <c r="L879" s="82" t="str">
        <f t="shared" ca="1" si="1126"/>
        <v>#REF!</v>
      </c>
      <c r="M879" s="82" t="str">
        <f t="shared" ca="1" si="550"/>
        <v>#REF!</v>
      </c>
      <c r="N879" s="93"/>
      <c r="O879" s="93"/>
      <c r="P879" s="95">
        <f t="shared" si="965"/>
        <v>0</v>
      </c>
      <c r="Q879" s="96">
        <f t="shared" si="1204"/>
        <v>0</v>
      </c>
      <c r="R879" s="96">
        <v>0</v>
      </c>
      <c r="S879" s="97">
        <f t="shared" si="553"/>
        <v>0</v>
      </c>
      <c r="T879" s="97" t="str">
        <f ca="1">ROUNDUP(HLOOKUP(ROUNDUP(K879,0),'배송비 조회'!A$10:AE$22,7,0)*C$3,-2)</f>
        <v>#REF!</v>
      </c>
      <c r="U879" s="97">
        <v>0</v>
      </c>
      <c r="V879" s="97" t="str">
        <f t="shared" ca="1" si="981"/>
        <v>#REF!</v>
      </c>
      <c r="W879" s="97" t="str">
        <f t="shared" ca="1" si="982"/>
        <v>#REF!</v>
      </c>
      <c r="X879" s="98" t="str">
        <f t="shared" ca="1" si="882"/>
        <v>#REF!</v>
      </c>
      <c r="Y879" s="98" t="str">
        <f t="shared" ca="1" si="883"/>
        <v>#REF!</v>
      </c>
      <c r="Z879" s="121">
        <v>0</v>
      </c>
      <c r="AA879" s="121" t="str">
        <f t="shared" ca="1" si="556"/>
        <v>#REF!</v>
      </c>
      <c r="AB879" s="121" t="str">
        <f t="shared" ca="1" si="557"/>
        <v>#REF!</v>
      </c>
      <c r="AC879" s="99" t="str">
        <f t="shared" ca="1" si="8"/>
        <v>#REF!</v>
      </c>
      <c r="AD879" s="121" t="str">
        <f t="shared" ca="1" si="558"/>
        <v>#REF!</v>
      </c>
      <c r="AE879" s="99" t="str">
        <f t="shared" ca="1" si="10"/>
        <v>#REF!</v>
      </c>
      <c r="AF879" s="121" t="str">
        <f t="shared" ca="1" si="559"/>
        <v>#REF!</v>
      </c>
      <c r="AG879" s="100" t="str">
        <f t="shared" ca="1" si="560"/>
        <v>#REF!</v>
      </c>
      <c r="AH879" s="101" t="str">
        <f t="shared" ca="1" si="891"/>
        <v>#REF!</v>
      </c>
      <c r="AI879" s="102" t="str">
        <f t="shared" ref="AI879:AJ879" ca="1" si="1213">AG879/X879</f>
        <v>#REF!</v>
      </c>
      <c r="AJ879" s="102" t="str">
        <f t="shared" ca="1" si="1213"/>
        <v>#REF!</v>
      </c>
      <c r="AK879" s="212"/>
      <c r="AL879" s="213"/>
      <c r="AM879" s="4"/>
      <c r="AN879" s="4"/>
      <c r="AO879" s="4"/>
      <c r="AP879" s="4"/>
      <c r="AQ879" s="4"/>
      <c r="AR879" s="4"/>
      <c r="AS879" s="4"/>
      <c r="AT879" s="4"/>
      <c r="AU879" s="4"/>
      <c r="AV879" s="4"/>
      <c r="AW879" s="4"/>
    </row>
    <row r="880" spans="1:49" ht="13.2">
      <c r="A880" s="120"/>
      <c r="B880" s="266"/>
      <c r="C880" s="117"/>
      <c r="D880" s="117"/>
      <c r="E880" s="117"/>
      <c r="F880" s="123"/>
      <c r="G880" s="125" t="s">
        <v>145</v>
      </c>
      <c r="H880" s="125"/>
      <c r="I880" s="125"/>
      <c r="J880" s="125"/>
      <c r="K880" s="82" t="str">
        <f t="shared" ca="1" si="1125"/>
        <v>#REF!</v>
      </c>
      <c r="L880" s="82" t="str">
        <f t="shared" ca="1" si="1126"/>
        <v>#REF!</v>
      </c>
      <c r="M880" s="82" t="str">
        <f t="shared" ca="1" si="550"/>
        <v>#REF!</v>
      </c>
      <c r="N880" s="93"/>
      <c r="O880" s="93"/>
      <c r="P880" s="95">
        <f t="shared" si="965"/>
        <v>0</v>
      </c>
      <c r="Q880" s="96">
        <f t="shared" si="1204"/>
        <v>0</v>
      </c>
      <c r="R880" s="96">
        <v>0</v>
      </c>
      <c r="S880" s="97">
        <f t="shared" si="553"/>
        <v>0</v>
      </c>
      <c r="T880" s="97" t="str">
        <f ca="1">ROUNDUP(HLOOKUP(ROUNDUP(K880,0),'배송비 조회'!A$10:AE$22,7,0)*C$3,-2)</f>
        <v>#REF!</v>
      </c>
      <c r="U880" s="97">
        <v>0</v>
      </c>
      <c r="V880" s="97" t="str">
        <f t="shared" ca="1" si="981"/>
        <v>#REF!</v>
      </c>
      <c r="W880" s="97" t="str">
        <f t="shared" ca="1" si="982"/>
        <v>#REF!</v>
      </c>
      <c r="X880" s="98" t="str">
        <f t="shared" ca="1" si="882"/>
        <v>#REF!</v>
      </c>
      <c r="Y880" s="98" t="str">
        <f t="shared" ca="1" si="883"/>
        <v>#REF!</v>
      </c>
      <c r="Z880" s="121">
        <v>0</v>
      </c>
      <c r="AA880" s="121" t="str">
        <f t="shared" ca="1" si="556"/>
        <v>#REF!</v>
      </c>
      <c r="AB880" s="121" t="str">
        <f t="shared" ca="1" si="557"/>
        <v>#REF!</v>
      </c>
      <c r="AC880" s="99" t="str">
        <f t="shared" ca="1" si="8"/>
        <v>#REF!</v>
      </c>
      <c r="AD880" s="121" t="str">
        <f t="shared" ca="1" si="558"/>
        <v>#REF!</v>
      </c>
      <c r="AE880" s="99" t="str">
        <f t="shared" ca="1" si="10"/>
        <v>#REF!</v>
      </c>
      <c r="AF880" s="121" t="str">
        <f t="shared" ca="1" si="559"/>
        <v>#REF!</v>
      </c>
      <c r="AG880" s="100" t="str">
        <f t="shared" ca="1" si="560"/>
        <v>#REF!</v>
      </c>
      <c r="AH880" s="101" t="str">
        <f t="shared" ca="1" si="891"/>
        <v>#REF!</v>
      </c>
      <c r="AI880" s="102" t="str">
        <f t="shared" ref="AI880:AJ880" ca="1" si="1214">AG880/X880</f>
        <v>#REF!</v>
      </c>
      <c r="AJ880" s="102" t="str">
        <f t="shared" ca="1" si="1214"/>
        <v>#REF!</v>
      </c>
      <c r="AK880" s="212"/>
      <c r="AL880" s="213"/>
      <c r="AM880" s="4"/>
      <c r="AN880" s="4"/>
      <c r="AO880" s="4"/>
      <c r="AP880" s="4"/>
      <c r="AQ880" s="4"/>
      <c r="AR880" s="4"/>
      <c r="AS880" s="4"/>
      <c r="AT880" s="4"/>
      <c r="AU880" s="4"/>
      <c r="AV880" s="4"/>
      <c r="AW880" s="4"/>
    </row>
    <row r="881" spans="1:49" ht="13.2">
      <c r="A881" s="120"/>
      <c r="B881" s="266"/>
      <c r="C881" s="117"/>
      <c r="D881" s="117"/>
      <c r="E881" s="117"/>
      <c r="F881" s="123"/>
      <c r="G881" s="125" t="s">
        <v>145</v>
      </c>
      <c r="H881" s="125"/>
      <c r="I881" s="125"/>
      <c r="J881" s="125"/>
      <c r="K881" s="82" t="str">
        <f t="shared" ca="1" si="1125"/>
        <v>#REF!</v>
      </c>
      <c r="L881" s="82" t="str">
        <f t="shared" ca="1" si="1126"/>
        <v>#REF!</v>
      </c>
      <c r="M881" s="82" t="str">
        <f t="shared" ca="1" si="550"/>
        <v>#REF!</v>
      </c>
      <c r="N881" s="93"/>
      <c r="O881" s="93"/>
      <c r="P881" s="95">
        <f t="shared" si="965"/>
        <v>0</v>
      </c>
      <c r="Q881" s="96">
        <f t="shared" si="1204"/>
        <v>0</v>
      </c>
      <c r="R881" s="96">
        <v>0</v>
      </c>
      <c r="S881" s="97">
        <f t="shared" si="553"/>
        <v>0</v>
      </c>
      <c r="T881" s="97" t="str">
        <f ca="1">ROUNDUP(HLOOKUP(ROUNDUP(K881,0),'배송비 조회'!A$10:AE$22,7,0)*C$3,-2)</f>
        <v>#REF!</v>
      </c>
      <c r="U881" s="97">
        <v>0</v>
      </c>
      <c r="V881" s="97" t="str">
        <f t="shared" ca="1" si="981"/>
        <v>#REF!</v>
      </c>
      <c r="W881" s="97" t="str">
        <f t="shared" ca="1" si="982"/>
        <v>#REF!</v>
      </c>
      <c r="X881" s="98" t="str">
        <f t="shared" ca="1" si="882"/>
        <v>#REF!</v>
      </c>
      <c r="Y881" s="98" t="str">
        <f t="shared" ca="1" si="883"/>
        <v>#REF!</v>
      </c>
      <c r="Z881" s="121">
        <v>0</v>
      </c>
      <c r="AA881" s="121" t="str">
        <f t="shared" ca="1" si="556"/>
        <v>#REF!</v>
      </c>
      <c r="AB881" s="121" t="str">
        <f t="shared" ca="1" si="557"/>
        <v>#REF!</v>
      </c>
      <c r="AC881" s="99" t="str">
        <f t="shared" ca="1" si="8"/>
        <v>#REF!</v>
      </c>
      <c r="AD881" s="121" t="str">
        <f t="shared" ca="1" si="558"/>
        <v>#REF!</v>
      </c>
      <c r="AE881" s="99" t="str">
        <f t="shared" ca="1" si="10"/>
        <v>#REF!</v>
      </c>
      <c r="AF881" s="121" t="str">
        <f t="shared" ca="1" si="559"/>
        <v>#REF!</v>
      </c>
      <c r="AG881" s="100" t="str">
        <f t="shared" ca="1" si="560"/>
        <v>#REF!</v>
      </c>
      <c r="AH881" s="101" t="str">
        <f t="shared" ca="1" si="891"/>
        <v>#REF!</v>
      </c>
      <c r="AI881" s="102" t="str">
        <f t="shared" ref="AI881:AJ881" ca="1" si="1215">AG881/X881</f>
        <v>#REF!</v>
      </c>
      <c r="AJ881" s="102" t="str">
        <f t="shared" ca="1" si="1215"/>
        <v>#REF!</v>
      </c>
      <c r="AK881" s="212"/>
      <c r="AL881" s="213"/>
      <c r="AM881" s="4"/>
      <c r="AN881" s="4"/>
      <c r="AO881" s="4"/>
      <c r="AP881" s="4"/>
      <c r="AQ881" s="4"/>
      <c r="AR881" s="4"/>
      <c r="AS881" s="4"/>
      <c r="AT881" s="4"/>
      <c r="AU881" s="4"/>
      <c r="AV881" s="4"/>
      <c r="AW881" s="4"/>
    </row>
    <row r="882" spans="1:49" ht="13.2">
      <c r="A882" s="120"/>
      <c r="B882" s="266"/>
      <c r="C882" s="117"/>
      <c r="D882" s="117"/>
      <c r="E882" s="117"/>
      <c r="F882" s="123"/>
      <c r="G882" s="125" t="s">
        <v>145</v>
      </c>
      <c r="H882" s="125"/>
      <c r="I882" s="125"/>
      <c r="J882" s="125"/>
      <c r="K882" s="82" t="str">
        <f t="shared" ca="1" si="1125"/>
        <v>#REF!</v>
      </c>
      <c r="L882" s="82" t="str">
        <f t="shared" ca="1" si="1126"/>
        <v>#REF!</v>
      </c>
      <c r="M882" s="82" t="str">
        <f t="shared" ca="1" si="550"/>
        <v>#REF!</v>
      </c>
      <c r="N882" s="93"/>
      <c r="O882" s="93"/>
      <c r="P882" s="95">
        <f t="shared" si="965"/>
        <v>0</v>
      </c>
      <c r="Q882" s="96">
        <f t="shared" si="1204"/>
        <v>0</v>
      </c>
      <c r="R882" s="96">
        <v>0</v>
      </c>
      <c r="S882" s="97">
        <f t="shared" si="553"/>
        <v>0</v>
      </c>
      <c r="T882" s="97" t="str">
        <f ca="1">ROUNDUP(HLOOKUP(ROUNDUP(K882,0),'배송비 조회'!A$10:AE$22,7,0)*C$3,-2)</f>
        <v>#REF!</v>
      </c>
      <c r="U882" s="97">
        <v>0</v>
      </c>
      <c r="V882" s="97" t="str">
        <f t="shared" ca="1" si="981"/>
        <v>#REF!</v>
      </c>
      <c r="W882" s="97" t="str">
        <f t="shared" ca="1" si="982"/>
        <v>#REF!</v>
      </c>
      <c r="X882" s="98" t="str">
        <f t="shared" ca="1" si="882"/>
        <v>#REF!</v>
      </c>
      <c r="Y882" s="98" t="str">
        <f t="shared" ca="1" si="883"/>
        <v>#REF!</v>
      </c>
      <c r="Z882" s="121">
        <v>0</v>
      </c>
      <c r="AA882" s="121" t="str">
        <f t="shared" ca="1" si="556"/>
        <v>#REF!</v>
      </c>
      <c r="AB882" s="121" t="str">
        <f t="shared" ca="1" si="557"/>
        <v>#REF!</v>
      </c>
      <c r="AC882" s="99" t="str">
        <f t="shared" ca="1" si="8"/>
        <v>#REF!</v>
      </c>
      <c r="AD882" s="121" t="str">
        <f t="shared" ca="1" si="558"/>
        <v>#REF!</v>
      </c>
      <c r="AE882" s="99" t="str">
        <f t="shared" ca="1" si="10"/>
        <v>#REF!</v>
      </c>
      <c r="AF882" s="121" t="str">
        <f t="shared" ca="1" si="559"/>
        <v>#REF!</v>
      </c>
      <c r="AG882" s="100" t="str">
        <f t="shared" ca="1" si="560"/>
        <v>#REF!</v>
      </c>
      <c r="AH882" s="101" t="str">
        <f t="shared" ca="1" si="891"/>
        <v>#REF!</v>
      </c>
      <c r="AI882" s="102" t="str">
        <f t="shared" ref="AI882:AJ882" ca="1" si="1216">AG882/X882</f>
        <v>#REF!</v>
      </c>
      <c r="AJ882" s="102" t="str">
        <f t="shared" ca="1" si="1216"/>
        <v>#REF!</v>
      </c>
      <c r="AK882" s="212"/>
      <c r="AL882" s="213"/>
      <c r="AM882" s="4"/>
      <c r="AN882" s="4"/>
      <c r="AO882" s="4"/>
      <c r="AP882" s="4"/>
      <c r="AQ882" s="4"/>
      <c r="AR882" s="4"/>
      <c r="AS882" s="4"/>
      <c r="AT882" s="4"/>
      <c r="AU882" s="4"/>
      <c r="AV882" s="4"/>
      <c r="AW882" s="4"/>
    </row>
    <row r="883" spans="1:49" ht="13.2">
      <c r="A883" s="120"/>
      <c r="B883" s="266"/>
      <c r="C883" s="117"/>
      <c r="D883" s="117"/>
      <c r="E883" s="117"/>
      <c r="F883" s="123"/>
      <c r="G883" s="125" t="s">
        <v>145</v>
      </c>
      <c r="H883" s="125"/>
      <c r="I883" s="125"/>
      <c r="J883" s="125"/>
      <c r="K883" s="82" t="str">
        <f t="shared" ca="1" si="1125"/>
        <v>#REF!</v>
      </c>
      <c r="L883" s="82" t="str">
        <f t="shared" ca="1" si="1126"/>
        <v>#REF!</v>
      </c>
      <c r="M883" s="82" t="str">
        <f t="shared" ca="1" si="550"/>
        <v>#REF!</v>
      </c>
      <c r="N883" s="93"/>
      <c r="O883" s="93"/>
      <c r="P883" s="95">
        <f t="shared" si="965"/>
        <v>0</v>
      </c>
      <c r="Q883" s="96">
        <f t="shared" si="1204"/>
        <v>0</v>
      </c>
      <c r="R883" s="96">
        <v>0</v>
      </c>
      <c r="S883" s="97">
        <f t="shared" si="553"/>
        <v>0</v>
      </c>
      <c r="T883" s="97" t="str">
        <f ca="1">ROUNDUP(HLOOKUP(ROUNDUP(K883,0),'배송비 조회'!A$10:AE$22,7,0)*C$3,-2)</f>
        <v>#REF!</v>
      </c>
      <c r="U883" s="97">
        <v>0</v>
      </c>
      <c r="V883" s="97" t="str">
        <f t="shared" ca="1" si="981"/>
        <v>#REF!</v>
      </c>
      <c r="W883" s="97" t="str">
        <f t="shared" ca="1" si="982"/>
        <v>#REF!</v>
      </c>
      <c r="X883" s="98" t="str">
        <f t="shared" ca="1" si="882"/>
        <v>#REF!</v>
      </c>
      <c r="Y883" s="98" t="str">
        <f t="shared" ca="1" si="883"/>
        <v>#REF!</v>
      </c>
      <c r="Z883" s="121">
        <v>0</v>
      </c>
      <c r="AA883" s="121" t="str">
        <f t="shared" ca="1" si="556"/>
        <v>#REF!</v>
      </c>
      <c r="AB883" s="121" t="str">
        <f t="shared" ca="1" si="557"/>
        <v>#REF!</v>
      </c>
      <c r="AC883" s="99" t="str">
        <f t="shared" ca="1" si="8"/>
        <v>#REF!</v>
      </c>
      <c r="AD883" s="121" t="str">
        <f t="shared" ca="1" si="558"/>
        <v>#REF!</v>
      </c>
      <c r="AE883" s="99" t="str">
        <f t="shared" ca="1" si="10"/>
        <v>#REF!</v>
      </c>
      <c r="AF883" s="121" t="str">
        <f t="shared" ca="1" si="559"/>
        <v>#REF!</v>
      </c>
      <c r="AG883" s="100" t="str">
        <f t="shared" ca="1" si="560"/>
        <v>#REF!</v>
      </c>
      <c r="AH883" s="101" t="str">
        <f t="shared" ca="1" si="891"/>
        <v>#REF!</v>
      </c>
      <c r="AI883" s="102" t="str">
        <f t="shared" ref="AI883:AJ883" ca="1" si="1217">AG883/X883</f>
        <v>#REF!</v>
      </c>
      <c r="AJ883" s="102" t="str">
        <f t="shared" ca="1" si="1217"/>
        <v>#REF!</v>
      </c>
      <c r="AK883" s="212"/>
      <c r="AL883" s="213"/>
      <c r="AM883" s="4"/>
      <c r="AN883" s="4"/>
      <c r="AO883" s="4"/>
      <c r="AP883" s="4"/>
      <c r="AQ883" s="4"/>
      <c r="AR883" s="4"/>
      <c r="AS883" s="4"/>
      <c r="AT883" s="4"/>
      <c r="AU883" s="4"/>
      <c r="AV883" s="4"/>
      <c r="AW883" s="4"/>
    </row>
    <row r="884" spans="1:49" ht="13.2">
      <c r="A884" s="120"/>
      <c r="B884" s="266"/>
      <c r="C884" s="117"/>
      <c r="D884" s="117"/>
      <c r="E884" s="117"/>
      <c r="F884" s="123"/>
      <c r="G884" s="125" t="s">
        <v>145</v>
      </c>
      <c r="H884" s="125"/>
      <c r="I884" s="125"/>
      <c r="J884" s="125"/>
      <c r="K884" s="82" t="str">
        <f t="shared" ca="1" si="1125"/>
        <v>#REF!</v>
      </c>
      <c r="L884" s="82" t="str">
        <f t="shared" ca="1" si="1126"/>
        <v>#REF!</v>
      </c>
      <c r="M884" s="82" t="str">
        <f t="shared" ca="1" si="550"/>
        <v>#REF!</v>
      </c>
      <c r="N884" s="93"/>
      <c r="O884" s="93"/>
      <c r="P884" s="95">
        <f t="shared" si="965"/>
        <v>0</v>
      </c>
      <c r="Q884" s="96">
        <f t="shared" si="1204"/>
        <v>0</v>
      </c>
      <c r="R884" s="96">
        <v>0</v>
      </c>
      <c r="S884" s="97">
        <f t="shared" si="553"/>
        <v>0</v>
      </c>
      <c r="T884" s="97" t="str">
        <f ca="1">ROUNDUP(HLOOKUP(ROUNDUP(K884,0),'배송비 조회'!A$10:AE$22,7,0)*C$3,-2)</f>
        <v>#REF!</v>
      </c>
      <c r="U884" s="97">
        <v>0</v>
      </c>
      <c r="V884" s="97" t="str">
        <f t="shared" ca="1" si="981"/>
        <v>#REF!</v>
      </c>
      <c r="W884" s="97" t="str">
        <f t="shared" ca="1" si="982"/>
        <v>#REF!</v>
      </c>
      <c r="X884" s="98" t="str">
        <f t="shared" ca="1" si="882"/>
        <v>#REF!</v>
      </c>
      <c r="Y884" s="98" t="str">
        <f t="shared" ca="1" si="883"/>
        <v>#REF!</v>
      </c>
      <c r="Z884" s="121">
        <v>0</v>
      </c>
      <c r="AA884" s="121" t="str">
        <f t="shared" ca="1" si="556"/>
        <v>#REF!</v>
      </c>
      <c r="AB884" s="121" t="str">
        <f t="shared" ca="1" si="557"/>
        <v>#REF!</v>
      </c>
      <c r="AC884" s="99" t="str">
        <f t="shared" ca="1" si="8"/>
        <v>#REF!</v>
      </c>
      <c r="AD884" s="121" t="str">
        <f t="shared" ca="1" si="558"/>
        <v>#REF!</v>
      </c>
      <c r="AE884" s="99" t="str">
        <f t="shared" ca="1" si="10"/>
        <v>#REF!</v>
      </c>
      <c r="AF884" s="121" t="str">
        <f t="shared" ca="1" si="559"/>
        <v>#REF!</v>
      </c>
      <c r="AG884" s="100" t="str">
        <f t="shared" ca="1" si="560"/>
        <v>#REF!</v>
      </c>
      <c r="AH884" s="101" t="str">
        <f t="shared" ca="1" si="891"/>
        <v>#REF!</v>
      </c>
      <c r="AI884" s="102" t="str">
        <f t="shared" ref="AI884:AJ884" ca="1" si="1218">AG884/X884</f>
        <v>#REF!</v>
      </c>
      <c r="AJ884" s="102" t="str">
        <f t="shared" ca="1" si="1218"/>
        <v>#REF!</v>
      </c>
      <c r="AK884" s="212"/>
      <c r="AL884" s="213"/>
      <c r="AM884" s="4"/>
      <c r="AN884" s="4"/>
      <c r="AO884" s="4"/>
      <c r="AP884" s="4"/>
      <c r="AQ884" s="4"/>
      <c r="AR884" s="4"/>
      <c r="AS884" s="4"/>
      <c r="AT884" s="4"/>
      <c r="AU884" s="4"/>
      <c r="AV884" s="4"/>
      <c r="AW884" s="4"/>
    </row>
    <row r="885" spans="1:49" ht="13.2">
      <c r="A885" s="120"/>
      <c r="B885" s="266"/>
      <c r="C885" s="117"/>
      <c r="D885" s="117"/>
      <c r="E885" s="117"/>
      <c r="F885" s="123"/>
      <c r="G885" s="125" t="s">
        <v>145</v>
      </c>
      <c r="H885" s="125"/>
      <c r="I885" s="125"/>
      <c r="J885" s="125"/>
      <c r="K885" s="82" t="str">
        <f t="shared" ca="1" si="1125"/>
        <v>#REF!</v>
      </c>
      <c r="L885" s="82" t="str">
        <f t="shared" ca="1" si="1126"/>
        <v>#REF!</v>
      </c>
      <c r="M885" s="82" t="str">
        <f t="shared" ca="1" si="550"/>
        <v>#REF!</v>
      </c>
      <c r="N885" s="93"/>
      <c r="O885" s="93"/>
      <c r="P885" s="95">
        <f t="shared" si="965"/>
        <v>0</v>
      </c>
      <c r="Q885" s="96">
        <f t="shared" si="1204"/>
        <v>0</v>
      </c>
      <c r="R885" s="96">
        <v>0</v>
      </c>
      <c r="S885" s="97">
        <f t="shared" si="553"/>
        <v>0</v>
      </c>
      <c r="T885" s="97" t="str">
        <f ca="1">ROUNDUP(HLOOKUP(ROUNDUP(K885,0),'배송비 조회'!A$10:AE$22,7,0)*C$3,-2)</f>
        <v>#REF!</v>
      </c>
      <c r="U885" s="97">
        <v>0</v>
      </c>
      <c r="V885" s="97" t="str">
        <f t="shared" ca="1" si="981"/>
        <v>#REF!</v>
      </c>
      <c r="W885" s="97" t="str">
        <f t="shared" ca="1" si="982"/>
        <v>#REF!</v>
      </c>
      <c r="X885" s="98" t="str">
        <f t="shared" ca="1" si="882"/>
        <v>#REF!</v>
      </c>
      <c r="Y885" s="98" t="str">
        <f t="shared" ca="1" si="883"/>
        <v>#REF!</v>
      </c>
      <c r="Z885" s="121">
        <v>0</v>
      </c>
      <c r="AA885" s="121" t="str">
        <f t="shared" ca="1" si="556"/>
        <v>#REF!</v>
      </c>
      <c r="AB885" s="121" t="str">
        <f t="shared" ca="1" si="557"/>
        <v>#REF!</v>
      </c>
      <c r="AC885" s="99" t="str">
        <f t="shared" ca="1" si="8"/>
        <v>#REF!</v>
      </c>
      <c r="AD885" s="121" t="str">
        <f t="shared" ca="1" si="558"/>
        <v>#REF!</v>
      </c>
      <c r="AE885" s="99" t="str">
        <f t="shared" ca="1" si="10"/>
        <v>#REF!</v>
      </c>
      <c r="AF885" s="121" t="str">
        <f t="shared" ca="1" si="559"/>
        <v>#REF!</v>
      </c>
      <c r="AG885" s="100" t="str">
        <f t="shared" ca="1" si="560"/>
        <v>#REF!</v>
      </c>
      <c r="AH885" s="101" t="str">
        <f t="shared" ca="1" si="891"/>
        <v>#REF!</v>
      </c>
      <c r="AI885" s="102" t="str">
        <f t="shared" ref="AI885:AJ885" ca="1" si="1219">AG885/X885</f>
        <v>#REF!</v>
      </c>
      <c r="AJ885" s="102" t="str">
        <f t="shared" ca="1" si="1219"/>
        <v>#REF!</v>
      </c>
      <c r="AK885" s="212"/>
      <c r="AL885" s="213"/>
      <c r="AM885" s="4"/>
      <c r="AN885" s="4"/>
      <c r="AO885" s="4"/>
      <c r="AP885" s="4"/>
      <c r="AQ885" s="4"/>
      <c r="AR885" s="4"/>
      <c r="AS885" s="4"/>
      <c r="AT885" s="4"/>
      <c r="AU885" s="4"/>
      <c r="AV885" s="4"/>
      <c r="AW885" s="4"/>
    </row>
    <row r="886" spans="1:49" ht="13.2">
      <c r="A886" s="120"/>
      <c r="B886" s="266"/>
      <c r="C886" s="117"/>
      <c r="D886" s="117"/>
      <c r="E886" s="117"/>
      <c r="F886" s="123"/>
      <c r="G886" s="125" t="s">
        <v>145</v>
      </c>
      <c r="H886" s="125"/>
      <c r="I886" s="125"/>
      <c r="J886" s="125"/>
      <c r="K886" s="82" t="str">
        <f t="shared" ca="1" si="1125"/>
        <v>#REF!</v>
      </c>
      <c r="L886" s="82" t="str">
        <f t="shared" ca="1" si="1126"/>
        <v>#REF!</v>
      </c>
      <c r="M886" s="82" t="str">
        <f t="shared" ca="1" si="550"/>
        <v>#REF!</v>
      </c>
      <c r="N886" s="93"/>
      <c r="O886" s="93"/>
      <c r="P886" s="95">
        <f t="shared" si="965"/>
        <v>0</v>
      </c>
      <c r="Q886" s="96">
        <f t="shared" si="1204"/>
        <v>0</v>
      </c>
      <c r="R886" s="96">
        <v>0</v>
      </c>
      <c r="S886" s="97">
        <f t="shared" si="553"/>
        <v>0</v>
      </c>
      <c r="T886" s="97" t="str">
        <f ca="1">ROUNDUP(HLOOKUP(ROUNDUP(K886,0),'배송비 조회'!A$10:AE$22,7,0)*C$3,-2)</f>
        <v>#REF!</v>
      </c>
      <c r="U886" s="97">
        <v>0</v>
      </c>
      <c r="V886" s="97" t="str">
        <f t="shared" ca="1" si="981"/>
        <v>#REF!</v>
      </c>
      <c r="W886" s="97" t="str">
        <f t="shared" ca="1" si="982"/>
        <v>#REF!</v>
      </c>
      <c r="X886" s="98" t="str">
        <f t="shared" ca="1" si="882"/>
        <v>#REF!</v>
      </c>
      <c r="Y886" s="98" t="str">
        <f t="shared" ca="1" si="883"/>
        <v>#REF!</v>
      </c>
      <c r="Z886" s="121">
        <v>0</v>
      </c>
      <c r="AA886" s="121" t="str">
        <f t="shared" ca="1" si="556"/>
        <v>#REF!</v>
      </c>
      <c r="AB886" s="121" t="str">
        <f t="shared" ca="1" si="557"/>
        <v>#REF!</v>
      </c>
      <c r="AC886" s="99" t="str">
        <f t="shared" ca="1" si="8"/>
        <v>#REF!</v>
      </c>
      <c r="AD886" s="121" t="str">
        <f t="shared" ca="1" si="558"/>
        <v>#REF!</v>
      </c>
      <c r="AE886" s="99" t="str">
        <f t="shared" ca="1" si="10"/>
        <v>#REF!</v>
      </c>
      <c r="AF886" s="121" t="str">
        <f t="shared" ca="1" si="559"/>
        <v>#REF!</v>
      </c>
      <c r="AG886" s="100" t="str">
        <f t="shared" ca="1" si="560"/>
        <v>#REF!</v>
      </c>
      <c r="AH886" s="101" t="str">
        <f t="shared" ca="1" si="891"/>
        <v>#REF!</v>
      </c>
      <c r="AI886" s="102" t="str">
        <f t="shared" ref="AI886:AJ886" ca="1" si="1220">AG886/X886</f>
        <v>#REF!</v>
      </c>
      <c r="AJ886" s="102" t="str">
        <f t="shared" ca="1" si="1220"/>
        <v>#REF!</v>
      </c>
      <c r="AK886" s="212"/>
      <c r="AL886" s="213"/>
      <c r="AM886" s="4"/>
      <c r="AN886" s="4"/>
      <c r="AO886" s="4"/>
      <c r="AP886" s="4"/>
      <c r="AQ886" s="4"/>
      <c r="AR886" s="4"/>
      <c r="AS886" s="4"/>
      <c r="AT886" s="4"/>
      <c r="AU886" s="4"/>
      <c r="AV886" s="4"/>
      <c r="AW886" s="4"/>
    </row>
    <row r="887" spans="1:49" ht="13.2">
      <c r="A887" s="120"/>
      <c r="B887" s="266"/>
      <c r="C887" s="117"/>
      <c r="D887" s="117"/>
      <c r="E887" s="117"/>
      <c r="F887" s="123"/>
      <c r="G887" s="125" t="s">
        <v>145</v>
      </c>
      <c r="H887" s="125"/>
      <c r="I887" s="125"/>
      <c r="J887" s="125"/>
      <c r="K887" s="82" t="str">
        <f t="shared" ca="1" si="1125"/>
        <v>#REF!</v>
      </c>
      <c r="L887" s="82" t="str">
        <f t="shared" ca="1" si="1126"/>
        <v>#REF!</v>
      </c>
      <c r="M887" s="82" t="str">
        <f t="shared" ca="1" si="550"/>
        <v>#REF!</v>
      </c>
      <c r="N887" s="93"/>
      <c r="O887" s="93"/>
      <c r="P887" s="95">
        <f t="shared" si="965"/>
        <v>0</v>
      </c>
      <c r="Q887" s="96">
        <f t="shared" si="1204"/>
        <v>0</v>
      </c>
      <c r="R887" s="96">
        <v>0</v>
      </c>
      <c r="S887" s="97">
        <f t="shared" si="553"/>
        <v>0</v>
      </c>
      <c r="T887" s="97" t="str">
        <f ca="1">ROUNDUP(HLOOKUP(ROUNDUP(K887,0),'배송비 조회'!A$10:AE$22,7,0)*C$3,-2)</f>
        <v>#REF!</v>
      </c>
      <c r="U887" s="97">
        <v>0</v>
      </c>
      <c r="V887" s="97" t="str">
        <f t="shared" ca="1" si="981"/>
        <v>#REF!</v>
      </c>
      <c r="W887" s="97" t="str">
        <f t="shared" ca="1" si="982"/>
        <v>#REF!</v>
      </c>
      <c r="X887" s="98" t="str">
        <f t="shared" ca="1" si="882"/>
        <v>#REF!</v>
      </c>
      <c r="Y887" s="98" t="str">
        <f t="shared" ca="1" si="883"/>
        <v>#REF!</v>
      </c>
      <c r="Z887" s="121">
        <v>0</v>
      </c>
      <c r="AA887" s="121" t="str">
        <f t="shared" ca="1" si="556"/>
        <v>#REF!</v>
      </c>
      <c r="AB887" s="121" t="str">
        <f t="shared" ca="1" si="557"/>
        <v>#REF!</v>
      </c>
      <c r="AC887" s="99" t="str">
        <f t="shared" ca="1" si="8"/>
        <v>#REF!</v>
      </c>
      <c r="AD887" s="121" t="str">
        <f t="shared" ca="1" si="558"/>
        <v>#REF!</v>
      </c>
      <c r="AE887" s="99" t="str">
        <f t="shared" ca="1" si="10"/>
        <v>#REF!</v>
      </c>
      <c r="AF887" s="121" t="str">
        <f t="shared" ca="1" si="559"/>
        <v>#REF!</v>
      </c>
      <c r="AG887" s="100" t="str">
        <f t="shared" ca="1" si="560"/>
        <v>#REF!</v>
      </c>
      <c r="AH887" s="101" t="str">
        <f t="shared" ca="1" si="891"/>
        <v>#REF!</v>
      </c>
      <c r="AI887" s="102" t="str">
        <f t="shared" ref="AI887:AJ887" ca="1" si="1221">AG887/X887</f>
        <v>#REF!</v>
      </c>
      <c r="AJ887" s="102" t="str">
        <f t="shared" ca="1" si="1221"/>
        <v>#REF!</v>
      </c>
      <c r="AK887" s="212"/>
      <c r="AL887" s="213"/>
      <c r="AM887" s="4"/>
      <c r="AN887" s="4"/>
      <c r="AO887" s="4"/>
      <c r="AP887" s="4"/>
      <c r="AQ887" s="4"/>
      <c r="AR887" s="4"/>
      <c r="AS887" s="4"/>
      <c r="AT887" s="4"/>
      <c r="AU887" s="4"/>
      <c r="AV887" s="4"/>
      <c r="AW887" s="4"/>
    </row>
    <row r="888" spans="1:49" ht="13.2">
      <c r="A888" s="120"/>
      <c r="B888" s="266"/>
      <c r="C888" s="117"/>
      <c r="D888" s="117"/>
      <c r="E888" s="117"/>
      <c r="F888" s="123"/>
      <c r="G888" s="125" t="s">
        <v>145</v>
      </c>
      <c r="H888" s="125"/>
      <c r="I888" s="125"/>
      <c r="J888" s="125"/>
      <c r="K888" s="82" t="str">
        <f t="shared" ca="1" si="1125"/>
        <v>#REF!</v>
      </c>
      <c r="L888" s="82" t="str">
        <f t="shared" ca="1" si="1126"/>
        <v>#REF!</v>
      </c>
      <c r="M888" s="82" t="str">
        <f t="shared" ca="1" si="550"/>
        <v>#REF!</v>
      </c>
      <c r="N888" s="93"/>
      <c r="O888" s="93"/>
      <c r="P888" s="95">
        <f t="shared" si="965"/>
        <v>0</v>
      </c>
      <c r="Q888" s="96">
        <f t="shared" si="1204"/>
        <v>0</v>
      </c>
      <c r="R888" s="96">
        <v>0</v>
      </c>
      <c r="S888" s="97">
        <f t="shared" si="553"/>
        <v>0</v>
      </c>
      <c r="T888" s="97" t="str">
        <f ca="1">ROUNDUP(HLOOKUP(ROUNDUP(K888,0),'배송비 조회'!A$10:AE$22,7,0)*C$3,-2)</f>
        <v>#REF!</v>
      </c>
      <c r="U888" s="97">
        <v>0</v>
      </c>
      <c r="V888" s="97" t="str">
        <f t="shared" ca="1" si="981"/>
        <v>#REF!</v>
      </c>
      <c r="W888" s="97" t="str">
        <f t="shared" ca="1" si="982"/>
        <v>#REF!</v>
      </c>
      <c r="X888" s="98" t="str">
        <f t="shared" ca="1" si="882"/>
        <v>#REF!</v>
      </c>
      <c r="Y888" s="98" t="str">
        <f t="shared" ca="1" si="883"/>
        <v>#REF!</v>
      </c>
      <c r="Z888" s="121">
        <v>0</v>
      </c>
      <c r="AA888" s="121" t="str">
        <f t="shared" ca="1" si="556"/>
        <v>#REF!</v>
      </c>
      <c r="AB888" s="121" t="str">
        <f t="shared" ca="1" si="557"/>
        <v>#REF!</v>
      </c>
      <c r="AC888" s="99" t="str">
        <f t="shared" ca="1" si="8"/>
        <v>#REF!</v>
      </c>
      <c r="AD888" s="121" t="str">
        <f t="shared" ca="1" si="558"/>
        <v>#REF!</v>
      </c>
      <c r="AE888" s="99" t="str">
        <f t="shared" ca="1" si="10"/>
        <v>#REF!</v>
      </c>
      <c r="AF888" s="121" t="str">
        <f t="shared" ca="1" si="559"/>
        <v>#REF!</v>
      </c>
      <c r="AG888" s="100" t="str">
        <f t="shared" ca="1" si="560"/>
        <v>#REF!</v>
      </c>
      <c r="AH888" s="101" t="str">
        <f t="shared" ca="1" si="891"/>
        <v>#REF!</v>
      </c>
      <c r="AI888" s="102" t="str">
        <f t="shared" ref="AI888:AJ888" ca="1" si="1222">AG888/X888</f>
        <v>#REF!</v>
      </c>
      <c r="AJ888" s="102" t="str">
        <f t="shared" ca="1" si="1222"/>
        <v>#REF!</v>
      </c>
      <c r="AK888" s="212"/>
      <c r="AL888" s="213"/>
      <c r="AM888" s="4"/>
      <c r="AN888" s="4"/>
      <c r="AO888" s="4"/>
      <c r="AP888" s="4"/>
      <c r="AQ888" s="4"/>
      <c r="AR888" s="4"/>
      <c r="AS888" s="4"/>
      <c r="AT888" s="4"/>
      <c r="AU888" s="4"/>
      <c r="AV888" s="4"/>
      <c r="AW888" s="4"/>
    </row>
    <row r="889" spans="1:49" ht="13.2">
      <c r="A889" s="120"/>
      <c r="B889" s="266"/>
      <c r="C889" s="117"/>
      <c r="D889" s="117"/>
      <c r="E889" s="117"/>
      <c r="F889" s="123"/>
      <c r="G889" s="125" t="s">
        <v>145</v>
      </c>
      <c r="H889" s="125"/>
      <c r="I889" s="125"/>
      <c r="J889" s="125"/>
      <c r="K889" s="82" t="str">
        <f t="shared" ca="1" si="1125"/>
        <v>#REF!</v>
      </c>
      <c r="L889" s="82" t="str">
        <f t="shared" ca="1" si="1126"/>
        <v>#REF!</v>
      </c>
      <c r="M889" s="82" t="str">
        <f t="shared" ca="1" si="550"/>
        <v>#REF!</v>
      </c>
      <c r="N889" s="93"/>
      <c r="O889" s="93"/>
      <c r="P889" s="95">
        <f t="shared" si="965"/>
        <v>0</v>
      </c>
      <c r="Q889" s="96">
        <f t="shared" si="1204"/>
        <v>0</v>
      </c>
      <c r="R889" s="96">
        <v>0</v>
      </c>
      <c r="S889" s="97">
        <f t="shared" si="553"/>
        <v>0</v>
      </c>
      <c r="T889" s="97" t="str">
        <f ca="1">ROUNDUP(HLOOKUP(ROUNDUP(K889,0),'배송비 조회'!A$10:AE$22,7,0)*C$3,-2)</f>
        <v>#REF!</v>
      </c>
      <c r="U889" s="97">
        <v>0</v>
      </c>
      <c r="V889" s="97" t="str">
        <f t="shared" ca="1" si="981"/>
        <v>#REF!</v>
      </c>
      <c r="W889" s="97" t="str">
        <f t="shared" ca="1" si="982"/>
        <v>#REF!</v>
      </c>
      <c r="X889" s="98" t="str">
        <f t="shared" ca="1" si="882"/>
        <v>#REF!</v>
      </c>
      <c r="Y889" s="98" t="str">
        <f t="shared" ca="1" si="883"/>
        <v>#REF!</v>
      </c>
      <c r="Z889" s="121">
        <v>0</v>
      </c>
      <c r="AA889" s="121" t="str">
        <f t="shared" ca="1" si="556"/>
        <v>#REF!</v>
      </c>
      <c r="AB889" s="121" t="str">
        <f t="shared" ca="1" si="557"/>
        <v>#REF!</v>
      </c>
      <c r="AC889" s="99" t="str">
        <f t="shared" ca="1" si="8"/>
        <v>#REF!</v>
      </c>
      <c r="AD889" s="121" t="str">
        <f t="shared" ca="1" si="558"/>
        <v>#REF!</v>
      </c>
      <c r="AE889" s="99" t="str">
        <f t="shared" ca="1" si="10"/>
        <v>#REF!</v>
      </c>
      <c r="AF889" s="121" t="str">
        <f t="shared" ca="1" si="559"/>
        <v>#REF!</v>
      </c>
      <c r="AG889" s="100" t="str">
        <f t="shared" ca="1" si="560"/>
        <v>#REF!</v>
      </c>
      <c r="AH889" s="101" t="str">
        <f t="shared" ca="1" si="891"/>
        <v>#REF!</v>
      </c>
      <c r="AI889" s="102" t="str">
        <f t="shared" ref="AI889:AJ889" ca="1" si="1223">AG889/X889</f>
        <v>#REF!</v>
      </c>
      <c r="AJ889" s="102" t="str">
        <f t="shared" ca="1" si="1223"/>
        <v>#REF!</v>
      </c>
      <c r="AK889" s="212"/>
      <c r="AL889" s="213"/>
      <c r="AM889" s="4"/>
      <c r="AN889" s="4"/>
      <c r="AO889" s="4"/>
      <c r="AP889" s="4"/>
      <c r="AQ889" s="4"/>
      <c r="AR889" s="4"/>
      <c r="AS889" s="4"/>
      <c r="AT889" s="4"/>
      <c r="AU889" s="4"/>
      <c r="AV889" s="4"/>
      <c r="AW889" s="4"/>
    </row>
    <row r="890" spans="1:49" ht="13.2">
      <c r="A890" s="120"/>
      <c r="B890" s="266"/>
      <c r="C890" s="117"/>
      <c r="D890" s="117"/>
      <c r="E890" s="117"/>
      <c r="F890" s="123"/>
      <c r="G890" s="125" t="s">
        <v>145</v>
      </c>
      <c r="H890" s="125"/>
      <c r="I890" s="125"/>
      <c r="J890" s="125"/>
      <c r="K890" s="82" t="str">
        <f t="shared" ca="1" si="1125"/>
        <v>#REF!</v>
      </c>
      <c r="L890" s="82" t="str">
        <f t="shared" ca="1" si="1126"/>
        <v>#REF!</v>
      </c>
      <c r="M890" s="82" t="str">
        <f t="shared" ca="1" si="550"/>
        <v>#REF!</v>
      </c>
      <c r="N890" s="93"/>
      <c r="O890" s="93"/>
      <c r="P890" s="95">
        <f t="shared" si="965"/>
        <v>0</v>
      </c>
      <c r="Q890" s="96">
        <f t="shared" si="1204"/>
        <v>0</v>
      </c>
      <c r="R890" s="96">
        <v>0</v>
      </c>
      <c r="S890" s="97">
        <f t="shared" si="553"/>
        <v>0</v>
      </c>
      <c r="T890" s="97" t="str">
        <f ca="1">ROUNDUP(HLOOKUP(ROUNDUP(K890,0),'배송비 조회'!A$10:AE$22,7,0)*C$3,-2)</f>
        <v>#REF!</v>
      </c>
      <c r="U890" s="97">
        <v>0</v>
      </c>
      <c r="V890" s="97" t="str">
        <f t="shared" ca="1" si="981"/>
        <v>#REF!</v>
      </c>
      <c r="W890" s="97" t="str">
        <f t="shared" ca="1" si="982"/>
        <v>#REF!</v>
      </c>
      <c r="X890" s="98" t="str">
        <f t="shared" ca="1" si="882"/>
        <v>#REF!</v>
      </c>
      <c r="Y890" s="98" t="str">
        <f t="shared" ca="1" si="883"/>
        <v>#REF!</v>
      </c>
      <c r="Z890" s="121">
        <v>0</v>
      </c>
      <c r="AA890" s="121" t="str">
        <f t="shared" ca="1" si="556"/>
        <v>#REF!</v>
      </c>
      <c r="AB890" s="121" t="str">
        <f t="shared" ca="1" si="557"/>
        <v>#REF!</v>
      </c>
      <c r="AC890" s="99" t="str">
        <f t="shared" ca="1" si="8"/>
        <v>#REF!</v>
      </c>
      <c r="AD890" s="121" t="str">
        <f t="shared" ca="1" si="558"/>
        <v>#REF!</v>
      </c>
      <c r="AE890" s="99" t="str">
        <f t="shared" ca="1" si="10"/>
        <v>#REF!</v>
      </c>
      <c r="AF890" s="121" t="str">
        <f t="shared" ca="1" si="559"/>
        <v>#REF!</v>
      </c>
      <c r="AG890" s="100" t="str">
        <f t="shared" ca="1" si="560"/>
        <v>#REF!</v>
      </c>
      <c r="AH890" s="101" t="str">
        <f t="shared" ca="1" si="891"/>
        <v>#REF!</v>
      </c>
      <c r="AI890" s="102" t="str">
        <f t="shared" ref="AI890:AJ890" ca="1" si="1224">AG890/X890</f>
        <v>#REF!</v>
      </c>
      <c r="AJ890" s="102" t="str">
        <f t="shared" ca="1" si="1224"/>
        <v>#REF!</v>
      </c>
      <c r="AK890" s="212"/>
      <c r="AL890" s="213"/>
      <c r="AM890" s="4"/>
      <c r="AN890" s="4"/>
      <c r="AO890" s="4"/>
      <c r="AP890" s="4"/>
      <c r="AQ890" s="4"/>
      <c r="AR890" s="4"/>
      <c r="AS890" s="4"/>
      <c r="AT890" s="4"/>
      <c r="AU890" s="4"/>
      <c r="AV890" s="4"/>
      <c r="AW890" s="4"/>
    </row>
    <row r="891" spans="1:49" ht="13.2">
      <c r="A891" s="120"/>
      <c r="B891" s="266"/>
      <c r="C891" s="117"/>
      <c r="D891" s="117"/>
      <c r="E891" s="117"/>
      <c r="F891" s="123"/>
      <c r="G891" s="125" t="s">
        <v>145</v>
      </c>
      <c r="H891" s="125"/>
      <c r="I891" s="125"/>
      <c r="J891" s="125"/>
      <c r="K891" s="82" t="str">
        <f t="shared" ca="1" si="1125"/>
        <v>#REF!</v>
      </c>
      <c r="L891" s="82" t="str">
        <f t="shared" ca="1" si="1126"/>
        <v>#REF!</v>
      </c>
      <c r="M891" s="82" t="str">
        <f t="shared" ca="1" si="550"/>
        <v>#REF!</v>
      </c>
      <c r="N891" s="93"/>
      <c r="O891" s="93"/>
      <c r="P891" s="95">
        <f t="shared" si="965"/>
        <v>0</v>
      </c>
      <c r="Q891" s="96">
        <f t="shared" si="1204"/>
        <v>0</v>
      </c>
      <c r="R891" s="96">
        <v>0</v>
      </c>
      <c r="S891" s="97">
        <f t="shared" si="553"/>
        <v>0</v>
      </c>
      <c r="T891" s="97" t="str">
        <f ca="1">ROUNDUP(HLOOKUP(ROUNDUP(K891,0),'배송비 조회'!A$10:AE$22,7,0)*C$3,-2)</f>
        <v>#REF!</v>
      </c>
      <c r="U891" s="97">
        <v>0</v>
      </c>
      <c r="V891" s="97" t="str">
        <f t="shared" ca="1" si="981"/>
        <v>#REF!</v>
      </c>
      <c r="W891" s="97" t="str">
        <f t="shared" ca="1" si="982"/>
        <v>#REF!</v>
      </c>
      <c r="X891" s="98" t="str">
        <f t="shared" ca="1" si="882"/>
        <v>#REF!</v>
      </c>
      <c r="Y891" s="98" t="str">
        <f t="shared" ca="1" si="883"/>
        <v>#REF!</v>
      </c>
      <c r="Z891" s="121">
        <v>0</v>
      </c>
      <c r="AA891" s="121" t="str">
        <f t="shared" ca="1" si="556"/>
        <v>#REF!</v>
      </c>
      <c r="AB891" s="121" t="str">
        <f t="shared" ca="1" si="557"/>
        <v>#REF!</v>
      </c>
      <c r="AC891" s="99" t="str">
        <f t="shared" ca="1" si="8"/>
        <v>#REF!</v>
      </c>
      <c r="AD891" s="121" t="str">
        <f t="shared" ca="1" si="558"/>
        <v>#REF!</v>
      </c>
      <c r="AE891" s="99" t="str">
        <f t="shared" ca="1" si="10"/>
        <v>#REF!</v>
      </c>
      <c r="AF891" s="121" t="str">
        <f t="shared" ca="1" si="559"/>
        <v>#REF!</v>
      </c>
      <c r="AG891" s="100" t="str">
        <f t="shared" ca="1" si="560"/>
        <v>#REF!</v>
      </c>
      <c r="AH891" s="101" t="str">
        <f t="shared" ca="1" si="891"/>
        <v>#REF!</v>
      </c>
      <c r="AI891" s="102" t="str">
        <f t="shared" ref="AI891:AJ891" ca="1" si="1225">AG891/X891</f>
        <v>#REF!</v>
      </c>
      <c r="AJ891" s="102" t="str">
        <f t="shared" ca="1" si="1225"/>
        <v>#REF!</v>
      </c>
      <c r="AK891" s="212"/>
      <c r="AL891" s="213"/>
      <c r="AM891" s="4"/>
      <c r="AN891" s="4"/>
      <c r="AO891" s="4"/>
      <c r="AP891" s="4"/>
      <c r="AQ891" s="4"/>
      <c r="AR891" s="4"/>
      <c r="AS891" s="4"/>
      <c r="AT891" s="4"/>
      <c r="AU891" s="4"/>
      <c r="AV891" s="4"/>
      <c r="AW891" s="4"/>
    </row>
    <row r="892" spans="1:49" ht="13.2">
      <c r="A892" s="120"/>
      <c r="B892" s="266"/>
      <c r="C892" s="117"/>
      <c r="D892" s="117"/>
      <c r="E892" s="117"/>
      <c r="F892" s="123"/>
      <c r="G892" s="125" t="s">
        <v>145</v>
      </c>
      <c r="H892" s="125"/>
      <c r="I892" s="125"/>
      <c r="J892" s="125"/>
      <c r="K892" s="82" t="str">
        <f t="shared" ca="1" si="1125"/>
        <v>#REF!</v>
      </c>
      <c r="L892" s="82" t="str">
        <f t="shared" ca="1" si="1126"/>
        <v>#REF!</v>
      </c>
      <c r="M892" s="82" t="str">
        <f t="shared" ca="1" si="550"/>
        <v>#REF!</v>
      </c>
      <c r="N892" s="93"/>
      <c r="O892" s="93"/>
      <c r="P892" s="95">
        <f t="shared" si="965"/>
        <v>0</v>
      </c>
      <c r="Q892" s="96">
        <f t="shared" si="1204"/>
        <v>0</v>
      </c>
      <c r="R892" s="96">
        <v>0</v>
      </c>
      <c r="S892" s="97">
        <f t="shared" si="553"/>
        <v>0</v>
      </c>
      <c r="T892" s="97" t="str">
        <f ca="1">ROUNDUP(HLOOKUP(ROUNDUP(K892,0),'배송비 조회'!A$10:AE$22,7,0)*C$3,-2)</f>
        <v>#REF!</v>
      </c>
      <c r="U892" s="97">
        <v>0</v>
      </c>
      <c r="V892" s="97" t="str">
        <f t="shared" ca="1" si="981"/>
        <v>#REF!</v>
      </c>
      <c r="W892" s="97" t="str">
        <f t="shared" ca="1" si="982"/>
        <v>#REF!</v>
      </c>
      <c r="X892" s="98" t="str">
        <f t="shared" ca="1" si="882"/>
        <v>#REF!</v>
      </c>
      <c r="Y892" s="98" t="str">
        <f t="shared" ca="1" si="883"/>
        <v>#REF!</v>
      </c>
      <c r="Z892" s="121">
        <v>0</v>
      </c>
      <c r="AA892" s="121" t="str">
        <f t="shared" ca="1" si="556"/>
        <v>#REF!</v>
      </c>
      <c r="AB892" s="121" t="str">
        <f t="shared" ca="1" si="557"/>
        <v>#REF!</v>
      </c>
      <c r="AC892" s="99" t="str">
        <f t="shared" ca="1" si="8"/>
        <v>#REF!</v>
      </c>
      <c r="AD892" s="121" t="str">
        <f t="shared" ca="1" si="558"/>
        <v>#REF!</v>
      </c>
      <c r="AE892" s="99" t="str">
        <f t="shared" ca="1" si="10"/>
        <v>#REF!</v>
      </c>
      <c r="AF892" s="121" t="str">
        <f t="shared" ca="1" si="559"/>
        <v>#REF!</v>
      </c>
      <c r="AG892" s="100" t="str">
        <f t="shared" ca="1" si="560"/>
        <v>#REF!</v>
      </c>
      <c r="AH892" s="101" t="str">
        <f t="shared" ca="1" si="891"/>
        <v>#REF!</v>
      </c>
      <c r="AI892" s="102" t="str">
        <f t="shared" ref="AI892:AJ892" ca="1" si="1226">AG892/X892</f>
        <v>#REF!</v>
      </c>
      <c r="AJ892" s="102" t="str">
        <f t="shared" ca="1" si="1226"/>
        <v>#REF!</v>
      </c>
      <c r="AK892" s="212"/>
      <c r="AL892" s="213"/>
      <c r="AM892" s="4"/>
      <c r="AN892" s="4"/>
      <c r="AO892" s="4"/>
      <c r="AP892" s="4"/>
      <c r="AQ892" s="4"/>
      <c r="AR892" s="4"/>
      <c r="AS892" s="4"/>
      <c r="AT892" s="4"/>
      <c r="AU892" s="4"/>
      <c r="AV892" s="4"/>
      <c r="AW892" s="4"/>
    </row>
    <row r="893" spans="1:49" ht="13.2">
      <c r="A893" s="120"/>
      <c r="B893" s="266"/>
      <c r="C893" s="117"/>
      <c r="D893" s="117"/>
      <c r="E893" s="117"/>
      <c r="F893" s="123"/>
      <c r="G893" s="125" t="s">
        <v>145</v>
      </c>
      <c r="H893" s="125"/>
      <c r="I893" s="125"/>
      <c r="J893" s="125"/>
      <c r="K893" s="82" t="str">
        <f t="shared" ca="1" si="1125"/>
        <v>#REF!</v>
      </c>
      <c r="L893" s="82" t="str">
        <f t="shared" ca="1" si="1126"/>
        <v>#REF!</v>
      </c>
      <c r="M893" s="82" t="str">
        <f t="shared" ca="1" si="550"/>
        <v>#REF!</v>
      </c>
      <c r="N893" s="93"/>
      <c r="O893" s="93"/>
      <c r="P893" s="95">
        <f t="shared" si="965"/>
        <v>0</v>
      </c>
      <c r="Q893" s="96">
        <f t="shared" si="1204"/>
        <v>0</v>
      </c>
      <c r="R893" s="96">
        <v>0</v>
      </c>
      <c r="S893" s="97">
        <f t="shared" si="553"/>
        <v>0</v>
      </c>
      <c r="T893" s="97" t="str">
        <f ca="1">ROUNDUP(HLOOKUP(ROUNDUP(K893,0),'배송비 조회'!A$10:AE$22,7,0)*C$3,-2)</f>
        <v>#REF!</v>
      </c>
      <c r="U893" s="97">
        <v>0</v>
      </c>
      <c r="V893" s="97" t="str">
        <f t="shared" ca="1" si="981"/>
        <v>#REF!</v>
      </c>
      <c r="W893" s="97" t="str">
        <f t="shared" ca="1" si="982"/>
        <v>#REF!</v>
      </c>
      <c r="X893" s="98" t="str">
        <f t="shared" ca="1" si="882"/>
        <v>#REF!</v>
      </c>
      <c r="Y893" s="98" t="str">
        <f t="shared" ca="1" si="883"/>
        <v>#REF!</v>
      </c>
      <c r="Z893" s="121">
        <v>0</v>
      </c>
      <c r="AA893" s="121" t="str">
        <f t="shared" ca="1" si="556"/>
        <v>#REF!</v>
      </c>
      <c r="AB893" s="121" t="str">
        <f t="shared" ca="1" si="557"/>
        <v>#REF!</v>
      </c>
      <c r="AC893" s="99" t="str">
        <f t="shared" ca="1" si="8"/>
        <v>#REF!</v>
      </c>
      <c r="AD893" s="121" t="str">
        <f t="shared" ca="1" si="558"/>
        <v>#REF!</v>
      </c>
      <c r="AE893" s="99" t="str">
        <f t="shared" ca="1" si="10"/>
        <v>#REF!</v>
      </c>
      <c r="AF893" s="121" t="str">
        <f t="shared" ca="1" si="559"/>
        <v>#REF!</v>
      </c>
      <c r="AG893" s="100" t="str">
        <f t="shared" ca="1" si="560"/>
        <v>#REF!</v>
      </c>
      <c r="AH893" s="101" t="str">
        <f t="shared" ca="1" si="891"/>
        <v>#REF!</v>
      </c>
      <c r="AI893" s="102" t="str">
        <f t="shared" ref="AI893:AJ893" ca="1" si="1227">AG893/X893</f>
        <v>#REF!</v>
      </c>
      <c r="AJ893" s="102" t="str">
        <f t="shared" ca="1" si="1227"/>
        <v>#REF!</v>
      </c>
      <c r="AK893" s="212"/>
      <c r="AL893" s="213"/>
      <c r="AM893" s="4"/>
      <c r="AN893" s="4"/>
      <c r="AO893" s="4"/>
      <c r="AP893" s="4"/>
      <c r="AQ893" s="4"/>
      <c r="AR893" s="4"/>
      <c r="AS893" s="4"/>
      <c r="AT893" s="4"/>
      <c r="AU893" s="4"/>
      <c r="AV893" s="4"/>
      <c r="AW893" s="4"/>
    </row>
    <row r="894" spans="1:49" ht="13.2">
      <c r="A894" s="120"/>
      <c r="B894" s="266"/>
      <c r="C894" s="117"/>
      <c r="D894" s="117"/>
      <c r="E894" s="117"/>
      <c r="F894" s="123"/>
      <c r="G894" s="125" t="s">
        <v>145</v>
      </c>
      <c r="H894" s="125"/>
      <c r="I894" s="125"/>
      <c r="J894" s="125"/>
      <c r="K894" s="82" t="str">
        <f t="shared" ca="1" si="1125"/>
        <v>#REF!</v>
      </c>
      <c r="L894" s="82" t="str">
        <f t="shared" ca="1" si="1126"/>
        <v>#REF!</v>
      </c>
      <c r="M894" s="82" t="str">
        <f t="shared" ca="1" si="550"/>
        <v>#REF!</v>
      </c>
      <c r="N894" s="93"/>
      <c r="O894" s="93"/>
      <c r="P894" s="95">
        <f t="shared" si="965"/>
        <v>0</v>
      </c>
      <c r="Q894" s="96">
        <f t="shared" si="1204"/>
        <v>0</v>
      </c>
      <c r="R894" s="96">
        <v>0</v>
      </c>
      <c r="S894" s="97">
        <f t="shared" si="553"/>
        <v>0</v>
      </c>
      <c r="T894" s="97" t="str">
        <f ca="1">ROUNDUP(HLOOKUP(ROUNDUP(K894,0),'배송비 조회'!A$10:AE$22,7,0)*C$3,-2)</f>
        <v>#REF!</v>
      </c>
      <c r="U894" s="97">
        <v>0</v>
      </c>
      <c r="V894" s="97" t="str">
        <f t="shared" ca="1" si="981"/>
        <v>#REF!</v>
      </c>
      <c r="W894" s="97" t="str">
        <f t="shared" ca="1" si="982"/>
        <v>#REF!</v>
      </c>
      <c r="X894" s="98" t="str">
        <f t="shared" ca="1" si="882"/>
        <v>#REF!</v>
      </c>
      <c r="Y894" s="98" t="str">
        <f t="shared" ca="1" si="883"/>
        <v>#REF!</v>
      </c>
      <c r="Z894" s="121">
        <v>0</v>
      </c>
      <c r="AA894" s="121" t="str">
        <f t="shared" ca="1" si="556"/>
        <v>#REF!</v>
      </c>
      <c r="AB894" s="121" t="str">
        <f t="shared" ca="1" si="557"/>
        <v>#REF!</v>
      </c>
      <c r="AC894" s="99" t="str">
        <f t="shared" ca="1" si="8"/>
        <v>#REF!</v>
      </c>
      <c r="AD894" s="121" t="str">
        <f t="shared" ca="1" si="558"/>
        <v>#REF!</v>
      </c>
      <c r="AE894" s="99" t="str">
        <f t="shared" ca="1" si="10"/>
        <v>#REF!</v>
      </c>
      <c r="AF894" s="121" t="str">
        <f t="shared" ca="1" si="559"/>
        <v>#REF!</v>
      </c>
      <c r="AG894" s="100" t="str">
        <f t="shared" ca="1" si="560"/>
        <v>#REF!</v>
      </c>
      <c r="AH894" s="101" t="str">
        <f t="shared" ca="1" si="891"/>
        <v>#REF!</v>
      </c>
      <c r="AI894" s="102" t="str">
        <f t="shared" ref="AI894:AJ894" ca="1" si="1228">AG894/X894</f>
        <v>#REF!</v>
      </c>
      <c r="AJ894" s="102" t="str">
        <f t="shared" ca="1" si="1228"/>
        <v>#REF!</v>
      </c>
      <c r="AK894" s="212"/>
      <c r="AL894" s="213"/>
      <c r="AM894" s="4"/>
      <c r="AN894" s="4"/>
      <c r="AO894" s="4"/>
      <c r="AP894" s="4"/>
      <c r="AQ894" s="4"/>
      <c r="AR894" s="4"/>
      <c r="AS894" s="4"/>
      <c r="AT894" s="4"/>
      <c r="AU894" s="4"/>
      <c r="AV894" s="4"/>
      <c r="AW894" s="4"/>
    </row>
    <row r="895" spans="1:49" ht="13.2">
      <c r="A895" s="120"/>
      <c r="B895" s="266"/>
      <c r="C895" s="117"/>
      <c r="D895" s="117"/>
      <c r="E895" s="117"/>
      <c r="F895" s="123"/>
      <c r="G895" s="125" t="s">
        <v>145</v>
      </c>
      <c r="H895" s="125"/>
      <c r="I895" s="125"/>
      <c r="J895" s="125"/>
      <c r="K895" s="82" t="str">
        <f t="shared" ca="1" si="1125"/>
        <v>#REF!</v>
      </c>
      <c r="L895" s="82" t="str">
        <f t="shared" ca="1" si="1126"/>
        <v>#REF!</v>
      </c>
      <c r="M895" s="82" t="str">
        <f t="shared" ca="1" si="550"/>
        <v>#REF!</v>
      </c>
      <c r="N895" s="93"/>
      <c r="O895" s="93"/>
      <c r="P895" s="95">
        <f t="shared" si="965"/>
        <v>0</v>
      </c>
      <c r="Q895" s="96">
        <f t="shared" si="1204"/>
        <v>0</v>
      </c>
      <c r="R895" s="96">
        <v>0</v>
      </c>
      <c r="S895" s="97">
        <f t="shared" si="553"/>
        <v>0</v>
      </c>
      <c r="T895" s="97" t="str">
        <f ca="1">ROUNDUP(HLOOKUP(ROUNDUP(K895,0),'배송비 조회'!A$10:AE$22,7,0)*C$3,-2)</f>
        <v>#REF!</v>
      </c>
      <c r="U895" s="97">
        <v>0</v>
      </c>
      <c r="V895" s="97" t="str">
        <f t="shared" ca="1" si="981"/>
        <v>#REF!</v>
      </c>
      <c r="W895" s="97" t="str">
        <f t="shared" ca="1" si="982"/>
        <v>#REF!</v>
      </c>
      <c r="X895" s="98" t="str">
        <f t="shared" ca="1" si="882"/>
        <v>#REF!</v>
      </c>
      <c r="Y895" s="98" t="str">
        <f t="shared" ca="1" si="883"/>
        <v>#REF!</v>
      </c>
      <c r="Z895" s="121">
        <v>0</v>
      </c>
      <c r="AA895" s="121" t="str">
        <f t="shared" ca="1" si="556"/>
        <v>#REF!</v>
      </c>
      <c r="AB895" s="121" t="str">
        <f t="shared" ca="1" si="557"/>
        <v>#REF!</v>
      </c>
      <c r="AC895" s="99" t="str">
        <f t="shared" ca="1" si="8"/>
        <v>#REF!</v>
      </c>
      <c r="AD895" s="121" t="str">
        <f t="shared" ca="1" si="558"/>
        <v>#REF!</v>
      </c>
      <c r="AE895" s="99" t="str">
        <f t="shared" ca="1" si="10"/>
        <v>#REF!</v>
      </c>
      <c r="AF895" s="121" t="str">
        <f t="shared" ca="1" si="559"/>
        <v>#REF!</v>
      </c>
      <c r="AG895" s="100" t="str">
        <f t="shared" ca="1" si="560"/>
        <v>#REF!</v>
      </c>
      <c r="AH895" s="101" t="str">
        <f t="shared" ca="1" si="891"/>
        <v>#REF!</v>
      </c>
      <c r="AI895" s="102" t="str">
        <f t="shared" ref="AI895:AJ895" ca="1" si="1229">AG895/X895</f>
        <v>#REF!</v>
      </c>
      <c r="AJ895" s="102" t="str">
        <f t="shared" ca="1" si="1229"/>
        <v>#REF!</v>
      </c>
      <c r="AK895" s="212"/>
      <c r="AL895" s="213"/>
      <c r="AM895" s="4"/>
      <c r="AN895" s="4"/>
      <c r="AO895" s="4"/>
      <c r="AP895" s="4"/>
      <c r="AQ895" s="4"/>
      <c r="AR895" s="4"/>
      <c r="AS895" s="4"/>
      <c r="AT895" s="4"/>
      <c r="AU895" s="4"/>
      <c r="AV895" s="4"/>
      <c r="AW895" s="4"/>
    </row>
    <row r="896" spans="1:49" ht="13.2">
      <c r="A896" s="120"/>
      <c r="B896" s="266"/>
      <c r="C896" s="117"/>
      <c r="D896" s="117"/>
      <c r="E896" s="117"/>
      <c r="F896" s="123"/>
      <c r="G896" s="125" t="s">
        <v>145</v>
      </c>
      <c r="H896" s="125"/>
      <c r="I896" s="125"/>
      <c r="J896" s="125"/>
      <c r="K896" s="82" t="str">
        <f t="shared" ca="1" si="1125"/>
        <v>#REF!</v>
      </c>
      <c r="L896" s="82" t="str">
        <f t="shared" ca="1" si="1126"/>
        <v>#REF!</v>
      </c>
      <c r="M896" s="82" t="str">
        <f t="shared" ca="1" si="550"/>
        <v>#REF!</v>
      </c>
      <c r="N896" s="93"/>
      <c r="O896" s="93"/>
      <c r="P896" s="95">
        <f t="shared" si="965"/>
        <v>0</v>
      </c>
      <c r="Q896" s="96">
        <f t="shared" si="1204"/>
        <v>0</v>
      </c>
      <c r="R896" s="96">
        <v>0</v>
      </c>
      <c r="S896" s="97">
        <f t="shared" si="553"/>
        <v>0</v>
      </c>
      <c r="T896" s="97" t="str">
        <f ca="1">ROUNDUP(HLOOKUP(ROUNDUP(K896,0),'배송비 조회'!A$10:AE$22,7,0)*C$3,-2)</f>
        <v>#REF!</v>
      </c>
      <c r="U896" s="97">
        <v>0</v>
      </c>
      <c r="V896" s="97" t="str">
        <f t="shared" ca="1" si="981"/>
        <v>#REF!</v>
      </c>
      <c r="W896" s="97" t="str">
        <f t="shared" ca="1" si="982"/>
        <v>#REF!</v>
      </c>
      <c r="X896" s="98" t="str">
        <f t="shared" ca="1" si="882"/>
        <v>#REF!</v>
      </c>
      <c r="Y896" s="98" t="str">
        <f t="shared" ca="1" si="883"/>
        <v>#REF!</v>
      </c>
      <c r="Z896" s="121">
        <v>0</v>
      </c>
      <c r="AA896" s="121" t="str">
        <f t="shared" ca="1" si="556"/>
        <v>#REF!</v>
      </c>
      <c r="AB896" s="121" t="str">
        <f t="shared" ca="1" si="557"/>
        <v>#REF!</v>
      </c>
      <c r="AC896" s="99" t="str">
        <f t="shared" ca="1" si="8"/>
        <v>#REF!</v>
      </c>
      <c r="AD896" s="121" t="str">
        <f t="shared" ca="1" si="558"/>
        <v>#REF!</v>
      </c>
      <c r="AE896" s="99" t="str">
        <f t="shared" ca="1" si="10"/>
        <v>#REF!</v>
      </c>
      <c r="AF896" s="121" t="str">
        <f t="shared" ca="1" si="559"/>
        <v>#REF!</v>
      </c>
      <c r="AG896" s="100" t="str">
        <f t="shared" ca="1" si="560"/>
        <v>#REF!</v>
      </c>
      <c r="AH896" s="101" t="str">
        <f t="shared" ca="1" si="891"/>
        <v>#REF!</v>
      </c>
      <c r="AI896" s="102" t="str">
        <f t="shared" ref="AI896:AJ896" ca="1" si="1230">AG896/X896</f>
        <v>#REF!</v>
      </c>
      <c r="AJ896" s="102" t="str">
        <f t="shared" ca="1" si="1230"/>
        <v>#REF!</v>
      </c>
      <c r="AK896" s="212"/>
      <c r="AL896" s="213"/>
      <c r="AM896" s="4"/>
      <c r="AN896" s="4"/>
      <c r="AO896" s="4"/>
      <c r="AP896" s="4"/>
      <c r="AQ896" s="4"/>
      <c r="AR896" s="4"/>
      <c r="AS896" s="4"/>
      <c r="AT896" s="4"/>
      <c r="AU896" s="4"/>
      <c r="AV896" s="4"/>
      <c r="AW896" s="4"/>
    </row>
    <row r="897" spans="1:49" ht="13.2">
      <c r="A897" s="120"/>
      <c r="B897" s="266"/>
      <c r="C897" s="117"/>
      <c r="D897" s="117"/>
      <c r="E897" s="117"/>
      <c r="F897" s="123"/>
      <c r="G897" s="125" t="s">
        <v>145</v>
      </c>
      <c r="H897" s="125"/>
      <c r="I897" s="125"/>
      <c r="J897" s="125"/>
      <c r="K897" s="82" t="str">
        <f t="shared" ca="1" si="1125"/>
        <v>#REF!</v>
      </c>
      <c r="L897" s="82" t="str">
        <f t="shared" ca="1" si="1126"/>
        <v>#REF!</v>
      </c>
      <c r="M897" s="82" t="str">
        <f t="shared" ca="1" si="550"/>
        <v>#REF!</v>
      </c>
      <c r="N897" s="93"/>
      <c r="O897" s="93"/>
      <c r="P897" s="95">
        <f t="shared" si="965"/>
        <v>0</v>
      </c>
      <c r="Q897" s="96">
        <f t="shared" si="1204"/>
        <v>0</v>
      </c>
      <c r="R897" s="96">
        <v>0</v>
      </c>
      <c r="S897" s="97">
        <f t="shared" si="553"/>
        <v>0</v>
      </c>
      <c r="T897" s="97" t="str">
        <f ca="1">ROUNDUP(HLOOKUP(ROUNDUP(K897,0),'배송비 조회'!A$10:AE$22,7,0)*C$3,-2)</f>
        <v>#REF!</v>
      </c>
      <c r="U897" s="97">
        <v>0</v>
      </c>
      <c r="V897" s="97" t="str">
        <f t="shared" ca="1" si="981"/>
        <v>#REF!</v>
      </c>
      <c r="W897" s="97" t="str">
        <f t="shared" ca="1" si="982"/>
        <v>#REF!</v>
      </c>
      <c r="X897" s="98" t="str">
        <f t="shared" ca="1" si="882"/>
        <v>#REF!</v>
      </c>
      <c r="Y897" s="98" t="str">
        <f t="shared" ca="1" si="883"/>
        <v>#REF!</v>
      </c>
      <c r="Z897" s="121">
        <v>0</v>
      </c>
      <c r="AA897" s="121" t="str">
        <f t="shared" ca="1" si="556"/>
        <v>#REF!</v>
      </c>
      <c r="AB897" s="121" t="str">
        <f t="shared" ca="1" si="557"/>
        <v>#REF!</v>
      </c>
      <c r="AC897" s="99" t="str">
        <f t="shared" ca="1" si="8"/>
        <v>#REF!</v>
      </c>
      <c r="AD897" s="121" t="str">
        <f t="shared" ca="1" si="558"/>
        <v>#REF!</v>
      </c>
      <c r="AE897" s="99" t="str">
        <f t="shared" ca="1" si="10"/>
        <v>#REF!</v>
      </c>
      <c r="AF897" s="121" t="str">
        <f t="shared" ca="1" si="559"/>
        <v>#REF!</v>
      </c>
      <c r="AG897" s="100" t="str">
        <f t="shared" ca="1" si="560"/>
        <v>#REF!</v>
      </c>
      <c r="AH897" s="101" t="str">
        <f t="shared" ca="1" si="891"/>
        <v>#REF!</v>
      </c>
      <c r="AI897" s="102" t="str">
        <f t="shared" ref="AI897:AJ897" ca="1" si="1231">AG897/X897</f>
        <v>#REF!</v>
      </c>
      <c r="AJ897" s="102" t="str">
        <f t="shared" ca="1" si="1231"/>
        <v>#REF!</v>
      </c>
      <c r="AK897" s="212"/>
      <c r="AL897" s="213"/>
      <c r="AM897" s="4"/>
      <c r="AN897" s="4"/>
      <c r="AO897" s="4"/>
      <c r="AP897" s="4"/>
      <c r="AQ897" s="4"/>
      <c r="AR897" s="4"/>
      <c r="AS897" s="4"/>
      <c r="AT897" s="4"/>
      <c r="AU897" s="4"/>
      <c r="AV897" s="4"/>
      <c r="AW897" s="4"/>
    </row>
    <row r="898" spans="1:49" ht="13.2">
      <c r="A898" s="120"/>
      <c r="B898" s="266"/>
      <c r="C898" s="117"/>
      <c r="D898" s="117"/>
      <c r="E898" s="117"/>
      <c r="F898" s="123"/>
      <c r="G898" s="125" t="s">
        <v>145</v>
      </c>
      <c r="H898" s="125"/>
      <c r="I898" s="125"/>
      <c r="J898" s="125"/>
      <c r="K898" s="82" t="str">
        <f t="shared" ca="1" si="1125"/>
        <v>#REF!</v>
      </c>
      <c r="L898" s="82" t="str">
        <f t="shared" ca="1" si="1126"/>
        <v>#REF!</v>
      </c>
      <c r="M898" s="82" t="str">
        <f t="shared" ca="1" si="550"/>
        <v>#REF!</v>
      </c>
      <c r="N898" s="93"/>
      <c r="O898" s="93"/>
      <c r="P898" s="95">
        <f t="shared" si="965"/>
        <v>0</v>
      </c>
      <c r="Q898" s="96">
        <f t="shared" si="1204"/>
        <v>0</v>
      </c>
      <c r="R898" s="96">
        <v>0</v>
      </c>
      <c r="S898" s="97">
        <f t="shared" si="553"/>
        <v>0</v>
      </c>
      <c r="T898" s="97" t="str">
        <f ca="1">ROUNDUP(HLOOKUP(ROUNDUP(K898,0),'배송비 조회'!A$10:AE$22,7,0)*C$3,-2)</f>
        <v>#REF!</v>
      </c>
      <c r="U898" s="97">
        <v>0</v>
      </c>
      <c r="V898" s="97" t="str">
        <f t="shared" ca="1" si="981"/>
        <v>#REF!</v>
      </c>
      <c r="W898" s="97" t="str">
        <f t="shared" ca="1" si="982"/>
        <v>#REF!</v>
      </c>
      <c r="X898" s="98" t="str">
        <f t="shared" ca="1" si="882"/>
        <v>#REF!</v>
      </c>
      <c r="Y898" s="98" t="str">
        <f t="shared" ca="1" si="883"/>
        <v>#REF!</v>
      </c>
      <c r="Z898" s="121">
        <v>0</v>
      </c>
      <c r="AA898" s="121" t="str">
        <f t="shared" ca="1" si="556"/>
        <v>#REF!</v>
      </c>
      <c r="AB898" s="121" t="str">
        <f t="shared" ca="1" si="557"/>
        <v>#REF!</v>
      </c>
      <c r="AC898" s="99" t="str">
        <f t="shared" ca="1" si="8"/>
        <v>#REF!</v>
      </c>
      <c r="AD898" s="121" t="str">
        <f t="shared" ca="1" si="558"/>
        <v>#REF!</v>
      </c>
      <c r="AE898" s="99" t="str">
        <f t="shared" ca="1" si="10"/>
        <v>#REF!</v>
      </c>
      <c r="AF898" s="121" t="str">
        <f t="shared" ca="1" si="559"/>
        <v>#REF!</v>
      </c>
      <c r="AG898" s="100" t="str">
        <f t="shared" ca="1" si="560"/>
        <v>#REF!</v>
      </c>
      <c r="AH898" s="101" t="str">
        <f t="shared" ca="1" si="891"/>
        <v>#REF!</v>
      </c>
      <c r="AI898" s="102" t="str">
        <f t="shared" ref="AI898:AJ898" ca="1" si="1232">AG898/X898</f>
        <v>#REF!</v>
      </c>
      <c r="AJ898" s="102" t="str">
        <f t="shared" ca="1" si="1232"/>
        <v>#REF!</v>
      </c>
      <c r="AK898" s="212"/>
      <c r="AL898" s="213"/>
      <c r="AM898" s="4"/>
      <c r="AN898" s="4"/>
      <c r="AO898" s="4"/>
      <c r="AP898" s="4"/>
      <c r="AQ898" s="4"/>
      <c r="AR898" s="4"/>
      <c r="AS898" s="4"/>
      <c r="AT898" s="4"/>
      <c r="AU898" s="4"/>
      <c r="AV898" s="4"/>
      <c r="AW898" s="4"/>
    </row>
    <row r="899" spans="1:49" ht="13.2">
      <c r="A899" s="120"/>
      <c r="B899" s="266"/>
      <c r="C899" s="117"/>
      <c r="D899" s="117"/>
      <c r="E899" s="117"/>
      <c r="F899" s="123"/>
      <c r="G899" s="125" t="s">
        <v>145</v>
      </c>
      <c r="H899" s="125"/>
      <c r="I899" s="125"/>
      <c r="J899" s="125"/>
      <c r="K899" s="82" t="str">
        <f t="shared" ca="1" si="1125"/>
        <v>#REF!</v>
      </c>
      <c r="L899" s="82" t="str">
        <f t="shared" ca="1" si="1126"/>
        <v>#REF!</v>
      </c>
      <c r="M899" s="82" t="str">
        <f t="shared" ca="1" si="550"/>
        <v>#REF!</v>
      </c>
      <c r="N899" s="93"/>
      <c r="O899" s="93"/>
      <c r="P899" s="95">
        <f t="shared" si="965"/>
        <v>0</v>
      </c>
      <c r="Q899" s="96">
        <f t="shared" si="1204"/>
        <v>0</v>
      </c>
      <c r="R899" s="96">
        <v>0</v>
      </c>
      <c r="S899" s="97">
        <f t="shared" si="553"/>
        <v>0</v>
      </c>
      <c r="T899" s="97" t="str">
        <f ca="1">ROUNDUP(HLOOKUP(ROUNDUP(K899,0),'배송비 조회'!A$10:AE$22,7,0)*C$3,-2)</f>
        <v>#REF!</v>
      </c>
      <c r="U899" s="97">
        <v>0</v>
      </c>
      <c r="V899" s="97" t="str">
        <f t="shared" ca="1" si="981"/>
        <v>#REF!</v>
      </c>
      <c r="W899" s="97" t="str">
        <f t="shared" ca="1" si="982"/>
        <v>#REF!</v>
      </c>
      <c r="X899" s="98" t="str">
        <f t="shared" ca="1" si="882"/>
        <v>#REF!</v>
      </c>
      <c r="Y899" s="98" t="str">
        <f t="shared" ca="1" si="883"/>
        <v>#REF!</v>
      </c>
      <c r="Z899" s="121">
        <v>0</v>
      </c>
      <c r="AA899" s="121" t="str">
        <f t="shared" ca="1" si="556"/>
        <v>#REF!</v>
      </c>
      <c r="AB899" s="121" t="str">
        <f t="shared" ca="1" si="557"/>
        <v>#REF!</v>
      </c>
      <c r="AC899" s="99" t="str">
        <f t="shared" ca="1" si="8"/>
        <v>#REF!</v>
      </c>
      <c r="AD899" s="121" t="str">
        <f t="shared" ca="1" si="558"/>
        <v>#REF!</v>
      </c>
      <c r="AE899" s="99" t="str">
        <f t="shared" ca="1" si="10"/>
        <v>#REF!</v>
      </c>
      <c r="AF899" s="121" t="str">
        <f t="shared" ca="1" si="559"/>
        <v>#REF!</v>
      </c>
      <c r="AG899" s="100" t="str">
        <f t="shared" ca="1" si="560"/>
        <v>#REF!</v>
      </c>
      <c r="AH899" s="101" t="str">
        <f t="shared" ca="1" si="891"/>
        <v>#REF!</v>
      </c>
      <c r="AI899" s="102" t="str">
        <f t="shared" ref="AI899:AJ899" ca="1" si="1233">AG899/X899</f>
        <v>#REF!</v>
      </c>
      <c r="AJ899" s="102" t="str">
        <f t="shared" ca="1" si="1233"/>
        <v>#REF!</v>
      </c>
      <c r="AK899" s="212"/>
      <c r="AL899" s="213"/>
      <c r="AM899" s="4"/>
      <c r="AN899" s="4"/>
      <c r="AO899" s="4"/>
      <c r="AP899" s="4"/>
      <c r="AQ899" s="4"/>
      <c r="AR899" s="4"/>
      <c r="AS899" s="4"/>
      <c r="AT899" s="4"/>
      <c r="AU899" s="4"/>
      <c r="AV899" s="4"/>
      <c r="AW899" s="4"/>
    </row>
    <row r="900" spans="1:49" ht="13.2">
      <c r="A900" s="120"/>
      <c r="B900" s="266"/>
      <c r="C900" s="117"/>
      <c r="D900" s="117"/>
      <c r="E900" s="117"/>
      <c r="F900" s="123"/>
      <c r="G900" s="125" t="s">
        <v>145</v>
      </c>
      <c r="H900" s="125"/>
      <c r="I900" s="125"/>
      <c r="J900" s="125"/>
      <c r="K900" s="82" t="str">
        <f t="shared" ca="1" si="1125"/>
        <v>#REF!</v>
      </c>
      <c r="L900" s="82" t="str">
        <f t="shared" ca="1" si="1126"/>
        <v>#REF!</v>
      </c>
      <c r="M900" s="82" t="str">
        <f t="shared" ca="1" si="550"/>
        <v>#REF!</v>
      </c>
      <c r="N900" s="93"/>
      <c r="O900" s="93"/>
      <c r="P900" s="95">
        <f t="shared" si="965"/>
        <v>0</v>
      </c>
      <c r="Q900" s="96">
        <f t="shared" si="1204"/>
        <v>0</v>
      </c>
      <c r="R900" s="96">
        <v>0</v>
      </c>
      <c r="S900" s="97">
        <f t="shared" si="553"/>
        <v>0</v>
      </c>
      <c r="T900" s="97" t="str">
        <f ca="1">ROUNDUP(HLOOKUP(ROUNDUP(K900,0),'배송비 조회'!A$10:AE$22,7,0)*C$3,-2)</f>
        <v>#REF!</v>
      </c>
      <c r="U900" s="97">
        <v>0</v>
      </c>
      <c r="V900" s="97" t="str">
        <f t="shared" ca="1" si="981"/>
        <v>#REF!</v>
      </c>
      <c r="W900" s="97" t="str">
        <f t="shared" ca="1" si="982"/>
        <v>#REF!</v>
      </c>
      <c r="X900" s="98" t="str">
        <f t="shared" ca="1" si="882"/>
        <v>#REF!</v>
      </c>
      <c r="Y900" s="98" t="str">
        <f t="shared" ca="1" si="883"/>
        <v>#REF!</v>
      </c>
      <c r="Z900" s="121">
        <v>0</v>
      </c>
      <c r="AA900" s="121" t="str">
        <f t="shared" ca="1" si="556"/>
        <v>#REF!</v>
      </c>
      <c r="AB900" s="121" t="str">
        <f t="shared" ca="1" si="557"/>
        <v>#REF!</v>
      </c>
      <c r="AC900" s="99" t="str">
        <f t="shared" ca="1" si="8"/>
        <v>#REF!</v>
      </c>
      <c r="AD900" s="121" t="str">
        <f t="shared" ca="1" si="558"/>
        <v>#REF!</v>
      </c>
      <c r="AE900" s="99" t="str">
        <f t="shared" ca="1" si="10"/>
        <v>#REF!</v>
      </c>
      <c r="AF900" s="121" t="str">
        <f t="shared" ca="1" si="559"/>
        <v>#REF!</v>
      </c>
      <c r="AG900" s="100" t="str">
        <f t="shared" ca="1" si="560"/>
        <v>#REF!</v>
      </c>
      <c r="AH900" s="101" t="str">
        <f t="shared" ca="1" si="891"/>
        <v>#REF!</v>
      </c>
      <c r="AI900" s="102" t="str">
        <f t="shared" ref="AI900:AJ900" ca="1" si="1234">AG900/X900</f>
        <v>#REF!</v>
      </c>
      <c r="AJ900" s="102" t="str">
        <f t="shared" ca="1" si="1234"/>
        <v>#REF!</v>
      </c>
      <c r="AK900" s="212"/>
      <c r="AL900" s="213"/>
      <c r="AM900" s="4"/>
      <c r="AN900" s="4"/>
      <c r="AO900" s="4"/>
      <c r="AP900" s="4"/>
      <c r="AQ900" s="4"/>
      <c r="AR900" s="4"/>
      <c r="AS900" s="4"/>
      <c r="AT900" s="4"/>
      <c r="AU900" s="4"/>
      <c r="AV900" s="4"/>
      <c r="AW900" s="4"/>
    </row>
    <row r="901" spans="1:49" ht="13.2">
      <c r="A901" s="120"/>
      <c r="B901" s="266"/>
      <c r="C901" s="117"/>
      <c r="D901" s="117"/>
      <c r="E901" s="117"/>
      <c r="F901" s="123"/>
      <c r="G901" s="125" t="s">
        <v>145</v>
      </c>
      <c r="H901" s="125"/>
      <c r="I901" s="125"/>
      <c r="J901" s="125"/>
      <c r="K901" s="82" t="str">
        <f t="shared" ca="1" si="1125"/>
        <v>#REF!</v>
      </c>
      <c r="L901" s="82" t="str">
        <f t="shared" ca="1" si="1126"/>
        <v>#REF!</v>
      </c>
      <c r="M901" s="82" t="str">
        <f t="shared" ca="1" si="550"/>
        <v>#REF!</v>
      </c>
      <c r="N901" s="93"/>
      <c r="O901" s="93"/>
      <c r="P901" s="95">
        <f t="shared" si="965"/>
        <v>0</v>
      </c>
      <c r="Q901" s="96">
        <f t="shared" si="1204"/>
        <v>0</v>
      </c>
      <c r="R901" s="96">
        <v>0</v>
      </c>
      <c r="S901" s="97">
        <f t="shared" si="553"/>
        <v>0</v>
      </c>
      <c r="T901" s="97" t="str">
        <f ca="1">ROUNDUP(HLOOKUP(ROUNDUP(K901,0),'배송비 조회'!A$10:AE$22,7,0)*C$3,-2)</f>
        <v>#REF!</v>
      </c>
      <c r="U901" s="97">
        <v>0</v>
      </c>
      <c r="V901" s="97" t="str">
        <f t="shared" ca="1" si="981"/>
        <v>#REF!</v>
      </c>
      <c r="W901" s="97" t="str">
        <f t="shared" ca="1" si="982"/>
        <v>#REF!</v>
      </c>
      <c r="X901" s="98" t="str">
        <f t="shared" ca="1" si="882"/>
        <v>#REF!</v>
      </c>
      <c r="Y901" s="98" t="str">
        <f t="shared" ca="1" si="883"/>
        <v>#REF!</v>
      </c>
      <c r="Z901" s="121">
        <v>0</v>
      </c>
      <c r="AA901" s="121" t="str">
        <f t="shared" ca="1" si="556"/>
        <v>#REF!</v>
      </c>
      <c r="AB901" s="121" t="str">
        <f t="shared" ca="1" si="557"/>
        <v>#REF!</v>
      </c>
      <c r="AC901" s="99" t="str">
        <f t="shared" ca="1" si="8"/>
        <v>#REF!</v>
      </c>
      <c r="AD901" s="121" t="str">
        <f t="shared" ca="1" si="558"/>
        <v>#REF!</v>
      </c>
      <c r="AE901" s="99" t="str">
        <f t="shared" ca="1" si="10"/>
        <v>#REF!</v>
      </c>
      <c r="AF901" s="121" t="str">
        <f t="shared" ca="1" si="559"/>
        <v>#REF!</v>
      </c>
      <c r="AG901" s="100" t="str">
        <f t="shared" ca="1" si="560"/>
        <v>#REF!</v>
      </c>
      <c r="AH901" s="101" t="str">
        <f t="shared" ca="1" si="891"/>
        <v>#REF!</v>
      </c>
      <c r="AI901" s="102" t="str">
        <f t="shared" ref="AI901:AJ901" ca="1" si="1235">AG901/X901</f>
        <v>#REF!</v>
      </c>
      <c r="AJ901" s="102" t="str">
        <f t="shared" ca="1" si="1235"/>
        <v>#REF!</v>
      </c>
      <c r="AK901" s="212"/>
      <c r="AL901" s="213"/>
      <c r="AM901" s="4"/>
      <c r="AN901" s="4"/>
      <c r="AO901" s="4"/>
      <c r="AP901" s="4"/>
      <c r="AQ901" s="4"/>
      <c r="AR901" s="4"/>
      <c r="AS901" s="4"/>
      <c r="AT901" s="4"/>
      <c r="AU901" s="4"/>
      <c r="AV901" s="4"/>
      <c r="AW901" s="4"/>
    </row>
    <row r="902" spans="1:49" ht="13.2">
      <c r="A902" s="120"/>
      <c r="B902" s="266"/>
      <c r="C902" s="117"/>
      <c r="D902" s="117"/>
      <c r="E902" s="117"/>
      <c r="F902" s="123"/>
      <c r="G902" s="125" t="s">
        <v>145</v>
      </c>
      <c r="H902" s="125"/>
      <c r="I902" s="125"/>
      <c r="J902" s="125"/>
      <c r="K902" s="82" t="str">
        <f t="shared" ca="1" si="1125"/>
        <v>#REF!</v>
      </c>
      <c r="L902" s="82" t="str">
        <f t="shared" ca="1" si="1126"/>
        <v>#REF!</v>
      </c>
      <c r="M902" s="82" t="str">
        <f t="shared" ca="1" si="550"/>
        <v>#REF!</v>
      </c>
      <c r="N902" s="93"/>
      <c r="O902" s="93"/>
      <c r="P902" s="95">
        <f t="shared" si="965"/>
        <v>0</v>
      </c>
      <c r="Q902" s="96">
        <f t="shared" si="1204"/>
        <v>0</v>
      </c>
      <c r="R902" s="96">
        <v>0</v>
      </c>
      <c r="S902" s="97">
        <f t="shared" si="553"/>
        <v>0</v>
      </c>
      <c r="T902" s="97" t="str">
        <f ca="1">ROUNDUP(HLOOKUP(ROUNDUP(K902,0),'배송비 조회'!A$10:AE$22,7,0)*C$3,-2)</f>
        <v>#REF!</v>
      </c>
      <c r="U902" s="97">
        <v>0</v>
      </c>
      <c r="V902" s="97" t="str">
        <f t="shared" ca="1" si="981"/>
        <v>#REF!</v>
      </c>
      <c r="W902" s="97" t="str">
        <f t="shared" ca="1" si="982"/>
        <v>#REF!</v>
      </c>
      <c r="X902" s="98" t="str">
        <f t="shared" ca="1" si="882"/>
        <v>#REF!</v>
      </c>
      <c r="Y902" s="98" t="str">
        <f t="shared" ca="1" si="883"/>
        <v>#REF!</v>
      </c>
      <c r="Z902" s="121">
        <v>0</v>
      </c>
      <c r="AA902" s="121" t="str">
        <f t="shared" ca="1" si="556"/>
        <v>#REF!</v>
      </c>
      <c r="AB902" s="121" t="str">
        <f t="shared" ca="1" si="557"/>
        <v>#REF!</v>
      </c>
      <c r="AC902" s="99" t="str">
        <f t="shared" ca="1" si="8"/>
        <v>#REF!</v>
      </c>
      <c r="AD902" s="121" t="str">
        <f t="shared" ca="1" si="558"/>
        <v>#REF!</v>
      </c>
      <c r="AE902" s="99" t="str">
        <f t="shared" ca="1" si="10"/>
        <v>#REF!</v>
      </c>
      <c r="AF902" s="121" t="str">
        <f t="shared" ca="1" si="559"/>
        <v>#REF!</v>
      </c>
      <c r="AG902" s="100" t="str">
        <f t="shared" ca="1" si="560"/>
        <v>#REF!</v>
      </c>
      <c r="AH902" s="101" t="str">
        <f t="shared" ca="1" si="891"/>
        <v>#REF!</v>
      </c>
      <c r="AI902" s="102" t="str">
        <f t="shared" ref="AI902:AJ902" ca="1" si="1236">AG902/X902</f>
        <v>#REF!</v>
      </c>
      <c r="AJ902" s="102" t="str">
        <f t="shared" ca="1" si="1236"/>
        <v>#REF!</v>
      </c>
      <c r="AK902" s="212"/>
      <c r="AL902" s="213"/>
      <c r="AM902" s="4"/>
      <c r="AN902" s="4"/>
      <c r="AO902" s="4"/>
      <c r="AP902" s="4"/>
      <c r="AQ902" s="4"/>
      <c r="AR902" s="4"/>
      <c r="AS902" s="4"/>
      <c r="AT902" s="4"/>
      <c r="AU902" s="4"/>
      <c r="AV902" s="4"/>
      <c r="AW902" s="4"/>
    </row>
    <row r="903" spans="1:49" ht="13.2">
      <c r="A903" s="120"/>
      <c r="B903" s="266"/>
      <c r="C903" s="117"/>
      <c r="D903" s="117"/>
      <c r="E903" s="117"/>
      <c r="F903" s="123"/>
      <c r="G903" s="125" t="s">
        <v>145</v>
      </c>
      <c r="H903" s="125"/>
      <c r="I903" s="125"/>
      <c r="J903" s="125"/>
      <c r="K903" s="82" t="str">
        <f t="shared" ca="1" si="1125"/>
        <v>#REF!</v>
      </c>
      <c r="L903" s="82" t="str">
        <f t="shared" ca="1" si="1126"/>
        <v>#REF!</v>
      </c>
      <c r="M903" s="82" t="str">
        <f t="shared" ca="1" si="550"/>
        <v>#REF!</v>
      </c>
      <c r="N903" s="93"/>
      <c r="O903" s="93"/>
      <c r="P903" s="95">
        <f t="shared" si="965"/>
        <v>0</v>
      </c>
      <c r="Q903" s="96">
        <f t="shared" si="1204"/>
        <v>0</v>
      </c>
      <c r="R903" s="96">
        <v>0</v>
      </c>
      <c r="S903" s="97">
        <f t="shared" si="553"/>
        <v>0</v>
      </c>
      <c r="T903" s="97" t="str">
        <f ca="1">ROUNDUP(HLOOKUP(ROUNDUP(K903,0),'배송비 조회'!A$10:AE$22,7,0)*C$3,-2)</f>
        <v>#REF!</v>
      </c>
      <c r="U903" s="97">
        <v>0</v>
      </c>
      <c r="V903" s="97" t="str">
        <f t="shared" ca="1" si="981"/>
        <v>#REF!</v>
      </c>
      <c r="W903" s="97" t="str">
        <f t="shared" ca="1" si="982"/>
        <v>#REF!</v>
      </c>
      <c r="X903" s="98" t="str">
        <f t="shared" ca="1" si="882"/>
        <v>#REF!</v>
      </c>
      <c r="Y903" s="98" t="str">
        <f t="shared" ca="1" si="883"/>
        <v>#REF!</v>
      </c>
      <c r="Z903" s="121">
        <v>0</v>
      </c>
      <c r="AA903" s="121" t="str">
        <f t="shared" ca="1" si="556"/>
        <v>#REF!</v>
      </c>
      <c r="AB903" s="121" t="str">
        <f t="shared" ca="1" si="557"/>
        <v>#REF!</v>
      </c>
      <c r="AC903" s="99" t="str">
        <f t="shared" ca="1" si="8"/>
        <v>#REF!</v>
      </c>
      <c r="AD903" s="121" t="str">
        <f t="shared" ca="1" si="558"/>
        <v>#REF!</v>
      </c>
      <c r="AE903" s="99" t="str">
        <f t="shared" ca="1" si="10"/>
        <v>#REF!</v>
      </c>
      <c r="AF903" s="121" t="str">
        <f t="shared" ca="1" si="559"/>
        <v>#REF!</v>
      </c>
      <c r="AG903" s="100" t="str">
        <f t="shared" ca="1" si="560"/>
        <v>#REF!</v>
      </c>
      <c r="AH903" s="101" t="str">
        <f t="shared" ca="1" si="891"/>
        <v>#REF!</v>
      </c>
      <c r="AI903" s="102" t="str">
        <f t="shared" ref="AI903:AJ903" ca="1" si="1237">AG903/X903</f>
        <v>#REF!</v>
      </c>
      <c r="AJ903" s="102" t="str">
        <f t="shared" ca="1" si="1237"/>
        <v>#REF!</v>
      </c>
      <c r="AK903" s="212"/>
      <c r="AL903" s="213"/>
      <c r="AM903" s="4"/>
      <c r="AN903" s="4"/>
      <c r="AO903" s="4"/>
      <c r="AP903" s="4"/>
      <c r="AQ903" s="4"/>
      <c r="AR903" s="4"/>
      <c r="AS903" s="4"/>
      <c r="AT903" s="4"/>
      <c r="AU903" s="4"/>
      <c r="AV903" s="4"/>
      <c r="AW903" s="4"/>
    </row>
    <row r="904" spans="1:49" ht="13.2">
      <c r="A904" s="120"/>
      <c r="B904" s="266"/>
      <c r="C904" s="117"/>
      <c r="D904" s="117"/>
      <c r="E904" s="117"/>
      <c r="F904" s="123"/>
      <c r="G904" s="125" t="s">
        <v>145</v>
      </c>
      <c r="H904" s="125"/>
      <c r="I904" s="125"/>
      <c r="J904" s="125"/>
      <c r="K904" s="82" t="str">
        <f t="shared" ca="1" si="1125"/>
        <v>#REF!</v>
      </c>
      <c r="L904" s="82" t="str">
        <f t="shared" ca="1" si="1126"/>
        <v>#REF!</v>
      </c>
      <c r="M904" s="82" t="str">
        <f t="shared" ca="1" si="550"/>
        <v>#REF!</v>
      </c>
      <c r="N904" s="93"/>
      <c r="O904" s="93"/>
      <c r="P904" s="95">
        <f t="shared" si="965"/>
        <v>0</v>
      </c>
      <c r="Q904" s="96">
        <f t="shared" si="1204"/>
        <v>0</v>
      </c>
      <c r="R904" s="96">
        <v>0</v>
      </c>
      <c r="S904" s="97">
        <f t="shared" si="553"/>
        <v>0</v>
      </c>
      <c r="T904" s="97" t="str">
        <f ca="1">ROUNDUP(HLOOKUP(ROUNDUP(K904,0),'배송비 조회'!A$10:AE$22,7,0)*C$3,-2)</f>
        <v>#REF!</v>
      </c>
      <c r="U904" s="97">
        <v>0</v>
      </c>
      <c r="V904" s="97" t="str">
        <f t="shared" ca="1" si="981"/>
        <v>#REF!</v>
      </c>
      <c r="W904" s="97" t="str">
        <f t="shared" ca="1" si="982"/>
        <v>#REF!</v>
      </c>
      <c r="X904" s="98" t="str">
        <f t="shared" ca="1" si="882"/>
        <v>#REF!</v>
      </c>
      <c r="Y904" s="98" t="str">
        <f t="shared" ca="1" si="883"/>
        <v>#REF!</v>
      </c>
      <c r="Z904" s="121">
        <v>0</v>
      </c>
      <c r="AA904" s="121" t="str">
        <f t="shared" ca="1" si="556"/>
        <v>#REF!</v>
      </c>
      <c r="AB904" s="121" t="str">
        <f t="shared" ca="1" si="557"/>
        <v>#REF!</v>
      </c>
      <c r="AC904" s="99" t="str">
        <f t="shared" ca="1" si="8"/>
        <v>#REF!</v>
      </c>
      <c r="AD904" s="121" t="str">
        <f t="shared" ca="1" si="558"/>
        <v>#REF!</v>
      </c>
      <c r="AE904" s="99" t="str">
        <f t="shared" ca="1" si="10"/>
        <v>#REF!</v>
      </c>
      <c r="AF904" s="121" t="str">
        <f t="shared" ca="1" si="559"/>
        <v>#REF!</v>
      </c>
      <c r="AG904" s="100" t="str">
        <f t="shared" ca="1" si="560"/>
        <v>#REF!</v>
      </c>
      <c r="AH904" s="101" t="str">
        <f t="shared" ca="1" si="891"/>
        <v>#REF!</v>
      </c>
      <c r="AI904" s="102" t="str">
        <f t="shared" ref="AI904:AJ904" ca="1" si="1238">AG904/X904</f>
        <v>#REF!</v>
      </c>
      <c r="AJ904" s="102" t="str">
        <f t="shared" ca="1" si="1238"/>
        <v>#REF!</v>
      </c>
      <c r="AK904" s="212"/>
      <c r="AL904" s="213"/>
      <c r="AM904" s="4"/>
      <c r="AN904" s="4"/>
      <c r="AO904" s="4"/>
      <c r="AP904" s="4"/>
      <c r="AQ904" s="4"/>
      <c r="AR904" s="4"/>
      <c r="AS904" s="4"/>
      <c r="AT904" s="4"/>
      <c r="AU904" s="4"/>
      <c r="AV904" s="4"/>
      <c r="AW904" s="4"/>
    </row>
    <row r="905" spans="1:49" ht="13.2">
      <c r="A905" s="120"/>
      <c r="B905" s="266"/>
      <c r="C905" s="117"/>
      <c r="D905" s="117"/>
      <c r="E905" s="117"/>
      <c r="F905" s="123"/>
      <c r="G905" s="125" t="s">
        <v>145</v>
      </c>
      <c r="H905" s="125"/>
      <c r="I905" s="125"/>
      <c r="J905" s="125"/>
      <c r="K905" s="82" t="str">
        <f t="shared" ca="1" si="1125"/>
        <v>#REF!</v>
      </c>
      <c r="L905" s="82" t="str">
        <f t="shared" ca="1" si="1126"/>
        <v>#REF!</v>
      </c>
      <c r="M905" s="82" t="str">
        <f t="shared" ca="1" si="550"/>
        <v>#REF!</v>
      </c>
      <c r="N905" s="93"/>
      <c r="O905" s="93"/>
      <c r="P905" s="95">
        <f t="shared" si="965"/>
        <v>0</v>
      </c>
      <c r="Q905" s="96">
        <f t="shared" si="1204"/>
        <v>0</v>
      </c>
      <c r="R905" s="96">
        <v>0</v>
      </c>
      <c r="S905" s="97">
        <f t="shared" si="553"/>
        <v>0</v>
      </c>
      <c r="T905" s="97" t="str">
        <f ca="1">ROUNDUP(HLOOKUP(ROUNDUP(K905,0),'배송비 조회'!A$10:AE$22,7,0)*C$3,-2)</f>
        <v>#REF!</v>
      </c>
      <c r="U905" s="97">
        <v>0</v>
      </c>
      <c r="V905" s="97" t="str">
        <f t="shared" ca="1" si="981"/>
        <v>#REF!</v>
      </c>
      <c r="W905" s="97" t="str">
        <f t="shared" ca="1" si="982"/>
        <v>#REF!</v>
      </c>
      <c r="X905" s="98" t="str">
        <f t="shared" ca="1" si="882"/>
        <v>#REF!</v>
      </c>
      <c r="Y905" s="98" t="str">
        <f t="shared" ca="1" si="883"/>
        <v>#REF!</v>
      </c>
      <c r="Z905" s="121">
        <v>0</v>
      </c>
      <c r="AA905" s="121" t="str">
        <f t="shared" ca="1" si="556"/>
        <v>#REF!</v>
      </c>
      <c r="AB905" s="121" t="str">
        <f t="shared" ca="1" si="557"/>
        <v>#REF!</v>
      </c>
      <c r="AC905" s="99" t="str">
        <f t="shared" ca="1" si="8"/>
        <v>#REF!</v>
      </c>
      <c r="AD905" s="121" t="str">
        <f t="shared" ca="1" si="558"/>
        <v>#REF!</v>
      </c>
      <c r="AE905" s="99" t="str">
        <f t="shared" ca="1" si="10"/>
        <v>#REF!</v>
      </c>
      <c r="AF905" s="121" t="str">
        <f t="shared" ca="1" si="559"/>
        <v>#REF!</v>
      </c>
      <c r="AG905" s="100" t="str">
        <f t="shared" ca="1" si="560"/>
        <v>#REF!</v>
      </c>
      <c r="AH905" s="101" t="str">
        <f t="shared" ca="1" si="891"/>
        <v>#REF!</v>
      </c>
      <c r="AI905" s="102" t="str">
        <f t="shared" ref="AI905:AJ905" ca="1" si="1239">AG905/X905</f>
        <v>#REF!</v>
      </c>
      <c r="AJ905" s="102" t="str">
        <f t="shared" ca="1" si="1239"/>
        <v>#REF!</v>
      </c>
      <c r="AK905" s="212"/>
      <c r="AL905" s="213"/>
      <c r="AM905" s="4"/>
      <c r="AN905" s="4"/>
      <c r="AO905" s="4"/>
      <c r="AP905" s="4"/>
      <c r="AQ905" s="4"/>
      <c r="AR905" s="4"/>
      <c r="AS905" s="4"/>
      <c r="AT905" s="4"/>
      <c r="AU905" s="4"/>
      <c r="AV905" s="4"/>
      <c r="AW905" s="4"/>
    </row>
    <row r="906" spans="1:49" ht="13.2">
      <c r="A906" s="120"/>
      <c r="B906" s="266"/>
      <c r="C906" s="117"/>
      <c r="D906" s="117"/>
      <c r="E906" s="117"/>
      <c r="F906" s="123"/>
      <c r="G906" s="125" t="s">
        <v>145</v>
      </c>
      <c r="H906" s="125"/>
      <c r="I906" s="125"/>
      <c r="J906" s="125"/>
      <c r="K906" s="82" t="str">
        <f t="shared" ca="1" si="1125"/>
        <v>#REF!</v>
      </c>
      <c r="L906" s="82" t="str">
        <f t="shared" ca="1" si="1126"/>
        <v>#REF!</v>
      </c>
      <c r="M906" s="82" t="str">
        <f t="shared" ca="1" si="550"/>
        <v>#REF!</v>
      </c>
      <c r="N906" s="93"/>
      <c r="O906" s="93"/>
      <c r="P906" s="95">
        <f t="shared" si="965"/>
        <v>0</v>
      </c>
      <c r="Q906" s="96">
        <f t="shared" si="1204"/>
        <v>0</v>
      </c>
      <c r="R906" s="96">
        <v>0</v>
      </c>
      <c r="S906" s="97">
        <f t="shared" si="553"/>
        <v>0</v>
      </c>
      <c r="T906" s="97" t="str">
        <f ca="1">ROUNDUP(HLOOKUP(ROUNDUP(K906,0),'배송비 조회'!A$10:AE$22,7,0)*C$3,-2)</f>
        <v>#REF!</v>
      </c>
      <c r="U906" s="97">
        <v>0</v>
      </c>
      <c r="V906" s="97" t="str">
        <f t="shared" ca="1" si="981"/>
        <v>#REF!</v>
      </c>
      <c r="W906" s="97" t="str">
        <f t="shared" ca="1" si="982"/>
        <v>#REF!</v>
      </c>
      <c r="X906" s="98" t="str">
        <f t="shared" ca="1" si="882"/>
        <v>#REF!</v>
      </c>
      <c r="Y906" s="98" t="str">
        <f t="shared" ca="1" si="883"/>
        <v>#REF!</v>
      </c>
      <c r="Z906" s="121">
        <v>0</v>
      </c>
      <c r="AA906" s="121" t="str">
        <f t="shared" ca="1" si="556"/>
        <v>#REF!</v>
      </c>
      <c r="AB906" s="121" t="str">
        <f t="shared" ca="1" si="557"/>
        <v>#REF!</v>
      </c>
      <c r="AC906" s="99" t="str">
        <f t="shared" ca="1" si="8"/>
        <v>#REF!</v>
      </c>
      <c r="AD906" s="121" t="str">
        <f t="shared" ca="1" si="558"/>
        <v>#REF!</v>
      </c>
      <c r="AE906" s="99" t="str">
        <f t="shared" ca="1" si="10"/>
        <v>#REF!</v>
      </c>
      <c r="AF906" s="121" t="str">
        <f t="shared" ca="1" si="559"/>
        <v>#REF!</v>
      </c>
      <c r="AG906" s="100" t="str">
        <f t="shared" ca="1" si="560"/>
        <v>#REF!</v>
      </c>
      <c r="AH906" s="101" t="str">
        <f t="shared" ca="1" si="891"/>
        <v>#REF!</v>
      </c>
      <c r="AI906" s="102" t="str">
        <f t="shared" ref="AI906:AJ906" ca="1" si="1240">AG906/X906</f>
        <v>#REF!</v>
      </c>
      <c r="AJ906" s="102" t="str">
        <f t="shared" ca="1" si="1240"/>
        <v>#REF!</v>
      </c>
      <c r="AK906" s="212"/>
      <c r="AL906" s="213"/>
      <c r="AM906" s="4"/>
      <c r="AN906" s="4"/>
      <c r="AO906" s="4"/>
      <c r="AP906" s="4"/>
      <c r="AQ906" s="4"/>
      <c r="AR906" s="4"/>
      <c r="AS906" s="4"/>
      <c r="AT906" s="4"/>
      <c r="AU906" s="4"/>
      <c r="AV906" s="4"/>
      <c r="AW906" s="4"/>
    </row>
    <row r="907" spans="1:49" ht="13.2">
      <c r="A907" s="120"/>
      <c r="B907" s="266"/>
      <c r="C907" s="117"/>
      <c r="D907" s="117"/>
      <c r="E907" s="117"/>
      <c r="F907" s="123"/>
      <c r="G907" s="125" t="s">
        <v>145</v>
      </c>
      <c r="H907" s="125"/>
      <c r="I907" s="125"/>
      <c r="J907" s="125"/>
      <c r="K907" s="82" t="str">
        <f t="shared" ca="1" si="1125"/>
        <v>#REF!</v>
      </c>
      <c r="L907" s="82" t="str">
        <f t="shared" ca="1" si="1126"/>
        <v>#REF!</v>
      </c>
      <c r="M907" s="82" t="str">
        <f t="shared" ca="1" si="550"/>
        <v>#REF!</v>
      </c>
      <c r="N907" s="93"/>
      <c r="O907" s="93"/>
      <c r="P907" s="95">
        <f t="shared" si="965"/>
        <v>0</v>
      </c>
      <c r="Q907" s="96">
        <f t="shared" si="1204"/>
        <v>0</v>
      </c>
      <c r="R907" s="96">
        <v>0</v>
      </c>
      <c r="S907" s="97">
        <f t="shared" si="553"/>
        <v>0</v>
      </c>
      <c r="T907" s="97" t="str">
        <f ca="1">ROUNDUP(HLOOKUP(ROUNDUP(K907,0),'배송비 조회'!A$10:AE$22,7,0)*C$3,-2)</f>
        <v>#REF!</v>
      </c>
      <c r="U907" s="97">
        <v>0</v>
      </c>
      <c r="V907" s="97" t="str">
        <f t="shared" ca="1" si="981"/>
        <v>#REF!</v>
      </c>
      <c r="W907" s="97" t="str">
        <f t="shared" ca="1" si="982"/>
        <v>#REF!</v>
      </c>
      <c r="X907" s="98" t="str">
        <f t="shared" ca="1" si="882"/>
        <v>#REF!</v>
      </c>
      <c r="Y907" s="98" t="str">
        <f t="shared" ca="1" si="883"/>
        <v>#REF!</v>
      </c>
      <c r="Z907" s="121">
        <v>0</v>
      </c>
      <c r="AA907" s="121" t="str">
        <f t="shared" ca="1" si="556"/>
        <v>#REF!</v>
      </c>
      <c r="AB907" s="121" t="str">
        <f t="shared" ca="1" si="557"/>
        <v>#REF!</v>
      </c>
      <c r="AC907" s="99" t="str">
        <f t="shared" ca="1" si="8"/>
        <v>#REF!</v>
      </c>
      <c r="AD907" s="121" t="str">
        <f t="shared" ca="1" si="558"/>
        <v>#REF!</v>
      </c>
      <c r="AE907" s="99" t="str">
        <f t="shared" ca="1" si="10"/>
        <v>#REF!</v>
      </c>
      <c r="AF907" s="121" t="str">
        <f t="shared" ca="1" si="559"/>
        <v>#REF!</v>
      </c>
      <c r="AG907" s="100" t="str">
        <f t="shared" ca="1" si="560"/>
        <v>#REF!</v>
      </c>
      <c r="AH907" s="101" t="str">
        <f t="shared" ca="1" si="891"/>
        <v>#REF!</v>
      </c>
      <c r="AI907" s="102" t="str">
        <f t="shared" ref="AI907:AJ907" ca="1" si="1241">AG907/X907</f>
        <v>#REF!</v>
      </c>
      <c r="AJ907" s="102" t="str">
        <f t="shared" ca="1" si="1241"/>
        <v>#REF!</v>
      </c>
      <c r="AK907" s="212"/>
      <c r="AL907" s="213"/>
      <c r="AM907" s="4"/>
      <c r="AN907" s="4"/>
      <c r="AO907" s="4"/>
      <c r="AP907" s="4"/>
      <c r="AQ907" s="4"/>
      <c r="AR907" s="4"/>
      <c r="AS907" s="4"/>
      <c r="AT907" s="4"/>
      <c r="AU907" s="4"/>
      <c r="AV907" s="4"/>
      <c r="AW907" s="4"/>
    </row>
    <row r="908" spans="1:49" ht="13.2">
      <c r="A908" s="120"/>
      <c r="B908" s="266"/>
      <c r="C908" s="117"/>
      <c r="D908" s="117"/>
      <c r="E908" s="117"/>
      <c r="F908" s="123"/>
      <c r="G908" s="125" t="s">
        <v>145</v>
      </c>
      <c r="H908" s="125"/>
      <c r="I908" s="125"/>
      <c r="J908" s="125"/>
      <c r="K908" s="82" t="str">
        <f t="shared" ca="1" si="1125"/>
        <v>#REF!</v>
      </c>
      <c r="L908" s="82" t="str">
        <f t="shared" ca="1" si="1126"/>
        <v>#REF!</v>
      </c>
      <c r="M908" s="82" t="str">
        <f t="shared" ca="1" si="550"/>
        <v>#REF!</v>
      </c>
      <c r="N908" s="93"/>
      <c r="O908" s="93"/>
      <c r="P908" s="95">
        <f t="shared" si="965"/>
        <v>0</v>
      </c>
      <c r="Q908" s="96">
        <f t="shared" si="1204"/>
        <v>0</v>
      </c>
      <c r="R908" s="96">
        <v>0</v>
      </c>
      <c r="S908" s="97">
        <f t="shared" si="553"/>
        <v>0</v>
      </c>
      <c r="T908" s="97" t="str">
        <f ca="1">ROUNDUP(HLOOKUP(ROUNDUP(K908,0),'배송비 조회'!A$10:AE$22,7,0)*C$3,-2)</f>
        <v>#REF!</v>
      </c>
      <c r="U908" s="97">
        <v>0</v>
      </c>
      <c r="V908" s="97" t="str">
        <f t="shared" ca="1" si="981"/>
        <v>#REF!</v>
      </c>
      <c r="W908" s="97" t="str">
        <f t="shared" ca="1" si="982"/>
        <v>#REF!</v>
      </c>
      <c r="X908" s="98" t="str">
        <f t="shared" ca="1" si="882"/>
        <v>#REF!</v>
      </c>
      <c r="Y908" s="98" t="str">
        <f t="shared" ca="1" si="883"/>
        <v>#REF!</v>
      </c>
      <c r="Z908" s="121">
        <v>0</v>
      </c>
      <c r="AA908" s="121" t="str">
        <f t="shared" ca="1" si="556"/>
        <v>#REF!</v>
      </c>
      <c r="AB908" s="121" t="str">
        <f t="shared" ca="1" si="557"/>
        <v>#REF!</v>
      </c>
      <c r="AC908" s="99" t="str">
        <f t="shared" ca="1" si="8"/>
        <v>#REF!</v>
      </c>
      <c r="AD908" s="121" t="str">
        <f t="shared" ca="1" si="558"/>
        <v>#REF!</v>
      </c>
      <c r="AE908" s="99" t="str">
        <f t="shared" ca="1" si="10"/>
        <v>#REF!</v>
      </c>
      <c r="AF908" s="121" t="str">
        <f t="shared" ca="1" si="559"/>
        <v>#REF!</v>
      </c>
      <c r="AG908" s="100" t="str">
        <f t="shared" ca="1" si="560"/>
        <v>#REF!</v>
      </c>
      <c r="AH908" s="101" t="str">
        <f t="shared" ca="1" si="891"/>
        <v>#REF!</v>
      </c>
      <c r="AI908" s="102" t="str">
        <f t="shared" ref="AI908:AJ908" ca="1" si="1242">AG908/X908</f>
        <v>#REF!</v>
      </c>
      <c r="AJ908" s="102" t="str">
        <f t="shared" ca="1" si="1242"/>
        <v>#REF!</v>
      </c>
      <c r="AK908" s="212"/>
      <c r="AL908" s="213"/>
      <c r="AM908" s="4"/>
      <c r="AN908" s="4"/>
      <c r="AO908" s="4"/>
      <c r="AP908" s="4"/>
      <c r="AQ908" s="4"/>
      <c r="AR908" s="4"/>
      <c r="AS908" s="4"/>
      <c r="AT908" s="4"/>
      <c r="AU908" s="4"/>
      <c r="AV908" s="4"/>
      <c r="AW908" s="4"/>
    </row>
    <row r="909" spans="1:49" ht="13.2">
      <c r="A909" s="120"/>
      <c r="B909" s="266"/>
      <c r="C909" s="117"/>
      <c r="D909" s="117"/>
      <c r="E909" s="117"/>
      <c r="F909" s="123"/>
      <c r="G909" s="125" t="s">
        <v>145</v>
      </c>
      <c r="H909" s="125"/>
      <c r="I909" s="125"/>
      <c r="J909" s="125"/>
      <c r="K909" s="82" t="str">
        <f t="shared" ca="1" si="1125"/>
        <v>#REF!</v>
      </c>
      <c r="L909" s="82" t="str">
        <f t="shared" ca="1" si="1126"/>
        <v>#REF!</v>
      </c>
      <c r="M909" s="82" t="str">
        <f t="shared" ca="1" si="550"/>
        <v>#REF!</v>
      </c>
      <c r="N909" s="93"/>
      <c r="O909" s="93"/>
      <c r="P909" s="95">
        <f t="shared" si="965"/>
        <v>0</v>
      </c>
      <c r="Q909" s="96">
        <f t="shared" si="1204"/>
        <v>0</v>
      </c>
      <c r="R909" s="96">
        <v>0</v>
      </c>
      <c r="S909" s="97">
        <f t="shared" si="553"/>
        <v>0</v>
      </c>
      <c r="T909" s="97" t="str">
        <f ca="1">ROUNDUP(HLOOKUP(ROUNDUP(K909,0),'배송비 조회'!A$10:AE$22,7,0)*C$3,-2)</f>
        <v>#REF!</v>
      </c>
      <c r="U909" s="97">
        <v>0</v>
      </c>
      <c r="V909" s="97" t="str">
        <f t="shared" ca="1" si="981"/>
        <v>#REF!</v>
      </c>
      <c r="W909" s="97" t="str">
        <f t="shared" ca="1" si="982"/>
        <v>#REF!</v>
      </c>
      <c r="X909" s="98" t="str">
        <f t="shared" ca="1" si="882"/>
        <v>#REF!</v>
      </c>
      <c r="Y909" s="98" t="str">
        <f t="shared" ca="1" si="883"/>
        <v>#REF!</v>
      </c>
      <c r="Z909" s="121">
        <v>0</v>
      </c>
      <c r="AA909" s="121" t="str">
        <f t="shared" ca="1" si="556"/>
        <v>#REF!</v>
      </c>
      <c r="AB909" s="121" t="str">
        <f t="shared" ca="1" si="557"/>
        <v>#REF!</v>
      </c>
      <c r="AC909" s="99" t="str">
        <f t="shared" ca="1" si="8"/>
        <v>#REF!</v>
      </c>
      <c r="AD909" s="121" t="str">
        <f t="shared" ca="1" si="558"/>
        <v>#REF!</v>
      </c>
      <c r="AE909" s="99" t="str">
        <f t="shared" ca="1" si="10"/>
        <v>#REF!</v>
      </c>
      <c r="AF909" s="121" t="str">
        <f t="shared" ca="1" si="559"/>
        <v>#REF!</v>
      </c>
      <c r="AG909" s="100" t="str">
        <f t="shared" ca="1" si="560"/>
        <v>#REF!</v>
      </c>
      <c r="AH909" s="101" t="str">
        <f t="shared" ca="1" si="891"/>
        <v>#REF!</v>
      </c>
      <c r="AI909" s="102" t="str">
        <f t="shared" ref="AI909:AJ909" ca="1" si="1243">AG909/X909</f>
        <v>#REF!</v>
      </c>
      <c r="AJ909" s="102" t="str">
        <f t="shared" ca="1" si="1243"/>
        <v>#REF!</v>
      </c>
      <c r="AK909" s="212"/>
      <c r="AL909" s="213"/>
      <c r="AM909" s="4"/>
      <c r="AN909" s="4"/>
      <c r="AO909" s="4"/>
      <c r="AP909" s="4"/>
      <c r="AQ909" s="4"/>
      <c r="AR909" s="4"/>
      <c r="AS909" s="4"/>
      <c r="AT909" s="4"/>
      <c r="AU909" s="4"/>
      <c r="AV909" s="4"/>
      <c r="AW909" s="4"/>
    </row>
    <row r="910" spans="1:49" ht="13.2">
      <c r="A910" s="120"/>
      <c r="B910" s="266"/>
      <c r="C910" s="117"/>
      <c r="D910" s="117"/>
      <c r="E910" s="117"/>
      <c r="F910" s="123"/>
      <c r="G910" s="125" t="s">
        <v>145</v>
      </c>
      <c r="H910" s="125"/>
      <c r="I910" s="125"/>
      <c r="J910" s="125"/>
      <c r="K910" s="82" t="str">
        <f t="shared" ca="1" si="1125"/>
        <v>#REF!</v>
      </c>
      <c r="L910" s="82" t="str">
        <f t="shared" ca="1" si="1126"/>
        <v>#REF!</v>
      </c>
      <c r="M910" s="82" t="str">
        <f t="shared" ca="1" si="550"/>
        <v>#REF!</v>
      </c>
      <c r="N910" s="93"/>
      <c r="O910" s="93"/>
      <c r="P910" s="95">
        <f t="shared" si="965"/>
        <v>0</v>
      </c>
      <c r="Q910" s="96">
        <f t="shared" si="1204"/>
        <v>0</v>
      </c>
      <c r="R910" s="96">
        <v>0</v>
      </c>
      <c r="S910" s="97">
        <f t="shared" si="553"/>
        <v>0</v>
      </c>
      <c r="T910" s="97" t="str">
        <f ca="1">ROUNDUP(HLOOKUP(ROUNDUP(K910,0),'배송비 조회'!A$10:AE$22,7,0)*C$3,-2)</f>
        <v>#REF!</v>
      </c>
      <c r="U910" s="97">
        <v>0</v>
      </c>
      <c r="V910" s="97" t="str">
        <f t="shared" ca="1" si="981"/>
        <v>#REF!</v>
      </c>
      <c r="W910" s="97" t="str">
        <f t="shared" ca="1" si="982"/>
        <v>#REF!</v>
      </c>
      <c r="X910" s="98" t="str">
        <f t="shared" ca="1" si="882"/>
        <v>#REF!</v>
      </c>
      <c r="Y910" s="98" t="str">
        <f t="shared" ca="1" si="883"/>
        <v>#REF!</v>
      </c>
      <c r="Z910" s="121">
        <v>0</v>
      </c>
      <c r="AA910" s="121" t="str">
        <f t="shared" ca="1" si="556"/>
        <v>#REF!</v>
      </c>
      <c r="AB910" s="121" t="str">
        <f t="shared" ca="1" si="557"/>
        <v>#REF!</v>
      </c>
      <c r="AC910" s="99" t="str">
        <f t="shared" ca="1" si="8"/>
        <v>#REF!</v>
      </c>
      <c r="AD910" s="121" t="str">
        <f t="shared" ca="1" si="558"/>
        <v>#REF!</v>
      </c>
      <c r="AE910" s="99" t="str">
        <f t="shared" ca="1" si="10"/>
        <v>#REF!</v>
      </c>
      <c r="AF910" s="121" t="str">
        <f t="shared" ca="1" si="559"/>
        <v>#REF!</v>
      </c>
      <c r="AG910" s="100" t="str">
        <f t="shared" ca="1" si="560"/>
        <v>#REF!</v>
      </c>
      <c r="AH910" s="101" t="str">
        <f t="shared" ca="1" si="891"/>
        <v>#REF!</v>
      </c>
      <c r="AI910" s="102" t="str">
        <f t="shared" ref="AI910:AJ910" ca="1" si="1244">AG910/X910</f>
        <v>#REF!</v>
      </c>
      <c r="AJ910" s="102" t="str">
        <f t="shared" ca="1" si="1244"/>
        <v>#REF!</v>
      </c>
      <c r="AK910" s="212"/>
      <c r="AL910" s="213"/>
      <c r="AM910" s="4"/>
      <c r="AN910" s="4"/>
      <c r="AO910" s="4"/>
      <c r="AP910" s="4"/>
      <c r="AQ910" s="4"/>
      <c r="AR910" s="4"/>
      <c r="AS910" s="4"/>
      <c r="AT910" s="4"/>
      <c r="AU910" s="4"/>
      <c r="AV910" s="4"/>
      <c r="AW910" s="4"/>
    </row>
    <row r="911" spans="1:49" ht="13.2">
      <c r="A911" s="120"/>
      <c r="B911" s="266"/>
      <c r="C911" s="117"/>
      <c r="D911" s="117"/>
      <c r="E911" s="117"/>
      <c r="F911" s="123"/>
      <c r="G911" s="125" t="s">
        <v>145</v>
      </c>
      <c r="H911" s="125"/>
      <c r="I911" s="125"/>
      <c r="J911" s="125"/>
      <c r="K911" s="82" t="str">
        <f t="shared" ca="1" si="1125"/>
        <v>#REF!</v>
      </c>
      <c r="L911" s="82" t="str">
        <f t="shared" ca="1" si="1126"/>
        <v>#REF!</v>
      </c>
      <c r="M911" s="82" t="str">
        <f t="shared" ca="1" si="550"/>
        <v>#REF!</v>
      </c>
      <c r="N911" s="93"/>
      <c r="O911" s="93"/>
      <c r="P911" s="95">
        <f t="shared" si="965"/>
        <v>0</v>
      </c>
      <c r="Q911" s="96">
        <f t="shared" si="1204"/>
        <v>0</v>
      </c>
      <c r="R911" s="96">
        <v>0</v>
      </c>
      <c r="S911" s="97">
        <f t="shared" si="553"/>
        <v>0</v>
      </c>
      <c r="T911" s="97" t="str">
        <f ca="1">ROUNDUP(HLOOKUP(ROUNDUP(K911,0),'배송비 조회'!A$10:AE$22,7,0)*C$3,-2)</f>
        <v>#REF!</v>
      </c>
      <c r="U911" s="97">
        <v>0</v>
      </c>
      <c r="V911" s="97" t="str">
        <f t="shared" ca="1" si="981"/>
        <v>#REF!</v>
      </c>
      <c r="W911" s="97" t="str">
        <f t="shared" ca="1" si="982"/>
        <v>#REF!</v>
      </c>
      <c r="X911" s="98" t="str">
        <f t="shared" ca="1" si="882"/>
        <v>#REF!</v>
      </c>
      <c r="Y911" s="98" t="str">
        <f t="shared" ca="1" si="883"/>
        <v>#REF!</v>
      </c>
      <c r="Z911" s="121">
        <v>0</v>
      </c>
      <c r="AA911" s="121" t="str">
        <f t="shared" ca="1" si="556"/>
        <v>#REF!</v>
      </c>
      <c r="AB911" s="121" t="str">
        <f t="shared" ca="1" si="557"/>
        <v>#REF!</v>
      </c>
      <c r="AC911" s="99" t="str">
        <f t="shared" ca="1" si="8"/>
        <v>#REF!</v>
      </c>
      <c r="AD911" s="121" t="str">
        <f t="shared" ca="1" si="558"/>
        <v>#REF!</v>
      </c>
      <c r="AE911" s="99" t="str">
        <f t="shared" ca="1" si="10"/>
        <v>#REF!</v>
      </c>
      <c r="AF911" s="121" t="str">
        <f t="shared" ca="1" si="559"/>
        <v>#REF!</v>
      </c>
      <c r="AG911" s="100" t="str">
        <f t="shared" ca="1" si="560"/>
        <v>#REF!</v>
      </c>
      <c r="AH911" s="101" t="str">
        <f t="shared" ca="1" si="891"/>
        <v>#REF!</v>
      </c>
      <c r="AI911" s="102" t="str">
        <f t="shared" ref="AI911:AJ911" ca="1" si="1245">AG911/X911</f>
        <v>#REF!</v>
      </c>
      <c r="AJ911" s="102" t="str">
        <f t="shared" ca="1" si="1245"/>
        <v>#REF!</v>
      </c>
      <c r="AK911" s="212"/>
      <c r="AL911" s="213"/>
      <c r="AM911" s="4"/>
      <c r="AN911" s="4"/>
      <c r="AO911" s="4"/>
      <c r="AP911" s="4"/>
      <c r="AQ911" s="4"/>
      <c r="AR911" s="4"/>
      <c r="AS911" s="4"/>
      <c r="AT911" s="4"/>
      <c r="AU911" s="4"/>
      <c r="AV911" s="4"/>
      <c r="AW911" s="4"/>
    </row>
    <row r="912" spans="1:49" ht="13.2">
      <c r="A912" s="120"/>
      <c r="B912" s="266"/>
      <c r="C912" s="117"/>
      <c r="D912" s="117"/>
      <c r="E912" s="117"/>
      <c r="F912" s="123"/>
      <c r="G912" s="125" t="s">
        <v>145</v>
      </c>
      <c r="H912" s="125"/>
      <c r="I912" s="125"/>
      <c r="J912" s="125"/>
      <c r="K912" s="82" t="str">
        <f t="shared" ca="1" si="1125"/>
        <v>#REF!</v>
      </c>
      <c r="L912" s="82" t="str">
        <f t="shared" ca="1" si="1126"/>
        <v>#REF!</v>
      </c>
      <c r="M912" s="82" t="str">
        <f t="shared" ca="1" si="550"/>
        <v>#REF!</v>
      </c>
      <c r="N912" s="93"/>
      <c r="O912" s="93"/>
      <c r="P912" s="95">
        <f t="shared" si="965"/>
        <v>0</v>
      </c>
      <c r="Q912" s="96">
        <f t="shared" si="1204"/>
        <v>0</v>
      </c>
      <c r="R912" s="96">
        <v>0</v>
      </c>
      <c r="S912" s="97">
        <f t="shared" si="553"/>
        <v>0</v>
      </c>
      <c r="T912" s="97" t="str">
        <f ca="1">ROUNDUP(HLOOKUP(ROUNDUP(K912,0),'배송비 조회'!A$10:AE$22,7,0)*C$3,-2)</f>
        <v>#REF!</v>
      </c>
      <c r="U912" s="97">
        <v>0</v>
      </c>
      <c r="V912" s="97" t="str">
        <f t="shared" ca="1" si="981"/>
        <v>#REF!</v>
      </c>
      <c r="W912" s="97" t="str">
        <f t="shared" ca="1" si="982"/>
        <v>#REF!</v>
      </c>
      <c r="X912" s="98" t="str">
        <f t="shared" ca="1" si="882"/>
        <v>#REF!</v>
      </c>
      <c r="Y912" s="98" t="str">
        <f t="shared" ca="1" si="883"/>
        <v>#REF!</v>
      </c>
      <c r="Z912" s="121">
        <v>0</v>
      </c>
      <c r="AA912" s="121" t="str">
        <f t="shared" ca="1" si="556"/>
        <v>#REF!</v>
      </c>
      <c r="AB912" s="121" t="str">
        <f t="shared" ca="1" si="557"/>
        <v>#REF!</v>
      </c>
      <c r="AC912" s="99" t="str">
        <f t="shared" ca="1" si="8"/>
        <v>#REF!</v>
      </c>
      <c r="AD912" s="121" t="str">
        <f t="shared" ca="1" si="558"/>
        <v>#REF!</v>
      </c>
      <c r="AE912" s="99" t="str">
        <f t="shared" ca="1" si="10"/>
        <v>#REF!</v>
      </c>
      <c r="AF912" s="121" t="str">
        <f t="shared" ca="1" si="559"/>
        <v>#REF!</v>
      </c>
      <c r="AG912" s="100" t="str">
        <f t="shared" ca="1" si="560"/>
        <v>#REF!</v>
      </c>
      <c r="AH912" s="101" t="str">
        <f t="shared" ca="1" si="891"/>
        <v>#REF!</v>
      </c>
      <c r="AI912" s="102" t="str">
        <f t="shared" ref="AI912:AJ912" ca="1" si="1246">AG912/X912</f>
        <v>#REF!</v>
      </c>
      <c r="AJ912" s="102" t="str">
        <f t="shared" ca="1" si="1246"/>
        <v>#REF!</v>
      </c>
      <c r="AK912" s="212"/>
      <c r="AL912" s="213"/>
      <c r="AM912" s="4"/>
      <c r="AN912" s="4"/>
      <c r="AO912" s="4"/>
      <c r="AP912" s="4"/>
      <c r="AQ912" s="4"/>
      <c r="AR912" s="4"/>
      <c r="AS912" s="4"/>
      <c r="AT912" s="4"/>
      <c r="AU912" s="4"/>
      <c r="AV912" s="4"/>
      <c r="AW912" s="4"/>
    </row>
    <row r="913" spans="1:49" ht="13.2">
      <c r="A913" s="120"/>
      <c r="B913" s="266"/>
      <c r="C913" s="117"/>
      <c r="D913" s="117"/>
      <c r="E913" s="117"/>
      <c r="F913" s="123"/>
      <c r="G913" s="125" t="s">
        <v>145</v>
      </c>
      <c r="H913" s="125"/>
      <c r="I913" s="125"/>
      <c r="J913" s="125"/>
      <c r="K913" s="82" t="str">
        <f t="shared" ca="1" si="1125"/>
        <v>#REF!</v>
      </c>
      <c r="L913" s="82" t="str">
        <f t="shared" ca="1" si="1126"/>
        <v>#REF!</v>
      </c>
      <c r="M913" s="82" t="str">
        <f t="shared" ca="1" si="550"/>
        <v>#REF!</v>
      </c>
      <c r="N913" s="93"/>
      <c r="O913" s="93"/>
      <c r="P913" s="95">
        <f t="shared" si="965"/>
        <v>0</v>
      </c>
      <c r="Q913" s="96">
        <f t="shared" si="1204"/>
        <v>0</v>
      </c>
      <c r="R913" s="96">
        <v>0</v>
      </c>
      <c r="S913" s="97">
        <f t="shared" si="553"/>
        <v>0</v>
      </c>
      <c r="T913" s="97" t="str">
        <f ca="1">ROUNDUP(HLOOKUP(ROUNDUP(K913,0),'배송비 조회'!A$10:AE$22,7,0)*C$3,-2)</f>
        <v>#REF!</v>
      </c>
      <c r="U913" s="97">
        <v>0</v>
      </c>
      <c r="V913" s="97" t="str">
        <f t="shared" ca="1" si="981"/>
        <v>#REF!</v>
      </c>
      <c r="W913" s="97" t="str">
        <f t="shared" ca="1" si="982"/>
        <v>#REF!</v>
      </c>
      <c r="X913" s="98" t="str">
        <f t="shared" ca="1" si="882"/>
        <v>#REF!</v>
      </c>
      <c r="Y913" s="98" t="str">
        <f t="shared" ca="1" si="883"/>
        <v>#REF!</v>
      </c>
      <c r="Z913" s="121">
        <v>0</v>
      </c>
      <c r="AA913" s="121" t="str">
        <f t="shared" ca="1" si="556"/>
        <v>#REF!</v>
      </c>
      <c r="AB913" s="121" t="str">
        <f t="shared" ca="1" si="557"/>
        <v>#REF!</v>
      </c>
      <c r="AC913" s="99" t="str">
        <f t="shared" ca="1" si="8"/>
        <v>#REF!</v>
      </c>
      <c r="AD913" s="121" t="str">
        <f t="shared" ca="1" si="558"/>
        <v>#REF!</v>
      </c>
      <c r="AE913" s="99" t="str">
        <f t="shared" ca="1" si="10"/>
        <v>#REF!</v>
      </c>
      <c r="AF913" s="121" t="str">
        <f t="shared" ca="1" si="559"/>
        <v>#REF!</v>
      </c>
      <c r="AG913" s="100" t="str">
        <f t="shared" ca="1" si="560"/>
        <v>#REF!</v>
      </c>
      <c r="AH913" s="101" t="str">
        <f t="shared" ca="1" si="891"/>
        <v>#REF!</v>
      </c>
      <c r="AI913" s="102" t="str">
        <f t="shared" ref="AI913:AJ913" ca="1" si="1247">AG913/X913</f>
        <v>#REF!</v>
      </c>
      <c r="AJ913" s="102" t="str">
        <f t="shared" ca="1" si="1247"/>
        <v>#REF!</v>
      </c>
      <c r="AK913" s="212"/>
      <c r="AL913" s="213"/>
      <c r="AM913" s="4"/>
      <c r="AN913" s="4"/>
      <c r="AO913" s="4"/>
      <c r="AP913" s="4"/>
      <c r="AQ913" s="4"/>
      <c r="AR913" s="4"/>
      <c r="AS913" s="4"/>
      <c r="AT913" s="4"/>
      <c r="AU913" s="4"/>
      <c r="AV913" s="4"/>
      <c r="AW913" s="4"/>
    </row>
    <row r="914" spans="1:49" ht="13.2">
      <c r="A914" s="120"/>
      <c r="B914" s="266"/>
      <c r="C914" s="117"/>
      <c r="D914" s="117"/>
      <c r="E914" s="117"/>
      <c r="F914" s="123"/>
      <c r="G914" s="125" t="s">
        <v>145</v>
      </c>
      <c r="H914" s="125"/>
      <c r="I914" s="125"/>
      <c r="J914" s="125"/>
      <c r="K914" s="82" t="str">
        <f t="shared" ca="1" si="1125"/>
        <v>#REF!</v>
      </c>
      <c r="L914" s="82" t="str">
        <f t="shared" ca="1" si="1126"/>
        <v>#REF!</v>
      </c>
      <c r="M914" s="82" t="str">
        <f t="shared" ca="1" si="550"/>
        <v>#REF!</v>
      </c>
      <c r="N914" s="93"/>
      <c r="O914" s="93"/>
      <c r="P914" s="95">
        <f t="shared" si="965"/>
        <v>0</v>
      </c>
      <c r="Q914" s="96">
        <f t="shared" si="1204"/>
        <v>0</v>
      </c>
      <c r="R914" s="96">
        <v>0</v>
      </c>
      <c r="S914" s="97">
        <f t="shared" si="553"/>
        <v>0</v>
      </c>
      <c r="T914" s="97" t="str">
        <f ca="1">ROUNDUP(HLOOKUP(ROUNDUP(K914,0),'배송비 조회'!A$10:AE$22,7,0)*C$3,-2)</f>
        <v>#REF!</v>
      </c>
      <c r="U914" s="97">
        <v>0</v>
      </c>
      <c r="V914" s="97" t="str">
        <f t="shared" ca="1" si="981"/>
        <v>#REF!</v>
      </c>
      <c r="W914" s="97" t="str">
        <f t="shared" ca="1" si="982"/>
        <v>#REF!</v>
      </c>
      <c r="X914" s="98" t="str">
        <f t="shared" ca="1" si="882"/>
        <v>#REF!</v>
      </c>
      <c r="Y914" s="98" t="str">
        <f t="shared" ca="1" si="883"/>
        <v>#REF!</v>
      </c>
      <c r="Z914" s="121">
        <v>0</v>
      </c>
      <c r="AA914" s="121" t="str">
        <f t="shared" ca="1" si="556"/>
        <v>#REF!</v>
      </c>
      <c r="AB914" s="121" t="str">
        <f t="shared" ca="1" si="557"/>
        <v>#REF!</v>
      </c>
      <c r="AC914" s="99" t="str">
        <f t="shared" ca="1" si="8"/>
        <v>#REF!</v>
      </c>
      <c r="AD914" s="121" t="str">
        <f t="shared" ca="1" si="558"/>
        <v>#REF!</v>
      </c>
      <c r="AE914" s="99" t="str">
        <f t="shared" ca="1" si="10"/>
        <v>#REF!</v>
      </c>
      <c r="AF914" s="121" t="str">
        <f t="shared" ca="1" si="559"/>
        <v>#REF!</v>
      </c>
      <c r="AG914" s="100" t="str">
        <f t="shared" ca="1" si="560"/>
        <v>#REF!</v>
      </c>
      <c r="AH914" s="101" t="str">
        <f t="shared" ca="1" si="891"/>
        <v>#REF!</v>
      </c>
      <c r="AI914" s="102" t="str">
        <f t="shared" ref="AI914:AJ914" ca="1" si="1248">AG914/X914</f>
        <v>#REF!</v>
      </c>
      <c r="AJ914" s="102" t="str">
        <f t="shared" ca="1" si="1248"/>
        <v>#REF!</v>
      </c>
      <c r="AK914" s="212"/>
      <c r="AL914" s="213"/>
      <c r="AM914" s="4"/>
      <c r="AN914" s="4"/>
      <c r="AO914" s="4"/>
      <c r="AP914" s="4"/>
      <c r="AQ914" s="4"/>
      <c r="AR914" s="4"/>
      <c r="AS914" s="4"/>
      <c r="AT914" s="4"/>
      <c r="AU914" s="4"/>
      <c r="AV914" s="4"/>
      <c r="AW914" s="4"/>
    </row>
    <row r="915" spans="1:49" ht="13.2">
      <c r="A915" s="120"/>
      <c r="B915" s="266"/>
      <c r="C915" s="117"/>
      <c r="D915" s="117"/>
      <c r="E915" s="117"/>
      <c r="F915" s="123"/>
      <c r="G915" s="125" t="s">
        <v>145</v>
      </c>
      <c r="H915" s="125"/>
      <c r="I915" s="125"/>
      <c r="J915" s="125"/>
      <c r="K915" s="82" t="str">
        <f t="shared" ca="1" si="1125"/>
        <v>#REF!</v>
      </c>
      <c r="L915" s="82" t="str">
        <f t="shared" ca="1" si="1126"/>
        <v>#REF!</v>
      </c>
      <c r="M915" s="82" t="str">
        <f t="shared" ca="1" si="550"/>
        <v>#REF!</v>
      </c>
      <c r="N915" s="93"/>
      <c r="O915" s="93"/>
      <c r="P915" s="95">
        <f t="shared" si="965"/>
        <v>0</v>
      </c>
      <c r="Q915" s="96">
        <f t="shared" si="1204"/>
        <v>0</v>
      </c>
      <c r="R915" s="96">
        <v>0</v>
      </c>
      <c r="S915" s="97">
        <f t="shared" si="553"/>
        <v>0</v>
      </c>
      <c r="T915" s="97" t="str">
        <f ca="1">ROUNDUP(HLOOKUP(ROUNDUP(K915,0),'배송비 조회'!A$10:AE$22,7,0)*C$3,-2)</f>
        <v>#REF!</v>
      </c>
      <c r="U915" s="97">
        <v>0</v>
      </c>
      <c r="V915" s="97" t="str">
        <f t="shared" ca="1" si="981"/>
        <v>#REF!</v>
      </c>
      <c r="W915" s="97" t="str">
        <f t="shared" ca="1" si="982"/>
        <v>#REF!</v>
      </c>
      <c r="X915" s="98" t="str">
        <f t="shared" ca="1" si="882"/>
        <v>#REF!</v>
      </c>
      <c r="Y915" s="98" t="str">
        <f t="shared" ca="1" si="883"/>
        <v>#REF!</v>
      </c>
      <c r="Z915" s="121">
        <v>0</v>
      </c>
      <c r="AA915" s="121" t="str">
        <f t="shared" ca="1" si="556"/>
        <v>#REF!</v>
      </c>
      <c r="AB915" s="121" t="str">
        <f t="shared" ca="1" si="557"/>
        <v>#REF!</v>
      </c>
      <c r="AC915" s="99" t="str">
        <f t="shared" ca="1" si="8"/>
        <v>#REF!</v>
      </c>
      <c r="AD915" s="121" t="str">
        <f t="shared" ca="1" si="558"/>
        <v>#REF!</v>
      </c>
      <c r="AE915" s="99" t="str">
        <f t="shared" ca="1" si="10"/>
        <v>#REF!</v>
      </c>
      <c r="AF915" s="121" t="str">
        <f t="shared" ca="1" si="559"/>
        <v>#REF!</v>
      </c>
      <c r="AG915" s="100" t="str">
        <f t="shared" ca="1" si="560"/>
        <v>#REF!</v>
      </c>
      <c r="AH915" s="101" t="str">
        <f t="shared" ca="1" si="891"/>
        <v>#REF!</v>
      </c>
      <c r="AI915" s="102" t="str">
        <f t="shared" ref="AI915:AJ915" ca="1" si="1249">AG915/X915</f>
        <v>#REF!</v>
      </c>
      <c r="AJ915" s="102" t="str">
        <f t="shared" ca="1" si="1249"/>
        <v>#REF!</v>
      </c>
      <c r="AK915" s="212"/>
      <c r="AL915" s="213"/>
      <c r="AM915" s="4"/>
      <c r="AN915" s="4"/>
      <c r="AO915" s="4"/>
      <c r="AP915" s="4"/>
      <c r="AQ915" s="4"/>
      <c r="AR915" s="4"/>
      <c r="AS915" s="4"/>
      <c r="AT915" s="4"/>
      <c r="AU915" s="4"/>
      <c r="AV915" s="4"/>
      <c r="AW915" s="4"/>
    </row>
    <row r="916" spans="1:49" ht="13.2">
      <c r="A916" s="120"/>
      <c r="B916" s="266"/>
      <c r="C916" s="117"/>
      <c r="D916" s="117"/>
      <c r="E916" s="117"/>
      <c r="F916" s="123"/>
      <c r="G916" s="125" t="s">
        <v>145</v>
      </c>
      <c r="H916" s="125"/>
      <c r="I916" s="125"/>
      <c r="J916" s="125"/>
      <c r="K916" s="82" t="str">
        <f t="shared" ca="1" si="1125"/>
        <v>#REF!</v>
      </c>
      <c r="L916" s="82" t="str">
        <f t="shared" ca="1" si="1126"/>
        <v>#REF!</v>
      </c>
      <c r="M916" s="82" t="str">
        <f t="shared" ca="1" si="550"/>
        <v>#REF!</v>
      </c>
      <c r="N916" s="93"/>
      <c r="O916" s="93"/>
      <c r="P916" s="95">
        <f t="shared" si="965"/>
        <v>0</v>
      </c>
      <c r="Q916" s="96">
        <f t="shared" si="1204"/>
        <v>0</v>
      </c>
      <c r="R916" s="96">
        <v>0</v>
      </c>
      <c r="S916" s="97">
        <f t="shared" si="553"/>
        <v>0</v>
      </c>
      <c r="T916" s="97" t="str">
        <f ca="1">ROUNDUP(HLOOKUP(ROUNDUP(K916,0),'배송비 조회'!A$10:AE$22,7,0)*C$3,-2)</f>
        <v>#REF!</v>
      </c>
      <c r="U916" s="97">
        <v>0</v>
      </c>
      <c r="V916" s="97" t="str">
        <f t="shared" ca="1" si="981"/>
        <v>#REF!</v>
      </c>
      <c r="W916" s="97" t="str">
        <f t="shared" ca="1" si="982"/>
        <v>#REF!</v>
      </c>
      <c r="X916" s="98" t="str">
        <f t="shared" ca="1" si="882"/>
        <v>#REF!</v>
      </c>
      <c r="Y916" s="98" t="str">
        <f t="shared" ca="1" si="883"/>
        <v>#REF!</v>
      </c>
      <c r="Z916" s="121">
        <v>0</v>
      </c>
      <c r="AA916" s="121" t="str">
        <f t="shared" ca="1" si="556"/>
        <v>#REF!</v>
      </c>
      <c r="AB916" s="121" t="str">
        <f t="shared" ca="1" si="557"/>
        <v>#REF!</v>
      </c>
      <c r="AC916" s="99" t="str">
        <f t="shared" ca="1" si="8"/>
        <v>#REF!</v>
      </c>
      <c r="AD916" s="121" t="str">
        <f t="shared" ca="1" si="558"/>
        <v>#REF!</v>
      </c>
      <c r="AE916" s="99" t="str">
        <f t="shared" ca="1" si="10"/>
        <v>#REF!</v>
      </c>
      <c r="AF916" s="121" t="str">
        <f t="shared" ca="1" si="559"/>
        <v>#REF!</v>
      </c>
      <c r="AG916" s="100" t="str">
        <f t="shared" ca="1" si="560"/>
        <v>#REF!</v>
      </c>
      <c r="AH916" s="101" t="str">
        <f t="shared" ca="1" si="891"/>
        <v>#REF!</v>
      </c>
      <c r="AI916" s="102" t="str">
        <f t="shared" ref="AI916:AJ916" ca="1" si="1250">AG916/X916</f>
        <v>#REF!</v>
      </c>
      <c r="AJ916" s="102" t="str">
        <f t="shared" ca="1" si="1250"/>
        <v>#REF!</v>
      </c>
      <c r="AK916" s="212"/>
      <c r="AL916" s="213"/>
      <c r="AM916" s="4"/>
      <c r="AN916" s="4"/>
      <c r="AO916" s="4"/>
      <c r="AP916" s="4"/>
      <c r="AQ916" s="4"/>
      <c r="AR916" s="4"/>
      <c r="AS916" s="4"/>
      <c r="AT916" s="4"/>
      <c r="AU916" s="4"/>
      <c r="AV916" s="4"/>
      <c r="AW916" s="4"/>
    </row>
    <row r="917" spans="1:49" ht="13.2">
      <c r="A917" s="120"/>
      <c r="B917" s="266"/>
      <c r="C917" s="117"/>
      <c r="D917" s="117"/>
      <c r="E917" s="117"/>
      <c r="F917" s="123"/>
      <c r="G917" s="125" t="s">
        <v>145</v>
      </c>
      <c r="H917" s="125"/>
      <c r="I917" s="125"/>
      <c r="J917" s="125"/>
      <c r="K917" s="82" t="str">
        <f t="shared" ca="1" si="1125"/>
        <v>#REF!</v>
      </c>
      <c r="L917" s="82" t="str">
        <f t="shared" ca="1" si="1126"/>
        <v>#REF!</v>
      </c>
      <c r="M917" s="82" t="str">
        <f t="shared" ca="1" si="550"/>
        <v>#REF!</v>
      </c>
      <c r="N917" s="93"/>
      <c r="O917" s="93"/>
      <c r="P917" s="95">
        <f t="shared" si="965"/>
        <v>0</v>
      </c>
      <c r="Q917" s="96">
        <f t="shared" si="1204"/>
        <v>0</v>
      </c>
      <c r="R917" s="96">
        <v>0</v>
      </c>
      <c r="S917" s="97">
        <f t="shared" si="553"/>
        <v>0</v>
      </c>
      <c r="T917" s="97" t="str">
        <f ca="1">ROUNDUP(HLOOKUP(ROUNDUP(K917,0),'배송비 조회'!A$10:AE$22,7,0)*C$3,-2)</f>
        <v>#REF!</v>
      </c>
      <c r="U917" s="97">
        <v>0</v>
      </c>
      <c r="V917" s="97" t="str">
        <f t="shared" ca="1" si="981"/>
        <v>#REF!</v>
      </c>
      <c r="W917" s="97" t="str">
        <f t="shared" ca="1" si="982"/>
        <v>#REF!</v>
      </c>
      <c r="X917" s="98" t="str">
        <f t="shared" ca="1" si="882"/>
        <v>#REF!</v>
      </c>
      <c r="Y917" s="98" t="str">
        <f t="shared" ca="1" si="883"/>
        <v>#REF!</v>
      </c>
      <c r="Z917" s="121">
        <v>0</v>
      </c>
      <c r="AA917" s="121" t="str">
        <f t="shared" ca="1" si="556"/>
        <v>#REF!</v>
      </c>
      <c r="AB917" s="121" t="str">
        <f t="shared" ca="1" si="557"/>
        <v>#REF!</v>
      </c>
      <c r="AC917" s="99" t="str">
        <f t="shared" ca="1" si="8"/>
        <v>#REF!</v>
      </c>
      <c r="AD917" s="121" t="str">
        <f t="shared" ca="1" si="558"/>
        <v>#REF!</v>
      </c>
      <c r="AE917" s="99" t="str">
        <f t="shared" ca="1" si="10"/>
        <v>#REF!</v>
      </c>
      <c r="AF917" s="121" t="str">
        <f t="shared" ca="1" si="559"/>
        <v>#REF!</v>
      </c>
      <c r="AG917" s="100" t="str">
        <f t="shared" ca="1" si="560"/>
        <v>#REF!</v>
      </c>
      <c r="AH917" s="101" t="str">
        <f t="shared" ca="1" si="891"/>
        <v>#REF!</v>
      </c>
      <c r="AI917" s="102" t="str">
        <f t="shared" ref="AI917:AJ917" ca="1" si="1251">AG917/X917</f>
        <v>#REF!</v>
      </c>
      <c r="AJ917" s="102" t="str">
        <f t="shared" ca="1" si="1251"/>
        <v>#REF!</v>
      </c>
      <c r="AK917" s="212"/>
      <c r="AL917" s="213"/>
      <c r="AM917" s="4"/>
      <c r="AN917" s="4"/>
      <c r="AO917" s="4"/>
      <c r="AP917" s="4"/>
      <c r="AQ917" s="4"/>
      <c r="AR917" s="4"/>
      <c r="AS917" s="4"/>
      <c r="AT917" s="4"/>
      <c r="AU917" s="4"/>
      <c r="AV917" s="4"/>
      <c r="AW917" s="4"/>
    </row>
    <row r="918" spans="1:49" ht="13.2">
      <c r="A918" s="120"/>
      <c r="B918" s="266"/>
      <c r="C918" s="117"/>
      <c r="D918" s="117"/>
      <c r="E918" s="117"/>
      <c r="F918" s="123"/>
      <c r="G918" s="125" t="s">
        <v>145</v>
      </c>
      <c r="H918" s="125"/>
      <c r="I918" s="125"/>
      <c r="J918" s="125"/>
      <c r="K918" s="82" t="str">
        <f t="shared" ca="1" si="1125"/>
        <v>#REF!</v>
      </c>
      <c r="L918" s="82" t="str">
        <f t="shared" ca="1" si="1126"/>
        <v>#REF!</v>
      </c>
      <c r="M918" s="82" t="str">
        <f t="shared" ca="1" si="550"/>
        <v>#REF!</v>
      </c>
      <c r="N918" s="93"/>
      <c r="O918" s="93"/>
      <c r="P918" s="95">
        <f t="shared" si="965"/>
        <v>0</v>
      </c>
      <c r="Q918" s="96">
        <f t="shared" si="1204"/>
        <v>0</v>
      </c>
      <c r="R918" s="96">
        <v>0</v>
      </c>
      <c r="S918" s="97">
        <f t="shared" si="553"/>
        <v>0</v>
      </c>
      <c r="T918" s="97" t="str">
        <f ca="1">ROUNDUP(HLOOKUP(ROUNDUP(K918,0),'배송비 조회'!A$10:AE$22,7,0)*C$3,-2)</f>
        <v>#REF!</v>
      </c>
      <c r="U918" s="97">
        <v>0</v>
      </c>
      <c r="V918" s="97" t="str">
        <f t="shared" ca="1" si="981"/>
        <v>#REF!</v>
      </c>
      <c r="W918" s="97" t="str">
        <f t="shared" ca="1" si="982"/>
        <v>#REF!</v>
      </c>
      <c r="X918" s="98" t="str">
        <f t="shared" ca="1" si="882"/>
        <v>#REF!</v>
      </c>
      <c r="Y918" s="98" t="str">
        <f t="shared" ca="1" si="883"/>
        <v>#REF!</v>
      </c>
      <c r="Z918" s="121">
        <v>0</v>
      </c>
      <c r="AA918" s="121" t="str">
        <f t="shared" ca="1" si="556"/>
        <v>#REF!</v>
      </c>
      <c r="AB918" s="121" t="str">
        <f t="shared" ca="1" si="557"/>
        <v>#REF!</v>
      </c>
      <c r="AC918" s="99" t="str">
        <f t="shared" ca="1" si="8"/>
        <v>#REF!</v>
      </c>
      <c r="AD918" s="121" t="str">
        <f t="shared" ca="1" si="558"/>
        <v>#REF!</v>
      </c>
      <c r="AE918" s="99" t="str">
        <f t="shared" ca="1" si="10"/>
        <v>#REF!</v>
      </c>
      <c r="AF918" s="121" t="str">
        <f t="shared" ca="1" si="559"/>
        <v>#REF!</v>
      </c>
      <c r="AG918" s="100" t="str">
        <f t="shared" ca="1" si="560"/>
        <v>#REF!</v>
      </c>
      <c r="AH918" s="101" t="str">
        <f t="shared" ca="1" si="891"/>
        <v>#REF!</v>
      </c>
      <c r="AI918" s="102" t="str">
        <f t="shared" ref="AI918:AJ918" ca="1" si="1252">AG918/X918</f>
        <v>#REF!</v>
      </c>
      <c r="AJ918" s="102" t="str">
        <f t="shared" ca="1" si="1252"/>
        <v>#REF!</v>
      </c>
      <c r="AK918" s="212"/>
      <c r="AL918" s="213"/>
      <c r="AM918" s="4"/>
      <c r="AN918" s="4"/>
      <c r="AO918" s="4"/>
      <c r="AP918" s="4"/>
      <c r="AQ918" s="4"/>
      <c r="AR918" s="4"/>
      <c r="AS918" s="4"/>
      <c r="AT918" s="4"/>
      <c r="AU918" s="4"/>
      <c r="AV918" s="4"/>
      <c r="AW918" s="4"/>
    </row>
    <row r="919" spans="1:49" ht="13.2">
      <c r="A919" s="120"/>
      <c r="B919" s="266"/>
      <c r="C919" s="117"/>
      <c r="D919" s="117"/>
      <c r="E919" s="117"/>
      <c r="F919" s="123"/>
      <c r="G919" s="125" t="s">
        <v>145</v>
      </c>
      <c r="H919" s="125"/>
      <c r="I919" s="125"/>
      <c r="J919" s="125"/>
      <c r="K919" s="82" t="str">
        <f t="shared" ca="1" si="1125"/>
        <v>#REF!</v>
      </c>
      <c r="L919" s="82" t="str">
        <f t="shared" ca="1" si="1126"/>
        <v>#REF!</v>
      </c>
      <c r="M919" s="82" t="str">
        <f t="shared" ca="1" si="550"/>
        <v>#REF!</v>
      </c>
      <c r="N919" s="93"/>
      <c r="O919" s="93"/>
      <c r="P919" s="95">
        <f t="shared" si="965"/>
        <v>0</v>
      </c>
      <c r="Q919" s="96">
        <f t="shared" si="1204"/>
        <v>0</v>
      </c>
      <c r="R919" s="96">
        <v>0</v>
      </c>
      <c r="S919" s="97">
        <f t="shared" si="553"/>
        <v>0</v>
      </c>
      <c r="T919" s="97" t="str">
        <f ca="1">ROUNDUP(HLOOKUP(ROUNDUP(K919,0),'배송비 조회'!A$10:AE$22,7,0)*C$3,-2)</f>
        <v>#REF!</v>
      </c>
      <c r="U919" s="97">
        <v>0</v>
      </c>
      <c r="V919" s="97" t="str">
        <f t="shared" ca="1" si="981"/>
        <v>#REF!</v>
      </c>
      <c r="W919" s="97" t="str">
        <f t="shared" ca="1" si="982"/>
        <v>#REF!</v>
      </c>
      <c r="X919" s="98" t="str">
        <f t="shared" ca="1" si="882"/>
        <v>#REF!</v>
      </c>
      <c r="Y919" s="98" t="str">
        <f t="shared" ca="1" si="883"/>
        <v>#REF!</v>
      </c>
      <c r="Z919" s="121">
        <v>0</v>
      </c>
      <c r="AA919" s="121" t="str">
        <f t="shared" ca="1" si="556"/>
        <v>#REF!</v>
      </c>
      <c r="AB919" s="121" t="str">
        <f t="shared" ca="1" si="557"/>
        <v>#REF!</v>
      </c>
      <c r="AC919" s="99" t="str">
        <f t="shared" ca="1" si="8"/>
        <v>#REF!</v>
      </c>
      <c r="AD919" s="121" t="str">
        <f t="shared" ca="1" si="558"/>
        <v>#REF!</v>
      </c>
      <c r="AE919" s="99" t="str">
        <f t="shared" ca="1" si="10"/>
        <v>#REF!</v>
      </c>
      <c r="AF919" s="121" t="str">
        <f t="shared" ca="1" si="559"/>
        <v>#REF!</v>
      </c>
      <c r="AG919" s="100" t="str">
        <f t="shared" ca="1" si="560"/>
        <v>#REF!</v>
      </c>
      <c r="AH919" s="101" t="str">
        <f t="shared" ca="1" si="891"/>
        <v>#REF!</v>
      </c>
      <c r="AI919" s="102" t="str">
        <f t="shared" ref="AI919:AJ919" ca="1" si="1253">AG919/X919</f>
        <v>#REF!</v>
      </c>
      <c r="AJ919" s="102" t="str">
        <f t="shared" ca="1" si="1253"/>
        <v>#REF!</v>
      </c>
      <c r="AK919" s="212"/>
      <c r="AL919" s="213"/>
      <c r="AM919" s="4"/>
      <c r="AN919" s="4"/>
      <c r="AO919" s="4"/>
      <c r="AP919" s="4"/>
      <c r="AQ919" s="4"/>
      <c r="AR919" s="4"/>
      <c r="AS919" s="4"/>
      <c r="AT919" s="4"/>
      <c r="AU919" s="4"/>
      <c r="AV919" s="4"/>
      <c r="AW919" s="4"/>
    </row>
    <row r="920" spans="1:49" ht="13.2">
      <c r="A920" s="120"/>
      <c r="B920" s="266"/>
      <c r="C920" s="117"/>
      <c r="D920" s="117"/>
      <c r="E920" s="117"/>
      <c r="F920" s="123"/>
      <c r="G920" s="125" t="s">
        <v>145</v>
      </c>
      <c r="H920" s="125"/>
      <c r="I920" s="125"/>
      <c r="J920" s="125"/>
      <c r="K920" s="82" t="str">
        <f t="shared" ca="1" si="1125"/>
        <v>#REF!</v>
      </c>
      <c r="L920" s="82" t="str">
        <f t="shared" ca="1" si="1126"/>
        <v>#REF!</v>
      </c>
      <c r="M920" s="82" t="str">
        <f t="shared" ca="1" si="550"/>
        <v>#REF!</v>
      </c>
      <c r="N920" s="93"/>
      <c r="O920" s="93"/>
      <c r="P920" s="95">
        <f t="shared" si="965"/>
        <v>0</v>
      </c>
      <c r="Q920" s="96">
        <f t="shared" si="1204"/>
        <v>0</v>
      </c>
      <c r="R920" s="96">
        <v>0</v>
      </c>
      <c r="S920" s="97">
        <f t="shared" si="553"/>
        <v>0</v>
      </c>
      <c r="T920" s="97" t="str">
        <f ca="1">ROUNDUP(HLOOKUP(ROUNDUP(K920,0),'배송비 조회'!A$10:AE$22,7,0)*C$3,-2)</f>
        <v>#REF!</v>
      </c>
      <c r="U920" s="97">
        <v>0</v>
      </c>
      <c r="V920" s="97" t="str">
        <f t="shared" ca="1" si="981"/>
        <v>#REF!</v>
      </c>
      <c r="W920" s="97" t="str">
        <f t="shared" ca="1" si="982"/>
        <v>#REF!</v>
      </c>
      <c r="X920" s="98" t="str">
        <f t="shared" ca="1" si="882"/>
        <v>#REF!</v>
      </c>
      <c r="Y920" s="98" t="str">
        <f t="shared" ca="1" si="883"/>
        <v>#REF!</v>
      </c>
      <c r="Z920" s="121">
        <v>0</v>
      </c>
      <c r="AA920" s="121" t="str">
        <f t="shared" ca="1" si="556"/>
        <v>#REF!</v>
      </c>
      <c r="AB920" s="121" t="str">
        <f t="shared" ca="1" si="557"/>
        <v>#REF!</v>
      </c>
      <c r="AC920" s="99" t="str">
        <f t="shared" ca="1" si="8"/>
        <v>#REF!</v>
      </c>
      <c r="AD920" s="121" t="str">
        <f t="shared" ca="1" si="558"/>
        <v>#REF!</v>
      </c>
      <c r="AE920" s="99" t="str">
        <f t="shared" ca="1" si="10"/>
        <v>#REF!</v>
      </c>
      <c r="AF920" s="121" t="str">
        <f t="shared" ca="1" si="559"/>
        <v>#REF!</v>
      </c>
      <c r="AG920" s="100" t="str">
        <f t="shared" ca="1" si="560"/>
        <v>#REF!</v>
      </c>
      <c r="AH920" s="101" t="str">
        <f t="shared" ca="1" si="891"/>
        <v>#REF!</v>
      </c>
      <c r="AI920" s="102" t="str">
        <f t="shared" ref="AI920:AJ920" ca="1" si="1254">AG920/X920</f>
        <v>#REF!</v>
      </c>
      <c r="AJ920" s="102" t="str">
        <f t="shared" ca="1" si="1254"/>
        <v>#REF!</v>
      </c>
      <c r="AK920" s="212"/>
      <c r="AL920" s="213"/>
      <c r="AM920" s="4"/>
      <c r="AN920" s="4"/>
      <c r="AO920" s="4"/>
      <c r="AP920" s="4"/>
      <c r="AQ920" s="4"/>
      <c r="AR920" s="4"/>
      <c r="AS920" s="4"/>
      <c r="AT920" s="4"/>
      <c r="AU920" s="4"/>
      <c r="AV920" s="4"/>
      <c r="AW920" s="4"/>
    </row>
    <row r="921" spans="1:49" ht="13.2">
      <c r="A921" s="120"/>
      <c r="B921" s="266"/>
      <c r="C921" s="117"/>
      <c r="D921" s="117"/>
      <c r="E921" s="117"/>
      <c r="F921" s="123"/>
      <c r="G921" s="125" t="s">
        <v>145</v>
      </c>
      <c r="H921" s="125"/>
      <c r="I921" s="125"/>
      <c r="J921" s="125"/>
      <c r="K921" s="82" t="str">
        <f t="shared" ca="1" si="1125"/>
        <v>#REF!</v>
      </c>
      <c r="L921" s="82" t="str">
        <f t="shared" ca="1" si="1126"/>
        <v>#REF!</v>
      </c>
      <c r="M921" s="82" t="str">
        <f t="shared" ca="1" si="550"/>
        <v>#REF!</v>
      </c>
      <c r="N921" s="93"/>
      <c r="O921" s="93"/>
      <c r="P921" s="95">
        <f t="shared" si="965"/>
        <v>0</v>
      </c>
      <c r="Q921" s="96">
        <f t="shared" si="1204"/>
        <v>0</v>
      </c>
      <c r="R921" s="96">
        <v>0</v>
      </c>
      <c r="S921" s="97">
        <f t="shared" si="553"/>
        <v>0</v>
      </c>
      <c r="T921" s="97" t="str">
        <f ca="1">ROUNDUP(HLOOKUP(ROUNDUP(K921,0),'배송비 조회'!A$10:AE$22,7,0)*C$3,-2)</f>
        <v>#REF!</v>
      </c>
      <c r="U921" s="97">
        <v>0</v>
      </c>
      <c r="V921" s="97" t="str">
        <f t="shared" ca="1" si="981"/>
        <v>#REF!</v>
      </c>
      <c r="W921" s="97" t="str">
        <f t="shared" ca="1" si="982"/>
        <v>#REF!</v>
      </c>
      <c r="X921" s="98" t="str">
        <f t="shared" ca="1" si="882"/>
        <v>#REF!</v>
      </c>
      <c r="Y921" s="98" t="str">
        <f t="shared" ca="1" si="883"/>
        <v>#REF!</v>
      </c>
      <c r="Z921" s="121">
        <v>0</v>
      </c>
      <c r="AA921" s="121" t="str">
        <f t="shared" ca="1" si="556"/>
        <v>#REF!</v>
      </c>
      <c r="AB921" s="121" t="str">
        <f t="shared" ca="1" si="557"/>
        <v>#REF!</v>
      </c>
      <c r="AC921" s="99" t="str">
        <f t="shared" ca="1" si="8"/>
        <v>#REF!</v>
      </c>
      <c r="AD921" s="121" t="str">
        <f t="shared" ca="1" si="558"/>
        <v>#REF!</v>
      </c>
      <c r="AE921" s="99" t="str">
        <f t="shared" ca="1" si="10"/>
        <v>#REF!</v>
      </c>
      <c r="AF921" s="121" t="str">
        <f t="shared" ca="1" si="559"/>
        <v>#REF!</v>
      </c>
      <c r="AG921" s="100" t="str">
        <f t="shared" ca="1" si="560"/>
        <v>#REF!</v>
      </c>
      <c r="AH921" s="101" t="str">
        <f t="shared" ca="1" si="891"/>
        <v>#REF!</v>
      </c>
      <c r="AI921" s="102" t="str">
        <f t="shared" ref="AI921:AJ921" ca="1" si="1255">AG921/X921</f>
        <v>#REF!</v>
      </c>
      <c r="AJ921" s="102" t="str">
        <f t="shared" ca="1" si="1255"/>
        <v>#REF!</v>
      </c>
      <c r="AK921" s="212"/>
      <c r="AL921" s="213"/>
      <c r="AM921" s="4"/>
      <c r="AN921" s="4"/>
      <c r="AO921" s="4"/>
      <c r="AP921" s="4"/>
      <c r="AQ921" s="4"/>
      <c r="AR921" s="4"/>
      <c r="AS921" s="4"/>
      <c r="AT921" s="4"/>
      <c r="AU921" s="4"/>
      <c r="AV921" s="4"/>
      <c r="AW921" s="4"/>
    </row>
    <row r="922" spans="1:49" ht="13.2">
      <c r="A922" s="120"/>
      <c r="B922" s="266"/>
      <c r="C922" s="117"/>
      <c r="D922" s="117"/>
      <c r="E922" s="117"/>
      <c r="F922" s="123"/>
      <c r="G922" s="125" t="s">
        <v>145</v>
      </c>
      <c r="H922" s="125"/>
      <c r="I922" s="125"/>
      <c r="J922" s="125"/>
      <c r="K922" s="82" t="str">
        <f t="shared" ca="1" si="1125"/>
        <v>#REF!</v>
      </c>
      <c r="L922" s="82" t="str">
        <f t="shared" ca="1" si="1126"/>
        <v>#REF!</v>
      </c>
      <c r="M922" s="82" t="str">
        <f t="shared" ca="1" si="550"/>
        <v>#REF!</v>
      </c>
      <c r="N922" s="93"/>
      <c r="O922" s="93"/>
      <c r="P922" s="95">
        <f t="shared" si="965"/>
        <v>0</v>
      </c>
      <c r="Q922" s="96">
        <f t="shared" si="1204"/>
        <v>0</v>
      </c>
      <c r="R922" s="96">
        <v>0</v>
      </c>
      <c r="S922" s="97">
        <f t="shared" si="553"/>
        <v>0</v>
      </c>
      <c r="T922" s="97" t="str">
        <f ca="1">ROUNDUP(HLOOKUP(ROUNDUP(K922,0),'배송비 조회'!A$10:AE$22,7,0)*C$3,-2)</f>
        <v>#REF!</v>
      </c>
      <c r="U922" s="97">
        <v>0</v>
      </c>
      <c r="V922" s="97" t="str">
        <f t="shared" ca="1" si="981"/>
        <v>#REF!</v>
      </c>
      <c r="W922" s="97" t="str">
        <f t="shared" ca="1" si="982"/>
        <v>#REF!</v>
      </c>
      <c r="X922" s="98" t="str">
        <f t="shared" ca="1" si="882"/>
        <v>#REF!</v>
      </c>
      <c r="Y922" s="98" t="str">
        <f t="shared" ca="1" si="883"/>
        <v>#REF!</v>
      </c>
      <c r="Z922" s="121">
        <v>0</v>
      </c>
      <c r="AA922" s="121" t="str">
        <f t="shared" ca="1" si="556"/>
        <v>#REF!</v>
      </c>
      <c r="AB922" s="121" t="str">
        <f t="shared" ca="1" si="557"/>
        <v>#REF!</v>
      </c>
      <c r="AC922" s="99" t="str">
        <f t="shared" ca="1" si="8"/>
        <v>#REF!</v>
      </c>
      <c r="AD922" s="121" t="str">
        <f t="shared" ca="1" si="558"/>
        <v>#REF!</v>
      </c>
      <c r="AE922" s="99" t="str">
        <f t="shared" ca="1" si="10"/>
        <v>#REF!</v>
      </c>
      <c r="AF922" s="121" t="str">
        <f t="shared" ca="1" si="559"/>
        <v>#REF!</v>
      </c>
      <c r="AG922" s="100" t="str">
        <f t="shared" ca="1" si="560"/>
        <v>#REF!</v>
      </c>
      <c r="AH922" s="101" t="str">
        <f t="shared" ca="1" si="891"/>
        <v>#REF!</v>
      </c>
      <c r="AI922" s="102" t="str">
        <f t="shared" ref="AI922:AJ922" ca="1" si="1256">AG922/X922</f>
        <v>#REF!</v>
      </c>
      <c r="AJ922" s="102" t="str">
        <f t="shared" ca="1" si="1256"/>
        <v>#REF!</v>
      </c>
      <c r="AK922" s="212"/>
      <c r="AL922" s="213"/>
      <c r="AM922" s="4"/>
      <c r="AN922" s="4"/>
      <c r="AO922" s="4"/>
      <c r="AP922" s="4"/>
      <c r="AQ922" s="4"/>
      <c r="AR922" s="4"/>
      <c r="AS922" s="4"/>
      <c r="AT922" s="4"/>
      <c r="AU922" s="4"/>
      <c r="AV922" s="4"/>
      <c r="AW922" s="4"/>
    </row>
    <row r="923" spans="1:49" ht="13.2">
      <c r="A923" s="120"/>
      <c r="B923" s="266"/>
      <c r="C923" s="117"/>
      <c r="D923" s="117"/>
      <c r="E923" s="117"/>
      <c r="F923" s="123"/>
      <c r="G923" s="125" t="s">
        <v>145</v>
      </c>
      <c r="H923" s="125"/>
      <c r="I923" s="125"/>
      <c r="J923" s="125"/>
      <c r="K923" s="82" t="str">
        <f t="shared" ca="1" si="1125"/>
        <v>#REF!</v>
      </c>
      <c r="L923" s="82" t="str">
        <f t="shared" ca="1" si="1126"/>
        <v>#REF!</v>
      </c>
      <c r="M923" s="82" t="str">
        <f t="shared" ca="1" si="550"/>
        <v>#REF!</v>
      </c>
      <c r="N923" s="93"/>
      <c r="O923" s="93"/>
      <c r="P923" s="95">
        <f t="shared" si="965"/>
        <v>0</v>
      </c>
      <c r="Q923" s="96">
        <f t="shared" si="1204"/>
        <v>0</v>
      </c>
      <c r="R923" s="96">
        <v>0</v>
      </c>
      <c r="S923" s="97">
        <f t="shared" si="553"/>
        <v>0</v>
      </c>
      <c r="T923" s="97" t="str">
        <f ca="1">ROUNDUP(HLOOKUP(ROUNDUP(K923,0),'배송비 조회'!A$10:AE$22,7,0)*C$3,-2)</f>
        <v>#REF!</v>
      </c>
      <c r="U923" s="97">
        <v>0</v>
      </c>
      <c r="V923" s="97" t="str">
        <f t="shared" ca="1" si="981"/>
        <v>#REF!</v>
      </c>
      <c r="W923" s="97" t="str">
        <f t="shared" ca="1" si="982"/>
        <v>#REF!</v>
      </c>
      <c r="X923" s="98" t="str">
        <f t="shared" ca="1" si="882"/>
        <v>#REF!</v>
      </c>
      <c r="Y923" s="98" t="str">
        <f t="shared" ca="1" si="883"/>
        <v>#REF!</v>
      </c>
      <c r="Z923" s="121">
        <v>0</v>
      </c>
      <c r="AA923" s="121" t="str">
        <f t="shared" ca="1" si="556"/>
        <v>#REF!</v>
      </c>
      <c r="AB923" s="121" t="str">
        <f t="shared" ca="1" si="557"/>
        <v>#REF!</v>
      </c>
      <c r="AC923" s="99" t="str">
        <f t="shared" ca="1" si="8"/>
        <v>#REF!</v>
      </c>
      <c r="AD923" s="121" t="str">
        <f t="shared" ca="1" si="558"/>
        <v>#REF!</v>
      </c>
      <c r="AE923" s="99" t="str">
        <f t="shared" ca="1" si="10"/>
        <v>#REF!</v>
      </c>
      <c r="AF923" s="121" t="str">
        <f t="shared" ca="1" si="559"/>
        <v>#REF!</v>
      </c>
      <c r="AG923" s="100" t="str">
        <f t="shared" ca="1" si="560"/>
        <v>#REF!</v>
      </c>
      <c r="AH923" s="101" t="str">
        <f t="shared" ca="1" si="891"/>
        <v>#REF!</v>
      </c>
      <c r="AI923" s="102" t="str">
        <f t="shared" ref="AI923:AJ923" ca="1" si="1257">AG923/X923</f>
        <v>#REF!</v>
      </c>
      <c r="AJ923" s="102" t="str">
        <f t="shared" ca="1" si="1257"/>
        <v>#REF!</v>
      </c>
      <c r="AK923" s="212"/>
      <c r="AL923" s="213"/>
      <c r="AM923" s="4"/>
      <c r="AN923" s="4"/>
      <c r="AO923" s="4"/>
      <c r="AP923" s="4"/>
      <c r="AQ923" s="4"/>
      <c r="AR923" s="4"/>
      <c r="AS923" s="4"/>
      <c r="AT923" s="4"/>
      <c r="AU923" s="4"/>
      <c r="AV923" s="4"/>
      <c r="AW923" s="4"/>
    </row>
    <row r="924" spans="1:49" ht="13.2">
      <c r="A924" s="120"/>
      <c r="B924" s="266"/>
      <c r="C924" s="117"/>
      <c r="D924" s="117"/>
      <c r="E924" s="117"/>
      <c r="F924" s="123"/>
      <c r="G924" s="125" t="s">
        <v>145</v>
      </c>
      <c r="H924" s="125"/>
      <c r="I924" s="125"/>
      <c r="J924" s="125"/>
      <c r="K924" s="82" t="str">
        <f t="shared" ca="1" si="1125"/>
        <v>#REF!</v>
      </c>
      <c r="L924" s="82" t="str">
        <f t="shared" ca="1" si="1126"/>
        <v>#REF!</v>
      </c>
      <c r="M924" s="82" t="str">
        <f t="shared" ca="1" si="550"/>
        <v>#REF!</v>
      </c>
      <c r="N924" s="93"/>
      <c r="O924" s="93"/>
      <c r="P924" s="95">
        <f t="shared" si="965"/>
        <v>0</v>
      </c>
      <c r="Q924" s="96">
        <f t="shared" si="1204"/>
        <v>0</v>
      </c>
      <c r="R924" s="96">
        <v>0</v>
      </c>
      <c r="S924" s="97">
        <f t="shared" si="553"/>
        <v>0</v>
      </c>
      <c r="T924" s="97" t="str">
        <f ca="1">ROUNDUP(HLOOKUP(ROUNDUP(K924,0),'배송비 조회'!A$10:AE$22,7,0)*C$3,-2)</f>
        <v>#REF!</v>
      </c>
      <c r="U924" s="97">
        <v>0</v>
      </c>
      <c r="V924" s="97" t="str">
        <f t="shared" ca="1" si="981"/>
        <v>#REF!</v>
      </c>
      <c r="W924" s="97" t="str">
        <f t="shared" ca="1" si="982"/>
        <v>#REF!</v>
      </c>
      <c r="X924" s="98" t="str">
        <f t="shared" ca="1" si="882"/>
        <v>#REF!</v>
      </c>
      <c r="Y924" s="98" t="str">
        <f t="shared" ca="1" si="883"/>
        <v>#REF!</v>
      </c>
      <c r="Z924" s="121">
        <v>0</v>
      </c>
      <c r="AA924" s="121" t="str">
        <f t="shared" ca="1" si="556"/>
        <v>#REF!</v>
      </c>
      <c r="AB924" s="121" t="str">
        <f t="shared" ca="1" si="557"/>
        <v>#REF!</v>
      </c>
      <c r="AC924" s="99" t="str">
        <f t="shared" ca="1" si="8"/>
        <v>#REF!</v>
      </c>
      <c r="AD924" s="121" t="str">
        <f t="shared" ca="1" si="558"/>
        <v>#REF!</v>
      </c>
      <c r="AE924" s="99" t="str">
        <f t="shared" ca="1" si="10"/>
        <v>#REF!</v>
      </c>
      <c r="AF924" s="121" t="str">
        <f t="shared" ca="1" si="559"/>
        <v>#REF!</v>
      </c>
      <c r="AG924" s="100" t="str">
        <f t="shared" ca="1" si="560"/>
        <v>#REF!</v>
      </c>
      <c r="AH924" s="101" t="str">
        <f t="shared" ca="1" si="891"/>
        <v>#REF!</v>
      </c>
      <c r="AI924" s="102" t="str">
        <f t="shared" ref="AI924:AJ924" ca="1" si="1258">AG924/X924</f>
        <v>#REF!</v>
      </c>
      <c r="AJ924" s="102" t="str">
        <f t="shared" ca="1" si="1258"/>
        <v>#REF!</v>
      </c>
      <c r="AK924" s="212"/>
      <c r="AL924" s="213"/>
      <c r="AM924" s="4"/>
      <c r="AN924" s="4"/>
      <c r="AO924" s="4"/>
      <c r="AP924" s="4"/>
      <c r="AQ924" s="4"/>
      <c r="AR924" s="4"/>
      <c r="AS924" s="4"/>
      <c r="AT924" s="4"/>
      <c r="AU924" s="4"/>
      <c r="AV924" s="4"/>
      <c r="AW924" s="4"/>
    </row>
    <row r="925" spans="1:49" ht="13.2">
      <c r="A925" s="120"/>
      <c r="B925" s="266"/>
      <c r="C925" s="117"/>
      <c r="D925" s="117"/>
      <c r="E925" s="117"/>
      <c r="F925" s="123"/>
      <c r="G925" s="125" t="s">
        <v>145</v>
      </c>
      <c r="H925" s="125"/>
      <c r="I925" s="125"/>
      <c r="J925" s="125"/>
      <c r="K925" s="82" t="str">
        <f t="shared" ca="1" si="1125"/>
        <v>#REF!</v>
      </c>
      <c r="L925" s="82" t="str">
        <f t="shared" ca="1" si="1126"/>
        <v>#REF!</v>
      </c>
      <c r="M925" s="82" t="str">
        <f t="shared" ca="1" si="550"/>
        <v>#REF!</v>
      </c>
      <c r="N925" s="93"/>
      <c r="O925" s="93"/>
      <c r="P925" s="95">
        <f t="shared" si="965"/>
        <v>0</v>
      </c>
      <c r="Q925" s="96">
        <f t="shared" si="1204"/>
        <v>0</v>
      </c>
      <c r="R925" s="96">
        <v>0</v>
      </c>
      <c r="S925" s="97">
        <f t="shared" si="553"/>
        <v>0</v>
      </c>
      <c r="T925" s="97" t="str">
        <f ca="1">ROUNDUP(HLOOKUP(ROUNDUP(K925,0),'배송비 조회'!A$10:AE$22,7,0)*C$3,-2)</f>
        <v>#REF!</v>
      </c>
      <c r="U925" s="97">
        <v>0</v>
      </c>
      <c r="V925" s="97" t="str">
        <f t="shared" ca="1" si="981"/>
        <v>#REF!</v>
      </c>
      <c r="W925" s="97" t="str">
        <f t="shared" ca="1" si="982"/>
        <v>#REF!</v>
      </c>
      <c r="X925" s="98" t="str">
        <f t="shared" ca="1" si="882"/>
        <v>#REF!</v>
      </c>
      <c r="Y925" s="98" t="str">
        <f t="shared" ca="1" si="883"/>
        <v>#REF!</v>
      </c>
      <c r="Z925" s="121">
        <v>0</v>
      </c>
      <c r="AA925" s="121" t="str">
        <f t="shared" ca="1" si="556"/>
        <v>#REF!</v>
      </c>
      <c r="AB925" s="121" t="str">
        <f t="shared" ca="1" si="557"/>
        <v>#REF!</v>
      </c>
      <c r="AC925" s="99" t="str">
        <f t="shared" ca="1" si="8"/>
        <v>#REF!</v>
      </c>
      <c r="AD925" s="121" t="str">
        <f t="shared" ca="1" si="558"/>
        <v>#REF!</v>
      </c>
      <c r="AE925" s="99" t="str">
        <f t="shared" ca="1" si="10"/>
        <v>#REF!</v>
      </c>
      <c r="AF925" s="121" t="str">
        <f t="shared" ca="1" si="559"/>
        <v>#REF!</v>
      </c>
      <c r="AG925" s="100" t="str">
        <f t="shared" ca="1" si="560"/>
        <v>#REF!</v>
      </c>
      <c r="AH925" s="101" t="str">
        <f t="shared" ca="1" si="891"/>
        <v>#REF!</v>
      </c>
      <c r="AI925" s="102" t="str">
        <f t="shared" ref="AI925:AJ925" ca="1" si="1259">AG925/X925</f>
        <v>#REF!</v>
      </c>
      <c r="AJ925" s="102" t="str">
        <f t="shared" ca="1" si="1259"/>
        <v>#REF!</v>
      </c>
      <c r="AK925" s="212"/>
      <c r="AL925" s="213"/>
      <c r="AM925" s="4"/>
      <c r="AN925" s="4"/>
      <c r="AO925" s="4"/>
      <c r="AP925" s="4"/>
      <c r="AQ925" s="4"/>
      <c r="AR925" s="4"/>
      <c r="AS925" s="4"/>
      <c r="AT925" s="4"/>
      <c r="AU925" s="4"/>
      <c r="AV925" s="4"/>
      <c r="AW925" s="4"/>
    </row>
    <row r="926" spans="1:49" ht="13.2">
      <c r="A926" s="120"/>
      <c r="B926" s="266"/>
      <c r="C926" s="117"/>
      <c r="D926" s="117"/>
      <c r="E926" s="117"/>
      <c r="F926" s="123"/>
      <c r="G926" s="125" t="s">
        <v>145</v>
      </c>
      <c r="H926" s="125"/>
      <c r="I926" s="125"/>
      <c r="J926" s="125"/>
      <c r="K926" s="82" t="str">
        <f t="shared" ca="1" si="1125"/>
        <v>#REF!</v>
      </c>
      <c r="L926" s="82" t="str">
        <f t="shared" ca="1" si="1126"/>
        <v>#REF!</v>
      </c>
      <c r="M926" s="82" t="str">
        <f t="shared" ca="1" si="550"/>
        <v>#REF!</v>
      </c>
      <c r="N926" s="93"/>
      <c r="O926" s="93"/>
      <c r="P926" s="95">
        <f t="shared" si="965"/>
        <v>0</v>
      </c>
      <c r="Q926" s="96">
        <f t="shared" si="1204"/>
        <v>0</v>
      </c>
      <c r="R926" s="96">
        <v>0</v>
      </c>
      <c r="S926" s="97">
        <f t="shared" si="553"/>
        <v>0</v>
      </c>
      <c r="T926" s="97" t="str">
        <f ca="1">ROUNDUP(HLOOKUP(ROUNDUP(K926,0),'배송비 조회'!A$10:AE$22,7,0)*C$3,-2)</f>
        <v>#REF!</v>
      </c>
      <c r="U926" s="97">
        <v>0</v>
      </c>
      <c r="V926" s="97" t="str">
        <f t="shared" ca="1" si="981"/>
        <v>#REF!</v>
      </c>
      <c r="W926" s="97" t="str">
        <f t="shared" ca="1" si="982"/>
        <v>#REF!</v>
      </c>
      <c r="X926" s="98" t="str">
        <f t="shared" ca="1" si="882"/>
        <v>#REF!</v>
      </c>
      <c r="Y926" s="98" t="str">
        <f t="shared" ca="1" si="883"/>
        <v>#REF!</v>
      </c>
      <c r="Z926" s="121">
        <v>0</v>
      </c>
      <c r="AA926" s="121" t="str">
        <f t="shared" ca="1" si="556"/>
        <v>#REF!</v>
      </c>
      <c r="AB926" s="121" t="str">
        <f t="shared" ca="1" si="557"/>
        <v>#REF!</v>
      </c>
      <c r="AC926" s="99" t="str">
        <f t="shared" ca="1" si="8"/>
        <v>#REF!</v>
      </c>
      <c r="AD926" s="121" t="str">
        <f t="shared" ca="1" si="558"/>
        <v>#REF!</v>
      </c>
      <c r="AE926" s="99" t="str">
        <f t="shared" ca="1" si="10"/>
        <v>#REF!</v>
      </c>
      <c r="AF926" s="121" t="str">
        <f t="shared" ca="1" si="559"/>
        <v>#REF!</v>
      </c>
      <c r="AG926" s="100" t="str">
        <f t="shared" ca="1" si="560"/>
        <v>#REF!</v>
      </c>
      <c r="AH926" s="101" t="str">
        <f t="shared" ca="1" si="891"/>
        <v>#REF!</v>
      </c>
      <c r="AI926" s="102" t="str">
        <f t="shared" ref="AI926:AJ926" ca="1" si="1260">AG926/X926</f>
        <v>#REF!</v>
      </c>
      <c r="AJ926" s="102" t="str">
        <f t="shared" ca="1" si="1260"/>
        <v>#REF!</v>
      </c>
      <c r="AK926" s="212"/>
      <c r="AL926" s="213"/>
      <c r="AM926" s="4"/>
      <c r="AN926" s="4"/>
      <c r="AO926" s="4"/>
      <c r="AP926" s="4"/>
      <c r="AQ926" s="4"/>
      <c r="AR926" s="4"/>
      <c r="AS926" s="4"/>
      <c r="AT926" s="4"/>
      <c r="AU926" s="4"/>
      <c r="AV926" s="4"/>
      <c r="AW926" s="4"/>
    </row>
    <row r="927" spans="1:49" ht="13.2">
      <c r="A927" s="120"/>
      <c r="B927" s="266"/>
      <c r="C927" s="117"/>
      <c r="D927" s="117"/>
      <c r="E927" s="117"/>
      <c r="F927" s="123"/>
      <c r="G927" s="125" t="s">
        <v>145</v>
      </c>
      <c r="H927" s="125"/>
      <c r="I927" s="125"/>
      <c r="J927" s="125"/>
      <c r="K927" s="82" t="str">
        <f t="shared" ca="1" si="1125"/>
        <v>#REF!</v>
      </c>
      <c r="L927" s="82" t="str">
        <f t="shared" ca="1" si="1126"/>
        <v>#REF!</v>
      </c>
      <c r="M927" s="82" t="str">
        <f t="shared" ca="1" si="550"/>
        <v>#REF!</v>
      </c>
      <c r="N927" s="93"/>
      <c r="O927" s="93"/>
      <c r="P927" s="95">
        <f t="shared" si="965"/>
        <v>0</v>
      </c>
      <c r="Q927" s="96">
        <f t="shared" si="1204"/>
        <v>0</v>
      </c>
      <c r="R927" s="96">
        <v>0</v>
      </c>
      <c r="S927" s="97">
        <f t="shared" si="553"/>
        <v>0</v>
      </c>
      <c r="T927" s="97" t="str">
        <f ca="1">ROUNDUP(HLOOKUP(ROUNDUP(K927,0),'배송비 조회'!A$10:AE$22,7,0)*C$3,-2)</f>
        <v>#REF!</v>
      </c>
      <c r="U927" s="97">
        <v>0</v>
      </c>
      <c r="V927" s="97" t="str">
        <f t="shared" ca="1" si="981"/>
        <v>#REF!</v>
      </c>
      <c r="W927" s="97" t="str">
        <f t="shared" ca="1" si="982"/>
        <v>#REF!</v>
      </c>
      <c r="X927" s="98" t="str">
        <f t="shared" ca="1" si="882"/>
        <v>#REF!</v>
      </c>
      <c r="Y927" s="98" t="str">
        <f t="shared" ca="1" si="883"/>
        <v>#REF!</v>
      </c>
      <c r="Z927" s="121">
        <v>0</v>
      </c>
      <c r="AA927" s="121" t="str">
        <f t="shared" ca="1" si="556"/>
        <v>#REF!</v>
      </c>
      <c r="AB927" s="121" t="str">
        <f t="shared" ca="1" si="557"/>
        <v>#REF!</v>
      </c>
      <c r="AC927" s="99" t="str">
        <f t="shared" ca="1" si="8"/>
        <v>#REF!</v>
      </c>
      <c r="AD927" s="121" t="str">
        <f t="shared" ca="1" si="558"/>
        <v>#REF!</v>
      </c>
      <c r="AE927" s="99" t="str">
        <f t="shared" ca="1" si="10"/>
        <v>#REF!</v>
      </c>
      <c r="AF927" s="121" t="str">
        <f t="shared" ca="1" si="559"/>
        <v>#REF!</v>
      </c>
      <c r="AG927" s="100" t="str">
        <f t="shared" ca="1" si="560"/>
        <v>#REF!</v>
      </c>
      <c r="AH927" s="101" t="str">
        <f t="shared" ca="1" si="891"/>
        <v>#REF!</v>
      </c>
      <c r="AI927" s="102" t="str">
        <f t="shared" ref="AI927:AJ927" ca="1" si="1261">AG927/X927</f>
        <v>#REF!</v>
      </c>
      <c r="AJ927" s="102" t="str">
        <f t="shared" ca="1" si="1261"/>
        <v>#REF!</v>
      </c>
      <c r="AK927" s="212"/>
      <c r="AL927" s="213"/>
      <c r="AM927" s="4"/>
      <c r="AN927" s="4"/>
      <c r="AO927" s="4"/>
      <c r="AP927" s="4"/>
      <c r="AQ927" s="4"/>
      <c r="AR927" s="4"/>
      <c r="AS927" s="4"/>
      <c r="AT927" s="4"/>
      <c r="AU927" s="4"/>
      <c r="AV927" s="4"/>
      <c r="AW927" s="4"/>
    </row>
    <row r="928" spans="1:49" ht="13.2">
      <c r="A928" s="120"/>
      <c r="B928" s="266"/>
      <c r="C928" s="117"/>
      <c r="D928" s="117"/>
      <c r="E928" s="117"/>
      <c r="F928" s="123"/>
      <c r="G928" s="125" t="s">
        <v>145</v>
      </c>
      <c r="H928" s="125"/>
      <c r="I928" s="125"/>
      <c r="J928" s="125"/>
      <c r="K928" s="82" t="str">
        <f t="shared" ca="1" si="1125"/>
        <v>#REF!</v>
      </c>
      <c r="L928" s="82" t="str">
        <f t="shared" ca="1" si="1126"/>
        <v>#REF!</v>
      </c>
      <c r="M928" s="82" t="str">
        <f t="shared" ca="1" si="550"/>
        <v>#REF!</v>
      </c>
      <c r="N928" s="93"/>
      <c r="O928" s="93"/>
      <c r="P928" s="95">
        <f t="shared" si="965"/>
        <v>0</v>
      </c>
      <c r="Q928" s="96">
        <f t="shared" si="1204"/>
        <v>0</v>
      </c>
      <c r="R928" s="96">
        <v>0</v>
      </c>
      <c r="S928" s="97">
        <f t="shared" si="553"/>
        <v>0</v>
      </c>
      <c r="T928" s="97" t="str">
        <f ca="1">ROUNDUP(HLOOKUP(ROUNDUP(K928,0),'배송비 조회'!A$10:AE$22,7,0)*C$3,-2)</f>
        <v>#REF!</v>
      </c>
      <c r="U928" s="97">
        <v>0</v>
      </c>
      <c r="V928" s="97" t="str">
        <f t="shared" ca="1" si="981"/>
        <v>#REF!</v>
      </c>
      <c r="W928" s="97" t="str">
        <f t="shared" ca="1" si="982"/>
        <v>#REF!</v>
      </c>
      <c r="X928" s="98" t="str">
        <f t="shared" ca="1" si="882"/>
        <v>#REF!</v>
      </c>
      <c r="Y928" s="98" t="str">
        <f t="shared" ca="1" si="883"/>
        <v>#REF!</v>
      </c>
      <c r="Z928" s="121">
        <v>0</v>
      </c>
      <c r="AA928" s="121" t="str">
        <f t="shared" ca="1" si="556"/>
        <v>#REF!</v>
      </c>
      <c r="AB928" s="121" t="str">
        <f t="shared" ca="1" si="557"/>
        <v>#REF!</v>
      </c>
      <c r="AC928" s="99" t="str">
        <f t="shared" ca="1" si="8"/>
        <v>#REF!</v>
      </c>
      <c r="AD928" s="121" t="str">
        <f t="shared" ca="1" si="558"/>
        <v>#REF!</v>
      </c>
      <c r="AE928" s="99" t="str">
        <f t="shared" ca="1" si="10"/>
        <v>#REF!</v>
      </c>
      <c r="AF928" s="121" t="str">
        <f t="shared" ca="1" si="559"/>
        <v>#REF!</v>
      </c>
      <c r="AG928" s="100" t="str">
        <f t="shared" ca="1" si="560"/>
        <v>#REF!</v>
      </c>
      <c r="AH928" s="101" t="str">
        <f t="shared" ca="1" si="891"/>
        <v>#REF!</v>
      </c>
      <c r="AI928" s="102" t="str">
        <f t="shared" ref="AI928:AJ928" ca="1" si="1262">AG928/X928</f>
        <v>#REF!</v>
      </c>
      <c r="AJ928" s="102" t="str">
        <f t="shared" ca="1" si="1262"/>
        <v>#REF!</v>
      </c>
      <c r="AK928" s="212"/>
      <c r="AL928" s="213"/>
      <c r="AM928" s="4"/>
      <c r="AN928" s="4"/>
      <c r="AO928" s="4"/>
      <c r="AP928" s="4"/>
      <c r="AQ928" s="4"/>
      <c r="AR928" s="4"/>
      <c r="AS928" s="4"/>
      <c r="AT928" s="4"/>
      <c r="AU928" s="4"/>
      <c r="AV928" s="4"/>
      <c r="AW928" s="4"/>
    </row>
    <row r="929" spans="1:49" ht="13.2">
      <c r="A929" s="120"/>
      <c r="B929" s="266"/>
      <c r="C929" s="117"/>
      <c r="D929" s="117"/>
      <c r="E929" s="117"/>
      <c r="F929" s="123"/>
      <c r="G929" s="125" t="s">
        <v>145</v>
      </c>
      <c r="H929" s="125"/>
      <c r="I929" s="125"/>
      <c r="J929" s="125"/>
      <c r="K929" s="82" t="str">
        <f t="shared" ca="1" si="1125"/>
        <v>#REF!</v>
      </c>
      <c r="L929" s="82" t="str">
        <f t="shared" ca="1" si="1126"/>
        <v>#REF!</v>
      </c>
      <c r="M929" s="82" t="str">
        <f t="shared" ca="1" si="550"/>
        <v>#REF!</v>
      </c>
      <c r="N929" s="93"/>
      <c r="O929" s="93"/>
      <c r="P929" s="95">
        <f t="shared" si="965"/>
        <v>0</v>
      </c>
      <c r="Q929" s="96">
        <f t="shared" si="1204"/>
        <v>0</v>
      </c>
      <c r="R929" s="96">
        <v>0</v>
      </c>
      <c r="S929" s="97">
        <f t="shared" si="553"/>
        <v>0</v>
      </c>
      <c r="T929" s="97" t="str">
        <f ca="1">ROUNDUP(HLOOKUP(ROUNDUP(K929,0),'배송비 조회'!A$10:AE$22,7,0)*C$3,-2)</f>
        <v>#REF!</v>
      </c>
      <c r="U929" s="97">
        <v>0</v>
      </c>
      <c r="V929" s="97" t="str">
        <f t="shared" ca="1" si="981"/>
        <v>#REF!</v>
      </c>
      <c r="W929" s="97" t="str">
        <f t="shared" ca="1" si="982"/>
        <v>#REF!</v>
      </c>
      <c r="X929" s="98" t="str">
        <f t="shared" ca="1" si="882"/>
        <v>#REF!</v>
      </c>
      <c r="Y929" s="98" t="str">
        <f t="shared" ca="1" si="883"/>
        <v>#REF!</v>
      </c>
      <c r="Z929" s="121">
        <v>0</v>
      </c>
      <c r="AA929" s="121" t="str">
        <f t="shared" ca="1" si="556"/>
        <v>#REF!</v>
      </c>
      <c r="AB929" s="121" t="str">
        <f t="shared" ca="1" si="557"/>
        <v>#REF!</v>
      </c>
      <c r="AC929" s="99" t="str">
        <f t="shared" ca="1" si="8"/>
        <v>#REF!</v>
      </c>
      <c r="AD929" s="121" t="str">
        <f t="shared" ca="1" si="558"/>
        <v>#REF!</v>
      </c>
      <c r="AE929" s="99" t="str">
        <f t="shared" ca="1" si="10"/>
        <v>#REF!</v>
      </c>
      <c r="AF929" s="121" t="str">
        <f t="shared" ca="1" si="559"/>
        <v>#REF!</v>
      </c>
      <c r="AG929" s="100" t="str">
        <f t="shared" ca="1" si="560"/>
        <v>#REF!</v>
      </c>
      <c r="AH929" s="101" t="str">
        <f t="shared" ca="1" si="891"/>
        <v>#REF!</v>
      </c>
      <c r="AI929" s="102" t="str">
        <f t="shared" ref="AI929:AJ929" ca="1" si="1263">AG929/X929</f>
        <v>#REF!</v>
      </c>
      <c r="AJ929" s="102" t="str">
        <f t="shared" ca="1" si="1263"/>
        <v>#REF!</v>
      </c>
      <c r="AK929" s="212"/>
      <c r="AL929" s="213"/>
      <c r="AM929" s="4"/>
      <c r="AN929" s="4"/>
      <c r="AO929" s="4"/>
      <c r="AP929" s="4"/>
      <c r="AQ929" s="4"/>
      <c r="AR929" s="4"/>
      <c r="AS929" s="4"/>
      <c r="AT929" s="4"/>
      <c r="AU929" s="4"/>
      <c r="AV929" s="4"/>
      <c r="AW929" s="4"/>
    </row>
    <row r="930" spans="1:49" ht="13.2">
      <c r="A930" s="120"/>
      <c r="B930" s="266"/>
      <c r="C930" s="117"/>
      <c r="D930" s="117"/>
      <c r="E930" s="117"/>
      <c r="F930" s="123"/>
      <c r="G930" s="125" t="s">
        <v>145</v>
      </c>
      <c r="H930" s="125"/>
      <c r="I930" s="125"/>
      <c r="J930" s="125"/>
      <c r="K930" s="82" t="str">
        <f t="shared" ca="1" si="1125"/>
        <v>#REF!</v>
      </c>
      <c r="L930" s="82" t="str">
        <f t="shared" ca="1" si="1126"/>
        <v>#REF!</v>
      </c>
      <c r="M930" s="82" t="str">
        <f t="shared" ca="1" si="550"/>
        <v>#REF!</v>
      </c>
      <c r="N930" s="93"/>
      <c r="O930" s="93"/>
      <c r="P930" s="95">
        <f t="shared" si="965"/>
        <v>0</v>
      </c>
      <c r="Q930" s="96">
        <f t="shared" si="1204"/>
        <v>0</v>
      </c>
      <c r="R930" s="96">
        <v>0</v>
      </c>
      <c r="S930" s="97">
        <f t="shared" si="553"/>
        <v>0</v>
      </c>
      <c r="T930" s="97" t="str">
        <f ca="1">ROUNDUP(HLOOKUP(ROUNDUP(K930,0),'배송비 조회'!A$10:AE$22,7,0)*C$3,-2)</f>
        <v>#REF!</v>
      </c>
      <c r="U930" s="97">
        <v>0</v>
      </c>
      <c r="V930" s="97" t="str">
        <f t="shared" ca="1" si="981"/>
        <v>#REF!</v>
      </c>
      <c r="W930" s="97" t="str">
        <f t="shared" ca="1" si="982"/>
        <v>#REF!</v>
      </c>
      <c r="X930" s="98" t="str">
        <f t="shared" ca="1" si="882"/>
        <v>#REF!</v>
      </c>
      <c r="Y930" s="98" t="str">
        <f t="shared" ca="1" si="883"/>
        <v>#REF!</v>
      </c>
      <c r="Z930" s="121">
        <v>0</v>
      </c>
      <c r="AA930" s="121" t="str">
        <f t="shared" ca="1" si="556"/>
        <v>#REF!</v>
      </c>
      <c r="AB930" s="121" t="str">
        <f t="shared" ca="1" si="557"/>
        <v>#REF!</v>
      </c>
      <c r="AC930" s="99" t="str">
        <f t="shared" ca="1" si="8"/>
        <v>#REF!</v>
      </c>
      <c r="AD930" s="121" t="str">
        <f t="shared" ca="1" si="558"/>
        <v>#REF!</v>
      </c>
      <c r="AE930" s="99" t="str">
        <f t="shared" ca="1" si="10"/>
        <v>#REF!</v>
      </c>
      <c r="AF930" s="121" t="str">
        <f t="shared" ca="1" si="559"/>
        <v>#REF!</v>
      </c>
      <c r="AG930" s="100" t="str">
        <f t="shared" ca="1" si="560"/>
        <v>#REF!</v>
      </c>
      <c r="AH930" s="101" t="str">
        <f t="shared" ca="1" si="891"/>
        <v>#REF!</v>
      </c>
      <c r="AI930" s="102" t="str">
        <f t="shared" ref="AI930:AJ930" ca="1" si="1264">AG930/X930</f>
        <v>#REF!</v>
      </c>
      <c r="AJ930" s="102" t="str">
        <f t="shared" ca="1" si="1264"/>
        <v>#REF!</v>
      </c>
      <c r="AK930" s="212"/>
      <c r="AL930" s="213"/>
      <c r="AM930" s="4"/>
      <c r="AN930" s="4"/>
      <c r="AO930" s="4"/>
      <c r="AP930" s="4"/>
      <c r="AQ930" s="4"/>
      <c r="AR930" s="4"/>
      <c r="AS930" s="4"/>
      <c r="AT930" s="4"/>
      <c r="AU930" s="4"/>
      <c r="AV930" s="4"/>
      <c r="AW930" s="4"/>
    </row>
    <row r="931" spans="1:49" ht="13.2">
      <c r="A931" s="120"/>
      <c r="B931" s="266"/>
      <c r="C931" s="117"/>
      <c r="D931" s="117"/>
      <c r="E931" s="117"/>
      <c r="F931" s="123"/>
      <c r="G931" s="125" t="s">
        <v>145</v>
      </c>
      <c r="H931" s="125"/>
      <c r="I931" s="125"/>
      <c r="J931" s="125"/>
      <c r="K931" s="82" t="str">
        <f t="shared" ca="1" si="1125"/>
        <v>#REF!</v>
      </c>
      <c r="L931" s="82" t="str">
        <f t="shared" ca="1" si="1126"/>
        <v>#REF!</v>
      </c>
      <c r="M931" s="82" t="str">
        <f t="shared" ca="1" si="550"/>
        <v>#REF!</v>
      </c>
      <c r="N931" s="93"/>
      <c r="O931" s="93"/>
      <c r="P931" s="95">
        <f t="shared" si="965"/>
        <v>0</v>
      </c>
      <c r="Q931" s="96">
        <f t="shared" si="1204"/>
        <v>0</v>
      </c>
      <c r="R931" s="96">
        <v>0</v>
      </c>
      <c r="S931" s="97">
        <f t="shared" si="553"/>
        <v>0</v>
      </c>
      <c r="T931" s="97" t="str">
        <f ca="1">ROUNDUP(HLOOKUP(ROUNDUP(K931,0),'배송비 조회'!A$10:AE$22,7,0)*C$3,-2)</f>
        <v>#REF!</v>
      </c>
      <c r="U931" s="97">
        <v>0</v>
      </c>
      <c r="V931" s="97" t="str">
        <f t="shared" ca="1" si="981"/>
        <v>#REF!</v>
      </c>
      <c r="W931" s="97" t="str">
        <f t="shared" ca="1" si="982"/>
        <v>#REF!</v>
      </c>
      <c r="X931" s="98" t="str">
        <f t="shared" ca="1" si="882"/>
        <v>#REF!</v>
      </c>
      <c r="Y931" s="98" t="str">
        <f t="shared" ca="1" si="883"/>
        <v>#REF!</v>
      </c>
      <c r="Z931" s="121">
        <v>0</v>
      </c>
      <c r="AA931" s="121" t="str">
        <f t="shared" ca="1" si="556"/>
        <v>#REF!</v>
      </c>
      <c r="AB931" s="121" t="str">
        <f t="shared" ca="1" si="557"/>
        <v>#REF!</v>
      </c>
      <c r="AC931" s="99" t="str">
        <f t="shared" ca="1" si="8"/>
        <v>#REF!</v>
      </c>
      <c r="AD931" s="121" t="str">
        <f t="shared" ca="1" si="558"/>
        <v>#REF!</v>
      </c>
      <c r="AE931" s="99" t="str">
        <f t="shared" ca="1" si="10"/>
        <v>#REF!</v>
      </c>
      <c r="AF931" s="121" t="str">
        <f t="shared" ca="1" si="559"/>
        <v>#REF!</v>
      </c>
      <c r="AG931" s="100" t="str">
        <f t="shared" ca="1" si="560"/>
        <v>#REF!</v>
      </c>
      <c r="AH931" s="101" t="str">
        <f t="shared" ca="1" si="891"/>
        <v>#REF!</v>
      </c>
      <c r="AI931" s="102" t="str">
        <f t="shared" ref="AI931:AJ931" ca="1" si="1265">AG931/X931</f>
        <v>#REF!</v>
      </c>
      <c r="AJ931" s="102" t="str">
        <f t="shared" ca="1" si="1265"/>
        <v>#REF!</v>
      </c>
      <c r="AK931" s="212"/>
      <c r="AL931" s="213"/>
      <c r="AM931" s="4"/>
      <c r="AN931" s="4"/>
      <c r="AO931" s="4"/>
      <c r="AP931" s="4"/>
      <c r="AQ931" s="4"/>
      <c r="AR931" s="4"/>
      <c r="AS931" s="4"/>
      <c r="AT931" s="4"/>
      <c r="AU931" s="4"/>
      <c r="AV931" s="4"/>
      <c r="AW931" s="4"/>
    </row>
    <row r="932" spans="1:49" ht="13.2">
      <c r="A932" s="120"/>
      <c r="B932" s="266"/>
      <c r="C932" s="117"/>
      <c r="D932" s="117"/>
      <c r="E932" s="117"/>
      <c r="F932" s="123"/>
      <c r="G932" s="125" t="s">
        <v>145</v>
      </c>
      <c r="H932" s="125"/>
      <c r="I932" s="125"/>
      <c r="J932" s="125"/>
      <c r="K932" s="82" t="str">
        <f t="shared" ca="1" si="1125"/>
        <v>#REF!</v>
      </c>
      <c r="L932" s="82" t="str">
        <f t="shared" ca="1" si="1126"/>
        <v>#REF!</v>
      </c>
      <c r="M932" s="82" t="str">
        <f t="shared" ca="1" si="550"/>
        <v>#REF!</v>
      </c>
      <c r="N932" s="93"/>
      <c r="O932" s="93"/>
      <c r="P932" s="95">
        <f t="shared" si="965"/>
        <v>0</v>
      </c>
      <c r="Q932" s="96">
        <f t="shared" si="1204"/>
        <v>0</v>
      </c>
      <c r="R932" s="96">
        <v>0</v>
      </c>
      <c r="S932" s="97">
        <f t="shared" si="553"/>
        <v>0</v>
      </c>
      <c r="T932" s="97" t="str">
        <f ca="1">ROUNDUP(HLOOKUP(ROUNDUP(K932,0),'배송비 조회'!A$10:AE$22,7,0)*C$3,-2)</f>
        <v>#REF!</v>
      </c>
      <c r="U932" s="97">
        <v>0</v>
      </c>
      <c r="V932" s="97" t="str">
        <f t="shared" ca="1" si="981"/>
        <v>#REF!</v>
      </c>
      <c r="W932" s="97" t="str">
        <f t="shared" ca="1" si="982"/>
        <v>#REF!</v>
      </c>
      <c r="X932" s="98" t="str">
        <f t="shared" ca="1" si="882"/>
        <v>#REF!</v>
      </c>
      <c r="Y932" s="98" t="str">
        <f t="shared" ca="1" si="883"/>
        <v>#REF!</v>
      </c>
      <c r="Z932" s="121">
        <v>0</v>
      </c>
      <c r="AA932" s="121" t="str">
        <f t="shared" ca="1" si="556"/>
        <v>#REF!</v>
      </c>
      <c r="AB932" s="121" t="str">
        <f t="shared" ca="1" si="557"/>
        <v>#REF!</v>
      </c>
      <c r="AC932" s="99" t="str">
        <f t="shared" ca="1" si="8"/>
        <v>#REF!</v>
      </c>
      <c r="AD932" s="121" t="str">
        <f t="shared" ca="1" si="558"/>
        <v>#REF!</v>
      </c>
      <c r="AE932" s="99" t="str">
        <f t="shared" ca="1" si="10"/>
        <v>#REF!</v>
      </c>
      <c r="AF932" s="121" t="str">
        <f t="shared" ca="1" si="559"/>
        <v>#REF!</v>
      </c>
      <c r="AG932" s="100" t="str">
        <f t="shared" ca="1" si="560"/>
        <v>#REF!</v>
      </c>
      <c r="AH932" s="101" t="str">
        <f t="shared" ca="1" si="891"/>
        <v>#REF!</v>
      </c>
      <c r="AI932" s="102" t="str">
        <f t="shared" ref="AI932:AJ932" ca="1" si="1266">AG932/X932</f>
        <v>#REF!</v>
      </c>
      <c r="AJ932" s="102" t="str">
        <f t="shared" ca="1" si="1266"/>
        <v>#REF!</v>
      </c>
      <c r="AK932" s="212"/>
      <c r="AL932" s="213"/>
      <c r="AM932" s="4"/>
      <c r="AN932" s="4"/>
      <c r="AO932" s="4"/>
      <c r="AP932" s="4"/>
      <c r="AQ932" s="4"/>
      <c r="AR932" s="4"/>
      <c r="AS932" s="4"/>
      <c r="AT932" s="4"/>
      <c r="AU932" s="4"/>
      <c r="AV932" s="4"/>
      <c r="AW932" s="4"/>
    </row>
    <row r="933" spans="1:49" ht="13.2">
      <c r="A933" s="120"/>
      <c r="B933" s="266"/>
      <c r="C933" s="117"/>
      <c r="D933" s="117"/>
      <c r="E933" s="117"/>
      <c r="F933" s="123"/>
      <c r="G933" s="125" t="s">
        <v>145</v>
      </c>
      <c r="H933" s="125"/>
      <c r="I933" s="125"/>
      <c r="J933" s="125"/>
      <c r="K933" s="82" t="str">
        <f t="shared" ca="1" si="1125"/>
        <v>#REF!</v>
      </c>
      <c r="L933" s="82" t="str">
        <f t="shared" ca="1" si="1126"/>
        <v>#REF!</v>
      </c>
      <c r="M933" s="82" t="str">
        <f t="shared" ca="1" si="550"/>
        <v>#REF!</v>
      </c>
      <c r="N933" s="93"/>
      <c r="O933" s="93"/>
      <c r="P933" s="95">
        <f t="shared" si="965"/>
        <v>0</v>
      </c>
      <c r="Q933" s="96">
        <f t="shared" si="1204"/>
        <v>0</v>
      </c>
      <c r="R933" s="96">
        <v>0</v>
      </c>
      <c r="S933" s="97">
        <f t="shared" si="553"/>
        <v>0</v>
      </c>
      <c r="T933" s="97" t="str">
        <f ca="1">ROUNDUP(HLOOKUP(ROUNDUP(K933,0),'배송비 조회'!A$10:AE$22,7,0)*C$3,-2)</f>
        <v>#REF!</v>
      </c>
      <c r="U933" s="97">
        <v>0</v>
      </c>
      <c r="V933" s="97" t="str">
        <f t="shared" ca="1" si="981"/>
        <v>#REF!</v>
      </c>
      <c r="W933" s="97" t="str">
        <f t="shared" ca="1" si="982"/>
        <v>#REF!</v>
      </c>
      <c r="X933" s="98" t="str">
        <f t="shared" ca="1" si="882"/>
        <v>#REF!</v>
      </c>
      <c r="Y933" s="98" t="str">
        <f t="shared" ca="1" si="883"/>
        <v>#REF!</v>
      </c>
      <c r="Z933" s="121">
        <v>0</v>
      </c>
      <c r="AA933" s="121" t="str">
        <f t="shared" ca="1" si="556"/>
        <v>#REF!</v>
      </c>
      <c r="AB933" s="121" t="str">
        <f t="shared" ca="1" si="557"/>
        <v>#REF!</v>
      </c>
      <c r="AC933" s="99" t="str">
        <f t="shared" ca="1" si="8"/>
        <v>#REF!</v>
      </c>
      <c r="AD933" s="121" t="str">
        <f t="shared" ca="1" si="558"/>
        <v>#REF!</v>
      </c>
      <c r="AE933" s="99" t="str">
        <f t="shared" ca="1" si="10"/>
        <v>#REF!</v>
      </c>
      <c r="AF933" s="121" t="str">
        <f t="shared" ca="1" si="559"/>
        <v>#REF!</v>
      </c>
      <c r="AG933" s="100" t="str">
        <f t="shared" ca="1" si="560"/>
        <v>#REF!</v>
      </c>
      <c r="AH933" s="101" t="str">
        <f t="shared" ca="1" si="891"/>
        <v>#REF!</v>
      </c>
      <c r="AI933" s="102" t="str">
        <f t="shared" ref="AI933:AJ933" ca="1" si="1267">AG933/X933</f>
        <v>#REF!</v>
      </c>
      <c r="AJ933" s="102" t="str">
        <f t="shared" ca="1" si="1267"/>
        <v>#REF!</v>
      </c>
      <c r="AK933" s="212"/>
      <c r="AL933" s="213"/>
      <c r="AM933" s="4"/>
      <c r="AN933" s="4"/>
      <c r="AO933" s="4"/>
      <c r="AP933" s="4"/>
      <c r="AQ933" s="4"/>
      <c r="AR933" s="4"/>
      <c r="AS933" s="4"/>
      <c r="AT933" s="4"/>
      <c r="AU933" s="4"/>
      <c r="AV933" s="4"/>
      <c r="AW933" s="4"/>
    </row>
    <row r="934" spans="1:49" ht="13.2">
      <c r="A934" s="120"/>
      <c r="B934" s="266"/>
      <c r="C934" s="117"/>
      <c r="D934" s="117"/>
      <c r="E934" s="117"/>
      <c r="F934" s="123"/>
      <c r="G934" s="125" t="s">
        <v>145</v>
      </c>
      <c r="H934" s="125"/>
      <c r="I934" s="125"/>
      <c r="J934" s="125"/>
      <c r="K934" s="82" t="str">
        <f t="shared" ca="1" si="1125"/>
        <v>#REF!</v>
      </c>
      <c r="L934" s="82" t="str">
        <f t="shared" ca="1" si="1126"/>
        <v>#REF!</v>
      </c>
      <c r="M934" s="82" t="str">
        <f t="shared" ca="1" si="550"/>
        <v>#REF!</v>
      </c>
      <c r="N934" s="93"/>
      <c r="O934" s="93"/>
      <c r="P934" s="95">
        <f t="shared" si="965"/>
        <v>0</v>
      </c>
      <c r="Q934" s="96">
        <f t="shared" si="1204"/>
        <v>0</v>
      </c>
      <c r="R934" s="96">
        <v>0</v>
      </c>
      <c r="S934" s="97">
        <f t="shared" si="553"/>
        <v>0</v>
      </c>
      <c r="T934" s="97" t="str">
        <f ca="1">ROUNDUP(HLOOKUP(ROUNDUP(K934,0),'배송비 조회'!A$10:AE$22,7,0)*C$3,-2)</f>
        <v>#REF!</v>
      </c>
      <c r="U934" s="97">
        <v>0</v>
      </c>
      <c r="V934" s="97" t="str">
        <f t="shared" ca="1" si="981"/>
        <v>#REF!</v>
      </c>
      <c r="W934" s="97" t="str">
        <f t="shared" ca="1" si="982"/>
        <v>#REF!</v>
      </c>
      <c r="X934" s="98" t="str">
        <f t="shared" ca="1" si="882"/>
        <v>#REF!</v>
      </c>
      <c r="Y934" s="98" t="str">
        <f t="shared" ca="1" si="883"/>
        <v>#REF!</v>
      </c>
      <c r="Z934" s="121">
        <v>0</v>
      </c>
      <c r="AA934" s="121" t="str">
        <f t="shared" ca="1" si="556"/>
        <v>#REF!</v>
      </c>
      <c r="AB934" s="121" t="str">
        <f t="shared" ca="1" si="557"/>
        <v>#REF!</v>
      </c>
      <c r="AC934" s="99" t="str">
        <f t="shared" ca="1" si="8"/>
        <v>#REF!</v>
      </c>
      <c r="AD934" s="121" t="str">
        <f t="shared" ca="1" si="558"/>
        <v>#REF!</v>
      </c>
      <c r="AE934" s="99" t="str">
        <f t="shared" ca="1" si="10"/>
        <v>#REF!</v>
      </c>
      <c r="AF934" s="121" t="str">
        <f t="shared" ca="1" si="559"/>
        <v>#REF!</v>
      </c>
      <c r="AG934" s="100" t="str">
        <f t="shared" ca="1" si="560"/>
        <v>#REF!</v>
      </c>
      <c r="AH934" s="101" t="str">
        <f t="shared" ca="1" si="891"/>
        <v>#REF!</v>
      </c>
      <c r="AI934" s="102" t="str">
        <f t="shared" ref="AI934:AJ934" ca="1" si="1268">AG934/X934</f>
        <v>#REF!</v>
      </c>
      <c r="AJ934" s="102" t="str">
        <f t="shared" ca="1" si="1268"/>
        <v>#REF!</v>
      </c>
      <c r="AK934" s="212"/>
      <c r="AL934" s="213"/>
      <c r="AM934" s="4"/>
      <c r="AN934" s="4"/>
      <c r="AO934" s="4"/>
      <c r="AP934" s="4"/>
      <c r="AQ934" s="4"/>
      <c r="AR934" s="4"/>
      <c r="AS934" s="4"/>
      <c r="AT934" s="4"/>
      <c r="AU934" s="4"/>
      <c r="AV934" s="4"/>
      <c r="AW934" s="4"/>
    </row>
    <row r="935" spans="1:49" ht="13.2">
      <c r="A935" s="120"/>
      <c r="B935" s="266"/>
      <c r="C935" s="117"/>
      <c r="D935" s="117"/>
      <c r="E935" s="117"/>
      <c r="F935" s="123"/>
      <c r="G935" s="125" t="s">
        <v>145</v>
      </c>
      <c r="H935" s="125"/>
      <c r="I935" s="125"/>
      <c r="J935" s="125"/>
      <c r="K935" s="82" t="str">
        <f t="shared" ca="1" si="1125"/>
        <v>#REF!</v>
      </c>
      <c r="L935" s="82" t="str">
        <f t="shared" ca="1" si="1126"/>
        <v>#REF!</v>
      </c>
      <c r="M935" s="82" t="str">
        <f t="shared" ca="1" si="550"/>
        <v>#REF!</v>
      </c>
      <c r="N935" s="93"/>
      <c r="O935" s="93"/>
      <c r="P935" s="95">
        <f t="shared" si="965"/>
        <v>0</v>
      </c>
      <c r="Q935" s="96">
        <f t="shared" ref="Q935:Q998" si="1269">P935*C$3</f>
        <v>0</v>
      </c>
      <c r="R935" s="96">
        <v>0</v>
      </c>
      <c r="S935" s="97">
        <f t="shared" si="553"/>
        <v>0</v>
      </c>
      <c r="T935" s="97" t="str">
        <f ca="1">ROUNDUP(HLOOKUP(ROUNDUP(K935,0),'배송비 조회'!A$10:AE$22,7,0)*C$3,-2)</f>
        <v>#REF!</v>
      </c>
      <c r="U935" s="97">
        <v>0</v>
      </c>
      <c r="V935" s="97" t="str">
        <f t="shared" ca="1" si="981"/>
        <v>#REF!</v>
      </c>
      <c r="W935" s="97" t="str">
        <f t="shared" ca="1" si="982"/>
        <v>#REF!</v>
      </c>
      <c r="X935" s="98" t="str">
        <f t="shared" ca="1" si="882"/>
        <v>#REF!</v>
      </c>
      <c r="Y935" s="98" t="str">
        <f t="shared" ca="1" si="883"/>
        <v>#REF!</v>
      </c>
      <c r="Z935" s="121">
        <v>0</v>
      </c>
      <c r="AA935" s="121" t="str">
        <f t="shared" ca="1" si="556"/>
        <v>#REF!</v>
      </c>
      <c r="AB935" s="121" t="str">
        <f t="shared" ca="1" si="557"/>
        <v>#REF!</v>
      </c>
      <c r="AC935" s="99" t="str">
        <f t="shared" ca="1" si="8"/>
        <v>#REF!</v>
      </c>
      <c r="AD935" s="121" t="str">
        <f t="shared" ca="1" si="558"/>
        <v>#REF!</v>
      </c>
      <c r="AE935" s="99" t="str">
        <f t="shared" ca="1" si="10"/>
        <v>#REF!</v>
      </c>
      <c r="AF935" s="121" t="str">
        <f t="shared" ca="1" si="559"/>
        <v>#REF!</v>
      </c>
      <c r="AG935" s="100" t="str">
        <f t="shared" ca="1" si="560"/>
        <v>#REF!</v>
      </c>
      <c r="AH935" s="101" t="str">
        <f t="shared" ca="1" si="891"/>
        <v>#REF!</v>
      </c>
      <c r="AI935" s="102" t="str">
        <f t="shared" ref="AI935:AJ935" ca="1" si="1270">AG935/X935</f>
        <v>#REF!</v>
      </c>
      <c r="AJ935" s="102" t="str">
        <f t="shared" ca="1" si="1270"/>
        <v>#REF!</v>
      </c>
      <c r="AK935" s="212"/>
      <c r="AL935" s="213"/>
      <c r="AM935" s="4"/>
      <c r="AN935" s="4"/>
      <c r="AO935" s="4"/>
      <c r="AP935" s="4"/>
      <c r="AQ935" s="4"/>
      <c r="AR935" s="4"/>
      <c r="AS935" s="4"/>
      <c r="AT935" s="4"/>
      <c r="AU935" s="4"/>
      <c r="AV935" s="4"/>
      <c r="AW935" s="4"/>
    </row>
    <row r="936" spans="1:49" ht="13.2">
      <c r="A936" s="120"/>
      <c r="B936" s="266"/>
      <c r="C936" s="117"/>
      <c r="D936" s="117"/>
      <c r="E936" s="117"/>
      <c r="F936" s="123"/>
      <c r="G936" s="125" t="s">
        <v>145</v>
      </c>
      <c r="H936" s="125"/>
      <c r="I936" s="125"/>
      <c r="J936" s="125"/>
      <c r="K936" s="82" t="str">
        <f t="shared" ca="1" si="1125"/>
        <v>#REF!</v>
      </c>
      <c r="L936" s="82" t="str">
        <f t="shared" ca="1" si="1126"/>
        <v>#REF!</v>
      </c>
      <c r="M936" s="82" t="str">
        <f t="shared" ca="1" si="550"/>
        <v>#REF!</v>
      </c>
      <c r="N936" s="93"/>
      <c r="O936" s="93"/>
      <c r="P936" s="95">
        <f t="shared" si="965"/>
        <v>0</v>
      </c>
      <c r="Q936" s="96">
        <f t="shared" si="1269"/>
        <v>0</v>
      </c>
      <c r="R936" s="96">
        <v>0</v>
      </c>
      <c r="S936" s="97">
        <f t="shared" si="553"/>
        <v>0</v>
      </c>
      <c r="T936" s="97" t="str">
        <f ca="1">ROUNDUP(HLOOKUP(ROUNDUP(K936,0),'배송비 조회'!A$10:AE$22,7,0)*C$3,-2)</f>
        <v>#REF!</v>
      </c>
      <c r="U936" s="97">
        <v>0</v>
      </c>
      <c r="V936" s="97" t="str">
        <f t="shared" ca="1" si="981"/>
        <v>#REF!</v>
      </c>
      <c r="W936" s="97" t="str">
        <f t="shared" ca="1" si="982"/>
        <v>#REF!</v>
      </c>
      <c r="X936" s="98" t="str">
        <f t="shared" ca="1" si="882"/>
        <v>#REF!</v>
      </c>
      <c r="Y936" s="98" t="str">
        <f t="shared" ca="1" si="883"/>
        <v>#REF!</v>
      </c>
      <c r="Z936" s="121">
        <v>0</v>
      </c>
      <c r="AA936" s="121" t="str">
        <f t="shared" ca="1" si="556"/>
        <v>#REF!</v>
      </c>
      <c r="AB936" s="121" t="str">
        <f t="shared" ca="1" si="557"/>
        <v>#REF!</v>
      </c>
      <c r="AC936" s="99" t="str">
        <f t="shared" ca="1" si="8"/>
        <v>#REF!</v>
      </c>
      <c r="AD936" s="121" t="str">
        <f t="shared" ca="1" si="558"/>
        <v>#REF!</v>
      </c>
      <c r="AE936" s="99" t="str">
        <f t="shared" ca="1" si="10"/>
        <v>#REF!</v>
      </c>
      <c r="AF936" s="121" t="str">
        <f t="shared" ca="1" si="559"/>
        <v>#REF!</v>
      </c>
      <c r="AG936" s="100" t="str">
        <f t="shared" ca="1" si="560"/>
        <v>#REF!</v>
      </c>
      <c r="AH936" s="101" t="str">
        <f t="shared" ca="1" si="891"/>
        <v>#REF!</v>
      </c>
      <c r="AI936" s="102" t="str">
        <f t="shared" ref="AI936:AJ936" ca="1" si="1271">AG936/X936</f>
        <v>#REF!</v>
      </c>
      <c r="AJ936" s="102" t="str">
        <f t="shared" ca="1" si="1271"/>
        <v>#REF!</v>
      </c>
      <c r="AK936" s="212"/>
      <c r="AL936" s="213"/>
      <c r="AM936" s="4"/>
      <c r="AN936" s="4"/>
      <c r="AO936" s="4"/>
      <c r="AP936" s="4"/>
      <c r="AQ936" s="4"/>
      <c r="AR936" s="4"/>
      <c r="AS936" s="4"/>
      <c r="AT936" s="4"/>
      <c r="AU936" s="4"/>
      <c r="AV936" s="4"/>
      <c r="AW936" s="4"/>
    </row>
    <row r="937" spans="1:49" ht="13.2">
      <c r="A937" s="120"/>
      <c r="B937" s="266"/>
      <c r="C937" s="117"/>
      <c r="D937" s="117"/>
      <c r="E937" s="117"/>
      <c r="F937" s="123"/>
      <c r="G937" s="125" t="s">
        <v>145</v>
      </c>
      <c r="H937" s="125"/>
      <c r="I937" s="125"/>
      <c r="J937" s="125"/>
      <c r="K937" s="82" t="str">
        <f t="shared" ca="1" si="1125"/>
        <v>#REF!</v>
      </c>
      <c r="L937" s="82" t="str">
        <f t="shared" ca="1" si="1126"/>
        <v>#REF!</v>
      </c>
      <c r="M937" s="82" t="str">
        <f t="shared" ca="1" si="550"/>
        <v>#REF!</v>
      </c>
      <c r="N937" s="93"/>
      <c r="O937" s="93"/>
      <c r="P937" s="95">
        <f t="shared" si="965"/>
        <v>0</v>
      </c>
      <c r="Q937" s="96">
        <f t="shared" si="1269"/>
        <v>0</v>
      </c>
      <c r="R937" s="96">
        <v>0</v>
      </c>
      <c r="S937" s="97">
        <f t="shared" si="553"/>
        <v>0</v>
      </c>
      <c r="T937" s="97" t="str">
        <f ca="1">ROUNDUP(HLOOKUP(ROUNDUP(K937,0),'배송비 조회'!A$10:AE$22,7,0)*C$3,-2)</f>
        <v>#REF!</v>
      </c>
      <c r="U937" s="97">
        <v>0</v>
      </c>
      <c r="V937" s="97" t="str">
        <f t="shared" ca="1" si="981"/>
        <v>#REF!</v>
      </c>
      <c r="W937" s="97" t="str">
        <f t="shared" ca="1" si="982"/>
        <v>#REF!</v>
      </c>
      <c r="X937" s="98" t="str">
        <f t="shared" ca="1" si="882"/>
        <v>#REF!</v>
      </c>
      <c r="Y937" s="98" t="str">
        <f t="shared" ca="1" si="883"/>
        <v>#REF!</v>
      </c>
      <c r="Z937" s="121">
        <v>0</v>
      </c>
      <c r="AA937" s="121" t="str">
        <f t="shared" ca="1" si="556"/>
        <v>#REF!</v>
      </c>
      <c r="AB937" s="121" t="str">
        <f t="shared" ca="1" si="557"/>
        <v>#REF!</v>
      </c>
      <c r="AC937" s="99" t="str">
        <f t="shared" ca="1" si="8"/>
        <v>#REF!</v>
      </c>
      <c r="AD937" s="121" t="str">
        <f t="shared" ca="1" si="558"/>
        <v>#REF!</v>
      </c>
      <c r="AE937" s="99" t="str">
        <f t="shared" ca="1" si="10"/>
        <v>#REF!</v>
      </c>
      <c r="AF937" s="121" t="str">
        <f t="shared" ca="1" si="559"/>
        <v>#REF!</v>
      </c>
      <c r="AG937" s="100" t="str">
        <f t="shared" ca="1" si="560"/>
        <v>#REF!</v>
      </c>
      <c r="AH937" s="101" t="str">
        <f t="shared" ca="1" si="891"/>
        <v>#REF!</v>
      </c>
      <c r="AI937" s="102" t="str">
        <f t="shared" ref="AI937:AJ937" ca="1" si="1272">AG937/X937</f>
        <v>#REF!</v>
      </c>
      <c r="AJ937" s="102" t="str">
        <f t="shared" ca="1" si="1272"/>
        <v>#REF!</v>
      </c>
      <c r="AK937" s="212"/>
      <c r="AL937" s="213"/>
      <c r="AM937" s="4"/>
      <c r="AN937" s="4"/>
      <c r="AO937" s="4"/>
      <c r="AP937" s="4"/>
      <c r="AQ937" s="4"/>
      <c r="AR937" s="4"/>
      <c r="AS937" s="4"/>
      <c r="AT937" s="4"/>
      <c r="AU937" s="4"/>
      <c r="AV937" s="4"/>
      <c r="AW937" s="4"/>
    </row>
    <row r="938" spans="1:49" ht="13.2">
      <c r="A938" s="120"/>
      <c r="B938" s="266"/>
      <c r="C938" s="117"/>
      <c r="D938" s="117"/>
      <c r="E938" s="117"/>
      <c r="F938" s="123"/>
      <c r="G938" s="125" t="s">
        <v>145</v>
      </c>
      <c r="H938" s="125"/>
      <c r="I938" s="125"/>
      <c r="J938" s="125"/>
      <c r="K938" s="82" t="str">
        <f t="shared" ca="1" si="1125"/>
        <v>#REF!</v>
      </c>
      <c r="L938" s="82" t="str">
        <f t="shared" ca="1" si="1126"/>
        <v>#REF!</v>
      </c>
      <c r="M938" s="82" t="str">
        <f t="shared" ca="1" si="550"/>
        <v>#REF!</v>
      </c>
      <c r="N938" s="93"/>
      <c r="O938" s="93"/>
      <c r="P938" s="95">
        <f t="shared" si="965"/>
        <v>0</v>
      </c>
      <c r="Q938" s="96">
        <f t="shared" si="1269"/>
        <v>0</v>
      </c>
      <c r="R938" s="96">
        <v>0</v>
      </c>
      <c r="S938" s="97">
        <f t="shared" si="553"/>
        <v>0</v>
      </c>
      <c r="T938" s="97" t="str">
        <f ca="1">ROUNDUP(HLOOKUP(ROUNDUP(K938,0),'배송비 조회'!A$10:AE$22,7,0)*C$3,-2)</f>
        <v>#REF!</v>
      </c>
      <c r="U938" s="97">
        <v>0</v>
      </c>
      <c r="V938" s="97" t="str">
        <f t="shared" ca="1" si="981"/>
        <v>#REF!</v>
      </c>
      <c r="W938" s="97" t="str">
        <f t="shared" ca="1" si="982"/>
        <v>#REF!</v>
      </c>
      <c r="X938" s="98" t="str">
        <f t="shared" ca="1" si="882"/>
        <v>#REF!</v>
      </c>
      <c r="Y938" s="98" t="str">
        <f t="shared" ca="1" si="883"/>
        <v>#REF!</v>
      </c>
      <c r="Z938" s="121">
        <v>0</v>
      </c>
      <c r="AA938" s="121" t="str">
        <f t="shared" ca="1" si="556"/>
        <v>#REF!</v>
      </c>
      <c r="AB938" s="121" t="str">
        <f t="shared" ca="1" si="557"/>
        <v>#REF!</v>
      </c>
      <c r="AC938" s="99" t="str">
        <f t="shared" ca="1" si="8"/>
        <v>#REF!</v>
      </c>
      <c r="AD938" s="121" t="str">
        <f t="shared" ca="1" si="558"/>
        <v>#REF!</v>
      </c>
      <c r="AE938" s="99" t="str">
        <f t="shared" ca="1" si="10"/>
        <v>#REF!</v>
      </c>
      <c r="AF938" s="121" t="str">
        <f t="shared" ca="1" si="559"/>
        <v>#REF!</v>
      </c>
      <c r="AG938" s="100" t="str">
        <f t="shared" ca="1" si="560"/>
        <v>#REF!</v>
      </c>
      <c r="AH938" s="101" t="str">
        <f t="shared" ca="1" si="891"/>
        <v>#REF!</v>
      </c>
      <c r="AI938" s="102" t="str">
        <f t="shared" ref="AI938:AJ938" ca="1" si="1273">AG938/X938</f>
        <v>#REF!</v>
      </c>
      <c r="AJ938" s="102" t="str">
        <f t="shared" ca="1" si="1273"/>
        <v>#REF!</v>
      </c>
      <c r="AK938" s="212"/>
      <c r="AL938" s="213"/>
      <c r="AM938" s="4"/>
      <c r="AN938" s="4"/>
      <c r="AO938" s="4"/>
      <c r="AP938" s="4"/>
      <c r="AQ938" s="4"/>
      <c r="AR938" s="4"/>
      <c r="AS938" s="4"/>
      <c r="AT938" s="4"/>
      <c r="AU938" s="4"/>
      <c r="AV938" s="4"/>
      <c r="AW938" s="4"/>
    </row>
    <row r="939" spans="1:49" ht="13.2">
      <c r="A939" s="120"/>
      <c r="B939" s="266"/>
      <c r="C939" s="117"/>
      <c r="D939" s="117"/>
      <c r="E939" s="117"/>
      <c r="F939" s="123"/>
      <c r="G939" s="125" t="s">
        <v>145</v>
      </c>
      <c r="H939" s="125"/>
      <c r="I939" s="125"/>
      <c r="J939" s="125"/>
      <c r="K939" s="82" t="str">
        <f t="shared" ca="1" si="1125"/>
        <v>#REF!</v>
      </c>
      <c r="L939" s="82" t="str">
        <f t="shared" ca="1" si="1126"/>
        <v>#REF!</v>
      </c>
      <c r="M939" s="82" t="str">
        <f t="shared" ca="1" si="550"/>
        <v>#REF!</v>
      </c>
      <c r="N939" s="93"/>
      <c r="O939" s="93"/>
      <c r="P939" s="95">
        <f t="shared" si="965"/>
        <v>0</v>
      </c>
      <c r="Q939" s="96">
        <f t="shared" si="1269"/>
        <v>0</v>
      </c>
      <c r="R939" s="96">
        <v>0</v>
      </c>
      <c r="S939" s="97">
        <f t="shared" si="553"/>
        <v>0</v>
      </c>
      <c r="T939" s="97" t="str">
        <f ca="1">ROUNDUP(HLOOKUP(ROUNDUP(K939,0),'배송비 조회'!A$10:AE$22,7,0)*C$3,-2)</f>
        <v>#REF!</v>
      </c>
      <c r="U939" s="97">
        <v>0</v>
      </c>
      <c r="V939" s="97" t="str">
        <f t="shared" ca="1" si="981"/>
        <v>#REF!</v>
      </c>
      <c r="W939" s="97" t="str">
        <f t="shared" ca="1" si="982"/>
        <v>#REF!</v>
      </c>
      <c r="X939" s="98" t="str">
        <f t="shared" ca="1" si="882"/>
        <v>#REF!</v>
      </c>
      <c r="Y939" s="98" t="str">
        <f t="shared" ca="1" si="883"/>
        <v>#REF!</v>
      </c>
      <c r="Z939" s="121">
        <v>0</v>
      </c>
      <c r="AA939" s="121" t="str">
        <f t="shared" ca="1" si="556"/>
        <v>#REF!</v>
      </c>
      <c r="AB939" s="121" t="str">
        <f t="shared" ca="1" si="557"/>
        <v>#REF!</v>
      </c>
      <c r="AC939" s="99" t="str">
        <f t="shared" ca="1" si="8"/>
        <v>#REF!</v>
      </c>
      <c r="AD939" s="121" t="str">
        <f t="shared" ca="1" si="558"/>
        <v>#REF!</v>
      </c>
      <c r="AE939" s="99" t="str">
        <f t="shared" ca="1" si="10"/>
        <v>#REF!</v>
      </c>
      <c r="AF939" s="121" t="str">
        <f t="shared" ca="1" si="559"/>
        <v>#REF!</v>
      </c>
      <c r="AG939" s="100" t="str">
        <f t="shared" ca="1" si="560"/>
        <v>#REF!</v>
      </c>
      <c r="AH939" s="101" t="str">
        <f t="shared" ca="1" si="891"/>
        <v>#REF!</v>
      </c>
      <c r="AI939" s="102" t="str">
        <f t="shared" ref="AI939:AJ939" ca="1" si="1274">AG939/X939</f>
        <v>#REF!</v>
      </c>
      <c r="AJ939" s="102" t="str">
        <f t="shared" ca="1" si="1274"/>
        <v>#REF!</v>
      </c>
      <c r="AK939" s="212"/>
      <c r="AL939" s="213"/>
      <c r="AM939" s="4"/>
      <c r="AN939" s="4"/>
      <c r="AO939" s="4"/>
      <c r="AP939" s="4"/>
      <c r="AQ939" s="4"/>
      <c r="AR939" s="4"/>
      <c r="AS939" s="4"/>
      <c r="AT939" s="4"/>
      <c r="AU939" s="4"/>
      <c r="AV939" s="4"/>
      <c r="AW939" s="4"/>
    </row>
    <row r="940" spans="1:49" ht="13.2">
      <c r="A940" s="120"/>
      <c r="B940" s="266"/>
      <c r="C940" s="117"/>
      <c r="D940" s="117"/>
      <c r="E940" s="117"/>
      <c r="F940" s="123"/>
      <c r="G940" s="125" t="s">
        <v>145</v>
      </c>
      <c r="H940" s="125"/>
      <c r="I940" s="125"/>
      <c r="J940" s="125"/>
      <c r="K940" s="82" t="str">
        <f t="shared" ca="1" si="1125"/>
        <v>#REF!</v>
      </c>
      <c r="L940" s="82" t="str">
        <f t="shared" ca="1" si="1126"/>
        <v>#REF!</v>
      </c>
      <c r="M940" s="82" t="str">
        <f t="shared" ca="1" si="550"/>
        <v>#REF!</v>
      </c>
      <c r="N940" s="93"/>
      <c r="O940" s="93"/>
      <c r="P940" s="95">
        <f t="shared" si="965"/>
        <v>0</v>
      </c>
      <c r="Q940" s="96">
        <f t="shared" si="1269"/>
        <v>0</v>
      </c>
      <c r="R940" s="96">
        <v>0</v>
      </c>
      <c r="S940" s="97">
        <f t="shared" si="553"/>
        <v>0</v>
      </c>
      <c r="T940" s="97" t="str">
        <f ca="1">ROUNDUP(HLOOKUP(ROUNDUP(K940,0),'배송비 조회'!A$10:AE$22,7,0)*C$3,-2)</f>
        <v>#REF!</v>
      </c>
      <c r="U940" s="97">
        <v>0</v>
      </c>
      <c r="V940" s="97" t="str">
        <f t="shared" ca="1" si="981"/>
        <v>#REF!</v>
      </c>
      <c r="W940" s="97" t="str">
        <f t="shared" ca="1" si="982"/>
        <v>#REF!</v>
      </c>
      <c r="X940" s="98" t="str">
        <f t="shared" ca="1" si="882"/>
        <v>#REF!</v>
      </c>
      <c r="Y940" s="98" t="str">
        <f t="shared" ca="1" si="883"/>
        <v>#REF!</v>
      </c>
      <c r="Z940" s="121">
        <v>0</v>
      </c>
      <c r="AA940" s="121" t="str">
        <f t="shared" ca="1" si="556"/>
        <v>#REF!</v>
      </c>
      <c r="AB940" s="121" t="str">
        <f t="shared" ca="1" si="557"/>
        <v>#REF!</v>
      </c>
      <c r="AC940" s="99" t="str">
        <f t="shared" ca="1" si="8"/>
        <v>#REF!</v>
      </c>
      <c r="AD940" s="121" t="str">
        <f t="shared" ca="1" si="558"/>
        <v>#REF!</v>
      </c>
      <c r="AE940" s="99" t="str">
        <f t="shared" ca="1" si="10"/>
        <v>#REF!</v>
      </c>
      <c r="AF940" s="121" t="str">
        <f t="shared" ca="1" si="559"/>
        <v>#REF!</v>
      </c>
      <c r="AG940" s="100" t="str">
        <f t="shared" ca="1" si="560"/>
        <v>#REF!</v>
      </c>
      <c r="AH940" s="101" t="str">
        <f t="shared" ca="1" si="891"/>
        <v>#REF!</v>
      </c>
      <c r="AI940" s="102" t="str">
        <f t="shared" ref="AI940:AJ940" ca="1" si="1275">AG940/X940</f>
        <v>#REF!</v>
      </c>
      <c r="AJ940" s="102" t="str">
        <f t="shared" ca="1" si="1275"/>
        <v>#REF!</v>
      </c>
      <c r="AK940" s="212"/>
      <c r="AL940" s="213"/>
      <c r="AM940" s="4"/>
      <c r="AN940" s="4"/>
      <c r="AO940" s="4"/>
      <c r="AP940" s="4"/>
      <c r="AQ940" s="4"/>
      <c r="AR940" s="4"/>
      <c r="AS940" s="4"/>
      <c r="AT940" s="4"/>
      <c r="AU940" s="4"/>
      <c r="AV940" s="4"/>
      <c r="AW940" s="4"/>
    </row>
    <row r="941" spans="1:49" ht="13.2">
      <c r="A941" s="120"/>
      <c r="B941" s="266"/>
      <c r="C941" s="117"/>
      <c r="D941" s="117"/>
      <c r="E941" s="117"/>
      <c r="F941" s="123"/>
      <c r="G941" s="125" t="s">
        <v>145</v>
      </c>
      <c r="H941" s="125"/>
      <c r="I941" s="125"/>
      <c r="J941" s="125"/>
      <c r="K941" s="82" t="str">
        <f t="shared" ca="1" si="1125"/>
        <v>#REF!</v>
      </c>
      <c r="L941" s="82" t="str">
        <f t="shared" ca="1" si="1126"/>
        <v>#REF!</v>
      </c>
      <c r="M941" s="82" t="str">
        <f t="shared" ca="1" si="550"/>
        <v>#REF!</v>
      </c>
      <c r="N941" s="93"/>
      <c r="O941" s="93"/>
      <c r="P941" s="95">
        <f t="shared" si="965"/>
        <v>0</v>
      </c>
      <c r="Q941" s="96">
        <f t="shared" si="1269"/>
        <v>0</v>
      </c>
      <c r="R941" s="96">
        <v>0</v>
      </c>
      <c r="S941" s="97">
        <f t="shared" si="553"/>
        <v>0</v>
      </c>
      <c r="T941" s="97" t="str">
        <f ca="1">ROUNDUP(HLOOKUP(ROUNDUP(K941,0),'배송비 조회'!A$10:AE$22,7,0)*C$3,-2)</f>
        <v>#REF!</v>
      </c>
      <c r="U941" s="97">
        <v>0</v>
      </c>
      <c r="V941" s="97" t="str">
        <f t="shared" ca="1" si="981"/>
        <v>#REF!</v>
      </c>
      <c r="W941" s="97" t="str">
        <f t="shared" ca="1" si="982"/>
        <v>#REF!</v>
      </c>
      <c r="X941" s="98" t="str">
        <f t="shared" ca="1" si="882"/>
        <v>#REF!</v>
      </c>
      <c r="Y941" s="98" t="str">
        <f t="shared" ca="1" si="883"/>
        <v>#REF!</v>
      </c>
      <c r="Z941" s="121">
        <v>0</v>
      </c>
      <c r="AA941" s="121" t="str">
        <f t="shared" ca="1" si="556"/>
        <v>#REF!</v>
      </c>
      <c r="AB941" s="121" t="str">
        <f t="shared" ca="1" si="557"/>
        <v>#REF!</v>
      </c>
      <c r="AC941" s="99" t="str">
        <f t="shared" ca="1" si="8"/>
        <v>#REF!</v>
      </c>
      <c r="AD941" s="121" t="str">
        <f t="shared" ca="1" si="558"/>
        <v>#REF!</v>
      </c>
      <c r="AE941" s="99" t="str">
        <f t="shared" ca="1" si="10"/>
        <v>#REF!</v>
      </c>
      <c r="AF941" s="121" t="str">
        <f t="shared" ca="1" si="559"/>
        <v>#REF!</v>
      </c>
      <c r="AG941" s="100" t="str">
        <f t="shared" ca="1" si="560"/>
        <v>#REF!</v>
      </c>
      <c r="AH941" s="101" t="str">
        <f t="shared" ca="1" si="891"/>
        <v>#REF!</v>
      </c>
      <c r="AI941" s="102" t="str">
        <f t="shared" ref="AI941:AJ941" ca="1" si="1276">AG941/X941</f>
        <v>#REF!</v>
      </c>
      <c r="AJ941" s="102" t="str">
        <f t="shared" ca="1" si="1276"/>
        <v>#REF!</v>
      </c>
      <c r="AK941" s="212"/>
      <c r="AL941" s="213"/>
      <c r="AM941" s="4"/>
      <c r="AN941" s="4"/>
      <c r="AO941" s="4"/>
      <c r="AP941" s="4"/>
      <c r="AQ941" s="4"/>
      <c r="AR941" s="4"/>
      <c r="AS941" s="4"/>
      <c r="AT941" s="4"/>
      <c r="AU941" s="4"/>
      <c r="AV941" s="4"/>
      <c r="AW941" s="4"/>
    </row>
    <row r="942" spans="1:49" ht="13.2">
      <c r="A942" s="120"/>
      <c r="B942" s="266"/>
      <c r="C942" s="117"/>
      <c r="D942" s="117"/>
      <c r="E942" s="117"/>
      <c r="F942" s="123"/>
      <c r="G942" s="125" t="s">
        <v>145</v>
      </c>
      <c r="H942" s="125"/>
      <c r="I942" s="125"/>
      <c r="J942" s="125"/>
      <c r="K942" s="82" t="str">
        <f t="shared" ca="1" si="1125"/>
        <v>#REF!</v>
      </c>
      <c r="L942" s="82" t="str">
        <f t="shared" ca="1" si="1126"/>
        <v>#REF!</v>
      </c>
      <c r="M942" s="82" t="str">
        <f t="shared" ca="1" si="550"/>
        <v>#REF!</v>
      </c>
      <c r="N942" s="93"/>
      <c r="O942" s="93"/>
      <c r="P942" s="95">
        <f t="shared" si="965"/>
        <v>0</v>
      </c>
      <c r="Q942" s="96">
        <f t="shared" si="1269"/>
        <v>0</v>
      </c>
      <c r="R942" s="96">
        <v>0</v>
      </c>
      <c r="S942" s="97">
        <f t="shared" si="553"/>
        <v>0</v>
      </c>
      <c r="T942" s="97" t="str">
        <f ca="1">ROUNDUP(HLOOKUP(ROUNDUP(K942,0),'배송비 조회'!A$10:AE$22,7,0)*C$3,-2)</f>
        <v>#REF!</v>
      </c>
      <c r="U942" s="97">
        <v>0</v>
      </c>
      <c r="V942" s="97" t="str">
        <f t="shared" ca="1" si="981"/>
        <v>#REF!</v>
      </c>
      <c r="W942" s="97" t="str">
        <f t="shared" ca="1" si="982"/>
        <v>#REF!</v>
      </c>
      <c r="X942" s="98" t="str">
        <f t="shared" ca="1" si="882"/>
        <v>#REF!</v>
      </c>
      <c r="Y942" s="98" t="str">
        <f t="shared" ca="1" si="883"/>
        <v>#REF!</v>
      </c>
      <c r="Z942" s="121">
        <v>0</v>
      </c>
      <c r="AA942" s="121" t="str">
        <f t="shared" ca="1" si="556"/>
        <v>#REF!</v>
      </c>
      <c r="AB942" s="121" t="str">
        <f t="shared" ca="1" si="557"/>
        <v>#REF!</v>
      </c>
      <c r="AC942" s="99" t="str">
        <f t="shared" ca="1" si="8"/>
        <v>#REF!</v>
      </c>
      <c r="AD942" s="121" t="str">
        <f t="shared" ca="1" si="558"/>
        <v>#REF!</v>
      </c>
      <c r="AE942" s="99" t="str">
        <f t="shared" ca="1" si="10"/>
        <v>#REF!</v>
      </c>
      <c r="AF942" s="121" t="str">
        <f t="shared" ca="1" si="559"/>
        <v>#REF!</v>
      </c>
      <c r="AG942" s="100" t="str">
        <f t="shared" ca="1" si="560"/>
        <v>#REF!</v>
      </c>
      <c r="AH942" s="101" t="str">
        <f t="shared" ca="1" si="891"/>
        <v>#REF!</v>
      </c>
      <c r="AI942" s="102" t="str">
        <f t="shared" ref="AI942:AJ942" ca="1" si="1277">AG942/X942</f>
        <v>#REF!</v>
      </c>
      <c r="AJ942" s="102" t="str">
        <f t="shared" ca="1" si="1277"/>
        <v>#REF!</v>
      </c>
      <c r="AK942" s="212"/>
      <c r="AL942" s="213"/>
      <c r="AM942" s="4"/>
      <c r="AN942" s="4"/>
      <c r="AO942" s="4"/>
      <c r="AP942" s="4"/>
      <c r="AQ942" s="4"/>
      <c r="AR942" s="4"/>
      <c r="AS942" s="4"/>
      <c r="AT942" s="4"/>
      <c r="AU942" s="4"/>
      <c r="AV942" s="4"/>
      <c r="AW942" s="4"/>
    </row>
    <row r="943" spans="1:49" ht="13.2">
      <c r="A943" s="120"/>
      <c r="B943" s="266"/>
      <c r="C943" s="117"/>
      <c r="D943" s="117"/>
      <c r="E943" s="117"/>
      <c r="F943" s="123"/>
      <c r="G943" s="125" t="s">
        <v>145</v>
      </c>
      <c r="H943" s="125"/>
      <c r="I943" s="125"/>
      <c r="J943" s="125"/>
      <c r="K943" s="82" t="str">
        <f t="shared" ca="1" si="1125"/>
        <v>#REF!</v>
      </c>
      <c r="L943" s="82" t="str">
        <f t="shared" ca="1" si="1126"/>
        <v>#REF!</v>
      </c>
      <c r="M943" s="82" t="str">
        <f t="shared" ca="1" si="550"/>
        <v>#REF!</v>
      </c>
      <c r="N943" s="93"/>
      <c r="O943" s="93"/>
      <c r="P943" s="95">
        <f t="shared" si="965"/>
        <v>0</v>
      </c>
      <c r="Q943" s="96">
        <f t="shared" si="1269"/>
        <v>0</v>
      </c>
      <c r="R943" s="96">
        <v>0</v>
      </c>
      <c r="S943" s="97">
        <f t="shared" si="553"/>
        <v>0</v>
      </c>
      <c r="T943" s="97" t="str">
        <f ca="1">ROUNDUP(HLOOKUP(ROUNDUP(K943,0),'배송비 조회'!A$10:AE$22,7,0)*C$3,-2)</f>
        <v>#REF!</v>
      </c>
      <c r="U943" s="97">
        <v>0</v>
      </c>
      <c r="V943" s="97" t="str">
        <f t="shared" ca="1" si="981"/>
        <v>#REF!</v>
      </c>
      <c r="W943" s="97" t="str">
        <f t="shared" ca="1" si="982"/>
        <v>#REF!</v>
      </c>
      <c r="X943" s="98" t="str">
        <f t="shared" ca="1" si="882"/>
        <v>#REF!</v>
      </c>
      <c r="Y943" s="98" t="str">
        <f t="shared" ca="1" si="883"/>
        <v>#REF!</v>
      </c>
      <c r="Z943" s="121">
        <v>0</v>
      </c>
      <c r="AA943" s="121" t="str">
        <f t="shared" ca="1" si="556"/>
        <v>#REF!</v>
      </c>
      <c r="AB943" s="121" t="str">
        <f t="shared" ca="1" si="557"/>
        <v>#REF!</v>
      </c>
      <c r="AC943" s="99" t="str">
        <f t="shared" ca="1" si="8"/>
        <v>#REF!</v>
      </c>
      <c r="AD943" s="121" t="str">
        <f t="shared" ca="1" si="558"/>
        <v>#REF!</v>
      </c>
      <c r="AE943" s="99" t="str">
        <f t="shared" ca="1" si="10"/>
        <v>#REF!</v>
      </c>
      <c r="AF943" s="121" t="str">
        <f t="shared" ca="1" si="559"/>
        <v>#REF!</v>
      </c>
      <c r="AG943" s="100" t="str">
        <f t="shared" ca="1" si="560"/>
        <v>#REF!</v>
      </c>
      <c r="AH943" s="101" t="str">
        <f t="shared" ca="1" si="891"/>
        <v>#REF!</v>
      </c>
      <c r="AI943" s="102" t="str">
        <f t="shared" ref="AI943:AJ943" ca="1" si="1278">AG943/X943</f>
        <v>#REF!</v>
      </c>
      <c r="AJ943" s="102" t="str">
        <f t="shared" ca="1" si="1278"/>
        <v>#REF!</v>
      </c>
      <c r="AK943" s="212"/>
      <c r="AL943" s="213"/>
      <c r="AM943" s="4"/>
      <c r="AN943" s="4"/>
      <c r="AO943" s="4"/>
      <c r="AP943" s="4"/>
      <c r="AQ943" s="4"/>
      <c r="AR943" s="4"/>
      <c r="AS943" s="4"/>
      <c r="AT943" s="4"/>
      <c r="AU943" s="4"/>
      <c r="AV943" s="4"/>
      <c r="AW943" s="4"/>
    </row>
    <row r="944" spans="1:49" ht="13.2">
      <c r="A944" s="120"/>
      <c r="B944" s="266"/>
      <c r="C944" s="117"/>
      <c r="D944" s="117"/>
      <c r="E944" s="117"/>
      <c r="F944" s="123"/>
      <c r="G944" s="125" t="s">
        <v>145</v>
      </c>
      <c r="H944" s="125"/>
      <c r="I944" s="125"/>
      <c r="J944" s="125"/>
      <c r="K944" s="82" t="str">
        <f t="shared" ca="1" si="1125"/>
        <v>#REF!</v>
      </c>
      <c r="L944" s="82" t="str">
        <f t="shared" ca="1" si="1126"/>
        <v>#REF!</v>
      </c>
      <c r="M944" s="82" t="str">
        <f t="shared" ca="1" si="550"/>
        <v>#REF!</v>
      </c>
      <c r="N944" s="93"/>
      <c r="O944" s="93"/>
      <c r="P944" s="95">
        <f t="shared" si="965"/>
        <v>0</v>
      </c>
      <c r="Q944" s="96">
        <f t="shared" si="1269"/>
        <v>0</v>
      </c>
      <c r="R944" s="96">
        <v>0</v>
      </c>
      <c r="S944" s="97">
        <f t="shared" si="553"/>
        <v>0</v>
      </c>
      <c r="T944" s="97" t="str">
        <f ca="1">ROUNDUP(HLOOKUP(ROUNDUP(K944,0),'배송비 조회'!A$10:AE$22,7,0)*C$3,-2)</f>
        <v>#REF!</v>
      </c>
      <c r="U944" s="97">
        <v>0</v>
      </c>
      <c r="V944" s="97" t="str">
        <f t="shared" ca="1" si="981"/>
        <v>#REF!</v>
      </c>
      <c r="W944" s="97" t="str">
        <f t="shared" ca="1" si="982"/>
        <v>#REF!</v>
      </c>
      <c r="X944" s="98" t="str">
        <f t="shared" ca="1" si="882"/>
        <v>#REF!</v>
      </c>
      <c r="Y944" s="98" t="str">
        <f t="shared" ca="1" si="883"/>
        <v>#REF!</v>
      </c>
      <c r="Z944" s="121">
        <v>0</v>
      </c>
      <c r="AA944" s="121" t="str">
        <f t="shared" ca="1" si="556"/>
        <v>#REF!</v>
      </c>
      <c r="AB944" s="121" t="str">
        <f t="shared" ca="1" si="557"/>
        <v>#REF!</v>
      </c>
      <c r="AC944" s="99" t="str">
        <f t="shared" ca="1" si="8"/>
        <v>#REF!</v>
      </c>
      <c r="AD944" s="121" t="str">
        <f t="shared" ca="1" si="558"/>
        <v>#REF!</v>
      </c>
      <c r="AE944" s="99" t="str">
        <f t="shared" ca="1" si="10"/>
        <v>#REF!</v>
      </c>
      <c r="AF944" s="121" t="str">
        <f t="shared" ca="1" si="559"/>
        <v>#REF!</v>
      </c>
      <c r="AG944" s="100" t="str">
        <f t="shared" ca="1" si="560"/>
        <v>#REF!</v>
      </c>
      <c r="AH944" s="101" t="str">
        <f t="shared" ca="1" si="891"/>
        <v>#REF!</v>
      </c>
      <c r="AI944" s="102" t="str">
        <f t="shared" ref="AI944:AJ944" ca="1" si="1279">AG944/X944</f>
        <v>#REF!</v>
      </c>
      <c r="AJ944" s="102" t="str">
        <f t="shared" ca="1" si="1279"/>
        <v>#REF!</v>
      </c>
      <c r="AK944" s="212"/>
      <c r="AL944" s="213"/>
      <c r="AM944" s="4"/>
      <c r="AN944" s="4"/>
      <c r="AO944" s="4"/>
      <c r="AP944" s="4"/>
      <c r="AQ944" s="4"/>
      <c r="AR944" s="4"/>
      <c r="AS944" s="4"/>
      <c r="AT944" s="4"/>
      <c r="AU944" s="4"/>
      <c r="AV944" s="4"/>
      <c r="AW944" s="4"/>
    </row>
    <row r="945" spans="1:49" ht="13.2">
      <c r="A945" s="120"/>
      <c r="B945" s="266"/>
      <c r="C945" s="117"/>
      <c r="D945" s="117"/>
      <c r="E945" s="117"/>
      <c r="F945" s="123"/>
      <c r="G945" s="125" t="s">
        <v>145</v>
      </c>
      <c r="H945" s="125"/>
      <c r="I945" s="125"/>
      <c r="J945" s="125"/>
      <c r="K945" s="82" t="str">
        <f t="shared" ca="1" si="1125"/>
        <v>#REF!</v>
      </c>
      <c r="L945" s="82" t="str">
        <f t="shared" ca="1" si="1126"/>
        <v>#REF!</v>
      </c>
      <c r="M945" s="82" t="str">
        <f t="shared" ca="1" si="550"/>
        <v>#REF!</v>
      </c>
      <c r="N945" s="93"/>
      <c r="O945" s="93"/>
      <c r="P945" s="95">
        <f t="shared" si="965"/>
        <v>0</v>
      </c>
      <c r="Q945" s="96">
        <f t="shared" si="1269"/>
        <v>0</v>
      </c>
      <c r="R945" s="96">
        <v>0</v>
      </c>
      <c r="S945" s="97">
        <f t="shared" si="553"/>
        <v>0</v>
      </c>
      <c r="T945" s="97" t="str">
        <f ca="1">ROUNDUP(HLOOKUP(ROUNDUP(K945,0),'배송비 조회'!A$10:AE$22,7,0)*C$3,-2)</f>
        <v>#REF!</v>
      </c>
      <c r="U945" s="97">
        <v>0</v>
      </c>
      <c r="V945" s="97" t="str">
        <f t="shared" ca="1" si="981"/>
        <v>#REF!</v>
      </c>
      <c r="W945" s="97" t="str">
        <f t="shared" ca="1" si="982"/>
        <v>#REF!</v>
      </c>
      <c r="X945" s="98" t="str">
        <f t="shared" ca="1" si="882"/>
        <v>#REF!</v>
      </c>
      <c r="Y945" s="98" t="str">
        <f t="shared" ca="1" si="883"/>
        <v>#REF!</v>
      </c>
      <c r="Z945" s="121">
        <v>0</v>
      </c>
      <c r="AA945" s="121" t="str">
        <f t="shared" ca="1" si="556"/>
        <v>#REF!</v>
      </c>
      <c r="AB945" s="121" t="str">
        <f t="shared" ca="1" si="557"/>
        <v>#REF!</v>
      </c>
      <c r="AC945" s="99" t="str">
        <f t="shared" ca="1" si="8"/>
        <v>#REF!</v>
      </c>
      <c r="AD945" s="121" t="str">
        <f t="shared" ca="1" si="558"/>
        <v>#REF!</v>
      </c>
      <c r="AE945" s="99" t="str">
        <f t="shared" ca="1" si="10"/>
        <v>#REF!</v>
      </c>
      <c r="AF945" s="121" t="str">
        <f t="shared" ca="1" si="559"/>
        <v>#REF!</v>
      </c>
      <c r="AG945" s="100" t="str">
        <f t="shared" ca="1" si="560"/>
        <v>#REF!</v>
      </c>
      <c r="AH945" s="101" t="str">
        <f t="shared" ca="1" si="891"/>
        <v>#REF!</v>
      </c>
      <c r="AI945" s="102" t="str">
        <f t="shared" ref="AI945:AJ945" ca="1" si="1280">AG945/X945</f>
        <v>#REF!</v>
      </c>
      <c r="AJ945" s="102" t="str">
        <f t="shared" ca="1" si="1280"/>
        <v>#REF!</v>
      </c>
      <c r="AK945" s="212"/>
      <c r="AL945" s="213"/>
      <c r="AM945" s="4"/>
      <c r="AN945" s="4"/>
      <c r="AO945" s="4"/>
      <c r="AP945" s="4"/>
      <c r="AQ945" s="4"/>
      <c r="AR945" s="4"/>
      <c r="AS945" s="4"/>
      <c r="AT945" s="4"/>
      <c r="AU945" s="4"/>
      <c r="AV945" s="4"/>
      <c r="AW945" s="4"/>
    </row>
    <row r="946" spans="1:49" ht="13.2">
      <c r="A946" s="120"/>
      <c r="B946" s="266"/>
      <c r="C946" s="117"/>
      <c r="D946" s="117"/>
      <c r="E946" s="117"/>
      <c r="F946" s="123"/>
      <c r="G946" s="125" t="s">
        <v>145</v>
      </c>
      <c r="H946" s="125"/>
      <c r="I946" s="125"/>
      <c r="J946" s="125"/>
      <c r="K946" s="82" t="str">
        <f t="shared" ca="1" si="1125"/>
        <v>#REF!</v>
      </c>
      <c r="L946" s="82" t="str">
        <f t="shared" ca="1" si="1126"/>
        <v>#REF!</v>
      </c>
      <c r="M946" s="82" t="str">
        <f t="shared" ca="1" si="550"/>
        <v>#REF!</v>
      </c>
      <c r="N946" s="93"/>
      <c r="O946" s="93"/>
      <c r="P946" s="95">
        <f t="shared" si="965"/>
        <v>0</v>
      </c>
      <c r="Q946" s="96">
        <f t="shared" si="1269"/>
        <v>0</v>
      </c>
      <c r="R946" s="96">
        <v>0</v>
      </c>
      <c r="S946" s="97">
        <f t="shared" si="553"/>
        <v>0</v>
      </c>
      <c r="T946" s="97" t="str">
        <f ca="1">ROUNDUP(HLOOKUP(ROUNDUP(K946,0),'배송비 조회'!A$10:AE$22,7,0)*C$3,-2)</f>
        <v>#REF!</v>
      </c>
      <c r="U946" s="97">
        <v>0</v>
      </c>
      <c r="V946" s="97" t="str">
        <f t="shared" ca="1" si="981"/>
        <v>#REF!</v>
      </c>
      <c r="W946" s="97" t="str">
        <f t="shared" ca="1" si="982"/>
        <v>#REF!</v>
      </c>
      <c r="X946" s="98" t="str">
        <f t="shared" ca="1" si="882"/>
        <v>#REF!</v>
      </c>
      <c r="Y946" s="98" t="str">
        <f t="shared" ca="1" si="883"/>
        <v>#REF!</v>
      </c>
      <c r="Z946" s="121">
        <v>0</v>
      </c>
      <c r="AA946" s="121" t="str">
        <f t="shared" ca="1" si="556"/>
        <v>#REF!</v>
      </c>
      <c r="AB946" s="121" t="str">
        <f t="shared" ca="1" si="557"/>
        <v>#REF!</v>
      </c>
      <c r="AC946" s="99" t="str">
        <f t="shared" ca="1" si="8"/>
        <v>#REF!</v>
      </c>
      <c r="AD946" s="121" t="str">
        <f t="shared" ca="1" si="558"/>
        <v>#REF!</v>
      </c>
      <c r="AE946" s="99" t="str">
        <f t="shared" ca="1" si="10"/>
        <v>#REF!</v>
      </c>
      <c r="AF946" s="121" t="str">
        <f t="shared" ca="1" si="559"/>
        <v>#REF!</v>
      </c>
      <c r="AG946" s="100" t="str">
        <f t="shared" ca="1" si="560"/>
        <v>#REF!</v>
      </c>
      <c r="AH946" s="101" t="str">
        <f t="shared" ca="1" si="891"/>
        <v>#REF!</v>
      </c>
      <c r="AI946" s="102" t="str">
        <f t="shared" ref="AI946:AJ946" ca="1" si="1281">AG946/X946</f>
        <v>#REF!</v>
      </c>
      <c r="AJ946" s="102" t="str">
        <f t="shared" ca="1" si="1281"/>
        <v>#REF!</v>
      </c>
      <c r="AK946" s="212"/>
      <c r="AL946" s="213"/>
      <c r="AM946" s="4"/>
      <c r="AN946" s="4"/>
      <c r="AO946" s="4"/>
      <c r="AP946" s="4"/>
      <c r="AQ946" s="4"/>
      <c r="AR946" s="4"/>
      <c r="AS946" s="4"/>
      <c r="AT946" s="4"/>
      <c r="AU946" s="4"/>
      <c r="AV946" s="4"/>
      <c r="AW946" s="4"/>
    </row>
    <row r="947" spans="1:49" ht="13.2">
      <c r="A947" s="120"/>
      <c r="B947" s="266"/>
      <c r="C947" s="117"/>
      <c r="D947" s="117"/>
      <c r="E947" s="117"/>
      <c r="F947" s="123"/>
      <c r="G947" s="125" t="s">
        <v>145</v>
      </c>
      <c r="H947" s="125"/>
      <c r="I947" s="125"/>
      <c r="J947" s="125"/>
      <c r="K947" s="82" t="str">
        <f t="shared" ca="1" si="1125"/>
        <v>#REF!</v>
      </c>
      <c r="L947" s="82" t="str">
        <f t="shared" ca="1" si="1126"/>
        <v>#REF!</v>
      </c>
      <c r="M947" s="82" t="str">
        <f t="shared" ca="1" si="550"/>
        <v>#REF!</v>
      </c>
      <c r="N947" s="93"/>
      <c r="O947" s="93"/>
      <c r="P947" s="95">
        <f t="shared" si="965"/>
        <v>0</v>
      </c>
      <c r="Q947" s="96">
        <f t="shared" si="1269"/>
        <v>0</v>
      </c>
      <c r="R947" s="96">
        <v>0</v>
      </c>
      <c r="S947" s="97">
        <f t="shared" si="553"/>
        <v>0</v>
      </c>
      <c r="T947" s="97" t="str">
        <f ca="1">ROUNDUP(HLOOKUP(ROUNDUP(K947,0),'배송비 조회'!A$10:AE$22,7,0)*C$3,-2)</f>
        <v>#REF!</v>
      </c>
      <c r="U947" s="97">
        <v>0</v>
      </c>
      <c r="V947" s="97" t="str">
        <f t="shared" ca="1" si="981"/>
        <v>#REF!</v>
      </c>
      <c r="W947" s="97" t="str">
        <f t="shared" ca="1" si="982"/>
        <v>#REF!</v>
      </c>
      <c r="X947" s="98" t="str">
        <f t="shared" ca="1" si="882"/>
        <v>#REF!</v>
      </c>
      <c r="Y947" s="98" t="str">
        <f t="shared" ca="1" si="883"/>
        <v>#REF!</v>
      </c>
      <c r="Z947" s="121">
        <v>0</v>
      </c>
      <c r="AA947" s="121" t="str">
        <f t="shared" ca="1" si="556"/>
        <v>#REF!</v>
      </c>
      <c r="AB947" s="121" t="str">
        <f t="shared" ca="1" si="557"/>
        <v>#REF!</v>
      </c>
      <c r="AC947" s="99" t="str">
        <f t="shared" ca="1" si="8"/>
        <v>#REF!</v>
      </c>
      <c r="AD947" s="121" t="str">
        <f t="shared" ca="1" si="558"/>
        <v>#REF!</v>
      </c>
      <c r="AE947" s="99" t="str">
        <f t="shared" ca="1" si="10"/>
        <v>#REF!</v>
      </c>
      <c r="AF947" s="121" t="str">
        <f t="shared" ca="1" si="559"/>
        <v>#REF!</v>
      </c>
      <c r="AG947" s="100" t="str">
        <f t="shared" ca="1" si="560"/>
        <v>#REF!</v>
      </c>
      <c r="AH947" s="101" t="str">
        <f t="shared" ca="1" si="891"/>
        <v>#REF!</v>
      </c>
      <c r="AI947" s="102" t="str">
        <f t="shared" ref="AI947:AJ947" ca="1" si="1282">AG947/X947</f>
        <v>#REF!</v>
      </c>
      <c r="AJ947" s="102" t="str">
        <f t="shared" ca="1" si="1282"/>
        <v>#REF!</v>
      </c>
      <c r="AK947" s="212"/>
      <c r="AL947" s="213"/>
      <c r="AM947" s="4"/>
      <c r="AN947" s="4"/>
      <c r="AO947" s="4"/>
      <c r="AP947" s="4"/>
      <c r="AQ947" s="4"/>
      <c r="AR947" s="4"/>
      <c r="AS947" s="4"/>
      <c r="AT947" s="4"/>
      <c r="AU947" s="4"/>
      <c r="AV947" s="4"/>
      <c r="AW947" s="4"/>
    </row>
    <row r="948" spans="1:49" ht="13.2">
      <c r="A948" s="120"/>
      <c r="B948" s="266"/>
      <c r="C948" s="117"/>
      <c r="D948" s="117"/>
      <c r="E948" s="117"/>
      <c r="F948" s="123"/>
      <c r="G948" s="125" t="s">
        <v>145</v>
      </c>
      <c r="H948" s="125"/>
      <c r="I948" s="125"/>
      <c r="J948" s="125"/>
      <c r="K948" s="82" t="str">
        <f t="shared" ca="1" si="1125"/>
        <v>#REF!</v>
      </c>
      <c r="L948" s="82" t="str">
        <f t="shared" ca="1" si="1126"/>
        <v>#REF!</v>
      </c>
      <c r="M948" s="82" t="str">
        <f t="shared" ca="1" si="550"/>
        <v>#REF!</v>
      </c>
      <c r="N948" s="93"/>
      <c r="O948" s="93"/>
      <c r="P948" s="95">
        <f t="shared" si="965"/>
        <v>0</v>
      </c>
      <c r="Q948" s="96">
        <f t="shared" si="1269"/>
        <v>0</v>
      </c>
      <c r="R948" s="96">
        <v>0</v>
      </c>
      <c r="S948" s="97">
        <f t="shared" si="553"/>
        <v>0</v>
      </c>
      <c r="T948" s="97" t="str">
        <f ca="1">ROUNDUP(HLOOKUP(ROUNDUP(K948,0),'배송비 조회'!A$10:AE$22,7,0)*C$3,-2)</f>
        <v>#REF!</v>
      </c>
      <c r="U948" s="97">
        <v>0</v>
      </c>
      <c r="V948" s="97" t="str">
        <f t="shared" ca="1" si="981"/>
        <v>#REF!</v>
      </c>
      <c r="W948" s="97" t="str">
        <f t="shared" ca="1" si="982"/>
        <v>#REF!</v>
      </c>
      <c r="X948" s="98" t="str">
        <f t="shared" ca="1" si="882"/>
        <v>#REF!</v>
      </c>
      <c r="Y948" s="98" t="str">
        <f t="shared" ca="1" si="883"/>
        <v>#REF!</v>
      </c>
      <c r="Z948" s="121">
        <v>0</v>
      </c>
      <c r="AA948" s="121" t="str">
        <f t="shared" ca="1" si="556"/>
        <v>#REF!</v>
      </c>
      <c r="AB948" s="121" t="str">
        <f t="shared" ca="1" si="557"/>
        <v>#REF!</v>
      </c>
      <c r="AC948" s="99" t="str">
        <f t="shared" ca="1" si="8"/>
        <v>#REF!</v>
      </c>
      <c r="AD948" s="121" t="str">
        <f t="shared" ca="1" si="558"/>
        <v>#REF!</v>
      </c>
      <c r="AE948" s="99" t="str">
        <f t="shared" ca="1" si="10"/>
        <v>#REF!</v>
      </c>
      <c r="AF948" s="121" t="str">
        <f t="shared" ca="1" si="559"/>
        <v>#REF!</v>
      </c>
      <c r="AG948" s="100" t="str">
        <f t="shared" ca="1" si="560"/>
        <v>#REF!</v>
      </c>
      <c r="AH948" s="101" t="str">
        <f t="shared" ca="1" si="891"/>
        <v>#REF!</v>
      </c>
      <c r="AI948" s="102" t="str">
        <f t="shared" ref="AI948:AJ948" ca="1" si="1283">AG948/X948</f>
        <v>#REF!</v>
      </c>
      <c r="AJ948" s="102" t="str">
        <f t="shared" ca="1" si="1283"/>
        <v>#REF!</v>
      </c>
      <c r="AK948" s="212"/>
      <c r="AL948" s="213"/>
      <c r="AM948" s="4"/>
      <c r="AN948" s="4"/>
      <c r="AO948" s="4"/>
      <c r="AP948" s="4"/>
      <c r="AQ948" s="4"/>
      <c r="AR948" s="4"/>
      <c r="AS948" s="4"/>
      <c r="AT948" s="4"/>
      <c r="AU948" s="4"/>
      <c r="AV948" s="4"/>
      <c r="AW948" s="4"/>
    </row>
    <row r="949" spans="1:49" ht="13.2">
      <c r="A949" s="120"/>
      <c r="B949" s="266"/>
      <c r="C949" s="117"/>
      <c r="D949" s="117"/>
      <c r="E949" s="117"/>
      <c r="F949" s="123"/>
      <c r="G949" s="125" t="s">
        <v>145</v>
      </c>
      <c r="H949" s="125"/>
      <c r="I949" s="125"/>
      <c r="J949" s="125"/>
      <c r="K949" s="82" t="str">
        <f t="shared" ca="1" si="1125"/>
        <v>#REF!</v>
      </c>
      <c r="L949" s="82" t="str">
        <f t="shared" ca="1" si="1126"/>
        <v>#REF!</v>
      </c>
      <c r="M949" s="82" t="str">
        <f t="shared" ca="1" si="550"/>
        <v>#REF!</v>
      </c>
      <c r="N949" s="93"/>
      <c r="O949" s="93"/>
      <c r="P949" s="95">
        <f t="shared" si="965"/>
        <v>0</v>
      </c>
      <c r="Q949" s="96">
        <f t="shared" si="1269"/>
        <v>0</v>
      </c>
      <c r="R949" s="96">
        <v>0</v>
      </c>
      <c r="S949" s="97">
        <f t="shared" si="553"/>
        <v>0</v>
      </c>
      <c r="T949" s="97" t="str">
        <f ca="1">ROUNDUP(HLOOKUP(ROUNDUP(K949,0),'배송비 조회'!A$10:AE$22,7,0)*C$3,-2)</f>
        <v>#REF!</v>
      </c>
      <c r="U949" s="97">
        <v>0</v>
      </c>
      <c r="V949" s="97" t="str">
        <f t="shared" ca="1" si="981"/>
        <v>#REF!</v>
      </c>
      <c r="W949" s="97" t="str">
        <f t="shared" ca="1" si="982"/>
        <v>#REF!</v>
      </c>
      <c r="X949" s="98" t="str">
        <f t="shared" ca="1" si="882"/>
        <v>#REF!</v>
      </c>
      <c r="Y949" s="98" t="str">
        <f t="shared" ca="1" si="883"/>
        <v>#REF!</v>
      </c>
      <c r="Z949" s="121">
        <v>0</v>
      </c>
      <c r="AA949" s="121" t="str">
        <f t="shared" ca="1" si="556"/>
        <v>#REF!</v>
      </c>
      <c r="AB949" s="121" t="str">
        <f t="shared" ca="1" si="557"/>
        <v>#REF!</v>
      </c>
      <c r="AC949" s="99" t="str">
        <f t="shared" ca="1" si="8"/>
        <v>#REF!</v>
      </c>
      <c r="AD949" s="121" t="str">
        <f t="shared" ca="1" si="558"/>
        <v>#REF!</v>
      </c>
      <c r="AE949" s="99" t="str">
        <f t="shared" ca="1" si="10"/>
        <v>#REF!</v>
      </c>
      <c r="AF949" s="121" t="str">
        <f t="shared" ca="1" si="559"/>
        <v>#REF!</v>
      </c>
      <c r="AG949" s="100" t="str">
        <f t="shared" ca="1" si="560"/>
        <v>#REF!</v>
      </c>
      <c r="AH949" s="101" t="str">
        <f t="shared" ca="1" si="891"/>
        <v>#REF!</v>
      </c>
      <c r="AI949" s="102" t="str">
        <f t="shared" ref="AI949:AJ949" ca="1" si="1284">AG949/X949</f>
        <v>#REF!</v>
      </c>
      <c r="AJ949" s="102" t="str">
        <f t="shared" ca="1" si="1284"/>
        <v>#REF!</v>
      </c>
      <c r="AK949" s="212"/>
      <c r="AL949" s="213"/>
      <c r="AM949" s="4"/>
      <c r="AN949" s="4"/>
      <c r="AO949" s="4"/>
      <c r="AP949" s="4"/>
      <c r="AQ949" s="4"/>
      <c r="AR949" s="4"/>
      <c r="AS949" s="4"/>
      <c r="AT949" s="4"/>
      <c r="AU949" s="4"/>
      <c r="AV949" s="4"/>
      <c r="AW949" s="4"/>
    </row>
    <row r="950" spans="1:49" ht="13.2">
      <c r="A950" s="120"/>
      <c r="B950" s="266"/>
      <c r="C950" s="117"/>
      <c r="D950" s="117"/>
      <c r="E950" s="117"/>
      <c r="F950" s="123"/>
      <c r="G950" s="125" t="s">
        <v>145</v>
      </c>
      <c r="H950" s="125"/>
      <c r="I950" s="125"/>
      <c r="J950" s="125"/>
      <c r="K950" s="82" t="str">
        <f t="shared" ca="1" si="1125"/>
        <v>#REF!</v>
      </c>
      <c r="L950" s="82" t="str">
        <f t="shared" ca="1" si="1126"/>
        <v>#REF!</v>
      </c>
      <c r="M950" s="82" t="str">
        <f t="shared" ca="1" si="550"/>
        <v>#REF!</v>
      </c>
      <c r="N950" s="93"/>
      <c r="O950" s="93"/>
      <c r="P950" s="95">
        <f t="shared" si="965"/>
        <v>0</v>
      </c>
      <c r="Q950" s="96">
        <f t="shared" si="1269"/>
        <v>0</v>
      </c>
      <c r="R950" s="96">
        <v>0</v>
      </c>
      <c r="S950" s="97">
        <f t="shared" si="553"/>
        <v>0</v>
      </c>
      <c r="T950" s="97" t="str">
        <f ca="1">ROUNDUP(HLOOKUP(ROUNDUP(K950,0),'배송비 조회'!A$10:AE$22,7,0)*C$3,-2)</f>
        <v>#REF!</v>
      </c>
      <c r="U950" s="97">
        <v>0</v>
      </c>
      <c r="V950" s="97" t="str">
        <f t="shared" ca="1" si="981"/>
        <v>#REF!</v>
      </c>
      <c r="W950" s="97" t="str">
        <f t="shared" ca="1" si="982"/>
        <v>#REF!</v>
      </c>
      <c r="X950" s="98" t="str">
        <f t="shared" ca="1" si="882"/>
        <v>#REF!</v>
      </c>
      <c r="Y950" s="98" t="str">
        <f t="shared" ca="1" si="883"/>
        <v>#REF!</v>
      </c>
      <c r="Z950" s="121">
        <v>0</v>
      </c>
      <c r="AA950" s="121" t="str">
        <f t="shared" ca="1" si="556"/>
        <v>#REF!</v>
      </c>
      <c r="AB950" s="121" t="str">
        <f t="shared" ca="1" si="557"/>
        <v>#REF!</v>
      </c>
      <c r="AC950" s="99" t="str">
        <f t="shared" ca="1" si="8"/>
        <v>#REF!</v>
      </c>
      <c r="AD950" s="121" t="str">
        <f t="shared" ca="1" si="558"/>
        <v>#REF!</v>
      </c>
      <c r="AE950" s="99" t="str">
        <f t="shared" ca="1" si="10"/>
        <v>#REF!</v>
      </c>
      <c r="AF950" s="121" t="str">
        <f t="shared" ca="1" si="559"/>
        <v>#REF!</v>
      </c>
      <c r="AG950" s="100" t="str">
        <f t="shared" ca="1" si="560"/>
        <v>#REF!</v>
      </c>
      <c r="AH950" s="101" t="str">
        <f t="shared" ca="1" si="891"/>
        <v>#REF!</v>
      </c>
      <c r="AI950" s="102" t="str">
        <f t="shared" ref="AI950:AJ950" ca="1" si="1285">AG950/X950</f>
        <v>#REF!</v>
      </c>
      <c r="AJ950" s="102" t="str">
        <f t="shared" ca="1" si="1285"/>
        <v>#REF!</v>
      </c>
      <c r="AK950" s="212"/>
      <c r="AL950" s="213"/>
      <c r="AM950" s="4"/>
      <c r="AN950" s="4"/>
      <c r="AO950" s="4"/>
      <c r="AP950" s="4"/>
      <c r="AQ950" s="4"/>
      <c r="AR950" s="4"/>
      <c r="AS950" s="4"/>
      <c r="AT950" s="4"/>
      <c r="AU950" s="4"/>
      <c r="AV950" s="4"/>
      <c r="AW950" s="4"/>
    </row>
    <row r="951" spans="1:49" ht="13.2">
      <c r="A951" s="120"/>
      <c r="B951" s="266"/>
      <c r="C951" s="117"/>
      <c r="D951" s="117"/>
      <c r="E951" s="117"/>
      <c r="F951" s="123"/>
      <c r="G951" s="125" t="s">
        <v>145</v>
      </c>
      <c r="H951" s="125"/>
      <c r="I951" s="125"/>
      <c r="J951" s="125"/>
      <c r="K951" s="82" t="str">
        <f t="shared" ca="1" si="1125"/>
        <v>#REF!</v>
      </c>
      <c r="L951" s="82" t="str">
        <f t="shared" ca="1" si="1126"/>
        <v>#REF!</v>
      </c>
      <c r="M951" s="82" t="str">
        <f t="shared" ca="1" si="550"/>
        <v>#REF!</v>
      </c>
      <c r="N951" s="93"/>
      <c r="O951" s="93"/>
      <c r="P951" s="95">
        <f t="shared" si="965"/>
        <v>0</v>
      </c>
      <c r="Q951" s="96">
        <f t="shared" si="1269"/>
        <v>0</v>
      </c>
      <c r="R951" s="96">
        <v>0</v>
      </c>
      <c r="S951" s="97">
        <f t="shared" si="553"/>
        <v>0</v>
      </c>
      <c r="T951" s="97" t="str">
        <f ca="1">ROUNDUP(HLOOKUP(ROUNDUP(K951,0),'배송비 조회'!A$10:AE$22,7,0)*C$3,-2)</f>
        <v>#REF!</v>
      </c>
      <c r="U951" s="97">
        <v>0</v>
      </c>
      <c r="V951" s="97" t="str">
        <f t="shared" ca="1" si="981"/>
        <v>#REF!</v>
      </c>
      <c r="W951" s="97" t="str">
        <f t="shared" ca="1" si="982"/>
        <v>#REF!</v>
      </c>
      <c r="X951" s="98" t="str">
        <f t="shared" ca="1" si="882"/>
        <v>#REF!</v>
      </c>
      <c r="Y951" s="98" t="str">
        <f t="shared" ca="1" si="883"/>
        <v>#REF!</v>
      </c>
      <c r="Z951" s="121">
        <v>0</v>
      </c>
      <c r="AA951" s="121" t="str">
        <f t="shared" ca="1" si="556"/>
        <v>#REF!</v>
      </c>
      <c r="AB951" s="121" t="str">
        <f t="shared" ca="1" si="557"/>
        <v>#REF!</v>
      </c>
      <c r="AC951" s="99" t="str">
        <f t="shared" ca="1" si="8"/>
        <v>#REF!</v>
      </c>
      <c r="AD951" s="121" t="str">
        <f t="shared" ca="1" si="558"/>
        <v>#REF!</v>
      </c>
      <c r="AE951" s="99" t="str">
        <f t="shared" ca="1" si="10"/>
        <v>#REF!</v>
      </c>
      <c r="AF951" s="121" t="str">
        <f t="shared" ca="1" si="559"/>
        <v>#REF!</v>
      </c>
      <c r="AG951" s="100" t="str">
        <f t="shared" ca="1" si="560"/>
        <v>#REF!</v>
      </c>
      <c r="AH951" s="101" t="str">
        <f t="shared" ca="1" si="891"/>
        <v>#REF!</v>
      </c>
      <c r="AI951" s="102" t="str">
        <f t="shared" ref="AI951:AJ951" ca="1" si="1286">AG951/X951</f>
        <v>#REF!</v>
      </c>
      <c r="AJ951" s="102" t="str">
        <f t="shared" ca="1" si="1286"/>
        <v>#REF!</v>
      </c>
      <c r="AK951" s="212"/>
      <c r="AL951" s="213"/>
      <c r="AM951" s="4"/>
      <c r="AN951" s="4"/>
      <c r="AO951" s="4"/>
      <c r="AP951" s="4"/>
      <c r="AQ951" s="4"/>
      <c r="AR951" s="4"/>
      <c r="AS951" s="4"/>
      <c r="AT951" s="4"/>
      <c r="AU951" s="4"/>
      <c r="AV951" s="4"/>
      <c r="AW951" s="4"/>
    </row>
    <row r="952" spans="1:49" ht="13.2">
      <c r="A952" s="120"/>
      <c r="B952" s="266"/>
      <c r="C952" s="117"/>
      <c r="D952" s="117"/>
      <c r="E952" s="117"/>
      <c r="F952" s="123"/>
      <c r="G952" s="125" t="s">
        <v>145</v>
      </c>
      <c r="H952" s="125"/>
      <c r="I952" s="125"/>
      <c r="J952" s="125"/>
      <c r="K952" s="82" t="str">
        <f t="shared" ca="1" si="1125"/>
        <v>#REF!</v>
      </c>
      <c r="L952" s="82" t="str">
        <f t="shared" ca="1" si="1126"/>
        <v>#REF!</v>
      </c>
      <c r="M952" s="82" t="str">
        <f t="shared" ca="1" si="550"/>
        <v>#REF!</v>
      </c>
      <c r="N952" s="93"/>
      <c r="O952" s="93"/>
      <c r="P952" s="95">
        <f t="shared" si="965"/>
        <v>0</v>
      </c>
      <c r="Q952" s="96">
        <f t="shared" si="1269"/>
        <v>0</v>
      </c>
      <c r="R952" s="96">
        <v>0</v>
      </c>
      <c r="S952" s="97">
        <f t="shared" si="553"/>
        <v>0</v>
      </c>
      <c r="T952" s="97" t="str">
        <f ca="1">ROUNDUP(HLOOKUP(ROUNDUP(K952,0),'배송비 조회'!A$10:AE$22,7,0)*C$3,-2)</f>
        <v>#REF!</v>
      </c>
      <c r="U952" s="97">
        <v>0</v>
      </c>
      <c r="V952" s="97" t="str">
        <f t="shared" ca="1" si="981"/>
        <v>#REF!</v>
      </c>
      <c r="W952" s="97" t="str">
        <f t="shared" ca="1" si="982"/>
        <v>#REF!</v>
      </c>
      <c r="X952" s="98" t="str">
        <f t="shared" ca="1" si="882"/>
        <v>#REF!</v>
      </c>
      <c r="Y952" s="98" t="str">
        <f t="shared" ca="1" si="883"/>
        <v>#REF!</v>
      </c>
      <c r="Z952" s="121">
        <v>0</v>
      </c>
      <c r="AA952" s="121" t="str">
        <f t="shared" ca="1" si="556"/>
        <v>#REF!</v>
      </c>
      <c r="AB952" s="121" t="str">
        <f t="shared" ca="1" si="557"/>
        <v>#REF!</v>
      </c>
      <c r="AC952" s="99" t="str">
        <f t="shared" ca="1" si="8"/>
        <v>#REF!</v>
      </c>
      <c r="AD952" s="121" t="str">
        <f t="shared" ca="1" si="558"/>
        <v>#REF!</v>
      </c>
      <c r="AE952" s="99" t="str">
        <f t="shared" ca="1" si="10"/>
        <v>#REF!</v>
      </c>
      <c r="AF952" s="121" t="str">
        <f t="shared" ca="1" si="559"/>
        <v>#REF!</v>
      </c>
      <c r="AG952" s="100" t="str">
        <f t="shared" ca="1" si="560"/>
        <v>#REF!</v>
      </c>
      <c r="AH952" s="101" t="str">
        <f t="shared" ca="1" si="891"/>
        <v>#REF!</v>
      </c>
      <c r="AI952" s="102" t="str">
        <f t="shared" ref="AI952:AJ952" ca="1" si="1287">AG952/X952</f>
        <v>#REF!</v>
      </c>
      <c r="AJ952" s="102" t="str">
        <f t="shared" ca="1" si="1287"/>
        <v>#REF!</v>
      </c>
      <c r="AK952" s="212"/>
      <c r="AL952" s="213"/>
      <c r="AM952" s="4"/>
      <c r="AN952" s="4"/>
      <c r="AO952" s="4"/>
      <c r="AP952" s="4"/>
      <c r="AQ952" s="4"/>
      <c r="AR952" s="4"/>
      <c r="AS952" s="4"/>
      <c r="AT952" s="4"/>
      <c r="AU952" s="4"/>
      <c r="AV952" s="4"/>
      <c r="AW952" s="4"/>
    </row>
    <row r="953" spans="1:49" ht="13.2">
      <c r="A953" s="120"/>
      <c r="B953" s="266"/>
      <c r="C953" s="117"/>
      <c r="D953" s="117"/>
      <c r="E953" s="117"/>
      <c r="F953" s="123"/>
      <c r="G953" s="125" t="s">
        <v>145</v>
      </c>
      <c r="H953" s="125"/>
      <c r="I953" s="125"/>
      <c r="J953" s="125"/>
      <c r="K953" s="82" t="str">
        <f t="shared" ca="1" si="1125"/>
        <v>#REF!</v>
      </c>
      <c r="L953" s="82" t="str">
        <f t="shared" ca="1" si="1126"/>
        <v>#REF!</v>
      </c>
      <c r="M953" s="82" t="str">
        <f t="shared" ca="1" si="550"/>
        <v>#REF!</v>
      </c>
      <c r="N953" s="93"/>
      <c r="O953" s="93"/>
      <c r="P953" s="95">
        <f t="shared" si="965"/>
        <v>0</v>
      </c>
      <c r="Q953" s="96">
        <f t="shared" si="1269"/>
        <v>0</v>
      </c>
      <c r="R953" s="96">
        <v>0</v>
      </c>
      <c r="S953" s="97">
        <f t="shared" si="553"/>
        <v>0</v>
      </c>
      <c r="T953" s="97" t="str">
        <f ca="1">ROUNDUP(HLOOKUP(ROUNDUP(K953,0),'배송비 조회'!A$10:AE$22,7,0)*C$3,-2)</f>
        <v>#REF!</v>
      </c>
      <c r="U953" s="97">
        <v>0</v>
      </c>
      <c r="V953" s="97" t="str">
        <f t="shared" ca="1" si="981"/>
        <v>#REF!</v>
      </c>
      <c r="W953" s="97" t="str">
        <f t="shared" ca="1" si="982"/>
        <v>#REF!</v>
      </c>
      <c r="X953" s="98" t="str">
        <f t="shared" ca="1" si="882"/>
        <v>#REF!</v>
      </c>
      <c r="Y953" s="98" t="str">
        <f t="shared" ca="1" si="883"/>
        <v>#REF!</v>
      </c>
      <c r="Z953" s="121">
        <v>0</v>
      </c>
      <c r="AA953" s="121" t="str">
        <f t="shared" ca="1" si="556"/>
        <v>#REF!</v>
      </c>
      <c r="AB953" s="121" t="str">
        <f t="shared" ca="1" si="557"/>
        <v>#REF!</v>
      </c>
      <c r="AC953" s="99" t="str">
        <f t="shared" ca="1" si="8"/>
        <v>#REF!</v>
      </c>
      <c r="AD953" s="121" t="str">
        <f t="shared" ca="1" si="558"/>
        <v>#REF!</v>
      </c>
      <c r="AE953" s="99" t="str">
        <f t="shared" ca="1" si="10"/>
        <v>#REF!</v>
      </c>
      <c r="AF953" s="121" t="str">
        <f t="shared" ca="1" si="559"/>
        <v>#REF!</v>
      </c>
      <c r="AG953" s="100" t="str">
        <f t="shared" ca="1" si="560"/>
        <v>#REF!</v>
      </c>
      <c r="AH953" s="101" t="str">
        <f t="shared" ca="1" si="891"/>
        <v>#REF!</v>
      </c>
      <c r="AI953" s="102" t="str">
        <f t="shared" ref="AI953:AJ953" ca="1" si="1288">AG953/X953</f>
        <v>#REF!</v>
      </c>
      <c r="AJ953" s="102" t="str">
        <f t="shared" ca="1" si="1288"/>
        <v>#REF!</v>
      </c>
      <c r="AK953" s="212"/>
      <c r="AL953" s="213"/>
      <c r="AM953" s="4"/>
      <c r="AN953" s="4"/>
      <c r="AO953" s="4"/>
      <c r="AP953" s="4"/>
      <c r="AQ953" s="4"/>
      <c r="AR953" s="4"/>
      <c r="AS953" s="4"/>
      <c r="AT953" s="4"/>
      <c r="AU953" s="4"/>
      <c r="AV953" s="4"/>
      <c r="AW953" s="4"/>
    </row>
    <row r="954" spans="1:49" ht="13.2">
      <c r="A954" s="120"/>
      <c r="B954" s="266"/>
      <c r="C954" s="117"/>
      <c r="D954" s="117"/>
      <c r="E954" s="117"/>
      <c r="F954" s="123"/>
      <c r="G954" s="125" t="s">
        <v>145</v>
      </c>
      <c r="H954" s="125"/>
      <c r="I954" s="125"/>
      <c r="J954" s="125"/>
      <c r="K954" s="82" t="str">
        <f t="shared" ca="1" si="1125"/>
        <v>#REF!</v>
      </c>
      <c r="L954" s="82" t="str">
        <f t="shared" ca="1" si="1126"/>
        <v>#REF!</v>
      </c>
      <c r="M954" s="82" t="str">
        <f t="shared" ca="1" si="550"/>
        <v>#REF!</v>
      </c>
      <c r="N954" s="93"/>
      <c r="O954" s="93"/>
      <c r="P954" s="95">
        <f t="shared" si="965"/>
        <v>0</v>
      </c>
      <c r="Q954" s="96">
        <f t="shared" si="1269"/>
        <v>0</v>
      </c>
      <c r="R954" s="96">
        <v>0</v>
      </c>
      <c r="S954" s="97">
        <f t="shared" si="553"/>
        <v>0</v>
      </c>
      <c r="T954" s="97" t="str">
        <f ca="1">ROUNDUP(HLOOKUP(ROUNDUP(K954,0),'배송비 조회'!A$10:AE$22,7,0)*C$3,-2)</f>
        <v>#REF!</v>
      </c>
      <c r="U954" s="97">
        <v>0</v>
      </c>
      <c r="V954" s="97" t="str">
        <f t="shared" ca="1" si="981"/>
        <v>#REF!</v>
      </c>
      <c r="W954" s="97" t="str">
        <f t="shared" ca="1" si="982"/>
        <v>#REF!</v>
      </c>
      <c r="X954" s="98" t="str">
        <f t="shared" ca="1" si="882"/>
        <v>#REF!</v>
      </c>
      <c r="Y954" s="98" t="str">
        <f t="shared" ca="1" si="883"/>
        <v>#REF!</v>
      </c>
      <c r="Z954" s="121">
        <v>0</v>
      </c>
      <c r="AA954" s="121" t="str">
        <f t="shared" ca="1" si="556"/>
        <v>#REF!</v>
      </c>
      <c r="AB954" s="121" t="str">
        <f t="shared" ca="1" si="557"/>
        <v>#REF!</v>
      </c>
      <c r="AC954" s="99" t="str">
        <f t="shared" ca="1" si="8"/>
        <v>#REF!</v>
      </c>
      <c r="AD954" s="121" t="str">
        <f t="shared" ca="1" si="558"/>
        <v>#REF!</v>
      </c>
      <c r="AE954" s="99" t="str">
        <f t="shared" ca="1" si="10"/>
        <v>#REF!</v>
      </c>
      <c r="AF954" s="121" t="str">
        <f t="shared" ca="1" si="559"/>
        <v>#REF!</v>
      </c>
      <c r="AG954" s="100" t="str">
        <f t="shared" ca="1" si="560"/>
        <v>#REF!</v>
      </c>
      <c r="AH954" s="101" t="str">
        <f t="shared" ca="1" si="891"/>
        <v>#REF!</v>
      </c>
      <c r="AI954" s="102" t="str">
        <f t="shared" ref="AI954:AJ954" ca="1" si="1289">AG954/X954</f>
        <v>#REF!</v>
      </c>
      <c r="AJ954" s="102" t="str">
        <f t="shared" ca="1" si="1289"/>
        <v>#REF!</v>
      </c>
      <c r="AK954" s="212"/>
      <c r="AL954" s="213"/>
      <c r="AM954" s="4"/>
      <c r="AN954" s="4"/>
      <c r="AO954" s="4"/>
      <c r="AP954" s="4"/>
      <c r="AQ954" s="4"/>
      <c r="AR954" s="4"/>
      <c r="AS954" s="4"/>
      <c r="AT954" s="4"/>
      <c r="AU954" s="4"/>
      <c r="AV954" s="4"/>
      <c r="AW954" s="4"/>
    </row>
    <row r="955" spans="1:49" ht="13.2">
      <c r="A955" s="120"/>
      <c r="B955" s="266"/>
      <c r="C955" s="117"/>
      <c r="D955" s="117"/>
      <c r="E955" s="117"/>
      <c r="F955" s="123"/>
      <c r="G955" s="125" t="s">
        <v>145</v>
      </c>
      <c r="H955" s="125"/>
      <c r="I955" s="125"/>
      <c r="J955" s="125"/>
      <c r="K955" s="82" t="str">
        <f t="shared" ca="1" si="1125"/>
        <v>#REF!</v>
      </c>
      <c r="L955" s="82" t="str">
        <f t="shared" ca="1" si="1126"/>
        <v>#REF!</v>
      </c>
      <c r="M955" s="82" t="str">
        <f t="shared" ca="1" si="550"/>
        <v>#REF!</v>
      </c>
      <c r="N955" s="93"/>
      <c r="O955" s="93"/>
      <c r="P955" s="95">
        <f t="shared" si="965"/>
        <v>0</v>
      </c>
      <c r="Q955" s="96">
        <f t="shared" si="1269"/>
        <v>0</v>
      </c>
      <c r="R955" s="96">
        <v>0</v>
      </c>
      <c r="S955" s="97">
        <f t="shared" si="553"/>
        <v>0</v>
      </c>
      <c r="T955" s="97" t="str">
        <f ca="1">ROUNDUP(HLOOKUP(ROUNDUP(K955,0),'배송비 조회'!A$10:AE$22,7,0)*C$3,-2)</f>
        <v>#REF!</v>
      </c>
      <c r="U955" s="97">
        <v>0</v>
      </c>
      <c r="V955" s="97" t="str">
        <f t="shared" ca="1" si="981"/>
        <v>#REF!</v>
      </c>
      <c r="W955" s="97" t="str">
        <f t="shared" ca="1" si="982"/>
        <v>#REF!</v>
      </c>
      <c r="X955" s="98" t="str">
        <f t="shared" ca="1" si="882"/>
        <v>#REF!</v>
      </c>
      <c r="Y955" s="98" t="str">
        <f t="shared" ca="1" si="883"/>
        <v>#REF!</v>
      </c>
      <c r="Z955" s="121">
        <v>0</v>
      </c>
      <c r="AA955" s="121" t="str">
        <f t="shared" ca="1" si="556"/>
        <v>#REF!</v>
      </c>
      <c r="AB955" s="121" t="str">
        <f t="shared" ca="1" si="557"/>
        <v>#REF!</v>
      </c>
      <c r="AC955" s="99" t="str">
        <f t="shared" ca="1" si="8"/>
        <v>#REF!</v>
      </c>
      <c r="AD955" s="121" t="str">
        <f t="shared" ca="1" si="558"/>
        <v>#REF!</v>
      </c>
      <c r="AE955" s="99" t="str">
        <f t="shared" ca="1" si="10"/>
        <v>#REF!</v>
      </c>
      <c r="AF955" s="121" t="str">
        <f t="shared" ca="1" si="559"/>
        <v>#REF!</v>
      </c>
      <c r="AG955" s="100" t="str">
        <f t="shared" ca="1" si="560"/>
        <v>#REF!</v>
      </c>
      <c r="AH955" s="101" t="str">
        <f t="shared" ca="1" si="891"/>
        <v>#REF!</v>
      </c>
      <c r="AI955" s="102" t="str">
        <f t="shared" ref="AI955:AJ955" ca="1" si="1290">AG955/X955</f>
        <v>#REF!</v>
      </c>
      <c r="AJ955" s="102" t="str">
        <f t="shared" ca="1" si="1290"/>
        <v>#REF!</v>
      </c>
      <c r="AK955" s="212"/>
      <c r="AL955" s="213"/>
      <c r="AM955" s="4"/>
      <c r="AN955" s="4"/>
      <c r="AO955" s="4"/>
      <c r="AP955" s="4"/>
      <c r="AQ955" s="4"/>
      <c r="AR955" s="4"/>
      <c r="AS955" s="4"/>
      <c r="AT955" s="4"/>
      <c r="AU955" s="4"/>
      <c r="AV955" s="4"/>
      <c r="AW955" s="4"/>
    </row>
    <row r="956" spans="1:49" ht="13.2">
      <c r="A956" s="120"/>
      <c r="B956" s="266"/>
      <c r="C956" s="117"/>
      <c r="D956" s="117"/>
      <c r="E956" s="117"/>
      <c r="F956" s="123"/>
      <c r="G956" s="125" t="s">
        <v>145</v>
      </c>
      <c r="H956" s="125"/>
      <c r="I956" s="125"/>
      <c r="J956" s="125"/>
      <c r="K956" s="82" t="str">
        <f t="shared" ca="1" si="1125"/>
        <v>#REF!</v>
      </c>
      <c r="L956" s="82" t="str">
        <f t="shared" ca="1" si="1126"/>
        <v>#REF!</v>
      </c>
      <c r="M956" s="82" t="str">
        <f t="shared" ca="1" si="550"/>
        <v>#REF!</v>
      </c>
      <c r="N956" s="93"/>
      <c r="O956" s="93"/>
      <c r="P956" s="95">
        <f t="shared" si="965"/>
        <v>0</v>
      </c>
      <c r="Q956" s="96">
        <f t="shared" si="1269"/>
        <v>0</v>
      </c>
      <c r="R956" s="96">
        <v>0</v>
      </c>
      <c r="S956" s="97">
        <f t="shared" si="553"/>
        <v>0</v>
      </c>
      <c r="T956" s="97" t="str">
        <f ca="1">ROUNDUP(HLOOKUP(ROUNDUP(K956,0),'배송비 조회'!A$10:AE$22,7,0)*C$3,-2)</f>
        <v>#REF!</v>
      </c>
      <c r="U956" s="97">
        <v>0</v>
      </c>
      <c r="V956" s="97" t="str">
        <f t="shared" ca="1" si="981"/>
        <v>#REF!</v>
      </c>
      <c r="W956" s="97" t="str">
        <f t="shared" ca="1" si="982"/>
        <v>#REF!</v>
      </c>
      <c r="X956" s="98" t="str">
        <f t="shared" ca="1" si="882"/>
        <v>#REF!</v>
      </c>
      <c r="Y956" s="98" t="str">
        <f t="shared" ca="1" si="883"/>
        <v>#REF!</v>
      </c>
      <c r="Z956" s="121">
        <v>0</v>
      </c>
      <c r="AA956" s="121" t="str">
        <f t="shared" ca="1" si="556"/>
        <v>#REF!</v>
      </c>
      <c r="AB956" s="121" t="str">
        <f t="shared" ca="1" si="557"/>
        <v>#REF!</v>
      </c>
      <c r="AC956" s="99" t="str">
        <f t="shared" ca="1" si="8"/>
        <v>#REF!</v>
      </c>
      <c r="AD956" s="121" t="str">
        <f t="shared" ca="1" si="558"/>
        <v>#REF!</v>
      </c>
      <c r="AE956" s="99" t="str">
        <f t="shared" ca="1" si="10"/>
        <v>#REF!</v>
      </c>
      <c r="AF956" s="121" t="str">
        <f t="shared" ca="1" si="559"/>
        <v>#REF!</v>
      </c>
      <c r="AG956" s="100" t="str">
        <f t="shared" ca="1" si="560"/>
        <v>#REF!</v>
      </c>
      <c r="AH956" s="101" t="str">
        <f t="shared" ca="1" si="891"/>
        <v>#REF!</v>
      </c>
      <c r="AI956" s="102" t="str">
        <f t="shared" ref="AI956:AJ956" ca="1" si="1291">AG956/X956</f>
        <v>#REF!</v>
      </c>
      <c r="AJ956" s="102" t="str">
        <f t="shared" ca="1" si="1291"/>
        <v>#REF!</v>
      </c>
      <c r="AK956" s="212"/>
      <c r="AL956" s="213"/>
      <c r="AM956" s="4"/>
      <c r="AN956" s="4"/>
      <c r="AO956" s="4"/>
      <c r="AP956" s="4"/>
      <c r="AQ956" s="4"/>
      <c r="AR956" s="4"/>
      <c r="AS956" s="4"/>
      <c r="AT956" s="4"/>
      <c r="AU956" s="4"/>
      <c r="AV956" s="4"/>
      <c r="AW956" s="4"/>
    </row>
    <row r="957" spans="1:49" ht="13.2">
      <c r="A957" s="120"/>
      <c r="B957" s="266"/>
      <c r="C957" s="117"/>
      <c r="D957" s="117"/>
      <c r="E957" s="117"/>
      <c r="F957" s="123"/>
      <c r="G957" s="125" t="s">
        <v>145</v>
      </c>
      <c r="H957" s="125"/>
      <c r="I957" s="125"/>
      <c r="J957" s="125"/>
      <c r="K957" s="82" t="str">
        <f t="shared" ca="1" si="1125"/>
        <v>#REF!</v>
      </c>
      <c r="L957" s="82" t="str">
        <f t="shared" ca="1" si="1126"/>
        <v>#REF!</v>
      </c>
      <c r="M957" s="82" t="str">
        <f t="shared" ca="1" si="550"/>
        <v>#REF!</v>
      </c>
      <c r="N957" s="93"/>
      <c r="O957" s="93"/>
      <c r="P957" s="95">
        <f t="shared" si="965"/>
        <v>0</v>
      </c>
      <c r="Q957" s="96">
        <f t="shared" si="1269"/>
        <v>0</v>
      </c>
      <c r="R957" s="96">
        <v>0</v>
      </c>
      <c r="S957" s="97">
        <f t="shared" si="553"/>
        <v>0</v>
      </c>
      <c r="T957" s="97" t="str">
        <f ca="1">ROUNDUP(HLOOKUP(ROUNDUP(K957,0),'배송비 조회'!A$10:AE$22,7,0)*C$3,-2)</f>
        <v>#REF!</v>
      </c>
      <c r="U957" s="97">
        <v>0</v>
      </c>
      <c r="V957" s="97" t="str">
        <f t="shared" ca="1" si="981"/>
        <v>#REF!</v>
      </c>
      <c r="W957" s="97" t="str">
        <f t="shared" ca="1" si="982"/>
        <v>#REF!</v>
      </c>
      <c r="X957" s="98" t="str">
        <f t="shared" ca="1" si="882"/>
        <v>#REF!</v>
      </c>
      <c r="Y957" s="98" t="str">
        <f t="shared" ca="1" si="883"/>
        <v>#REF!</v>
      </c>
      <c r="Z957" s="121">
        <v>0</v>
      </c>
      <c r="AA957" s="121" t="str">
        <f t="shared" ca="1" si="556"/>
        <v>#REF!</v>
      </c>
      <c r="AB957" s="121" t="str">
        <f t="shared" ca="1" si="557"/>
        <v>#REF!</v>
      </c>
      <c r="AC957" s="99" t="str">
        <f t="shared" ca="1" si="8"/>
        <v>#REF!</v>
      </c>
      <c r="AD957" s="121" t="str">
        <f t="shared" ca="1" si="558"/>
        <v>#REF!</v>
      </c>
      <c r="AE957" s="99" t="str">
        <f t="shared" ca="1" si="10"/>
        <v>#REF!</v>
      </c>
      <c r="AF957" s="121" t="str">
        <f t="shared" ca="1" si="559"/>
        <v>#REF!</v>
      </c>
      <c r="AG957" s="100" t="str">
        <f t="shared" ca="1" si="560"/>
        <v>#REF!</v>
      </c>
      <c r="AH957" s="101" t="str">
        <f t="shared" ca="1" si="891"/>
        <v>#REF!</v>
      </c>
      <c r="AI957" s="102" t="str">
        <f t="shared" ref="AI957:AJ957" ca="1" si="1292">AG957/X957</f>
        <v>#REF!</v>
      </c>
      <c r="AJ957" s="102" t="str">
        <f t="shared" ca="1" si="1292"/>
        <v>#REF!</v>
      </c>
      <c r="AK957" s="212"/>
      <c r="AL957" s="213"/>
      <c r="AM957" s="4"/>
      <c r="AN957" s="4"/>
      <c r="AO957" s="4"/>
      <c r="AP957" s="4"/>
      <c r="AQ957" s="4"/>
      <c r="AR957" s="4"/>
      <c r="AS957" s="4"/>
      <c r="AT957" s="4"/>
      <c r="AU957" s="4"/>
      <c r="AV957" s="4"/>
      <c r="AW957" s="4"/>
    </row>
    <row r="958" spans="1:49" ht="13.2">
      <c r="A958" s="120"/>
      <c r="B958" s="266"/>
      <c r="C958" s="117"/>
      <c r="D958" s="117"/>
      <c r="E958" s="117"/>
      <c r="F958" s="123"/>
      <c r="G958" s="125" t="s">
        <v>145</v>
      </c>
      <c r="H958" s="125"/>
      <c r="I958" s="125"/>
      <c r="J958" s="125"/>
      <c r="K958" s="82" t="str">
        <f t="shared" ca="1" si="1125"/>
        <v>#REF!</v>
      </c>
      <c r="L958" s="82" t="str">
        <f t="shared" ca="1" si="1126"/>
        <v>#REF!</v>
      </c>
      <c r="M958" s="82" t="str">
        <f t="shared" ca="1" si="550"/>
        <v>#REF!</v>
      </c>
      <c r="N958" s="93"/>
      <c r="O958" s="93"/>
      <c r="P958" s="95">
        <f t="shared" si="965"/>
        <v>0</v>
      </c>
      <c r="Q958" s="96">
        <f t="shared" si="1269"/>
        <v>0</v>
      </c>
      <c r="R958" s="96">
        <v>0</v>
      </c>
      <c r="S958" s="97">
        <f t="shared" si="553"/>
        <v>0</v>
      </c>
      <c r="T958" s="97" t="str">
        <f ca="1">ROUNDUP(HLOOKUP(ROUNDUP(K958,0),'배송비 조회'!A$10:AE$22,7,0)*C$3,-2)</f>
        <v>#REF!</v>
      </c>
      <c r="U958" s="97">
        <v>0</v>
      </c>
      <c r="V958" s="97" t="str">
        <f t="shared" ca="1" si="981"/>
        <v>#REF!</v>
      </c>
      <c r="W958" s="97" t="str">
        <f t="shared" ca="1" si="982"/>
        <v>#REF!</v>
      </c>
      <c r="X958" s="98" t="str">
        <f t="shared" ca="1" si="882"/>
        <v>#REF!</v>
      </c>
      <c r="Y958" s="98" t="str">
        <f t="shared" ca="1" si="883"/>
        <v>#REF!</v>
      </c>
      <c r="Z958" s="121">
        <v>0</v>
      </c>
      <c r="AA958" s="121" t="str">
        <f t="shared" ca="1" si="556"/>
        <v>#REF!</v>
      </c>
      <c r="AB958" s="121" t="str">
        <f t="shared" ca="1" si="557"/>
        <v>#REF!</v>
      </c>
      <c r="AC958" s="99" t="str">
        <f t="shared" ca="1" si="8"/>
        <v>#REF!</v>
      </c>
      <c r="AD958" s="121" t="str">
        <f t="shared" ca="1" si="558"/>
        <v>#REF!</v>
      </c>
      <c r="AE958" s="99" t="str">
        <f t="shared" ca="1" si="10"/>
        <v>#REF!</v>
      </c>
      <c r="AF958" s="121" t="str">
        <f t="shared" ca="1" si="559"/>
        <v>#REF!</v>
      </c>
      <c r="AG958" s="100" t="str">
        <f t="shared" ca="1" si="560"/>
        <v>#REF!</v>
      </c>
      <c r="AH958" s="101" t="str">
        <f t="shared" ca="1" si="891"/>
        <v>#REF!</v>
      </c>
      <c r="AI958" s="102" t="str">
        <f t="shared" ref="AI958:AJ958" ca="1" si="1293">AG958/X958</f>
        <v>#REF!</v>
      </c>
      <c r="AJ958" s="102" t="str">
        <f t="shared" ca="1" si="1293"/>
        <v>#REF!</v>
      </c>
      <c r="AK958" s="212"/>
      <c r="AL958" s="213"/>
      <c r="AM958" s="4"/>
      <c r="AN958" s="4"/>
      <c r="AO958" s="4"/>
      <c r="AP958" s="4"/>
      <c r="AQ958" s="4"/>
      <c r="AR958" s="4"/>
      <c r="AS958" s="4"/>
      <c r="AT958" s="4"/>
      <c r="AU958" s="4"/>
      <c r="AV958" s="4"/>
      <c r="AW958" s="4"/>
    </row>
    <row r="959" spans="1:49" ht="13.2">
      <c r="A959" s="120"/>
      <c r="B959" s="266"/>
      <c r="C959" s="117"/>
      <c r="D959" s="117"/>
      <c r="E959" s="117"/>
      <c r="F959" s="123"/>
      <c r="G959" s="125" t="s">
        <v>145</v>
      </c>
      <c r="H959" s="125"/>
      <c r="I959" s="125"/>
      <c r="J959" s="125"/>
      <c r="K959" s="82" t="str">
        <f t="shared" ca="1" si="1125"/>
        <v>#REF!</v>
      </c>
      <c r="L959" s="82" t="str">
        <f t="shared" ca="1" si="1126"/>
        <v>#REF!</v>
      </c>
      <c r="M959" s="82" t="str">
        <f t="shared" ca="1" si="550"/>
        <v>#REF!</v>
      </c>
      <c r="N959" s="93"/>
      <c r="O959" s="93"/>
      <c r="P959" s="95">
        <f t="shared" si="965"/>
        <v>0</v>
      </c>
      <c r="Q959" s="96">
        <f t="shared" si="1269"/>
        <v>0</v>
      </c>
      <c r="R959" s="96">
        <v>0</v>
      </c>
      <c r="S959" s="97">
        <f t="shared" si="553"/>
        <v>0</v>
      </c>
      <c r="T959" s="97" t="str">
        <f ca="1">ROUNDUP(HLOOKUP(ROUNDUP(K959,0),'배송비 조회'!A$10:AE$22,7,0)*C$3,-2)</f>
        <v>#REF!</v>
      </c>
      <c r="U959" s="97">
        <v>0</v>
      </c>
      <c r="V959" s="97" t="str">
        <f t="shared" ca="1" si="981"/>
        <v>#REF!</v>
      </c>
      <c r="W959" s="97" t="str">
        <f t="shared" ca="1" si="982"/>
        <v>#REF!</v>
      </c>
      <c r="X959" s="98" t="str">
        <f t="shared" ca="1" si="882"/>
        <v>#REF!</v>
      </c>
      <c r="Y959" s="98" t="str">
        <f t="shared" ca="1" si="883"/>
        <v>#REF!</v>
      </c>
      <c r="Z959" s="121">
        <v>0</v>
      </c>
      <c r="AA959" s="121" t="str">
        <f t="shared" ca="1" si="556"/>
        <v>#REF!</v>
      </c>
      <c r="AB959" s="121" t="str">
        <f t="shared" ca="1" si="557"/>
        <v>#REF!</v>
      </c>
      <c r="AC959" s="99" t="str">
        <f t="shared" ca="1" si="8"/>
        <v>#REF!</v>
      </c>
      <c r="AD959" s="121" t="str">
        <f t="shared" ca="1" si="558"/>
        <v>#REF!</v>
      </c>
      <c r="AE959" s="99" t="str">
        <f t="shared" ca="1" si="10"/>
        <v>#REF!</v>
      </c>
      <c r="AF959" s="121" t="str">
        <f t="shared" ca="1" si="559"/>
        <v>#REF!</v>
      </c>
      <c r="AG959" s="100" t="str">
        <f t="shared" ca="1" si="560"/>
        <v>#REF!</v>
      </c>
      <c r="AH959" s="101" t="str">
        <f t="shared" ca="1" si="891"/>
        <v>#REF!</v>
      </c>
      <c r="AI959" s="102" t="str">
        <f t="shared" ref="AI959:AJ959" ca="1" si="1294">AG959/X959</f>
        <v>#REF!</v>
      </c>
      <c r="AJ959" s="102" t="str">
        <f t="shared" ca="1" si="1294"/>
        <v>#REF!</v>
      </c>
      <c r="AK959" s="212"/>
      <c r="AL959" s="213"/>
      <c r="AM959" s="4"/>
      <c r="AN959" s="4"/>
      <c r="AO959" s="4"/>
      <c r="AP959" s="4"/>
      <c r="AQ959" s="4"/>
      <c r="AR959" s="4"/>
      <c r="AS959" s="4"/>
      <c r="AT959" s="4"/>
      <c r="AU959" s="4"/>
      <c r="AV959" s="4"/>
      <c r="AW959" s="4"/>
    </row>
    <row r="960" spans="1:49" ht="13.2">
      <c r="A960" s="120"/>
      <c r="B960" s="266"/>
      <c r="C960" s="117"/>
      <c r="D960" s="117"/>
      <c r="E960" s="117"/>
      <c r="F960" s="123"/>
      <c r="G960" s="125" t="s">
        <v>145</v>
      </c>
      <c r="H960" s="125"/>
      <c r="I960" s="125"/>
      <c r="J960" s="125"/>
      <c r="K960" s="82" t="str">
        <f t="shared" ca="1" si="1125"/>
        <v>#REF!</v>
      </c>
      <c r="L960" s="82" t="str">
        <f t="shared" ca="1" si="1126"/>
        <v>#REF!</v>
      </c>
      <c r="M960" s="82" t="str">
        <f t="shared" ca="1" si="550"/>
        <v>#REF!</v>
      </c>
      <c r="N960" s="93"/>
      <c r="O960" s="93"/>
      <c r="P960" s="95">
        <f t="shared" si="965"/>
        <v>0</v>
      </c>
      <c r="Q960" s="96">
        <f t="shared" si="1269"/>
        <v>0</v>
      </c>
      <c r="R960" s="96">
        <v>0</v>
      </c>
      <c r="S960" s="97">
        <f t="shared" si="553"/>
        <v>0</v>
      </c>
      <c r="T960" s="97" t="str">
        <f ca="1">ROUNDUP(HLOOKUP(ROUNDUP(K960,0),'배송비 조회'!A$10:AE$22,7,0)*C$3,-2)</f>
        <v>#REF!</v>
      </c>
      <c r="U960" s="97">
        <v>0</v>
      </c>
      <c r="V960" s="97" t="str">
        <f t="shared" ca="1" si="981"/>
        <v>#REF!</v>
      </c>
      <c r="W960" s="97" t="str">
        <f t="shared" ca="1" si="982"/>
        <v>#REF!</v>
      </c>
      <c r="X960" s="98" t="str">
        <f t="shared" ca="1" si="882"/>
        <v>#REF!</v>
      </c>
      <c r="Y960" s="98" t="str">
        <f t="shared" ca="1" si="883"/>
        <v>#REF!</v>
      </c>
      <c r="Z960" s="121">
        <v>0</v>
      </c>
      <c r="AA960" s="121" t="str">
        <f t="shared" ca="1" si="556"/>
        <v>#REF!</v>
      </c>
      <c r="AB960" s="121" t="str">
        <f t="shared" ca="1" si="557"/>
        <v>#REF!</v>
      </c>
      <c r="AC960" s="99" t="str">
        <f t="shared" ca="1" si="8"/>
        <v>#REF!</v>
      </c>
      <c r="AD960" s="121" t="str">
        <f t="shared" ca="1" si="558"/>
        <v>#REF!</v>
      </c>
      <c r="AE960" s="99" t="str">
        <f t="shared" ca="1" si="10"/>
        <v>#REF!</v>
      </c>
      <c r="AF960" s="121" t="str">
        <f t="shared" ca="1" si="559"/>
        <v>#REF!</v>
      </c>
      <c r="AG960" s="100" t="str">
        <f t="shared" ca="1" si="560"/>
        <v>#REF!</v>
      </c>
      <c r="AH960" s="101" t="str">
        <f t="shared" ca="1" si="891"/>
        <v>#REF!</v>
      </c>
      <c r="AI960" s="102" t="str">
        <f t="shared" ref="AI960:AJ960" ca="1" si="1295">AG960/X960</f>
        <v>#REF!</v>
      </c>
      <c r="AJ960" s="102" t="str">
        <f t="shared" ca="1" si="1295"/>
        <v>#REF!</v>
      </c>
      <c r="AK960" s="212"/>
      <c r="AL960" s="213"/>
      <c r="AM960" s="4"/>
      <c r="AN960" s="4"/>
      <c r="AO960" s="4"/>
      <c r="AP960" s="4"/>
      <c r="AQ960" s="4"/>
      <c r="AR960" s="4"/>
      <c r="AS960" s="4"/>
      <c r="AT960" s="4"/>
      <c r="AU960" s="4"/>
      <c r="AV960" s="4"/>
      <c r="AW960" s="4"/>
    </row>
    <row r="961" spans="1:49" ht="13.2">
      <c r="A961" s="120"/>
      <c r="B961" s="266"/>
      <c r="C961" s="117"/>
      <c r="D961" s="117"/>
      <c r="E961" s="117"/>
      <c r="F961" s="123"/>
      <c r="G961" s="125" t="s">
        <v>145</v>
      </c>
      <c r="H961" s="125"/>
      <c r="I961" s="125"/>
      <c r="J961" s="125"/>
      <c r="K961" s="82" t="str">
        <f t="shared" ca="1" si="1125"/>
        <v>#REF!</v>
      </c>
      <c r="L961" s="82" t="str">
        <f t="shared" ca="1" si="1126"/>
        <v>#REF!</v>
      </c>
      <c r="M961" s="82" t="str">
        <f t="shared" ca="1" si="550"/>
        <v>#REF!</v>
      </c>
      <c r="N961" s="93"/>
      <c r="O961" s="93"/>
      <c r="P961" s="95">
        <f t="shared" si="965"/>
        <v>0</v>
      </c>
      <c r="Q961" s="96">
        <f t="shared" si="1269"/>
        <v>0</v>
      </c>
      <c r="R961" s="96">
        <v>0</v>
      </c>
      <c r="S961" s="97">
        <f t="shared" si="553"/>
        <v>0</v>
      </c>
      <c r="T961" s="97" t="str">
        <f ca="1">ROUNDUP(HLOOKUP(ROUNDUP(K961,0),'배송비 조회'!A$10:AE$22,7,0)*C$3,-2)</f>
        <v>#REF!</v>
      </c>
      <c r="U961" s="97">
        <v>0</v>
      </c>
      <c r="V961" s="97" t="str">
        <f t="shared" ca="1" si="981"/>
        <v>#REF!</v>
      </c>
      <c r="W961" s="97" t="str">
        <f t="shared" ca="1" si="982"/>
        <v>#REF!</v>
      </c>
      <c r="X961" s="98" t="str">
        <f t="shared" ca="1" si="882"/>
        <v>#REF!</v>
      </c>
      <c r="Y961" s="98" t="str">
        <f t="shared" ca="1" si="883"/>
        <v>#REF!</v>
      </c>
      <c r="Z961" s="121">
        <v>0</v>
      </c>
      <c r="AA961" s="121" t="str">
        <f t="shared" ca="1" si="556"/>
        <v>#REF!</v>
      </c>
      <c r="AB961" s="121" t="str">
        <f t="shared" ca="1" si="557"/>
        <v>#REF!</v>
      </c>
      <c r="AC961" s="99" t="str">
        <f t="shared" ca="1" si="8"/>
        <v>#REF!</v>
      </c>
      <c r="AD961" s="121" t="str">
        <f t="shared" ca="1" si="558"/>
        <v>#REF!</v>
      </c>
      <c r="AE961" s="99" t="str">
        <f t="shared" ca="1" si="10"/>
        <v>#REF!</v>
      </c>
      <c r="AF961" s="121" t="str">
        <f t="shared" ca="1" si="559"/>
        <v>#REF!</v>
      </c>
      <c r="AG961" s="100" t="str">
        <f t="shared" ca="1" si="560"/>
        <v>#REF!</v>
      </c>
      <c r="AH961" s="101" t="str">
        <f t="shared" ca="1" si="891"/>
        <v>#REF!</v>
      </c>
      <c r="AI961" s="102" t="str">
        <f t="shared" ref="AI961:AJ961" ca="1" si="1296">AG961/X961</f>
        <v>#REF!</v>
      </c>
      <c r="AJ961" s="102" t="str">
        <f t="shared" ca="1" si="1296"/>
        <v>#REF!</v>
      </c>
      <c r="AK961" s="212"/>
      <c r="AL961" s="213"/>
      <c r="AM961" s="4"/>
      <c r="AN961" s="4"/>
      <c r="AO961" s="4"/>
      <c r="AP961" s="4"/>
      <c r="AQ961" s="4"/>
      <c r="AR961" s="4"/>
      <c r="AS961" s="4"/>
      <c r="AT961" s="4"/>
      <c r="AU961" s="4"/>
      <c r="AV961" s="4"/>
      <c r="AW961" s="4"/>
    </row>
    <row r="962" spans="1:49" ht="13.2">
      <c r="A962" s="120"/>
      <c r="B962" s="266"/>
      <c r="C962" s="117"/>
      <c r="D962" s="117"/>
      <c r="E962" s="117"/>
      <c r="F962" s="123"/>
      <c r="G962" s="125" t="s">
        <v>145</v>
      </c>
      <c r="H962" s="125"/>
      <c r="I962" s="125"/>
      <c r="J962" s="125"/>
      <c r="K962" s="82" t="str">
        <f t="shared" ca="1" si="1125"/>
        <v>#REF!</v>
      </c>
      <c r="L962" s="82" t="str">
        <f t="shared" ca="1" si="1126"/>
        <v>#REF!</v>
      </c>
      <c r="M962" s="82" t="str">
        <f t="shared" ca="1" si="550"/>
        <v>#REF!</v>
      </c>
      <c r="N962" s="93"/>
      <c r="O962" s="93"/>
      <c r="P962" s="95">
        <f t="shared" si="965"/>
        <v>0</v>
      </c>
      <c r="Q962" s="96">
        <f t="shared" si="1269"/>
        <v>0</v>
      </c>
      <c r="R962" s="96">
        <v>0</v>
      </c>
      <c r="S962" s="97">
        <f t="shared" si="553"/>
        <v>0</v>
      </c>
      <c r="T962" s="97" t="str">
        <f ca="1">ROUNDUP(HLOOKUP(ROUNDUP(K962,0),'배송비 조회'!A$10:AE$22,7,0)*C$3,-2)</f>
        <v>#REF!</v>
      </c>
      <c r="U962" s="97">
        <v>0</v>
      </c>
      <c r="V962" s="97" t="str">
        <f t="shared" ca="1" si="981"/>
        <v>#REF!</v>
      </c>
      <c r="W962" s="97" t="str">
        <f t="shared" ca="1" si="982"/>
        <v>#REF!</v>
      </c>
      <c r="X962" s="98" t="str">
        <f t="shared" ca="1" si="882"/>
        <v>#REF!</v>
      </c>
      <c r="Y962" s="98" t="str">
        <f t="shared" ca="1" si="883"/>
        <v>#REF!</v>
      </c>
      <c r="Z962" s="121">
        <v>0</v>
      </c>
      <c r="AA962" s="121" t="str">
        <f t="shared" ca="1" si="556"/>
        <v>#REF!</v>
      </c>
      <c r="AB962" s="121" t="str">
        <f t="shared" ca="1" si="557"/>
        <v>#REF!</v>
      </c>
      <c r="AC962" s="99" t="str">
        <f t="shared" ca="1" si="8"/>
        <v>#REF!</v>
      </c>
      <c r="AD962" s="121" t="str">
        <f t="shared" ca="1" si="558"/>
        <v>#REF!</v>
      </c>
      <c r="AE962" s="99" t="str">
        <f t="shared" ca="1" si="10"/>
        <v>#REF!</v>
      </c>
      <c r="AF962" s="121" t="str">
        <f t="shared" ca="1" si="559"/>
        <v>#REF!</v>
      </c>
      <c r="AG962" s="100" t="str">
        <f t="shared" ca="1" si="560"/>
        <v>#REF!</v>
      </c>
      <c r="AH962" s="101" t="str">
        <f t="shared" ca="1" si="891"/>
        <v>#REF!</v>
      </c>
      <c r="AI962" s="102" t="str">
        <f t="shared" ref="AI962:AJ962" ca="1" si="1297">AG962/X962</f>
        <v>#REF!</v>
      </c>
      <c r="AJ962" s="102" t="str">
        <f t="shared" ca="1" si="1297"/>
        <v>#REF!</v>
      </c>
      <c r="AK962" s="212"/>
      <c r="AL962" s="213"/>
      <c r="AM962" s="4"/>
      <c r="AN962" s="4"/>
      <c r="AO962" s="4"/>
      <c r="AP962" s="4"/>
      <c r="AQ962" s="4"/>
      <c r="AR962" s="4"/>
      <c r="AS962" s="4"/>
      <c r="AT962" s="4"/>
      <c r="AU962" s="4"/>
      <c r="AV962" s="4"/>
      <c r="AW962" s="4"/>
    </row>
    <row r="963" spans="1:49" ht="13.2">
      <c r="A963" s="120"/>
      <c r="B963" s="266"/>
      <c r="C963" s="117"/>
      <c r="D963" s="117"/>
      <c r="E963" s="117"/>
      <c r="F963" s="123"/>
      <c r="G963" s="125" t="s">
        <v>145</v>
      </c>
      <c r="H963" s="125"/>
      <c r="I963" s="125"/>
      <c r="J963" s="125"/>
      <c r="K963" s="82" t="str">
        <f t="shared" ca="1" si="1125"/>
        <v>#REF!</v>
      </c>
      <c r="L963" s="82" t="str">
        <f t="shared" ca="1" si="1126"/>
        <v>#REF!</v>
      </c>
      <c r="M963" s="82" t="str">
        <f t="shared" ca="1" si="550"/>
        <v>#REF!</v>
      </c>
      <c r="N963" s="93"/>
      <c r="O963" s="93"/>
      <c r="P963" s="95">
        <f t="shared" si="965"/>
        <v>0</v>
      </c>
      <c r="Q963" s="96">
        <f t="shared" si="1269"/>
        <v>0</v>
      </c>
      <c r="R963" s="96">
        <v>0</v>
      </c>
      <c r="S963" s="97">
        <f t="shared" si="553"/>
        <v>0</v>
      </c>
      <c r="T963" s="97" t="str">
        <f ca="1">ROUNDUP(HLOOKUP(ROUNDUP(K963,0),'배송비 조회'!A$10:AE$22,7,0)*C$3,-2)</f>
        <v>#REF!</v>
      </c>
      <c r="U963" s="97">
        <v>0</v>
      </c>
      <c r="V963" s="97" t="str">
        <f t="shared" ca="1" si="981"/>
        <v>#REF!</v>
      </c>
      <c r="W963" s="97" t="str">
        <f t="shared" ca="1" si="982"/>
        <v>#REF!</v>
      </c>
      <c r="X963" s="98" t="str">
        <f t="shared" ca="1" si="882"/>
        <v>#REF!</v>
      </c>
      <c r="Y963" s="98" t="str">
        <f t="shared" ca="1" si="883"/>
        <v>#REF!</v>
      </c>
      <c r="Z963" s="121">
        <v>0</v>
      </c>
      <c r="AA963" s="121" t="str">
        <f t="shared" ca="1" si="556"/>
        <v>#REF!</v>
      </c>
      <c r="AB963" s="121" t="str">
        <f t="shared" ca="1" si="557"/>
        <v>#REF!</v>
      </c>
      <c r="AC963" s="99" t="str">
        <f t="shared" ca="1" si="8"/>
        <v>#REF!</v>
      </c>
      <c r="AD963" s="121" t="str">
        <f t="shared" ca="1" si="558"/>
        <v>#REF!</v>
      </c>
      <c r="AE963" s="99" t="str">
        <f t="shared" ca="1" si="10"/>
        <v>#REF!</v>
      </c>
      <c r="AF963" s="121" t="str">
        <f t="shared" ca="1" si="559"/>
        <v>#REF!</v>
      </c>
      <c r="AG963" s="100" t="str">
        <f t="shared" ca="1" si="560"/>
        <v>#REF!</v>
      </c>
      <c r="AH963" s="101" t="str">
        <f t="shared" ca="1" si="891"/>
        <v>#REF!</v>
      </c>
      <c r="AI963" s="102" t="str">
        <f t="shared" ref="AI963:AJ963" ca="1" si="1298">AG963/X963</f>
        <v>#REF!</v>
      </c>
      <c r="AJ963" s="102" t="str">
        <f t="shared" ca="1" si="1298"/>
        <v>#REF!</v>
      </c>
      <c r="AK963" s="212"/>
      <c r="AL963" s="213"/>
      <c r="AM963" s="4"/>
      <c r="AN963" s="4"/>
      <c r="AO963" s="4"/>
      <c r="AP963" s="4"/>
      <c r="AQ963" s="4"/>
      <c r="AR963" s="4"/>
      <c r="AS963" s="4"/>
      <c r="AT963" s="4"/>
      <c r="AU963" s="4"/>
      <c r="AV963" s="4"/>
      <c r="AW963" s="4"/>
    </row>
    <row r="964" spans="1:49" ht="13.2">
      <c r="A964" s="120"/>
      <c r="B964" s="266"/>
      <c r="C964" s="117"/>
      <c r="D964" s="117"/>
      <c r="E964" s="117"/>
      <c r="F964" s="123"/>
      <c r="G964" s="125" t="s">
        <v>145</v>
      </c>
      <c r="H964" s="125"/>
      <c r="I964" s="125"/>
      <c r="J964" s="125"/>
      <c r="K964" s="82" t="str">
        <f t="shared" ca="1" si="1125"/>
        <v>#REF!</v>
      </c>
      <c r="L964" s="82" t="str">
        <f t="shared" ca="1" si="1126"/>
        <v>#REF!</v>
      </c>
      <c r="M964" s="82" t="str">
        <f t="shared" ca="1" si="550"/>
        <v>#REF!</v>
      </c>
      <c r="N964" s="93"/>
      <c r="O964" s="93"/>
      <c r="P964" s="95">
        <f t="shared" si="965"/>
        <v>0</v>
      </c>
      <c r="Q964" s="96">
        <f t="shared" si="1269"/>
        <v>0</v>
      </c>
      <c r="R964" s="96">
        <v>0</v>
      </c>
      <c r="S964" s="97">
        <f t="shared" si="553"/>
        <v>0</v>
      </c>
      <c r="T964" s="97" t="str">
        <f ca="1">ROUNDUP(HLOOKUP(ROUNDUP(K964,0),'배송비 조회'!A$10:AE$22,7,0)*C$3,-2)</f>
        <v>#REF!</v>
      </c>
      <c r="U964" s="97">
        <v>0</v>
      </c>
      <c r="V964" s="97" t="str">
        <f t="shared" ca="1" si="981"/>
        <v>#REF!</v>
      </c>
      <c r="W964" s="97" t="str">
        <f t="shared" ca="1" si="982"/>
        <v>#REF!</v>
      </c>
      <c r="X964" s="98" t="str">
        <f t="shared" ca="1" si="882"/>
        <v>#REF!</v>
      </c>
      <c r="Y964" s="98" t="str">
        <f t="shared" ca="1" si="883"/>
        <v>#REF!</v>
      </c>
      <c r="Z964" s="121">
        <v>0</v>
      </c>
      <c r="AA964" s="121" t="str">
        <f t="shared" ca="1" si="556"/>
        <v>#REF!</v>
      </c>
      <c r="AB964" s="121" t="str">
        <f t="shared" ca="1" si="557"/>
        <v>#REF!</v>
      </c>
      <c r="AC964" s="99" t="str">
        <f t="shared" ca="1" si="8"/>
        <v>#REF!</v>
      </c>
      <c r="AD964" s="121" t="str">
        <f t="shared" ca="1" si="558"/>
        <v>#REF!</v>
      </c>
      <c r="AE964" s="99" t="str">
        <f t="shared" ca="1" si="10"/>
        <v>#REF!</v>
      </c>
      <c r="AF964" s="121" t="str">
        <f t="shared" ca="1" si="559"/>
        <v>#REF!</v>
      </c>
      <c r="AG964" s="100" t="str">
        <f t="shared" ca="1" si="560"/>
        <v>#REF!</v>
      </c>
      <c r="AH964" s="101" t="str">
        <f t="shared" ca="1" si="891"/>
        <v>#REF!</v>
      </c>
      <c r="AI964" s="102" t="str">
        <f t="shared" ref="AI964:AJ964" ca="1" si="1299">AG964/X964</f>
        <v>#REF!</v>
      </c>
      <c r="AJ964" s="102" t="str">
        <f t="shared" ca="1" si="1299"/>
        <v>#REF!</v>
      </c>
      <c r="AK964" s="212"/>
      <c r="AL964" s="213"/>
      <c r="AM964" s="4"/>
      <c r="AN964" s="4"/>
      <c r="AO964" s="4"/>
      <c r="AP964" s="4"/>
      <c r="AQ964" s="4"/>
      <c r="AR964" s="4"/>
      <c r="AS964" s="4"/>
      <c r="AT964" s="4"/>
      <c r="AU964" s="4"/>
      <c r="AV964" s="4"/>
      <c r="AW964" s="4"/>
    </row>
    <row r="965" spans="1:49" ht="13.2">
      <c r="A965" s="120"/>
      <c r="B965" s="266"/>
      <c r="C965" s="117"/>
      <c r="D965" s="117"/>
      <c r="E965" s="117"/>
      <c r="F965" s="123"/>
      <c r="G965" s="125" t="s">
        <v>145</v>
      </c>
      <c r="H965" s="125"/>
      <c r="I965" s="125"/>
      <c r="J965" s="125"/>
      <c r="K965" s="82" t="str">
        <f t="shared" ca="1" si="1125"/>
        <v>#REF!</v>
      </c>
      <c r="L965" s="82" t="str">
        <f t="shared" ca="1" si="1126"/>
        <v>#REF!</v>
      </c>
      <c r="M965" s="82" t="str">
        <f t="shared" ca="1" si="550"/>
        <v>#REF!</v>
      </c>
      <c r="N965" s="93"/>
      <c r="O965" s="93"/>
      <c r="P965" s="95">
        <f t="shared" si="965"/>
        <v>0</v>
      </c>
      <c r="Q965" s="96">
        <f t="shared" si="1269"/>
        <v>0</v>
      </c>
      <c r="R965" s="96">
        <v>0</v>
      </c>
      <c r="S965" s="97">
        <f t="shared" si="553"/>
        <v>0</v>
      </c>
      <c r="T965" s="97" t="str">
        <f ca="1">ROUNDUP(HLOOKUP(ROUNDUP(K965,0),'배송비 조회'!A$10:AE$22,7,0)*C$3,-2)</f>
        <v>#REF!</v>
      </c>
      <c r="U965" s="97">
        <v>0</v>
      </c>
      <c r="V965" s="97" t="str">
        <f t="shared" ca="1" si="981"/>
        <v>#REF!</v>
      </c>
      <c r="W965" s="97" t="str">
        <f t="shared" ca="1" si="982"/>
        <v>#REF!</v>
      </c>
      <c r="X965" s="98" t="str">
        <f t="shared" ca="1" si="882"/>
        <v>#REF!</v>
      </c>
      <c r="Y965" s="98" t="str">
        <f t="shared" ca="1" si="883"/>
        <v>#REF!</v>
      </c>
      <c r="Z965" s="121">
        <v>0</v>
      </c>
      <c r="AA965" s="121" t="str">
        <f t="shared" ca="1" si="556"/>
        <v>#REF!</v>
      </c>
      <c r="AB965" s="121" t="str">
        <f t="shared" ca="1" si="557"/>
        <v>#REF!</v>
      </c>
      <c r="AC965" s="99" t="str">
        <f t="shared" ca="1" si="8"/>
        <v>#REF!</v>
      </c>
      <c r="AD965" s="121" t="str">
        <f t="shared" ca="1" si="558"/>
        <v>#REF!</v>
      </c>
      <c r="AE965" s="99" t="str">
        <f t="shared" ca="1" si="10"/>
        <v>#REF!</v>
      </c>
      <c r="AF965" s="121" t="str">
        <f t="shared" ca="1" si="559"/>
        <v>#REF!</v>
      </c>
      <c r="AG965" s="100" t="str">
        <f t="shared" ca="1" si="560"/>
        <v>#REF!</v>
      </c>
      <c r="AH965" s="101" t="str">
        <f t="shared" ca="1" si="891"/>
        <v>#REF!</v>
      </c>
      <c r="AI965" s="102" t="str">
        <f t="shared" ref="AI965:AJ965" ca="1" si="1300">AG965/X965</f>
        <v>#REF!</v>
      </c>
      <c r="AJ965" s="102" t="str">
        <f t="shared" ca="1" si="1300"/>
        <v>#REF!</v>
      </c>
      <c r="AK965" s="212"/>
      <c r="AL965" s="213"/>
      <c r="AM965" s="4"/>
      <c r="AN965" s="4"/>
      <c r="AO965" s="4"/>
      <c r="AP965" s="4"/>
      <c r="AQ965" s="4"/>
      <c r="AR965" s="4"/>
      <c r="AS965" s="4"/>
      <c r="AT965" s="4"/>
      <c r="AU965" s="4"/>
      <c r="AV965" s="4"/>
      <c r="AW965" s="4"/>
    </row>
    <row r="966" spans="1:49" ht="13.2">
      <c r="A966" s="120"/>
      <c r="B966" s="266"/>
      <c r="C966" s="117"/>
      <c r="D966" s="117"/>
      <c r="E966" s="117"/>
      <c r="F966" s="123"/>
      <c r="G966" s="125" t="s">
        <v>145</v>
      </c>
      <c r="H966" s="125"/>
      <c r="I966" s="125"/>
      <c r="J966" s="125"/>
      <c r="K966" s="82" t="str">
        <f t="shared" ca="1" si="1125"/>
        <v>#REF!</v>
      </c>
      <c r="L966" s="82" t="str">
        <f t="shared" ca="1" si="1126"/>
        <v>#REF!</v>
      </c>
      <c r="M966" s="82" t="str">
        <f t="shared" ca="1" si="550"/>
        <v>#REF!</v>
      </c>
      <c r="N966" s="93"/>
      <c r="O966" s="93"/>
      <c r="P966" s="95">
        <f t="shared" si="965"/>
        <v>0</v>
      </c>
      <c r="Q966" s="96">
        <f t="shared" si="1269"/>
        <v>0</v>
      </c>
      <c r="R966" s="96">
        <v>0</v>
      </c>
      <c r="S966" s="97">
        <f t="shared" si="553"/>
        <v>0</v>
      </c>
      <c r="T966" s="97" t="str">
        <f ca="1">ROUNDUP(HLOOKUP(ROUNDUP(K966,0),'배송비 조회'!A$10:AE$22,7,0)*C$3,-2)</f>
        <v>#REF!</v>
      </c>
      <c r="U966" s="97">
        <v>0</v>
      </c>
      <c r="V966" s="97" t="str">
        <f t="shared" ca="1" si="981"/>
        <v>#REF!</v>
      </c>
      <c r="W966" s="97" t="str">
        <f t="shared" ca="1" si="982"/>
        <v>#REF!</v>
      </c>
      <c r="X966" s="98" t="str">
        <f t="shared" ca="1" si="882"/>
        <v>#REF!</v>
      </c>
      <c r="Y966" s="98" t="str">
        <f t="shared" ca="1" si="883"/>
        <v>#REF!</v>
      </c>
      <c r="Z966" s="121">
        <v>0</v>
      </c>
      <c r="AA966" s="121" t="str">
        <f t="shared" ca="1" si="556"/>
        <v>#REF!</v>
      </c>
      <c r="AB966" s="121" t="str">
        <f t="shared" ca="1" si="557"/>
        <v>#REF!</v>
      </c>
      <c r="AC966" s="99" t="str">
        <f t="shared" ca="1" si="8"/>
        <v>#REF!</v>
      </c>
      <c r="AD966" s="121" t="str">
        <f t="shared" ca="1" si="558"/>
        <v>#REF!</v>
      </c>
      <c r="AE966" s="99" t="str">
        <f t="shared" ca="1" si="10"/>
        <v>#REF!</v>
      </c>
      <c r="AF966" s="121" t="str">
        <f t="shared" ca="1" si="559"/>
        <v>#REF!</v>
      </c>
      <c r="AG966" s="100" t="str">
        <f t="shared" ca="1" si="560"/>
        <v>#REF!</v>
      </c>
      <c r="AH966" s="101" t="str">
        <f t="shared" ca="1" si="891"/>
        <v>#REF!</v>
      </c>
      <c r="AI966" s="102" t="str">
        <f t="shared" ref="AI966:AJ966" ca="1" si="1301">AG966/X966</f>
        <v>#REF!</v>
      </c>
      <c r="AJ966" s="102" t="str">
        <f t="shared" ca="1" si="1301"/>
        <v>#REF!</v>
      </c>
      <c r="AK966" s="212"/>
      <c r="AL966" s="213"/>
      <c r="AM966" s="4"/>
      <c r="AN966" s="4"/>
      <c r="AO966" s="4"/>
      <c r="AP966" s="4"/>
      <c r="AQ966" s="4"/>
      <c r="AR966" s="4"/>
      <c r="AS966" s="4"/>
      <c r="AT966" s="4"/>
      <c r="AU966" s="4"/>
      <c r="AV966" s="4"/>
      <c r="AW966" s="4"/>
    </row>
    <row r="967" spans="1:49" ht="13.2">
      <c r="A967" s="120"/>
      <c r="B967" s="266"/>
      <c r="C967" s="117"/>
      <c r="D967" s="117"/>
      <c r="E967" s="117"/>
      <c r="F967" s="123"/>
      <c r="G967" s="125" t="s">
        <v>145</v>
      </c>
      <c r="H967" s="125"/>
      <c r="I967" s="125"/>
      <c r="J967" s="125"/>
      <c r="K967" s="82" t="str">
        <f t="shared" ca="1" si="1125"/>
        <v>#REF!</v>
      </c>
      <c r="L967" s="82" t="str">
        <f t="shared" ca="1" si="1126"/>
        <v>#REF!</v>
      </c>
      <c r="M967" s="82" t="str">
        <f t="shared" ca="1" si="550"/>
        <v>#REF!</v>
      </c>
      <c r="N967" s="93"/>
      <c r="O967" s="93"/>
      <c r="P967" s="95">
        <f t="shared" si="965"/>
        <v>0</v>
      </c>
      <c r="Q967" s="96">
        <f t="shared" si="1269"/>
        <v>0</v>
      </c>
      <c r="R967" s="96">
        <v>0</v>
      </c>
      <c r="S967" s="97">
        <f t="shared" si="553"/>
        <v>0</v>
      </c>
      <c r="T967" s="97" t="str">
        <f ca="1">ROUNDUP(HLOOKUP(ROUNDUP(K967,0),'배송비 조회'!A$10:AE$22,7,0)*C$3,-2)</f>
        <v>#REF!</v>
      </c>
      <c r="U967" s="97">
        <v>0</v>
      </c>
      <c r="V967" s="97" t="str">
        <f t="shared" ca="1" si="981"/>
        <v>#REF!</v>
      </c>
      <c r="W967" s="97" t="str">
        <f t="shared" ca="1" si="982"/>
        <v>#REF!</v>
      </c>
      <c r="X967" s="98" t="str">
        <f t="shared" ca="1" si="882"/>
        <v>#REF!</v>
      </c>
      <c r="Y967" s="98" t="str">
        <f t="shared" ca="1" si="883"/>
        <v>#REF!</v>
      </c>
      <c r="Z967" s="121">
        <v>0</v>
      </c>
      <c r="AA967" s="121" t="str">
        <f t="shared" ca="1" si="556"/>
        <v>#REF!</v>
      </c>
      <c r="AB967" s="121" t="str">
        <f t="shared" ca="1" si="557"/>
        <v>#REF!</v>
      </c>
      <c r="AC967" s="99" t="str">
        <f t="shared" ca="1" si="8"/>
        <v>#REF!</v>
      </c>
      <c r="AD967" s="121" t="str">
        <f t="shared" ca="1" si="558"/>
        <v>#REF!</v>
      </c>
      <c r="AE967" s="99" t="str">
        <f t="shared" ca="1" si="10"/>
        <v>#REF!</v>
      </c>
      <c r="AF967" s="121" t="str">
        <f t="shared" ca="1" si="559"/>
        <v>#REF!</v>
      </c>
      <c r="AG967" s="100" t="str">
        <f t="shared" ca="1" si="560"/>
        <v>#REF!</v>
      </c>
      <c r="AH967" s="101" t="str">
        <f t="shared" ca="1" si="891"/>
        <v>#REF!</v>
      </c>
      <c r="AI967" s="102" t="str">
        <f t="shared" ref="AI967:AJ967" ca="1" si="1302">AG967/X967</f>
        <v>#REF!</v>
      </c>
      <c r="AJ967" s="102" t="str">
        <f t="shared" ca="1" si="1302"/>
        <v>#REF!</v>
      </c>
      <c r="AK967" s="212"/>
      <c r="AL967" s="213"/>
      <c r="AM967" s="4"/>
      <c r="AN967" s="4"/>
      <c r="AO967" s="4"/>
      <c r="AP967" s="4"/>
      <c r="AQ967" s="4"/>
      <c r="AR967" s="4"/>
      <c r="AS967" s="4"/>
      <c r="AT967" s="4"/>
      <c r="AU967" s="4"/>
      <c r="AV967" s="4"/>
      <c r="AW967" s="4"/>
    </row>
    <row r="968" spans="1:49" ht="13.2">
      <c r="A968" s="120"/>
      <c r="B968" s="266"/>
      <c r="C968" s="117"/>
      <c r="D968" s="117"/>
      <c r="E968" s="117"/>
      <c r="F968" s="123"/>
      <c r="G968" s="125" t="s">
        <v>145</v>
      </c>
      <c r="H968" s="125"/>
      <c r="I968" s="125"/>
      <c r="J968" s="125"/>
      <c r="K968" s="82" t="str">
        <f t="shared" ca="1" si="1125"/>
        <v>#REF!</v>
      </c>
      <c r="L968" s="82" t="str">
        <f t="shared" ca="1" si="1126"/>
        <v>#REF!</v>
      </c>
      <c r="M968" s="82" t="str">
        <f t="shared" ca="1" si="550"/>
        <v>#REF!</v>
      </c>
      <c r="N968" s="93"/>
      <c r="O968" s="93"/>
      <c r="P968" s="95">
        <f t="shared" si="965"/>
        <v>0</v>
      </c>
      <c r="Q968" s="96">
        <f t="shared" si="1269"/>
        <v>0</v>
      </c>
      <c r="R968" s="96">
        <v>0</v>
      </c>
      <c r="S968" s="97">
        <f t="shared" si="553"/>
        <v>0</v>
      </c>
      <c r="T968" s="97" t="str">
        <f ca="1">ROUNDUP(HLOOKUP(ROUNDUP(K968,0),'배송비 조회'!A$10:AE$22,7,0)*C$3,-2)</f>
        <v>#REF!</v>
      </c>
      <c r="U968" s="97">
        <v>0</v>
      </c>
      <c r="V968" s="97" t="str">
        <f t="shared" ca="1" si="981"/>
        <v>#REF!</v>
      </c>
      <c r="W968" s="97" t="str">
        <f t="shared" ca="1" si="982"/>
        <v>#REF!</v>
      </c>
      <c r="X968" s="98" t="str">
        <f t="shared" ca="1" si="882"/>
        <v>#REF!</v>
      </c>
      <c r="Y968" s="98" t="str">
        <f t="shared" ca="1" si="883"/>
        <v>#REF!</v>
      </c>
      <c r="Z968" s="121">
        <v>0</v>
      </c>
      <c r="AA968" s="121" t="str">
        <f t="shared" ca="1" si="556"/>
        <v>#REF!</v>
      </c>
      <c r="AB968" s="121" t="str">
        <f t="shared" ca="1" si="557"/>
        <v>#REF!</v>
      </c>
      <c r="AC968" s="99" t="str">
        <f t="shared" ca="1" si="8"/>
        <v>#REF!</v>
      </c>
      <c r="AD968" s="121" t="str">
        <f t="shared" ca="1" si="558"/>
        <v>#REF!</v>
      </c>
      <c r="AE968" s="99" t="str">
        <f t="shared" ca="1" si="10"/>
        <v>#REF!</v>
      </c>
      <c r="AF968" s="121" t="str">
        <f t="shared" ca="1" si="559"/>
        <v>#REF!</v>
      </c>
      <c r="AG968" s="100" t="str">
        <f t="shared" ca="1" si="560"/>
        <v>#REF!</v>
      </c>
      <c r="AH968" s="101" t="str">
        <f t="shared" ca="1" si="891"/>
        <v>#REF!</v>
      </c>
      <c r="AI968" s="102" t="str">
        <f t="shared" ref="AI968:AJ968" ca="1" si="1303">AG968/X968</f>
        <v>#REF!</v>
      </c>
      <c r="AJ968" s="102" t="str">
        <f t="shared" ca="1" si="1303"/>
        <v>#REF!</v>
      </c>
      <c r="AK968" s="212"/>
      <c r="AL968" s="213"/>
      <c r="AM968" s="4"/>
      <c r="AN968" s="4"/>
      <c r="AO968" s="4"/>
      <c r="AP968" s="4"/>
      <c r="AQ968" s="4"/>
      <c r="AR968" s="4"/>
      <c r="AS968" s="4"/>
      <c r="AT968" s="4"/>
      <c r="AU968" s="4"/>
      <c r="AV968" s="4"/>
      <c r="AW968" s="4"/>
    </row>
    <row r="969" spans="1:49" ht="13.2">
      <c r="A969" s="120"/>
      <c r="B969" s="266"/>
      <c r="C969" s="117"/>
      <c r="D969" s="117"/>
      <c r="E969" s="117"/>
      <c r="F969" s="123"/>
      <c r="G969" s="125" t="s">
        <v>145</v>
      </c>
      <c r="H969" s="125"/>
      <c r="I969" s="125"/>
      <c r="J969" s="125"/>
      <c r="K969" s="82" t="str">
        <f t="shared" ca="1" si="1125"/>
        <v>#REF!</v>
      </c>
      <c r="L969" s="82" t="str">
        <f t="shared" ca="1" si="1126"/>
        <v>#REF!</v>
      </c>
      <c r="M969" s="82" t="str">
        <f t="shared" ca="1" si="550"/>
        <v>#REF!</v>
      </c>
      <c r="N969" s="93"/>
      <c r="O969" s="93"/>
      <c r="P969" s="95">
        <f t="shared" si="965"/>
        <v>0</v>
      </c>
      <c r="Q969" s="96">
        <f t="shared" si="1269"/>
        <v>0</v>
      </c>
      <c r="R969" s="96">
        <v>0</v>
      </c>
      <c r="S969" s="97">
        <f t="shared" si="553"/>
        <v>0</v>
      </c>
      <c r="T969" s="97" t="str">
        <f ca="1">ROUNDUP(HLOOKUP(ROUNDUP(K969,0),'배송비 조회'!A$10:AE$22,7,0)*C$3,-2)</f>
        <v>#REF!</v>
      </c>
      <c r="U969" s="97">
        <v>0</v>
      </c>
      <c r="V969" s="97" t="str">
        <f t="shared" ca="1" si="981"/>
        <v>#REF!</v>
      </c>
      <c r="W969" s="97" t="str">
        <f t="shared" ca="1" si="982"/>
        <v>#REF!</v>
      </c>
      <c r="X969" s="98" t="str">
        <f t="shared" ca="1" si="882"/>
        <v>#REF!</v>
      </c>
      <c r="Y969" s="98" t="str">
        <f t="shared" ca="1" si="883"/>
        <v>#REF!</v>
      </c>
      <c r="Z969" s="121">
        <v>0</v>
      </c>
      <c r="AA969" s="121" t="str">
        <f t="shared" ca="1" si="556"/>
        <v>#REF!</v>
      </c>
      <c r="AB969" s="121" t="str">
        <f t="shared" ca="1" si="557"/>
        <v>#REF!</v>
      </c>
      <c r="AC969" s="99" t="str">
        <f t="shared" ca="1" si="8"/>
        <v>#REF!</v>
      </c>
      <c r="AD969" s="121" t="str">
        <f t="shared" ca="1" si="558"/>
        <v>#REF!</v>
      </c>
      <c r="AE969" s="99" t="str">
        <f t="shared" ca="1" si="10"/>
        <v>#REF!</v>
      </c>
      <c r="AF969" s="121" t="str">
        <f t="shared" ca="1" si="559"/>
        <v>#REF!</v>
      </c>
      <c r="AG969" s="100" t="str">
        <f t="shared" ca="1" si="560"/>
        <v>#REF!</v>
      </c>
      <c r="AH969" s="101" t="str">
        <f t="shared" ca="1" si="891"/>
        <v>#REF!</v>
      </c>
      <c r="AI969" s="102" t="str">
        <f t="shared" ref="AI969:AJ969" ca="1" si="1304">AG969/X969</f>
        <v>#REF!</v>
      </c>
      <c r="AJ969" s="102" t="str">
        <f t="shared" ca="1" si="1304"/>
        <v>#REF!</v>
      </c>
      <c r="AK969" s="212"/>
      <c r="AL969" s="213"/>
      <c r="AM969" s="4"/>
      <c r="AN969" s="4"/>
      <c r="AO969" s="4"/>
      <c r="AP969" s="4"/>
      <c r="AQ969" s="4"/>
      <c r="AR969" s="4"/>
      <c r="AS969" s="4"/>
      <c r="AT969" s="4"/>
      <c r="AU969" s="4"/>
      <c r="AV969" s="4"/>
      <c r="AW969" s="4"/>
    </row>
    <row r="970" spans="1:49" ht="13.2">
      <c r="A970" s="120"/>
      <c r="B970" s="266"/>
      <c r="C970" s="117"/>
      <c r="D970" s="117"/>
      <c r="E970" s="117"/>
      <c r="F970" s="123"/>
      <c r="G970" s="125" t="s">
        <v>145</v>
      </c>
      <c r="H970" s="125"/>
      <c r="I970" s="125"/>
      <c r="J970" s="125"/>
      <c r="K970" s="82" t="str">
        <f t="shared" ca="1" si="1125"/>
        <v>#REF!</v>
      </c>
      <c r="L970" s="82" t="str">
        <f t="shared" ca="1" si="1126"/>
        <v>#REF!</v>
      </c>
      <c r="M970" s="82" t="str">
        <f t="shared" ca="1" si="550"/>
        <v>#REF!</v>
      </c>
      <c r="N970" s="93"/>
      <c r="O970" s="93"/>
      <c r="P970" s="95">
        <f t="shared" si="965"/>
        <v>0</v>
      </c>
      <c r="Q970" s="96">
        <f t="shared" si="1269"/>
        <v>0</v>
      </c>
      <c r="R970" s="96">
        <v>0</v>
      </c>
      <c r="S970" s="97">
        <f t="shared" si="553"/>
        <v>0</v>
      </c>
      <c r="T970" s="97" t="str">
        <f ca="1">ROUNDUP(HLOOKUP(ROUNDUP(K970,0),'배송비 조회'!A$10:AE$22,7,0)*C$3,-2)</f>
        <v>#REF!</v>
      </c>
      <c r="U970" s="97">
        <v>0</v>
      </c>
      <c r="V970" s="97" t="str">
        <f t="shared" ca="1" si="981"/>
        <v>#REF!</v>
      </c>
      <c r="W970" s="97" t="str">
        <f t="shared" ca="1" si="982"/>
        <v>#REF!</v>
      </c>
      <c r="X970" s="98" t="str">
        <f t="shared" ca="1" si="882"/>
        <v>#REF!</v>
      </c>
      <c r="Y970" s="98" t="str">
        <f t="shared" ca="1" si="883"/>
        <v>#REF!</v>
      </c>
      <c r="Z970" s="121">
        <v>0</v>
      </c>
      <c r="AA970" s="121" t="str">
        <f t="shared" ca="1" si="556"/>
        <v>#REF!</v>
      </c>
      <c r="AB970" s="121" t="str">
        <f t="shared" ca="1" si="557"/>
        <v>#REF!</v>
      </c>
      <c r="AC970" s="99" t="str">
        <f t="shared" ca="1" si="8"/>
        <v>#REF!</v>
      </c>
      <c r="AD970" s="121" t="str">
        <f t="shared" ca="1" si="558"/>
        <v>#REF!</v>
      </c>
      <c r="AE970" s="99" t="str">
        <f t="shared" ca="1" si="10"/>
        <v>#REF!</v>
      </c>
      <c r="AF970" s="121" t="str">
        <f t="shared" ca="1" si="559"/>
        <v>#REF!</v>
      </c>
      <c r="AG970" s="100" t="str">
        <f t="shared" ca="1" si="560"/>
        <v>#REF!</v>
      </c>
      <c r="AH970" s="101" t="str">
        <f t="shared" ca="1" si="891"/>
        <v>#REF!</v>
      </c>
      <c r="AI970" s="102" t="str">
        <f t="shared" ref="AI970:AJ970" ca="1" si="1305">AG970/X970</f>
        <v>#REF!</v>
      </c>
      <c r="AJ970" s="102" t="str">
        <f t="shared" ca="1" si="1305"/>
        <v>#REF!</v>
      </c>
      <c r="AK970" s="212"/>
      <c r="AL970" s="213"/>
      <c r="AM970" s="4"/>
      <c r="AN970" s="4"/>
      <c r="AO970" s="4"/>
      <c r="AP970" s="4"/>
      <c r="AQ970" s="4"/>
      <c r="AR970" s="4"/>
      <c r="AS970" s="4"/>
      <c r="AT970" s="4"/>
      <c r="AU970" s="4"/>
      <c r="AV970" s="4"/>
      <c r="AW970" s="4"/>
    </row>
    <row r="971" spans="1:49" ht="13.2">
      <c r="A971" s="120"/>
      <c r="B971" s="266"/>
      <c r="C971" s="117"/>
      <c r="D971" s="117"/>
      <c r="E971" s="117"/>
      <c r="F971" s="123"/>
      <c r="G971" s="125" t="s">
        <v>145</v>
      </c>
      <c r="H971" s="125"/>
      <c r="I971" s="125"/>
      <c r="J971" s="125"/>
      <c r="K971" s="82" t="str">
        <f t="shared" ca="1" si="1125"/>
        <v>#REF!</v>
      </c>
      <c r="L971" s="82" t="str">
        <f t="shared" ca="1" si="1126"/>
        <v>#REF!</v>
      </c>
      <c r="M971" s="82" t="str">
        <f t="shared" ca="1" si="550"/>
        <v>#REF!</v>
      </c>
      <c r="N971" s="93"/>
      <c r="O971" s="93"/>
      <c r="P971" s="95">
        <f t="shared" si="965"/>
        <v>0</v>
      </c>
      <c r="Q971" s="96">
        <f t="shared" si="1269"/>
        <v>0</v>
      </c>
      <c r="R971" s="96">
        <v>0</v>
      </c>
      <c r="S971" s="97">
        <f t="shared" si="553"/>
        <v>0</v>
      </c>
      <c r="T971" s="97" t="str">
        <f ca="1">ROUNDUP(HLOOKUP(ROUNDUP(K971,0),'배송비 조회'!A$10:AE$22,7,0)*C$3,-2)</f>
        <v>#REF!</v>
      </c>
      <c r="U971" s="97">
        <v>0</v>
      </c>
      <c r="V971" s="97" t="str">
        <f t="shared" ca="1" si="981"/>
        <v>#REF!</v>
      </c>
      <c r="W971" s="97" t="str">
        <f t="shared" ca="1" si="982"/>
        <v>#REF!</v>
      </c>
      <c r="X971" s="98" t="str">
        <f t="shared" ca="1" si="882"/>
        <v>#REF!</v>
      </c>
      <c r="Y971" s="98" t="str">
        <f t="shared" ca="1" si="883"/>
        <v>#REF!</v>
      </c>
      <c r="Z971" s="121">
        <v>0</v>
      </c>
      <c r="AA971" s="121" t="str">
        <f t="shared" ca="1" si="556"/>
        <v>#REF!</v>
      </c>
      <c r="AB971" s="121" t="str">
        <f t="shared" ca="1" si="557"/>
        <v>#REF!</v>
      </c>
      <c r="AC971" s="99" t="str">
        <f t="shared" ca="1" si="8"/>
        <v>#REF!</v>
      </c>
      <c r="AD971" s="121" t="str">
        <f t="shared" ca="1" si="558"/>
        <v>#REF!</v>
      </c>
      <c r="AE971" s="99" t="str">
        <f t="shared" ca="1" si="10"/>
        <v>#REF!</v>
      </c>
      <c r="AF971" s="121" t="str">
        <f t="shared" ca="1" si="559"/>
        <v>#REF!</v>
      </c>
      <c r="AG971" s="100" t="str">
        <f t="shared" ca="1" si="560"/>
        <v>#REF!</v>
      </c>
      <c r="AH971" s="101" t="str">
        <f t="shared" ca="1" si="891"/>
        <v>#REF!</v>
      </c>
      <c r="AI971" s="102" t="str">
        <f t="shared" ref="AI971:AJ971" ca="1" si="1306">AG971/X971</f>
        <v>#REF!</v>
      </c>
      <c r="AJ971" s="102" t="str">
        <f t="shared" ca="1" si="1306"/>
        <v>#REF!</v>
      </c>
      <c r="AK971" s="212"/>
      <c r="AL971" s="213"/>
      <c r="AM971" s="4"/>
      <c r="AN971" s="4"/>
      <c r="AO971" s="4"/>
      <c r="AP971" s="4"/>
      <c r="AQ971" s="4"/>
      <c r="AR971" s="4"/>
      <c r="AS971" s="4"/>
      <c r="AT971" s="4"/>
      <c r="AU971" s="4"/>
      <c r="AV971" s="4"/>
      <c r="AW971" s="4"/>
    </row>
    <row r="972" spans="1:49" ht="13.2">
      <c r="A972" s="120"/>
      <c r="B972" s="266"/>
      <c r="C972" s="117"/>
      <c r="D972" s="117"/>
      <c r="E972" s="117"/>
      <c r="F972" s="123"/>
      <c r="G972" s="125" t="s">
        <v>145</v>
      </c>
      <c r="H972" s="125"/>
      <c r="I972" s="125"/>
      <c r="J972" s="125"/>
      <c r="K972" s="82" t="str">
        <f t="shared" ca="1" si="1125"/>
        <v>#REF!</v>
      </c>
      <c r="L972" s="82" t="str">
        <f t="shared" ca="1" si="1126"/>
        <v>#REF!</v>
      </c>
      <c r="M972" s="82" t="str">
        <f t="shared" ca="1" si="550"/>
        <v>#REF!</v>
      </c>
      <c r="N972" s="93"/>
      <c r="O972" s="93"/>
      <c r="P972" s="95">
        <f t="shared" si="965"/>
        <v>0</v>
      </c>
      <c r="Q972" s="96">
        <f t="shared" si="1269"/>
        <v>0</v>
      </c>
      <c r="R972" s="96">
        <v>0</v>
      </c>
      <c r="S972" s="97">
        <f t="shared" si="553"/>
        <v>0</v>
      </c>
      <c r="T972" s="97" t="str">
        <f ca="1">ROUNDUP(HLOOKUP(ROUNDUP(K972,0),'배송비 조회'!A$10:AE$22,7,0)*C$3,-2)</f>
        <v>#REF!</v>
      </c>
      <c r="U972" s="97">
        <v>0</v>
      </c>
      <c r="V972" s="97" t="str">
        <f t="shared" ca="1" si="981"/>
        <v>#REF!</v>
      </c>
      <c r="W972" s="97" t="str">
        <f t="shared" ca="1" si="982"/>
        <v>#REF!</v>
      </c>
      <c r="X972" s="98" t="str">
        <f t="shared" ca="1" si="882"/>
        <v>#REF!</v>
      </c>
      <c r="Y972" s="98" t="str">
        <f t="shared" ca="1" si="883"/>
        <v>#REF!</v>
      </c>
      <c r="Z972" s="121">
        <v>0</v>
      </c>
      <c r="AA972" s="121" t="str">
        <f t="shared" ca="1" si="556"/>
        <v>#REF!</v>
      </c>
      <c r="AB972" s="121" t="str">
        <f t="shared" ca="1" si="557"/>
        <v>#REF!</v>
      </c>
      <c r="AC972" s="99" t="str">
        <f t="shared" ca="1" si="8"/>
        <v>#REF!</v>
      </c>
      <c r="AD972" s="121" t="str">
        <f t="shared" ca="1" si="558"/>
        <v>#REF!</v>
      </c>
      <c r="AE972" s="99" t="str">
        <f t="shared" ca="1" si="10"/>
        <v>#REF!</v>
      </c>
      <c r="AF972" s="121" t="str">
        <f t="shared" ca="1" si="559"/>
        <v>#REF!</v>
      </c>
      <c r="AG972" s="100" t="str">
        <f t="shared" ca="1" si="560"/>
        <v>#REF!</v>
      </c>
      <c r="AH972" s="101" t="str">
        <f t="shared" ca="1" si="891"/>
        <v>#REF!</v>
      </c>
      <c r="AI972" s="102" t="str">
        <f t="shared" ref="AI972:AJ972" ca="1" si="1307">AG972/X972</f>
        <v>#REF!</v>
      </c>
      <c r="AJ972" s="102" t="str">
        <f t="shared" ca="1" si="1307"/>
        <v>#REF!</v>
      </c>
      <c r="AK972" s="212"/>
      <c r="AL972" s="213"/>
      <c r="AM972" s="4"/>
      <c r="AN972" s="4"/>
      <c r="AO972" s="4"/>
      <c r="AP972" s="4"/>
      <c r="AQ972" s="4"/>
      <c r="AR972" s="4"/>
      <c r="AS972" s="4"/>
      <c r="AT972" s="4"/>
      <c r="AU972" s="4"/>
      <c r="AV972" s="4"/>
      <c r="AW972" s="4"/>
    </row>
    <row r="973" spans="1:49" ht="13.2">
      <c r="A973" s="120"/>
      <c r="B973" s="266"/>
      <c r="C973" s="117"/>
      <c r="D973" s="117"/>
      <c r="E973" s="117"/>
      <c r="F973" s="123"/>
      <c r="G973" s="125" t="s">
        <v>145</v>
      </c>
      <c r="H973" s="125"/>
      <c r="I973" s="125"/>
      <c r="J973" s="125"/>
      <c r="K973" s="82" t="str">
        <f t="shared" ca="1" si="1125"/>
        <v>#REF!</v>
      </c>
      <c r="L973" s="82" t="str">
        <f t="shared" ca="1" si="1126"/>
        <v>#REF!</v>
      </c>
      <c r="M973" s="82" t="str">
        <f t="shared" ca="1" si="550"/>
        <v>#REF!</v>
      </c>
      <c r="N973" s="93"/>
      <c r="O973" s="93"/>
      <c r="P973" s="95">
        <f t="shared" si="965"/>
        <v>0</v>
      </c>
      <c r="Q973" s="96">
        <f t="shared" si="1269"/>
        <v>0</v>
      </c>
      <c r="R973" s="96">
        <v>0</v>
      </c>
      <c r="S973" s="97">
        <f t="shared" si="553"/>
        <v>0</v>
      </c>
      <c r="T973" s="97" t="str">
        <f ca="1">ROUNDUP(HLOOKUP(ROUNDUP(K973,0),'배송비 조회'!A$10:AE$22,7,0)*C$3,-2)</f>
        <v>#REF!</v>
      </c>
      <c r="U973" s="97">
        <v>0</v>
      </c>
      <c r="V973" s="97" t="str">
        <f t="shared" ca="1" si="981"/>
        <v>#REF!</v>
      </c>
      <c r="W973" s="97" t="str">
        <f t="shared" ca="1" si="982"/>
        <v>#REF!</v>
      </c>
      <c r="X973" s="98" t="str">
        <f t="shared" ca="1" si="882"/>
        <v>#REF!</v>
      </c>
      <c r="Y973" s="98" t="str">
        <f t="shared" ca="1" si="883"/>
        <v>#REF!</v>
      </c>
      <c r="Z973" s="121">
        <v>0</v>
      </c>
      <c r="AA973" s="121" t="str">
        <f t="shared" ca="1" si="556"/>
        <v>#REF!</v>
      </c>
      <c r="AB973" s="121" t="str">
        <f t="shared" ca="1" si="557"/>
        <v>#REF!</v>
      </c>
      <c r="AC973" s="99" t="str">
        <f t="shared" ca="1" si="8"/>
        <v>#REF!</v>
      </c>
      <c r="AD973" s="121" t="str">
        <f t="shared" ca="1" si="558"/>
        <v>#REF!</v>
      </c>
      <c r="AE973" s="99" t="str">
        <f t="shared" ca="1" si="10"/>
        <v>#REF!</v>
      </c>
      <c r="AF973" s="121" t="str">
        <f t="shared" ca="1" si="559"/>
        <v>#REF!</v>
      </c>
      <c r="AG973" s="100" t="str">
        <f t="shared" ca="1" si="560"/>
        <v>#REF!</v>
      </c>
      <c r="AH973" s="101" t="str">
        <f t="shared" ca="1" si="891"/>
        <v>#REF!</v>
      </c>
      <c r="AI973" s="102" t="str">
        <f t="shared" ref="AI973:AJ973" ca="1" si="1308">AG973/X973</f>
        <v>#REF!</v>
      </c>
      <c r="AJ973" s="102" t="str">
        <f t="shared" ca="1" si="1308"/>
        <v>#REF!</v>
      </c>
      <c r="AK973" s="212"/>
      <c r="AL973" s="213"/>
      <c r="AM973" s="4"/>
      <c r="AN973" s="4"/>
      <c r="AO973" s="4"/>
      <c r="AP973" s="4"/>
      <c r="AQ973" s="4"/>
      <c r="AR973" s="4"/>
      <c r="AS973" s="4"/>
      <c r="AT973" s="4"/>
      <c r="AU973" s="4"/>
      <c r="AV973" s="4"/>
      <c r="AW973" s="4"/>
    </row>
    <row r="974" spans="1:49" ht="13.2">
      <c r="A974" s="120"/>
      <c r="B974" s="266"/>
      <c r="C974" s="117"/>
      <c r="D974" s="117"/>
      <c r="E974" s="117"/>
      <c r="F974" s="123"/>
      <c r="G974" s="125" t="s">
        <v>145</v>
      </c>
      <c r="H974" s="125"/>
      <c r="I974" s="125"/>
      <c r="J974" s="125"/>
      <c r="K974" s="82" t="str">
        <f t="shared" ca="1" si="1125"/>
        <v>#REF!</v>
      </c>
      <c r="L974" s="82" t="str">
        <f t="shared" ca="1" si="1126"/>
        <v>#REF!</v>
      </c>
      <c r="M974" s="82" t="str">
        <f t="shared" ca="1" si="550"/>
        <v>#REF!</v>
      </c>
      <c r="N974" s="93"/>
      <c r="O974" s="93"/>
      <c r="P974" s="95">
        <f t="shared" si="965"/>
        <v>0</v>
      </c>
      <c r="Q974" s="96">
        <f t="shared" si="1269"/>
        <v>0</v>
      </c>
      <c r="R974" s="96">
        <v>0</v>
      </c>
      <c r="S974" s="97">
        <f t="shared" si="553"/>
        <v>0</v>
      </c>
      <c r="T974" s="97" t="str">
        <f ca="1">ROUNDUP(HLOOKUP(ROUNDUP(K974,0),'배송비 조회'!A$10:AE$22,7,0)*C$3,-2)</f>
        <v>#REF!</v>
      </c>
      <c r="U974" s="97">
        <v>0</v>
      </c>
      <c r="V974" s="97" t="str">
        <f t="shared" ca="1" si="981"/>
        <v>#REF!</v>
      </c>
      <c r="W974" s="97" t="str">
        <f t="shared" ca="1" si="982"/>
        <v>#REF!</v>
      </c>
      <c r="X974" s="98" t="str">
        <f t="shared" ca="1" si="882"/>
        <v>#REF!</v>
      </c>
      <c r="Y974" s="98" t="str">
        <f t="shared" ca="1" si="883"/>
        <v>#REF!</v>
      </c>
      <c r="Z974" s="121">
        <v>0</v>
      </c>
      <c r="AA974" s="121" t="str">
        <f t="shared" ca="1" si="556"/>
        <v>#REF!</v>
      </c>
      <c r="AB974" s="121" t="str">
        <f t="shared" ca="1" si="557"/>
        <v>#REF!</v>
      </c>
      <c r="AC974" s="99" t="str">
        <f t="shared" ca="1" si="8"/>
        <v>#REF!</v>
      </c>
      <c r="AD974" s="121" t="str">
        <f t="shared" ca="1" si="558"/>
        <v>#REF!</v>
      </c>
      <c r="AE974" s="99" t="str">
        <f t="shared" ca="1" si="10"/>
        <v>#REF!</v>
      </c>
      <c r="AF974" s="121" t="str">
        <f t="shared" ca="1" si="559"/>
        <v>#REF!</v>
      </c>
      <c r="AG974" s="100" t="str">
        <f t="shared" ca="1" si="560"/>
        <v>#REF!</v>
      </c>
      <c r="AH974" s="101" t="str">
        <f t="shared" ca="1" si="891"/>
        <v>#REF!</v>
      </c>
      <c r="AI974" s="102" t="str">
        <f t="shared" ref="AI974:AJ974" ca="1" si="1309">AG974/X974</f>
        <v>#REF!</v>
      </c>
      <c r="AJ974" s="102" t="str">
        <f t="shared" ca="1" si="1309"/>
        <v>#REF!</v>
      </c>
      <c r="AK974" s="212"/>
      <c r="AL974" s="213"/>
      <c r="AM974" s="4"/>
      <c r="AN974" s="4"/>
      <c r="AO974" s="4"/>
      <c r="AP974" s="4"/>
      <c r="AQ974" s="4"/>
      <c r="AR974" s="4"/>
      <c r="AS974" s="4"/>
      <c r="AT974" s="4"/>
      <c r="AU974" s="4"/>
      <c r="AV974" s="4"/>
      <c r="AW974" s="4"/>
    </row>
    <row r="975" spans="1:49" ht="13.2">
      <c r="A975" s="120"/>
      <c r="B975" s="266"/>
      <c r="C975" s="117"/>
      <c r="D975" s="117"/>
      <c r="E975" s="117"/>
      <c r="F975" s="123"/>
      <c r="G975" s="125" t="s">
        <v>145</v>
      </c>
      <c r="H975" s="125"/>
      <c r="I975" s="125"/>
      <c r="J975" s="125"/>
      <c r="K975" s="82" t="str">
        <f t="shared" ca="1" si="1125"/>
        <v>#REF!</v>
      </c>
      <c r="L975" s="82" t="str">
        <f t="shared" ca="1" si="1126"/>
        <v>#REF!</v>
      </c>
      <c r="M975" s="82" t="str">
        <f t="shared" ca="1" si="550"/>
        <v>#REF!</v>
      </c>
      <c r="N975" s="93"/>
      <c r="O975" s="93"/>
      <c r="P975" s="95">
        <f t="shared" si="965"/>
        <v>0</v>
      </c>
      <c r="Q975" s="96">
        <f t="shared" si="1269"/>
        <v>0</v>
      </c>
      <c r="R975" s="96">
        <v>0</v>
      </c>
      <c r="S975" s="97">
        <f t="shared" si="553"/>
        <v>0</v>
      </c>
      <c r="T975" s="97" t="str">
        <f ca="1">ROUNDUP(HLOOKUP(ROUNDUP(K975,0),'배송비 조회'!A$10:AE$22,7,0)*C$3,-2)</f>
        <v>#REF!</v>
      </c>
      <c r="U975" s="97">
        <v>0</v>
      </c>
      <c r="V975" s="97" t="str">
        <f t="shared" ca="1" si="981"/>
        <v>#REF!</v>
      </c>
      <c r="W975" s="97" t="str">
        <f t="shared" ca="1" si="982"/>
        <v>#REF!</v>
      </c>
      <c r="X975" s="98" t="str">
        <f t="shared" ca="1" si="882"/>
        <v>#REF!</v>
      </c>
      <c r="Y975" s="98" t="str">
        <f t="shared" ca="1" si="883"/>
        <v>#REF!</v>
      </c>
      <c r="Z975" s="121">
        <v>0</v>
      </c>
      <c r="AA975" s="121" t="str">
        <f t="shared" ca="1" si="556"/>
        <v>#REF!</v>
      </c>
      <c r="AB975" s="121" t="str">
        <f t="shared" ca="1" si="557"/>
        <v>#REF!</v>
      </c>
      <c r="AC975" s="99" t="str">
        <f t="shared" ca="1" si="8"/>
        <v>#REF!</v>
      </c>
      <c r="AD975" s="121" t="str">
        <f t="shared" ca="1" si="558"/>
        <v>#REF!</v>
      </c>
      <c r="AE975" s="99" t="str">
        <f t="shared" ca="1" si="10"/>
        <v>#REF!</v>
      </c>
      <c r="AF975" s="121" t="str">
        <f t="shared" ca="1" si="559"/>
        <v>#REF!</v>
      </c>
      <c r="AG975" s="100" t="str">
        <f t="shared" ca="1" si="560"/>
        <v>#REF!</v>
      </c>
      <c r="AH975" s="101" t="str">
        <f t="shared" ca="1" si="891"/>
        <v>#REF!</v>
      </c>
      <c r="AI975" s="102" t="str">
        <f t="shared" ref="AI975:AJ975" ca="1" si="1310">AG975/X975</f>
        <v>#REF!</v>
      </c>
      <c r="AJ975" s="102" t="str">
        <f t="shared" ca="1" si="1310"/>
        <v>#REF!</v>
      </c>
      <c r="AK975" s="212"/>
      <c r="AL975" s="213"/>
      <c r="AM975" s="4"/>
      <c r="AN975" s="4"/>
      <c r="AO975" s="4"/>
      <c r="AP975" s="4"/>
      <c r="AQ975" s="4"/>
      <c r="AR975" s="4"/>
      <c r="AS975" s="4"/>
      <c r="AT975" s="4"/>
      <c r="AU975" s="4"/>
      <c r="AV975" s="4"/>
      <c r="AW975" s="4"/>
    </row>
    <row r="976" spans="1:49" ht="13.2">
      <c r="A976" s="120"/>
      <c r="B976" s="266"/>
      <c r="C976" s="117"/>
      <c r="D976" s="117"/>
      <c r="E976" s="117"/>
      <c r="F976" s="123"/>
      <c r="G976" s="125" t="s">
        <v>145</v>
      </c>
      <c r="H976" s="125"/>
      <c r="I976" s="125"/>
      <c r="J976" s="125"/>
      <c r="K976" s="82" t="str">
        <f t="shared" ca="1" si="1125"/>
        <v>#REF!</v>
      </c>
      <c r="L976" s="82" t="str">
        <f t="shared" ca="1" si="1126"/>
        <v>#REF!</v>
      </c>
      <c r="M976" s="82" t="str">
        <f t="shared" ca="1" si="550"/>
        <v>#REF!</v>
      </c>
      <c r="N976" s="93"/>
      <c r="O976" s="93"/>
      <c r="P976" s="95">
        <f t="shared" si="965"/>
        <v>0</v>
      </c>
      <c r="Q976" s="96">
        <f t="shared" si="1269"/>
        <v>0</v>
      </c>
      <c r="R976" s="96">
        <v>0</v>
      </c>
      <c r="S976" s="97">
        <f t="shared" si="553"/>
        <v>0</v>
      </c>
      <c r="T976" s="97" t="str">
        <f ca="1">ROUNDUP(HLOOKUP(ROUNDUP(K976,0),'배송비 조회'!A$10:AE$22,7,0)*C$3,-2)</f>
        <v>#REF!</v>
      </c>
      <c r="U976" s="97">
        <v>0</v>
      </c>
      <c r="V976" s="97" t="str">
        <f t="shared" ca="1" si="981"/>
        <v>#REF!</v>
      </c>
      <c r="W976" s="97" t="str">
        <f t="shared" ca="1" si="982"/>
        <v>#REF!</v>
      </c>
      <c r="X976" s="98" t="str">
        <f t="shared" ca="1" si="882"/>
        <v>#REF!</v>
      </c>
      <c r="Y976" s="98" t="str">
        <f t="shared" ca="1" si="883"/>
        <v>#REF!</v>
      </c>
      <c r="Z976" s="121">
        <v>0</v>
      </c>
      <c r="AA976" s="121" t="str">
        <f t="shared" ca="1" si="556"/>
        <v>#REF!</v>
      </c>
      <c r="AB976" s="121" t="str">
        <f t="shared" ca="1" si="557"/>
        <v>#REF!</v>
      </c>
      <c r="AC976" s="99" t="str">
        <f t="shared" ca="1" si="8"/>
        <v>#REF!</v>
      </c>
      <c r="AD976" s="121" t="str">
        <f t="shared" ca="1" si="558"/>
        <v>#REF!</v>
      </c>
      <c r="AE976" s="99" t="str">
        <f t="shared" ca="1" si="10"/>
        <v>#REF!</v>
      </c>
      <c r="AF976" s="121" t="str">
        <f t="shared" ca="1" si="559"/>
        <v>#REF!</v>
      </c>
      <c r="AG976" s="100" t="str">
        <f t="shared" ca="1" si="560"/>
        <v>#REF!</v>
      </c>
      <c r="AH976" s="101" t="str">
        <f t="shared" ca="1" si="891"/>
        <v>#REF!</v>
      </c>
      <c r="AI976" s="102" t="str">
        <f t="shared" ref="AI976:AJ976" ca="1" si="1311">AG976/X976</f>
        <v>#REF!</v>
      </c>
      <c r="AJ976" s="102" t="str">
        <f t="shared" ca="1" si="1311"/>
        <v>#REF!</v>
      </c>
      <c r="AK976" s="212"/>
      <c r="AL976" s="213"/>
      <c r="AM976" s="4"/>
      <c r="AN976" s="4"/>
      <c r="AO976" s="4"/>
      <c r="AP976" s="4"/>
      <c r="AQ976" s="4"/>
      <c r="AR976" s="4"/>
      <c r="AS976" s="4"/>
      <c r="AT976" s="4"/>
      <c r="AU976" s="4"/>
      <c r="AV976" s="4"/>
      <c r="AW976" s="4"/>
    </row>
    <row r="977" spans="1:49" ht="13.2">
      <c r="A977" s="120"/>
      <c r="B977" s="266"/>
      <c r="C977" s="117"/>
      <c r="D977" s="117"/>
      <c r="E977" s="117"/>
      <c r="F977" s="123"/>
      <c r="G977" s="125" t="s">
        <v>145</v>
      </c>
      <c r="H977" s="125"/>
      <c r="I977" s="125"/>
      <c r="J977" s="125"/>
      <c r="K977" s="82" t="str">
        <f t="shared" ca="1" si="1125"/>
        <v>#REF!</v>
      </c>
      <c r="L977" s="82" t="str">
        <f t="shared" ca="1" si="1126"/>
        <v>#REF!</v>
      </c>
      <c r="M977" s="82" t="str">
        <f t="shared" ca="1" si="550"/>
        <v>#REF!</v>
      </c>
      <c r="N977" s="93"/>
      <c r="O977" s="93"/>
      <c r="P977" s="95">
        <f t="shared" si="965"/>
        <v>0</v>
      </c>
      <c r="Q977" s="96">
        <f t="shared" si="1269"/>
        <v>0</v>
      </c>
      <c r="R977" s="96">
        <v>0</v>
      </c>
      <c r="S977" s="97">
        <f t="shared" si="553"/>
        <v>0</v>
      </c>
      <c r="T977" s="97" t="str">
        <f ca="1">ROUNDUP(HLOOKUP(ROUNDUP(K977,0),'배송비 조회'!A$10:AE$22,7,0)*C$3,-2)</f>
        <v>#REF!</v>
      </c>
      <c r="U977" s="97">
        <v>0</v>
      </c>
      <c r="V977" s="97" t="str">
        <f t="shared" ca="1" si="981"/>
        <v>#REF!</v>
      </c>
      <c r="W977" s="97" t="str">
        <f t="shared" ca="1" si="982"/>
        <v>#REF!</v>
      </c>
      <c r="X977" s="98" t="str">
        <f t="shared" ca="1" si="882"/>
        <v>#REF!</v>
      </c>
      <c r="Y977" s="98" t="str">
        <f t="shared" ca="1" si="883"/>
        <v>#REF!</v>
      </c>
      <c r="Z977" s="121">
        <v>0</v>
      </c>
      <c r="AA977" s="121" t="str">
        <f t="shared" ca="1" si="556"/>
        <v>#REF!</v>
      </c>
      <c r="AB977" s="121" t="str">
        <f t="shared" ca="1" si="557"/>
        <v>#REF!</v>
      </c>
      <c r="AC977" s="99" t="str">
        <f t="shared" ca="1" si="8"/>
        <v>#REF!</v>
      </c>
      <c r="AD977" s="121" t="str">
        <f t="shared" ca="1" si="558"/>
        <v>#REF!</v>
      </c>
      <c r="AE977" s="99" t="str">
        <f t="shared" ca="1" si="10"/>
        <v>#REF!</v>
      </c>
      <c r="AF977" s="121" t="str">
        <f t="shared" ca="1" si="559"/>
        <v>#REF!</v>
      </c>
      <c r="AG977" s="100" t="str">
        <f t="shared" ca="1" si="560"/>
        <v>#REF!</v>
      </c>
      <c r="AH977" s="101" t="str">
        <f t="shared" ca="1" si="891"/>
        <v>#REF!</v>
      </c>
      <c r="AI977" s="102" t="str">
        <f t="shared" ref="AI977:AJ977" ca="1" si="1312">AG977/X977</f>
        <v>#REF!</v>
      </c>
      <c r="AJ977" s="102" t="str">
        <f t="shared" ca="1" si="1312"/>
        <v>#REF!</v>
      </c>
      <c r="AK977" s="212"/>
      <c r="AL977" s="213"/>
      <c r="AM977" s="4"/>
      <c r="AN977" s="4"/>
      <c r="AO977" s="4"/>
      <c r="AP977" s="4"/>
      <c r="AQ977" s="4"/>
      <c r="AR977" s="4"/>
      <c r="AS977" s="4"/>
      <c r="AT977" s="4"/>
      <c r="AU977" s="4"/>
      <c r="AV977" s="4"/>
      <c r="AW977" s="4"/>
    </row>
    <row r="978" spans="1:49" ht="13.2">
      <c r="A978" s="120"/>
      <c r="B978" s="266"/>
      <c r="C978" s="117"/>
      <c r="D978" s="117"/>
      <c r="E978" s="117"/>
      <c r="F978" s="123"/>
      <c r="G978" s="125" t="s">
        <v>145</v>
      </c>
      <c r="H978" s="125"/>
      <c r="I978" s="125"/>
      <c r="J978" s="125"/>
      <c r="K978" s="82" t="str">
        <f t="shared" ca="1" si="1125"/>
        <v>#REF!</v>
      </c>
      <c r="L978" s="82" t="str">
        <f t="shared" ca="1" si="1126"/>
        <v>#REF!</v>
      </c>
      <c r="M978" s="82" t="str">
        <f t="shared" ca="1" si="550"/>
        <v>#REF!</v>
      </c>
      <c r="N978" s="93"/>
      <c r="O978" s="93"/>
      <c r="P978" s="95">
        <f t="shared" si="965"/>
        <v>0</v>
      </c>
      <c r="Q978" s="96">
        <f t="shared" si="1269"/>
        <v>0</v>
      </c>
      <c r="R978" s="96">
        <v>0</v>
      </c>
      <c r="S978" s="97">
        <f t="shared" si="553"/>
        <v>0</v>
      </c>
      <c r="T978" s="97" t="str">
        <f ca="1">ROUNDUP(HLOOKUP(ROUNDUP(K978,0),'배송비 조회'!A$10:AE$22,7,0)*C$3,-2)</f>
        <v>#REF!</v>
      </c>
      <c r="U978" s="97">
        <v>0</v>
      </c>
      <c r="V978" s="97" t="str">
        <f t="shared" ca="1" si="981"/>
        <v>#REF!</v>
      </c>
      <c r="W978" s="97" t="str">
        <f t="shared" ca="1" si="982"/>
        <v>#REF!</v>
      </c>
      <c r="X978" s="98" t="str">
        <f t="shared" ca="1" si="882"/>
        <v>#REF!</v>
      </c>
      <c r="Y978" s="98" t="str">
        <f t="shared" ca="1" si="883"/>
        <v>#REF!</v>
      </c>
      <c r="Z978" s="121">
        <v>0</v>
      </c>
      <c r="AA978" s="121" t="str">
        <f t="shared" ca="1" si="556"/>
        <v>#REF!</v>
      </c>
      <c r="AB978" s="121" t="str">
        <f t="shared" ca="1" si="557"/>
        <v>#REF!</v>
      </c>
      <c r="AC978" s="99" t="str">
        <f t="shared" ca="1" si="8"/>
        <v>#REF!</v>
      </c>
      <c r="AD978" s="121" t="str">
        <f t="shared" ca="1" si="558"/>
        <v>#REF!</v>
      </c>
      <c r="AE978" s="99" t="str">
        <f t="shared" ca="1" si="10"/>
        <v>#REF!</v>
      </c>
      <c r="AF978" s="121" t="str">
        <f t="shared" ca="1" si="559"/>
        <v>#REF!</v>
      </c>
      <c r="AG978" s="100" t="str">
        <f t="shared" ca="1" si="560"/>
        <v>#REF!</v>
      </c>
      <c r="AH978" s="101" t="str">
        <f t="shared" ca="1" si="891"/>
        <v>#REF!</v>
      </c>
      <c r="AI978" s="102" t="str">
        <f t="shared" ref="AI978:AJ978" ca="1" si="1313">AG978/X978</f>
        <v>#REF!</v>
      </c>
      <c r="AJ978" s="102" t="str">
        <f t="shared" ca="1" si="1313"/>
        <v>#REF!</v>
      </c>
      <c r="AK978" s="212"/>
      <c r="AL978" s="213"/>
      <c r="AM978" s="4"/>
      <c r="AN978" s="4"/>
      <c r="AO978" s="4"/>
      <c r="AP978" s="4"/>
      <c r="AQ978" s="4"/>
      <c r="AR978" s="4"/>
      <c r="AS978" s="4"/>
      <c r="AT978" s="4"/>
      <c r="AU978" s="4"/>
      <c r="AV978" s="4"/>
      <c r="AW978" s="4"/>
    </row>
    <row r="979" spans="1:49" ht="13.2">
      <c r="A979" s="120"/>
      <c r="B979" s="266"/>
      <c r="C979" s="117"/>
      <c r="D979" s="117"/>
      <c r="E979" s="117"/>
      <c r="F979" s="123"/>
      <c r="G979" s="125" t="s">
        <v>145</v>
      </c>
      <c r="H979" s="125"/>
      <c r="I979" s="125"/>
      <c r="J979" s="125"/>
      <c r="K979" s="82" t="str">
        <f t="shared" ca="1" si="1125"/>
        <v>#REF!</v>
      </c>
      <c r="L979" s="82" t="str">
        <f t="shared" ca="1" si="1126"/>
        <v>#REF!</v>
      </c>
      <c r="M979" s="82" t="str">
        <f t="shared" ca="1" si="550"/>
        <v>#REF!</v>
      </c>
      <c r="N979" s="93"/>
      <c r="O979" s="93"/>
      <c r="P979" s="95">
        <f t="shared" si="965"/>
        <v>0</v>
      </c>
      <c r="Q979" s="96">
        <f t="shared" si="1269"/>
        <v>0</v>
      </c>
      <c r="R979" s="96">
        <v>0</v>
      </c>
      <c r="S979" s="97">
        <f t="shared" si="553"/>
        <v>0</v>
      </c>
      <c r="T979" s="97" t="str">
        <f ca="1">ROUNDUP(HLOOKUP(ROUNDUP(K979,0),'배송비 조회'!A$10:AE$22,7,0)*C$3,-2)</f>
        <v>#REF!</v>
      </c>
      <c r="U979" s="97">
        <v>0</v>
      </c>
      <c r="V979" s="97" t="str">
        <f t="shared" ca="1" si="981"/>
        <v>#REF!</v>
      </c>
      <c r="W979" s="97" t="str">
        <f t="shared" ca="1" si="982"/>
        <v>#REF!</v>
      </c>
      <c r="X979" s="98" t="str">
        <f t="shared" ca="1" si="882"/>
        <v>#REF!</v>
      </c>
      <c r="Y979" s="98" t="str">
        <f t="shared" ca="1" si="883"/>
        <v>#REF!</v>
      </c>
      <c r="Z979" s="121">
        <v>0</v>
      </c>
      <c r="AA979" s="121" t="str">
        <f t="shared" ca="1" si="556"/>
        <v>#REF!</v>
      </c>
      <c r="AB979" s="121" t="str">
        <f t="shared" ca="1" si="557"/>
        <v>#REF!</v>
      </c>
      <c r="AC979" s="99" t="str">
        <f t="shared" ca="1" si="8"/>
        <v>#REF!</v>
      </c>
      <c r="AD979" s="121" t="str">
        <f t="shared" ca="1" si="558"/>
        <v>#REF!</v>
      </c>
      <c r="AE979" s="99" t="str">
        <f t="shared" ca="1" si="10"/>
        <v>#REF!</v>
      </c>
      <c r="AF979" s="121" t="str">
        <f t="shared" ca="1" si="559"/>
        <v>#REF!</v>
      </c>
      <c r="AG979" s="100" t="str">
        <f t="shared" ca="1" si="560"/>
        <v>#REF!</v>
      </c>
      <c r="AH979" s="101" t="str">
        <f t="shared" ca="1" si="891"/>
        <v>#REF!</v>
      </c>
      <c r="AI979" s="102" t="str">
        <f t="shared" ref="AI979:AJ979" ca="1" si="1314">AG979/X979</f>
        <v>#REF!</v>
      </c>
      <c r="AJ979" s="102" t="str">
        <f t="shared" ca="1" si="1314"/>
        <v>#REF!</v>
      </c>
      <c r="AK979" s="212"/>
      <c r="AL979" s="213"/>
      <c r="AM979" s="4"/>
      <c r="AN979" s="4"/>
      <c r="AO979" s="4"/>
      <c r="AP979" s="4"/>
      <c r="AQ979" s="4"/>
      <c r="AR979" s="4"/>
      <c r="AS979" s="4"/>
      <c r="AT979" s="4"/>
      <c r="AU979" s="4"/>
      <c r="AV979" s="4"/>
      <c r="AW979" s="4"/>
    </row>
    <row r="980" spans="1:49" ht="13.2">
      <c r="A980" s="120"/>
      <c r="B980" s="266"/>
      <c r="C980" s="117"/>
      <c r="D980" s="117"/>
      <c r="E980" s="117"/>
      <c r="F980" s="123"/>
      <c r="G980" s="125" t="s">
        <v>145</v>
      </c>
      <c r="H980" s="125"/>
      <c r="I980" s="125"/>
      <c r="J980" s="125"/>
      <c r="K980" s="82" t="str">
        <f t="shared" ca="1" si="1125"/>
        <v>#REF!</v>
      </c>
      <c r="L980" s="82" t="str">
        <f t="shared" ca="1" si="1126"/>
        <v>#REF!</v>
      </c>
      <c r="M980" s="82" t="str">
        <f t="shared" ca="1" si="550"/>
        <v>#REF!</v>
      </c>
      <c r="N980" s="93"/>
      <c r="O980" s="93"/>
      <c r="P980" s="95">
        <f t="shared" si="965"/>
        <v>0</v>
      </c>
      <c r="Q980" s="96">
        <f t="shared" si="1269"/>
        <v>0</v>
      </c>
      <c r="R980" s="96">
        <v>0</v>
      </c>
      <c r="S980" s="97">
        <f t="shared" si="553"/>
        <v>0</v>
      </c>
      <c r="T980" s="97" t="str">
        <f ca="1">ROUNDUP(HLOOKUP(ROUNDUP(K980,0),'배송비 조회'!A$10:AE$22,7,0)*C$3,-2)</f>
        <v>#REF!</v>
      </c>
      <c r="U980" s="97">
        <v>0</v>
      </c>
      <c r="V980" s="97" t="str">
        <f t="shared" ca="1" si="981"/>
        <v>#REF!</v>
      </c>
      <c r="W980" s="97" t="str">
        <f t="shared" ca="1" si="982"/>
        <v>#REF!</v>
      </c>
      <c r="X980" s="98" t="str">
        <f t="shared" ca="1" si="882"/>
        <v>#REF!</v>
      </c>
      <c r="Y980" s="98" t="str">
        <f t="shared" ca="1" si="883"/>
        <v>#REF!</v>
      </c>
      <c r="Z980" s="121">
        <v>0</v>
      </c>
      <c r="AA980" s="121" t="str">
        <f t="shared" ca="1" si="556"/>
        <v>#REF!</v>
      </c>
      <c r="AB980" s="121" t="str">
        <f t="shared" ca="1" si="557"/>
        <v>#REF!</v>
      </c>
      <c r="AC980" s="99" t="str">
        <f t="shared" ca="1" si="8"/>
        <v>#REF!</v>
      </c>
      <c r="AD980" s="121" t="str">
        <f t="shared" ca="1" si="558"/>
        <v>#REF!</v>
      </c>
      <c r="AE980" s="99" t="str">
        <f t="shared" ca="1" si="10"/>
        <v>#REF!</v>
      </c>
      <c r="AF980" s="121" t="str">
        <f t="shared" ca="1" si="559"/>
        <v>#REF!</v>
      </c>
      <c r="AG980" s="100" t="str">
        <f t="shared" ca="1" si="560"/>
        <v>#REF!</v>
      </c>
      <c r="AH980" s="101" t="str">
        <f t="shared" ca="1" si="891"/>
        <v>#REF!</v>
      </c>
      <c r="AI980" s="102" t="str">
        <f t="shared" ref="AI980:AJ980" ca="1" si="1315">AG980/X980</f>
        <v>#REF!</v>
      </c>
      <c r="AJ980" s="102" t="str">
        <f t="shared" ca="1" si="1315"/>
        <v>#REF!</v>
      </c>
      <c r="AK980" s="212"/>
      <c r="AL980" s="213"/>
      <c r="AM980" s="4"/>
      <c r="AN980" s="4"/>
      <c r="AO980" s="4"/>
      <c r="AP980" s="4"/>
      <c r="AQ980" s="4"/>
      <c r="AR980" s="4"/>
      <c r="AS980" s="4"/>
      <c r="AT980" s="4"/>
      <c r="AU980" s="4"/>
      <c r="AV980" s="4"/>
      <c r="AW980" s="4"/>
    </row>
    <row r="981" spans="1:49" ht="13.2">
      <c r="A981" s="120"/>
      <c r="B981" s="266"/>
      <c r="C981" s="117"/>
      <c r="D981" s="117"/>
      <c r="E981" s="117"/>
      <c r="F981" s="123"/>
      <c r="G981" s="125" t="s">
        <v>145</v>
      </c>
      <c r="H981" s="125"/>
      <c r="I981" s="125"/>
      <c r="J981" s="125"/>
      <c r="K981" s="82" t="str">
        <f t="shared" ca="1" si="1125"/>
        <v>#REF!</v>
      </c>
      <c r="L981" s="82" t="str">
        <f t="shared" ca="1" si="1126"/>
        <v>#REF!</v>
      </c>
      <c r="M981" s="82" t="str">
        <f t="shared" ca="1" si="550"/>
        <v>#REF!</v>
      </c>
      <c r="N981" s="93"/>
      <c r="O981" s="93"/>
      <c r="P981" s="95">
        <f t="shared" si="965"/>
        <v>0</v>
      </c>
      <c r="Q981" s="96">
        <f t="shared" si="1269"/>
        <v>0</v>
      </c>
      <c r="R981" s="96">
        <v>0</v>
      </c>
      <c r="S981" s="97">
        <f t="shared" si="553"/>
        <v>0</v>
      </c>
      <c r="T981" s="97" t="str">
        <f ca="1">ROUNDUP(HLOOKUP(ROUNDUP(K981,0),'배송비 조회'!A$10:AE$22,7,0)*C$3,-2)</f>
        <v>#REF!</v>
      </c>
      <c r="U981" s="97">
        <v>0</v>
      </c>
      <c r="V981" s="97" t="str">
        <f t="shared" ca="1" si="981"/>
        <v>#REF!</v>
      </c>
      <c r="W981" s="97" t="str">
        <f t="shared" ca="1" si="982"/>
        <v>#REF!</v>
      </c>
      <c r="X981" s="98" t="str">
        <f t="shared" ca="1" si="882"/>
        <v>#REF!</v>
      </c>
      <c r="Y981" s="98" t="str">
        <f t="shared" ca="1" si="883"/>
        <v>#REF!</v>
      </c>
      <c r="Z981" s="121">
        <v>0</v>
      </c>
      <c r="AA981" s="121" t="str">
        <f t="shared" ca="1" si="556"/>
        <v>#REF!</v>
      </c>
      <c r="AB981" s="121" t="str">
        <f t="shared" ca="1" si="557"/>
        <v>#REF!</v>
      </c>
      <c r="AC981" s="99" t="str">
        <f t="shared" ca="1" si="8"/>
        <v>#REF!</v>
      </c>
      <c r="AD981" s="121" t="str">
        <f t="shared" ca="1" si="558"/>
        <v>#REF!</v>
      </c>
      <c r="AE981" s="99" t="str">
        <f t="shared" ca="1" si="10"/>
        <v>#REF!</v>
      </c>
      <c r="AF981" s="121" t="str">
        <f t="shared" ca="1" si="559"/>
        <v>#REF!</v>
      </c>
      <c r="AG981" s="100" t="str">
        <f t="shared" ca="1" si="560"/>
        <v>#REF!</v>
      </c>
      <c r="AH981" s="101" t="str">
        <f t="shared" ca="1" si="891"/>
        <v>#REF!</v>
      </c>
      <c r="AI981" s="102" t="str">
        <f t="shared" ref="AI981:AJ981" ca="1" si="1316">AG981/X981</f>
        <v>#REF!</v>
      </c>
      <c r="AJ981" s="102" t="str">
        <f t="shared" ca="1" si="1316"/>
        <v>#REF!</v>
      </c>
      <c r="AK981" s="212"/>
      <c r="AL981" s="213"/>
      <c r="AM981" s="4"/>
      <c r="AN981" s="4"/>
      <c r="AO981" s="4"/>
      <c r="AP981" s="4"/>
      <c r="AQ981" s="4"/>
      <c r="AR981" s="4"/>
      <c r="AS981" s="4"/>
      <c r="AT981" s="4"/>
      <c r="AU981" s="4"/>
      <c r="AV981" s="4"/>
      <c r="AW981" s="4"/>
    </row>
    <row r="982" spans="1:49" ht="13.2">
      <c r="A982" s="120"/>
      <c r="B982" s="266"/>
      <c r="C982" s="117"/>
      <c r="D982" s="117"/>
      <c r="E982" s="117"/>
      <c r="F982" s="123"/>
      <c r="G982" s="125" t="s">
        <v>145</v>
      </c>
      <c r="H982" s="125"/>
      <c r="I982" s="125"/>
      <c r="J982" s="125"/>
      <c r="K982" s="82" t="str">
        <f t="shared" ca="1" si="1125"/>
        <v>#REF!</v>
      </c>
      <c r="L982" s="82" t="str">
        <f t="shared" ca="1" si="1126"/>
        <v>#REF!</v>
      </c>
      <c r="M982" s="82" t="str">
        <f t="shared" ca="1" si="550"/>
        <v>#REF!</v>
      </c>
      <c r="N982" s="93"/>
      <c r="O982" s="93"/>
      <c r="P982" s="95">
        <f t="shared" si="965"/>
        <v>0</v>
      </c>
      <c r="Q982" s="96">
        <f t="shared" si="1269"/>
        <v>0</v>
      </c>
      <c r="R982" s="96">
        <v>0</v>
      </c>
      <c r="S982" s="97">
        <f t="shared" si="553"/>
        <v>0</v>
      </c>
      <c r="T982" s="97" t="str">
        <f ca="1">ROUNDUP(HLOOKUP(ROUNDUP(K982,0),'배송비 조회'!A$10:AE$22,7,0)*C$3,-2)</f>
        <v>#REF!</v>
      </c>
      <c r="U982" s="97">
        <v>0</v>
      </c>
      <c r="V982" s="97" t="str">
        <f t="shared" ca="1" si="981"/>
        <v>#REF!</v>
      </c>
      <c r="W982" s="97" t="str">
        <f t="shared" ca="1" si="982"/>
        <v>#REF!</v>
      </c>
      <c r="X982" s="98" t="str">
        <f t="shared" ca="1" si="882"/>
        <v>#REF!</v>
      </c>
      <c r="Y982" s="98" t="str">
        <f t="shared" ca="1" si="883"/>
        <v>#REF!</v>
      </c>
      <c r="Z982" s="121">
        <v>0</v>
      </c>
      <c r="AA982" s="121" t="str">
        <f t="shared" ca="1" si="556"/>
        <v>#REF!</v>
      </c>
      <c r="AB982" s="121" t="str">
        <f t="shared" ca="1" si="557"/>
        <v>#REF!</v>
      </c>
      <c r="AC982" s="99" t="str">
        <f t="shared" ca="1" si="8"/>
        <v>#REF!</v>
      </c>
      <c r="AD982" s="121" t="str">
        <f t="shared" ca="1" si="558"/>
        <v>#REF!</v>
      </c>
      <c r="AE982" s="99" t="str">
        <f t="shared" ca="1" si="10"/>
        <v>#REF!</v>
      </c>
      <c r="AF982" s="121" t="str">
        <f t="shared" ca="1" si="559"/>
        <v>#REF!</v>
      </c>
      <c r="AG982" s="100" t="str">
        <f t="shared" ca="1" si="560"/>
        <v>#REF!</v>
      </c>
      <c r="AH982" s="101" t="str">
        <f t="shared" ca="1" si="891"/>
        <v>#REF!</v>
      </c>
      <c r="AI982" s="102" t="str">
        <f t="shared" ref="AI982:AJ982" ca="1" si="1317">AG982/X982</f>
        <v>#REF!</v>
      </c>
      <c r="AJ982" s="102" t="str">
        <f t="shared" ca="1" si="1317"/>
        <v>#REF!</v>
      </c>
      <c r="AK982" s="212"/>
      <c r="AL982" s="213"/>
      <c r="AM982" s="4"/>
      <c r="AN982" s="4"/>
      <c r="AO982" s="4"/>
      <c r="AP982" s="4"/>
      <c r="AQ982" s="4"/>
      <c r="AR982" s="4"/>
      <c r="AS982" s="4"/>
      <c r="AT982" s="4"/>
      <c r="AU982" s="4"/>
      <c r="AV982" s="4"/>
      <c r="AW982" s="4"/>
    </row>
    <row r="983" spans="1:49" ht="13.2">
      <c r="A983" s="120"/>
      <c r="B983" s="266"/>
      <c r="C983" s="117"/>
      <c r="D983" s="117"/>
      <c r="E983" s="117"/>
      <c r="F983" s="123"/>
      <c r="G983" s="125" t="s">
        <v>145</v>
      </c>
      <c r="H983" s="125"/>
      <c r="I983" s="125"/>
      <c r="J983" s="125"/>
      <c r="K983" s="82" t="str">
        <f t="shared" ca="1" si="1125"/>
        <v>#REF!</v>
      </c>
      <c r="L983" s="82" t="str">
        <f t="shared" ca="1" si="1126"/>
        <v>#REF!</v>
      </c>
      <c r="M983" s="82" t="str">
        <f t="shared" ca="1" si="550"/>
        <v>#REF!</v>
      </c>
      <c r="N983" s="93"/>
      <c r="O983" s="93"/>
      <c r="P983" s="95">
        <f t="shared" si="965"/>
        <v>0</v>
      </c>
      <c r="Q983" s="96">
        <f t="shared" si="1269"/>
        <v>0</v>
      </c>
      <c r="R983" s="96">
        <v>0</v>
      </c>
      <c r="S983" s="97">
        <f t="shared" si="553"/>
        <v>0</v>
      </c>
      <c r="T983" s="97" t="str">
        <f ca="1">ROUNDUP(HLOOKUP(ROUNDUP(K983,0),'배송비 조회'!A$10:AE$22,7,0)*C$3,-2)</f>
        <v>#REF!</v>
      </c>
      <c r="U983" s="97">
        <v>0</v>
      </c>
      <c r="V983" s="97" t="str">
        <f t="shared" ca="1" si="981"/>
        <v>#REF!</v>
      </c>
      <c r="W983" s="97" t="str">
        <f t="shared" ca="1" si="982"/>
        <v>#REF!</v>
      </c>
      <c r="X983" s="98" t="str">
        <f t="shared" ca="1" si="882"/>
        <v>#REF!</v>
      </c>
      <c r="Y983" s="98" t="str">
        <f t="shared" ca="1" si="883"/>
        <v>#REF!</v>
      </c>
      <c r="Z983" s="121">
        <v>0</v>
      </c>
      <c r="AA983" s="121" t="str">
        <f t="shared" ca="1" si="556"/>
        <v>#REF!</v>
      </c>
      <c r="AB983" s="121" t="str">
        <f t="shared" ca="1" si="557"/>
        <v>#REF!</v>
      </c>
      <c r="AC983" s="99" t="str">
        <f t="shared" ca="1" si="8"/>
        <v>#REF!</v>
      </c>
      <c r="AD983" s="121" t="str">
        <f t="shared" ca="1" si="558"/>
        <v>#REF!</v>
      </c>
      <c r="AE983" s="99" t="str">
        <f t="shared" ca="1" si="10"/>
        <v>#REF!</v>
      </c>
      <c r="AF983" s="121" t="str">
        <f t="shared" ca="1" si="559"/>
        <v>#REF!</v>
      </c>
      <c r="AG983" s="100" t="str">
        <f t="shared" ca="1" si="560"/>
        <v>#REF!</v>
      </c>
      <c r="AH983" s="101" t="str">
        <f t="shared" ca="1" si="891"/>
        <v>#REF!</v>
      </c>
      <c r="AI983" s="102" t="str">
        <f t="shared" ref="AI983:AJ983" ca="1" si="1318">AG983/X983</f>
        <v>#REF!</v>
      </c>
      <c r="AJ983" s="102" t="str">
        <f t="shared" ca="1" si="1318"/>
        <v>#REF!</v>
      </c>
      <c r="AK983" s="212"/>
      <c r="AL983" s="213"/>
      <c r="AM983" s="4"/>
      <c r="AN983" s="4"/>
      <c r="AO983" s="4"/>
      <c r="AP983" s="4"/>
      <c r="AQ983" s="4"/>
      <c r="AR983" s="4"/>
      <c r="AS983" s="4"/>
      <c r="AT983" s="4"/>
      <c r="AU983" s="4"/>
      <c r="AV983" s="4"/>
      <c r="AW983" s="4"/>
    </row>
    <row r="984" spans="1:49" ht="13.2">
      <c r="A984" s="120"/>
      <c r="B984" s="266"/>
      <c r="C984" s="117"/>
      <c r="D984" s="117"/>
      <c r="E984" s="117"/>
      <c r="F984" s="123"/>
      <c r="G984" s="125" t="s">
        <v>145</v>
      </c>
      <c r="H984" s="125"/>
      <c r="I984" s="125"/>
      <c r="J984" s="125"/>
      <c r="K984" s="82" t="str">
        <f t="shared" ca="1" si="1125"/>
        <v>#REF!</v>
      </c>
      <c r="L984" s="82" t="str">
        <f t="shared" ca="1" si="1126"/>
        <v>#REF!</v>
      </c>
      <c r="M984" s="82" t="str">
        <f t="shared" ca="1" si="550"/>
        <v>#REF!</v>
      </c>
      <c r="N984" s="93"/>
      <c r="O984" s="93"/>
      <c r="P984" s="95">
        <f t="shared" si="965"/>
        <v>0</v>
      </c>
      <c r="Q984" s="96">
        <f t="shared" si="1269"/>
        <v>0</v>
      </c>
      <c r="R984" s="96">
        <v>0</v>
      </c>
      <c r="S984" s="97">
        <f t="shared" si="553"/>
        <v>0</v>
      </c>
      <c r="T984" s="97" t="str">
        <f ca="1">ROUNDUP(HLOOKUP(ROUNDUP(K984,0),'배송비 조회'!A$10:AE$22,7,0)*C$3,-2)</f>
        <v>#REF!</v>
      </c>
      <c r="U984" s="97">
        <v>0</v>
      </c>
      <c r="V984" s="97" t="str">
        <f t="shared" ca="1" si="981"/>
        <v>#REF!</v>
      </c>
      <c r="W984" s="97" t="str">
        <f t="shared" ca="1" si="982"/>
        <v>#REF!</v>
      </c>
      <c r="X984" s="98" t="str">
        <f t="shared" ca="1" si="882"/>
        <v>#REF!</v>
      </c>
      <c r="Y984" s="98" t="str">
        <f t="shared" ca="1" si="883"/>
        <v>#REF!</v>
      </c>
      <c r="Z984" s="121">
        <v>0</v>
      </c>
      <c r="AA984" s="121" t="str">
        <f t="shared" ca="1" si="556"/>
        <v>#REF!</v>
      </c>
      <c r="AB984" s="121" t="str">
        <f t="shared" ca="1" si="557"/>
        <v>#REF!</v>
      </c>
      <c r="AC984" s="99" t="str">
        <f t="shared" ca="1" si="8"/>
        <v>#REF!</v>
      </c>
      <c r="AD984" s="121" t="str">
        <f t="shared" ca="1" si="558"/>
        <v>#REF!</v>
      </c>
      <c r="AE984" s="99" t="str">
        <f t="shared" ca="1" si="10"/>
        <v>#REF!</v>
      </c>
      <c r="AF984" s="121" t="str">
        <f t="shared" ca="1" si="559"/>
        <v>#REF!</v>
      </c>
      <c r="AG984" s="100" t="str">
        <f t="shared" ca="1" si="560"/>
        <v>#REF!</v>
      </c>
      <c r="AH984" s="101" t="str">
        <f t="shared" ca="1" si="891"/>
        <v>#REF!</v>
      </c>
      <c r="AI984" s="102" t="str">
        <f t="shared" ref="AI984:AJ984" ca="1" si="1319">AG984/X984</f>
        <v>#REF!</v>
      </c>
      <c r="AJ984" s="102" t="str">
        <f t="shared" ca="1" si="1319"/>
        <v>#REF!</v>
      </c>
      <c r="AK984" s="212"/>
      <c r="AL984" s="213"/>
      <c r="AM984" s="4"/>
      <c r="AN984" s="4"/>
      <c r="AO984" s="4"/>
      <c r="AP984" s="4"/>
      <c r="AQ984" s="4"/>
      <c r="AR984" s="4"/>
      <c r="AS984" s="4"/>
      <c r="AT984" s="4"/>
      <c r="AU984" s="4"/>
      <c r="AV984" s="4"/>
      <c r="AW984" s="4"/>
    </row>
    <row r="985" spans="1:49" ht="13.2">
      <c r="A985" s="120"/>
      <c r="B985" s="266"/>
      <c r="C985" s="117"/>
      <c r="D985" s="117"/>
      <c r="E985" s="117"/>
      <c r="F985" s="123"/>
      <c r="G985" s="125" t="s">
        <v>145</v>
      </c>
      <c r="H985" s="125"/>
      <c r="I985" s="125"/>
      <c r="J985" s="125"/>
      <c r="K985" s="82" t="str">
        <f t="shared" ca="1" si="1125"/>
        <v>#REF!</v>
      </c>
      <c r="L985" s="82" t="str">
        <f t="shared" ca="1" si="1126"/>
        <v>#REF!</v>
      </c>
      <c r="M985" s="82" t="str">
        <f t="shared" ca="1" si="550"/>
        <v>#REF!</v>
      </c>
      <c r="N985" s="93"/>
      <c r="O985" s="93"/>
      <c r="P985" s="95">
        <f t="shared" si="965"/>
        <v>0</v>
      </c>
      <c r="Q985" s="96">
        <f t="shared" si="1269"/>
        <v>0</v>
      </c>
      <c r="R985" s="96">
        <v>0</v>
      </c>
      <c r="S985" s="97">
        <f t="shared" si="553"/>
        <v>0</v>
      </c>
      <c r="T985" s="97" t="str">
        <f ca="1">ROUNDUP(HLOOKUP(ROUNDUP(K985,0),'배송비 조회'!A$10:AE$22,7,0)*C$3,-2)</f>
        <v>#REF!</v>
      </c>
      <c r="U985" s="97">
        <v>0</v>
      </c>
      <c r="V985" s="97" t="str">
        <f t="shared" ca="1" si="981"/>
        <v>#REF!</v>
      </c>
      <c r="W985" s="97" t="str">
        <f t="shared" ca="1" si="982"/>
        <v>#REF!</v>
      </c>
      <c r="X985" s="98" t="str">
        <f t="shared" ca="1" si="882"/>
        <v>#REF!</v>
      </c>
      <c r="Y985" s="98" t="str">
        <f t="shared" ca="1" si="883"/>
        <v>#REF!</v>
      </c>
      <c r="Z985" s="121">
        <v>0</v>
      </c>
      <c r="AA985" s="121" t="str">
        <f t="shared" ca="1" si="556"/>
        <v>#REF!</v>
      </c>
      <c r="AB985" s="121" t="str">
        <f t="shared" ca="1" si="557"/>
        <v>#REF!</v>
      </c>
      <c r="AC985" s="99" t="str">
        <f t="shared" ca="1" si="8"/>
        <v>#REF!</v>
      </c>
      <c r="AD985" s="121" t="str">
        <f t="shared" ca="1" si="558"/>
        <v>#REF!</v>
      </c>
      <c r="AE985" s="99" t="str">
        <f t="shared" ca="1" si="10"/>
        <v>#REF!</v>
      </c>
      <c r="AF985" s="121" t="str">
        <f t="shared" ca="1" si="559"/>
        <v>#REF!</v>
      </c>
      <c r="AG985" s="100" t="str">
        <f t="shared" ca="1" si="560"/>
        <v>#REF!</v>
      </c>
      <c r="AH985" s="101" t="str">
        <f t="shared" ca="1" si="891"/>
        <v>#REF!</v>
      </c>
      <c r="AI985" s="102" t="str">
        <f t="shared" ref="AI985:AJ985" ca="1" si="1320">AG985/X985</f>
        <v>#REF!</v>
      </c>
      <c r="AJ985" s="102" t="str">
        <f t="shared" ca="1" si="1320"/>
        <v>#REF!</v>
      </c>
      <c r="AK985" s="212"/>
      <c r="AL985" s="213"/>
      <c r="AM985" s="4"/>
      <c r="AN985" s="4"/>
      <c r="AO985" s="4"/>
      <c r="AP985" s="4"/>
      <c r="AQ985" s="4"/>
      <c r="AR985" s="4"/>
      <c r="AS985" s="4"/>
      <c r="AT985" s="4"/>
      <c r="AU985" s="4"/>
      <c r="AV985" s="4"/>
      <c r="AW985" s="4"/>
    </row>
    <row r="986" spans="1:49" ht="13.2">
      <c r="A986" s="120"/>
      <c r="B986" s="266"/>
      <c r="C986" s="117"/>
      <c r="D986" s="117"/>
      <c r="E986" s="117"/>
      <c r="F986" s="123"/>
      <c r="G986" s="125" t="s">
        <v>145</v>
      </c>
      <c r="H986" s="125"/>
      <c r="I986" s="125"/>
      <c r="J986" s="125"/>
      <c r="K986" s="82" t="str">
        <f t="shared" ca="1" si="1125"/>
        <v>#REF!</v>
      </c>
      <c r="L986" s="82" t="str">
        <f t="shared" ca="1" si="1126"/>
        <v>#REF!</v>
      </c>
      <c r="M986" s="82" t="str">
        <f t="shared" ca="1" si="550"/>
        <v>#REF!</v>
      </c>
      <c r="N986" s="93"/>
      <c r="O986" s="93"/>
      <c r="P986" s="95">
        <f t="shared" si="965"/>
        <v>0</v>
      </c>
      <c r="Q986" s="96">
        <f t="shared" si="1269"/>
        <v>0</v>
      </c>
      <c r="R986" s="96">
        <v>0</v>
      </c>
      <c r="S986" s="97">
        <f t="shared" si="553"/>
        <v>0</v>
      </c>
      <c r="T986" s="97" t="str">
        <f ca="1">ROUNDUP(HLOOKUP(ROUNDUP(K986,0),'배송비 조회'!A$10:AE$22,7,0)*C$3,-2)</f>
        <v>#REF!</v>
      </c>
      <c r="U986" s="97">
        <v>0</v>
      </c>
      <c r="V986" s="97" t="str">
        <f t="shared" ca="1" si="981"/>
        <v>#REF!</v>
      </c>
      <c r="W986" s="97" t="str">
        <f t="shared" ca="1" si="982"/>
        <v>#REF!</v>
      </c>
      <c r="X986" s="98" t="str">
        <f t="shared" ca="1" si="882"/>
        <v>#REF!</v>
      </c>
      <c r="Y986" s="98" t="str">
        <f t="shared" ca="1" si="883"/>
        <v>#REF!</v>
      </c>
      <c r="Z986" s="121">
        <v>0</v>
      </c>
      <c r="AA986" s="121" t="str">
        <f t="shared" ca="1" si="556"/>
        <v>#REF!</v>
      </c>
      <c r="AB986" s="121" t="str">
        <f t="shared" ca="1" si="557"/>
        <v>#REF!</v>
      </c>
      <c r="AC986" s="99" t="str">
        <f t="shared" ca="1" si="8"/>
        <v>#REF!</v>
      </c>
      <c r="AD986" s="121" t="str">
        <f t="shared" ca="1" si="558"/>
        <v>#REF!</v>
      </c>
      <c r="AE986" s="99" t="str">
        <f t="shared" ca="1" si="10"/>
        <v>#REF!</v>
      </c>
      <c r="AF986" s="121" t="str">
        <f t="shared" ca="1" si="559"/>
        <v>#REF!</v>
      </c>
      <c r="AG986" s="100" t="str">
        <f t="shared" ca="1" si="560"/>
        <v>#REF!</v>
      </c>
      <c r="AH986" s="101" t="str">
        <f t="shared" ca="1" si="891"/>
        <v>#REF!</v>
      </c>
      <c r="AI986" s="102" t="str">
        <f t="shared" ref="AI986:AJ986" ca="1" si="1321">AG986/X986</f>
        <v>#REF!</v>
      </c>
      <c r="AJ986" s="102" t="str">
        <f t="shared" ca="1" si="1321"/>
        <v>#REF!</v>
      </c>
      <c r="AK986" s="212"/>
      <c r="AL986" s="213"/>
      <c r="AM986" s="4"/>
      <c r="AN986" s="4"/>
      <c r="AO986" s="4"/>
      <c r="AP986" s="4"/>
      <c r="AQ986" s="4"/>
      <c r="AR986" s="4"/>
      <c r="AS986" s="4"/>
      <c r="AT986" s="4"/>
      <c r="AU986" s="4"/>
      <c r="AV986" s="4"/>
      <c r="AW986" s="4"/>
    </row>
    <row r="987" spans="1:49" ht="13.2">
      <c r="A987" s="120"/>
      <c r="B987" s="266"/>
      <c r="C987" s="117"/>
      <c r="D987" s="117"/>
      <c r="E987" s="117"/>
      <c r="F987" s="123"/>
      <c r="G987" s="125" t="s">
        <v>145</v>
      </c>
      <c r="H987" s="125"/>
      <c r="I987" s="125"/>
      <c r="J987" s="125"/>
      <c r="K987" s="82" t="str">
        <f t="shared" ca="1" si="1125"/>
        <v>#REF!</v>
      </c>
      <c r="L987" s="82" t="str">
        <f t="shared" ca="1" si="1126"/>
        <v>#REF!</v>
      </c>
      <c r="M987" s="82" t="str">
        <f t="shared" ca="1" si="550"/>
        <v>#REF!</v>
      </c>
      <c r="N987" s="93"/>
      <c r="O987" s="93"/>
      <c r="P987" s="95">
        <f t="shared" si="965"/>
        <v>0</v>
      </c>
      <c r="Q987" s="96">
        <f t="shared" si="1269"/>
        <v>0</v>
      </c>
      <c r="R987" s="96">
        <v>0</v>
      </c>
      <c r="S987" s="97">
        <f t="shared" si="553"/>
        <v>0</v>
      </c>
      <c r="T987" s="97" t="str">
        <f ca="1">ROUNDUP(HLOOKUP(ROUNDUP(K987,0),'배송비 조회'!A$10:AE$22,7,0)*C$3,-2)</f>
        <v>#REF!</v>
      </c>
      <c r="U987" s="97">
        <v>0</v>
      </c>
      <c r="V987" s="97" t="str">
        <f t="shared" ca="1" si="981"/>
        <v>#REF!</v>
      </c>
      <c r="W987" s="97" t="str">
        <f t="shared" ca="1" si="982"/>
        <v>#REF!</v>
      </c>
      <c r="X987" s="98" t="str">
        <f t="shared" ca="1" si="882"/>
        <v>#REF!</v>
      </c>
      <c r="Y987" s="98" t="str">
        <f t="shared" ca="1" si="883"/>
        <v>#REF!</v>
      </c>
      <c r="Z987" s="121">
        <v>0</v>
      </c>
      <c r="AA987" s="121" t="str">
        <f t="shared" ca="1" si="556"/>
        <v>#REF!</v>
      </c>
      <c r="AB987" s="121" t="str">
        <f t="shared" ca="1" si="557"/>
        <v>#REF!</v>
      </c>
      <c r="AC987" s="99" t="str">
        <f t="shared" ca="1" si="8"/>
        <v>#REF!</v>
      </c>
      <c r="AD987" s="121" t="str">
        <f t="shared" ca="1" si="558"/>
        <v>#REF!</v>
      </c>
      <c r="AE987" s="99" t="str">
        <f t="shared" ca="1" si="10"/>
        <v>#REF!</v>
      </c>
      <c r="AF987" s="121" t="str">
        <f t="shared" ca="1" si="559"/>
        <v>#REF!</v>
      </c>
      <c r="AG987" s="100" t="str">
        <f t="shared" ca="1" si="560"/>
        <v>#REF!</v>
      </c>
      <c r="AH987" s="101" t="str">
        <f t="shared" ca="1" si="891"/>
        <v>#REF!</v>
      </c>
      <c r="AI987" s="102" t="str">
        <f t="shared" ref="AI987:AJ987" ca="1" si="1322">AG987/X987</f>
        <v>#REF!</v>
      </c>
      <c r="AJ987" s="102" t="str">
        <f t="shared" ca="1" si="1322"/>
        <v>#REF!</v>
      </c>
      <c r="AK987" s="212"/>
      <c r="AL987" s="213"/>
      <c r="AM987" s="4"/>
      <c r="AN987" s="4"/>
      <c r="AO987" s="4"/>
      <c r="AP987" s="4"/>
      <c r="AQ987" s="4"/>
      <c r="AR987" s="4"/>
      <c r="AS987" s="4"/>
      <c r="AT987" s="4"/>
      <c r="AU987" s="4"/>
      <c r="AV987" s="4"/>
      <c r="AW987" s="4"/>
    </row>
    <row r="988" spans="1:49" ht="13.2">
      <c r="A988" s="120"/>
      <c r="B988" s="266"/>
      <c r="C988" s="117"/>
      <c r="D988" s="117"/>
      <c r="E988" s="117"/>
      <c r="F988" s="123"/>
      <c r="G988" s="125" t="s">
        <v>145</v>
      </c>
      <c r="H988" s="125"/>
      <c r="I988" s="125"/>
      <c r="J988" s="125"/>
      <c r="K988" s="82" t="str">
        <f t="shared" ca="1" si="1125"/>
        <v>#REF!</v>
      </c>
      <c r="L988" s="82" t="str">
        <f t="shared" ca="1" si="1126"/>
        <v>#REF!</v>
      </c>
      <c r="M988" s="82" t="str">
        <f t="shared" ca="1" si="550"/>
        <v>#REF!</v>
      </c>
      <c r="N988" s="93"/>
      <c r="O988" s="93"/>
      <c r="P988" s="95">
        <f t="shared" si="965"/>
        <v>0</v>
      </c>
      <c r="Q988" s="96">
        <f t="shared" si="1269"/>
        <v>0</v>
      </c>
      <c r="R988" s="96">
        <v>0</v>
      </c>
      <c r="S988" s="97">
        <f t="shared" si="553"/>
        <v>0</v>
      </c>
      <c r="T988" s="97" t="str">
        <f ca="1">ROUNDUP(HLOOKUP(ROUNDUP(K988,0),'배송비 조회'!A$10:AE$22,7,0)*C$3,-2)</f>
        <v>#REF!</v>
      </c>
      <c r="U988" s="97">
        <v>0</v>
      </c>
      <c r="V988" s="97" t="str">
        <f t="shared" ca="1" si="981"/>
        <v>#REF!</v>
      </c>
      <c r="W988" s="97" t="str">
        <f t="shared" ca="1" si="982"/>
        <v>#REF!</v>
      </c>
      <c r="X988" s="98" t="str">
        <f t="shared" ca="1" si="882"/>
        <v>#REF!</v>
      </c>
      <c r="Y988" s="98" t="str">
        <f t="shared" ca="1" si="883"/>
        <v>#REF!</v>
      </c>
      <c r="Z988" s="121">
        <v>0</v>
      </c>
      <c r="AA988" s="121" t="str">
        <f t="shared" ca="1" si="556"/>
        <v>#REF!</v>
      </c>
      <c r="AB988" s="121" t="str">
        <f t="shared" ca="1" si="557"/>
        <v>#REF!</v>
      </c>
      <c r="AC988" s="99" t="str">
        <f t="shared" ca="1" si="8"/>
        <v>#REF!</v>
      </c>
      <c r="AD988" s="121" t="str">
        <f t="shared" ca="1" si="558"/>
        <v>#REF!</v>
      </c>
      <c r="AE988" s="99" t="str">
        <f t="shared" ca="1" si="10"/>
        <v>#REF!</v>
      </c>
      <c r="AF988" s="121" t="str">
        <f t="shared" ca="1" si="559"/>
        <v>#REF!</v>
      </c>
      <c r="AG988" s="100" t="str">
        <f t="shared" ca="1" si="560"/>
        <v>#REF!</v>
      </c>
      <c r="AH988" s="101" t="str">
        <f t="shared" ca="1" si="891"/>
        <v>#REF!</v>
      </c>
      <c r="AI988" s="102" t="str">
        <f t="shared" ref="AI988:AJ988" ca="1" si="1323">AG988/X988</f>
        <v>#REF!</v>
      </c>
      <c r="AJ988" s="102" t="str">
        <f t="shared" ca="1" si="1323"/>
        <v>#REF!</v>
      </c>
      <c r="AK988" s="212"/>
      <c r="AL988" s="213"/>
      <c r="AM988" s="4"/>
      <c r="AN988" s="4"/>
      <c r="AO988" s="4"/>
      <c r="AP988" s="4"/>
      <c r="AQ988" s="4"/>
      <c r="AR988" s="4"/>
      <c r="AS988" s="4"/>
      <c r="AT988" s="4"/>
      <c r="AU988" s="4"/>
      <c r="AV988" s="4"/>
      <c r="AW988" s="4"/>
    </row>
    <row r="989" spans="1:49" ht="13.2">
      <c r="A989" s="120"/>
      <c r="B989" s="266"/>
      <c r="C989" s="117"/>
      <c r="D989" s="117"/>
      <c r="E989" s="117"/>
      <c r="F989" s="123"/>
      <c r="G989" s="125" t="s">
        <v>145</v>
      </c>
      <c r="H989" s="125"/>
      <c r="I989" s="125"/>
      <c r="J989" s="125"/>
      <c r="K989" s="82" t="str">
        <f t="shared" ca="1" si="1125"/>
        <v>#REF!</v>
      </c>
      <c r="L989" s="82" t="str">
        <f t="shared" ca="1" si="1126"/>
        <v>#REF!</v>
      </c>
      <c r="M989" s="82" t="str">
        <f t="shared" ca="1" si="550"/>
        <v>#REF!</v>
      </c>
      <c r="N989" s="93"/>
      <c r="O989" s="93"/>
      <c r="P989" s="95">
        <f t="shared" si="965"/>
        <v>0</v>
      </c>
      <c r="Q989" s="96">
        <f t="shared" si="1269"/>
        <v>0</v>
      </c>
      <c r="R989" s="96">
        <v>0</v>
      </c>
      <c r="S989" s="97">
        <f t="shared" si="553"/>
        <v>0</v>
      </c>
      <c r="T989" s="97" t="str">
        <f ca="1">ROUNDUP(HLOOKUP(ROUNDUP(K989,0),'배송비 조회'!A$10:AE$22,7,0)*C$3,-2)</f>
        <v>#REF!</v>
      </c>
      <c r="U989" s="97">
        <v>0</v>
      </c>
      <c r="V989" s="97" t="str">
        <f t="shared" ca="1" si="981"/>
        <v>#REF!</v>
      </c>
      <c r="W989" s="97" t="str">
        <f t="shared" ca="1" si="982"/>
        <v>#REF!</v>
      </c>
      <c r="X989" s="98" t="str">
        <f t="shared" ca="1" si="882"/>
        <v>#REF!</v>
      </c>
      <c r="Y989" s="98" t="str">
        <f t="shared" ca="1" si="883"/>
        <v>#REF!</v>
      </c>
      <c r="Z989" s="121">
        <v>0</v>
      </c>
      <c r="AA989" s="121" t="str">
        <f t="shared" ca="1" si="556"/>
        <v>#REF!</v>
      </c>
      <c r="AB989" s="121" t="str">
        <f t="shared" ca="1" si="557"/>
        <v>#REF!</v>
      </c>
      <c r="AC989" s="99" t="str">
        <f t="shared" ca="1" si="8"/>
        <v>#REF!</v>
      </c>
      <c r="AD989" s="121" t="str">
        <f t="shared" ca="1" si="558"/>
        <v>#REF!</v>
      </c>
      <c r="AE989" s="99" t="str">
        <f t="shared" ca="1" si="10"/>
        <v>#REF!</v>
      </c>
      <c r="AF989" s="121" t="str">
        <f t="shared" ca="1" si="559"/>
        <v>#REF!</v>
      </c>
      <c r="AG989" s="100" t="str">
        <f t="shared" ca="1" si="560"/>
        <v>#REF!</v>
      </c>
      <c r="AH989" s="101" t="str">
        <f t="shared" ca="1" si="891"/>
        <v>#REF!</v>
      </c>
      <c r="AI989" s="102" t="str">
        <f t="shared" ref="AI989:AJ989" ca="1" si="1324">AG989/X989</f>
        <v>#REF!</v>
      </c>
      <c r="AJ989" s="102" t="str">
        <f t="shared" ca="1" si="1324"/>
        <v>#REF!</v>
      </c>
      <c r="AK989" s="212"/>
      <c r="AL989" s="213"/>
      <c r="AM989" s="4"/>
      <c r="AN989" s="4"/>
      <c r="AO989" s="4"/>
      <c r="AP989" s="4"/>
      <c r="AQ989" s="4"/>
      <c r="AR989" s="4"/>
      <c r="AS989" s="4"/>
      <c r="AT989" s="4"/>
      <c r="AU989" s="4"/>
      <c r="AV989" s="4"/>
      <c r="AW989" s="4"/>
    </row>
    <row r="990" spans="1:49" ht="13.2">
      <c r="A990" s="120"/>
      <c r="B990" s="266"/>
      <c r="C990" s="117"/>
      <c r="D990" s="117"/>
      <c r="E990" s="117"/>
      <c r="F990" s="123"/>
      <c r="G990" s="125" t="s">
        <v>145</v>
      </c>
      <c r="H990" s="125"/>
      <c r="I990" s="125"/>
      <c r="J990" s="125"/>
      <c r="K990" s="82" t="str">
        <f t="shared" ca="1" si="1125"/>
        <v>#REF!</v>
      </c>
      <c r="L990" s="82" t="str">
        <f t="shared" ca="1" si="1126"/>
        <v>#REF!</v>
      </c>
      <c r="M990" s="82" t="str">
        <f t="shared" ca="1" si="550"/>
        <v>#REF!</v>
      </c>
      <c r="N990" s="93"/>
      <c r="O990" s="93"/>
      <c r="P990" s="95">
        <f t="shared" si="965"/>
        <v>0</v>
      </c>
      <c r="Q990" s="96">
        <f t="shared" si="1269"/>
        <v>0</v>
      </c>
      <c r="R990" s="96">
        <v>0</v>
      </c>
      <c r="S990" s="97">
        <f t="shared" si="553"/>
        <v>0</v>
      </c>
      <c r="T990" s="97" t="str">
        <f ca="1">ROUNDUP(HLOOKUP(ROUNDUP(K990,0),'배송비 조회'!A$10:AE$22,7,0)*C$3,-2)</f>
        <v>#REF!</v>
      </c>
      <c r="U990" s="97">
        <v>0</v>
      </c>
      <c r="V990" s="97" t="str">
        <f t="shared" ca="1" si="981"/>
        <v>#REF!</v>
      </c>
      <c r="W990" s="97" t="str">
        <f t="shared" ca="1" si="982"/>
        <v>#REF!</v>
      </c>
      <c r="X990" s="98" t="str">
        <f t="shared" ca="1" si="882"/>
        <v>#REF!</v>
      </c>
      <c r="Y990" s="98" t="str">
        <f t="shared" ca="1" si="883"/>
        <v>#REF!</v>
      </c>
      <c r="Z990" s="121">
        <v>0</v>
      </c>
      <c r="AA990" s="121" t="str">
        <f t="shared" ca="1" si="556"/>
        <v>#REF!</v>
      </c>
      <c r="AB990" s="121" t="str">
        <f t="shared" ca="1" si="557"/>
        <v>#REF!</v>
      </c>
      <c r="AC990" s="99" t="str">
        <f t="shared" ca="1" si="8"/>
        <v>#REF!</v>
      </c>
      <c r="AD990" s="121" t="str">
        <f t="shared" ca="1" si="558"/>
        <v>#REF!</v>
      </c>
      <c r="AE990" s="99" t="str">
        <f t="shared" ca="1" si="10"/>
        <v>#REF!</v>
      </c>
      <c r="AF990" s="121" t="str">
        <f t="shared" ca="1" si="559"/>
        <v>#REF!</v>
      </c>
      <c r="AG990" s="100" t="str">
        <f t="shared" ca="1" si="560"/>
        <v>#REF!</v>
      </c>
      <c r="AH990" s="101" t="str">
        <f t="shared" ca="1" si="891"/>
        <v>#REF!</v>
      </c>
      <c r="AI990" s="102" t="str">
        <f t="shared" ref="AI990:AJ990" ca="1" si="1325">AG990/X990</f>
        <v>#REF!</v>
      </c>
      <c r="AJ990" s="102" t="str">
        <f t="shared" ca="1" si="1325"/>
        <v>#REF!</v>
      </c>
      <c r="AK990" s="212"/>
      <c r="AL990" s="213"/>
      <c r="AM990" s="4"/>
      <c r="AN990" s="4"/>
      <c r="AO990" s="4"/>
      <c r="AP990" s="4"/>
      <c r="AQ990" s="4"/>
      <c r="AR990" s="4"/>
      <c r="AS990" s="4"/>
      <c r="AT990" s="4"/>
      <c r="AU990" s="4"/>
      <c r="AV990" s="4"/>
      <c r="AW990" s="4"/>
    </row>
    <row r="991" spans="1:49" ht="13.2">
      <c r="A991" s="120"/>
      <c r="B991" s="266"/>
      <c r="C991" s="117"/>
      <c r="D991" s="117"/>
      <c r="E991" s="117"/>
      <c r="F991" s="123"/>
      <c r="G991" s="125" t="s">
        <v>145</v>
      </c>
      <c r="H991" s="125"/>
      <c r="I991" s="125"/>
      <c r="J991" s="125"/>
      <c r="K991" s="82" t="str">
        <f t="shared" ca="1" si="1125"/>
        <v>#REF!</v>
      </c>
      <c r="L991" s="82" t="str">
        <f t="shared" ca="1" si="1126"/>
        <v>#REF!</v>
      </c>
      <c r="M991" s="82" t="str">
        <f t="shared" ca="1" si="550"/>
        <v>#REF!</v>
      </c>
      <c r="N991" s="93"/>
      <c r="O991" s="93"/>
      <c r="P991" s="95">
        <f t="shared" si="965"/>
        <v>0</v>
      </c>
      <c r="Q991" s="96">
        <f t="shared" si="1269"/>
        <v>0</v>
      </c>
      <c r="R991" s="96">
        <v>0</v>
      </c>
      <c r="S991" s="97">
        <f t="shared" si="553"/>
        <v>0</v>
      </c>
      <c r="T991" s="97" t="str">
        <f ca="1">ROUNDUP(HLOOKUP(ROUNDUP(K991,0),'배송비 조회'!A$10:AE$22,7,0)*C$3,-2)</f>
        <v>#REF!</v>
      </c>
      <c r="U991" s="97">
        <v>0</v>
      </c>
      <c r="V991" s="97" t="str">
        <f t="shared" ca="1" si="981"/>
        <v>#REF!</v>
      </c>
      <c r="W991" s="97" t="str">
        <f t="shared" ca="1" si="982"/>
        <v>#REF!</v>
      </c>
      <c r="X991" s="98" t="str">
        <f t="shared" ca="1" si="882"/>
        <v>#REF!</v>
      </c>
      <c r="Y991" s="98" t="str">
        <f t="shared" ca="1" si="883"/>
        <v>#REF!</v>
      </c>
      <c r="Z991" s="121">
        <v>0</v>
      </c>
      <c r="AA991" s="121" t="str">
        <f t="shared" ca="1" si="556"/>
        <v>#REF!</v>
      </c>
      <c r="AB991" s="121" t="str">
        <f t="shared" ca="1" si="557"/>
        <v>#REF!</v>
      </c>
      <c r="AC991" s="99" t="str">
        <f t="shared" ca="1" si="8"/>
        <v>#REF!</v>
      </c>
      <c r="AD991" s="121" t="str">
        <f t="shared" ca="1" si="558"/>
        <v>#REF!</v>
      </c>
      <c r="AE991" s="99" t="str">
        <f t="shared" ca="1" si="10"/>
        <v>#REF!</v>
      </c>
      <c r="AF991" s="121" t="str">
        <f t="shared" ca="1" si="559"/>
        <v>#REF!</v>
      </c>
      <c r="AG991" s="100" t="str">
        <f t="shared" ca="1" si="560"/>
        <v>#REF!</v>
      </c>
      <c r="AH991" s="101" t="str">
        <f t="shared" ca="1" si="891"/>
        <v>#REF!</v>
      </c>
      <c r="AI991" s="102" t="str">
        <f t="shared" ref="AI991:AJ991" ca="1" si="1326">AG991/X991</f>
        <v>#REF!</v>
      </c>
      <c r="AJ991" s="102" t="str">
        <f t="shared" ca="1" si="1326"/>
        <v>#REF!</v>
      </c>
      <c r="AK991" s="212"/>
      <c r="AL991" s="213"/>
      <c r="AM991" s="4"/>
      <c r="AN991" s="4"/>
      <c r="AO991" s="4"/>
      <c r="AP991" s="4"/>
      <c r="AQ991" s="4"/>
      <c r="AR991" s="4"/>
      <c r="AS991" s="4"/>
      <c r="AT991" s="4"/>
      <c r="AU991" s="4"/>
      <c r="AV991" s="4"/>
      <c r="AW991" s="4"/>
    </row>
    <row r="992" spans="1:49" ht="13.2">
      <c r="A992" s="120"/>
      <c r="B992" s="266"/>
      <c r="C992" s="117"/>
      <c r="D992" s="117"/>
      <c r="E992" s="117"/>
      <c r="F992" s="123"/>
      <c r="G992" s="125" t="s">
        <v>145</v>
      </c>
      <c r="H992" s="125"/>
      <c r="I992" s="125"/>
      <c r="J992" s="125"/>
      <c r="K992" s="82" t="str">
        <f t="shared" ca="1" si="1125"/>
        <v>#REF!</v>
      </c>
      <c r="L992" s="82" t="str">
        <f t="shared" ca="1" si="1126"/>
        <v>#REF!</v>
      </c>
      <c r="M992" s="82" t="str">
        <f t="shared" ca="1" si="550"/>
        <v>#REF!</v>
      </c>
      <c r="N992" s="93"/>
      <c r="O992" s="93"/>
      <c r="P992" s="95">
        <f t="shared" si="965"/>
        <v>0</v>
      </c>
      <c r="Q992" s="96">
        <f t="shared" si="1269"/>
        <v>0</v>
      </c>
      <c r="R992" s="96">
        <v>0</v>
      </c>
      <c r="S992" s="97">
        <f t="shared" si="553"/>
        <v>0</v>
      </c>
      <c r="T992" s="97" t="str">
        <f ca="1">ROUNDUP(HLOOKUP(ROUNDUP(K992,0),'배송비 조회'!A$10:AE$22,7,0)*C$3,-2)</f>
        <v>#REF!</v>
      </c>
      <c r="U992" s="97">
        <v>0</v>
      </c>
      <c r="V992" s="97" t="str">
        <f t="shared" ca="1" si="981"/>
        <v>#REF!</v>
      </c>
      <c r="W992" s="97" t="str">
        <f t="shared" ca="1" si="982"/>
        <v>#REF!</v>
      </c>
      <c r="X992" s="98" t="str">
        <f t="shared" ca="1" si="882"/>
        <v>#REF!</v>
      </c>
      <c r="Y992" s="98" t="str">
        <f t="shared" ca="1" si="883"/>
        <v>#REF!</v>
      </c>
      <c r="Z992" s="121">
        <v>0</v>
      </c>
      <c r="AA992" s="121" t="str">
        <f t="shared" ca="1" si="556"/>
        <v>#REF!</v>
      </c>
      <c r="AB992" s="121" t="str">
        <f t="shared" ca="1" si="557"/>
        <v>#REF!</v>
      </c>
      <c r="AC992" s="99" t="str">
        <f t="shared" ca="1" si="8"/>
        <v>#REF!</v>
      </c>
      <c r="AD992" s="121" t="str">
        <f t="shared" ca="1" si="558"/>
        <v>#REF!</v>
      </c>
      <c r="AE992" s="99" t="str">
        <f t="shared" ca="1" si="10"/>
        <v>#REF!</v>
      </c>
      <c r="AF992" s="121" t="str">
        <f t="shared" ca="1" si="559"/>
        <v>#REF!</v>
      </c>
      <c r="AG992" s="100" t="str">
        <f t="shared" ca="1" si="560"/>
        <v>#REF!</v>
      </c>
      <c r="AH992" s="101" t="str">
        <f t="shared" ca="1" si="891"/>
        <v>#REF!</v>
      </c>
      <c r="AI992" s="102" t="str">
        <f t="shared" ref="AI992:AJ992" ca="1" si="1327">AG992/X992</f>
        <v>#REF!</v>
      </c>
      <c r="AJ992" s="102" t="str">
        <f t="shared" ca="1" si="1327"/>
        <v>#REF!</v>
      </c>
      <c r="AK992" s="212"/>
      <c r="AL992" s="213"/>
      <c r="AM992" s="4"/>
      <c r="AN992" s="4"/>
      <c r="AO992" s="4"/>
      <c r="AP992" s="4"/>
      <c r="AQ992" s="4"/>
      <c r="AR992" s="4"/>
      <c r="AS992" s="4"/>
      <c r="AT992" s="4"/>
      <c r="AU992" s="4"/>
      <c r="AV992" s="4"/>
      <c r="AW992" s="4"/>
    </row>
    <row r="993" spans="1:49" ht="13.2">
      <c r="A993" s="120"/>
      <c r="B993" s="266"/>
      <c r="C993" s="117"/>
      <c r="D993" s="117"/>
      <c r="E993" s="117"/>
      <c r="F993" s="123"/>
      <c r="G993" s="125" t="s">
        <v>145</v>
      </c>
      <c r="H993" s="125"/>
      <c r="I993" s="125"/>
      <c r="J993" s="125"/>
      <c r="K993" s="82" t="str">
        <f t="shared" ca="1" si="1125"/>
        <v>#REF!</v>
      </c>
      <c r="L993" s="82" t="str">
        <f t="shared" ca="1" si="1126"/>
        <v>#REF!</v>
      </c>
      <c r="M993" s="82" t="str">
        <f t="shared" ca="1" si="550"/>
        <v>#REF!</v>
      </c>
      <c r="N993" s="93"/>
      <c r="O993" s="93"/>
      <c r="P993" s="95">
        <f t="shared" si="965"/>
        <v>0</v>
      </c>
      <c r="Q993" s="96">
        <f t="shared" si="1269"/>
        <v>0</v>
      </c>
      <c r="R993" s="96">
        <v>0</v>
      </c>
      <c r="S993" s="97">
        <f t="shared" si="553"/>
        <v>0</v>
      </c>
      <c r="T993" s="97" t="str">
        <f ca="1">ROUNDUP(HLOOKUP(ROUNDUP(K993,0),'배송비 조회'!A$10:AE$22,7,0)*C$3,-2)</f>
        <v>#REF!</v>
      </c>
      <c r="U993" s="97">
        <v>0</v>
      </c>
      <c r="V993" s="97" t="str">
        <f t="shared" ca="1" si="981"/>
        <v>#REF!</v>
      </c>
      <c r="W993" s="97" t="str">
        <f t="shared" ca="1" si="982"/>
        <v>#REF!</v>
      </c>
      <c r="X993" s="98" t="str">
        <f t="shared" ca="1" si="882"/>
        <v>#REF!</v>
      </c>
      <c r="Y993" s="98" t="str">
        <f t="shared" ca="1" si="883"/>
        <v>#REF!</v>
      </c>
      <c r="Z993" s="121">
        <v>0</v>
      </c>
      <c r="AA993" s="121" t="str">
        <f t="shared" ca="1" si="556"/>
        <v>#REF!</v>
      </c>
      <c r="AB993" s="121" t="str">
        <f t="shared" ca="1" si="557"/>
        <v>#REF!</v>
      </c>
      <c r="AC993" s="99" t="str">
        <f t="shared" ca="1" si="8"/>
        <v>#REF!</v>
      </c>
      <c r="AD993" s="121" t="str">
        <f t="shared" ca="1" si="558"/>
        <v>#REF!</v>
      </c>
      <c r="AE993" s="99" t="str">
        <f t="shared" ca="1" si="10"/>
        <v>#REF!</v>
      </c>
      <c r="AF993" s="121" t="str">
        <f t="shared" ca="1" si="559"/>
        <v>#REF!</v>
      </c>
      <c r="AG993" s="100" t="str">
        <f t="shared" ca="1" si="560"/>
        <v>#REF!</v>
      </c>
      <c r="AH993" s="101" t="str">
        <f t="shared" ca="1" si="891"/>
        <v>#REF!</v>
      </c>
      <c r="AI993" s="102" t="str">
        <f t="shared" ref="AI993:AJ993" ca="1" si="1328">AG993/X993</f>
        <v>#REF!</v>
      </c>
      <c r="AJ993" s="102" t="str">
        <f t="shared" ca="1" si="1328"/>
        <v>#REF!</v>
      </c>
      <c r="AK993" s="212"/>
      <c r="AL993" s="213"/>
      <c r="AM993" s="4"/>
      <c r="AN993" s="4"/>
      <c r="AO993" s="4"/>
      <c r="AP993" s="4"/>
      <c r="AQ993" s="4"/>
      <c r="AR993" s="4"/>
      <c r="AS993" s="4"/>
      <c r="AT993" s="4"/>
      <c r="AU993" s="4"/>
      <c r="AV993" s="4"/>
      <c r="AW993" s="4"/>
    </row>
    <row r="994" spans="1:49" ht="13.2">
      <c r="A994" s="120"/>
      <c r="B994" s="266"/>
      <c r="C994" s="117"/>
      <c r="D994" s="117"/>
      <c r="E994" s="117"/>
      <c r="F994" s="123"/>
      <c r="G994" s="125" t="s">
        <v>145</v>
      </c>
      <c r="H994" s="125"/>
      <c r="I994" s="125"/>
      <c r="J994" s="125"/>
      <c r="K994" s="82" t="str">
        <f t="shared" ca="1" si="1125"/>
        <v>#REF!</v>
      </c>
      <c r="L994" s="82" t="str">
        <f t="shared" ca="1" si="1126"/>
        <v>#REF!</v>
      </c>
      <c r="M994" s="82" t="str">
        <f t="shared" ca="1" si="550"/>
        <v>#REF!</v>
      </c>
      <c r="N994" s="93"/>
      <c r="O994" s="93"/>
      <c r="P994" s="95">
        <f t="shared" si="965"/>
        <v>0</v>
      </c>
      <c r="Q994" s="96">
        <f t="shared" si="1269"/>
        <v>0</v>
      </c>
      <c r="R994" s="96">
        <v>0</v>
      </c>
      <c r="S994" s="97">
        <f t="shared" si="553"/>
        <v>0</v>
      </c>
      <c r="T994" s="97" t="str">
        <f ca="1">ROUNDUP(HLOOKUP(ROUNDUP(K994,0),'배송비 조회'!A$10:AE$22,7,0)*C$3,-2)</f>
        <v>#REF!</v>
      </c>
      <c r="U994" s="97">
        <v>0</v>
      </c>
      <c r="V994" s="97" t="str">
        <f t="shared" ca="1" si="981"/>
        <v>#REF!</v>
      </c>
      <c r="W994" s="97" t="str">
        <f t="shared" ca="1" si="982"/>
        <v>#REF!</v>
      </c>
      <c r="X994" s="98" t="str">
        <f t="shared" ca="1" si="882"/>
        <v>#REF!</v>
      </c>
      <c r="Y994" s="98" t="str">
        <f t="shared" ca="1" si="883"/>
        <v>#REF!</v>
      </c>
      <c r="Z994" s="121">
        <v>0</v>
      </c>
      <c r="AA994" s="121" t="str">
        <f t="shared" ca="1" si="556"/>
        <v>#REF!</v>
      </c>
      <c r="AB994" s="121" t="str">
        <f t="shared" ca="1" si="557"/>
        <v>#REF!</v>
      </c>
      <c r="AC994" s="99" t="str">
        <f t="shared" ca="1" si="8"/>
        <v>#REF!</v>
      </c>
      <c r="AD994" s="121" t="str">
        <f t="shared" ca="1" si="558"/>
        <v>#REF!</v>
      </c>
      <c r="AE994" s="99" t="str">
        <f t="shared" ca="1" si="10"/>
        <v>#REF!</v>
      </c>
      <c r="AF994" s="121" t="str">
        <f t="shared" ca="1" si="559"/>
        <v>#REF!</v>
      </c>
      <c r="AG994" s="100" t="str">
        <f t="shared" ca="1" si="560"/>
        <v>#REF!</v>
      </c>
      <c r="AH994" s="101" t="str">
        <f t="shared" ca="1" si="891"/>
        <v>#REF!</v>
      </c>
      <c r="AI994" s="102" t="str">
        <f t="shared" ref="AI994:AJ994" ca="1" si="1329">AG994/X994</f>
        <v>#REF!</v>
      </c>
      <c r="AJ994" s="102" t="str">
        <f t="shared" ca="1" si="1329"/>
        <v>#REF!</v>
      </c>
      <c r="AK994" s="212"/>
      <c r="AL994" s="213"/>
      <c r="AM994" s="4"/>
      <c r="AN994" s="4"/>
      <c r="AO994" s="4"/>
      <c r="AP994" s="4"/>
      <c r="AQ994" s="4"/>
      <c r="AR994" s="4"/>
      <c r="AS994" s="4"/>
      <c r="AT994" s="4"/>
      <c r="AU994" s="4"/>
      <c r="AV994" s="4"/>
      <c r="AW994" s="4"/>
    </row>
    <row r="995" spans="1:49" ht="13.2">
      <c r="A995" s="120"/>
      <c r="B995" s="266"/>
      <c r="C995" s="117"/>
      <c r="D995" s="117"/>
      <c r="E995" s="117"/>
      <c r="F995" s="123"/>
      <c r="G995" s="125" t="s">
        <v>145</v>
      </c>
      <c r="H995" s="125"/>
      <c r="I995" s="125"/>
      <c r="J995" s="125"/>
      <c r="K995" s="82" t="str">
        <f t="shared" ca="1" si="1125"/>
        <v>#REF!</v>
      </c>
      <c r="L995" s="82" t="str">
        <f t="shared" ca="1" si="1126"/>
        <v>#REF!</v>
      </c>
      <c r="M995" s="82" t="str">
        <f t="shared" ca="1" si="550"/>
        <v>#REF!</v>
      </c>
      <c r="N995" s="93"/>
      <c r="O995" s="93"/>
      <c r="P995" s="95">
        <f t="shared" si="965"/>
        <v>0</v>
      </c>
      <c r="Q995" s="96">
        <f t="shared" si="1269"/>
        <v>0</v>
      </c>
      <c r="R995" s="96">
        <v>0</v>
      </c>
      <c r="S995" s="97">
        <f t="shared" si="553"/>
        <v>0</v>
      </c>
      <c r="T995" s="97" t="str">
        <f ca="1">ROUNDUP(HLOOKUP(ROUNDUP(K995,0),'배송비 조회'!A$10:AE$22,7,0)*C$3,-2)</f>
        <v>#REF!</v>
      </c>
      <c r="U995" s="97">
        <v>0</v>
      </c>
      <c r="V995" s="97" t="str">
        <f t="shared" ca="1" si="981"/>
        <v>#REF!</v>
      </c>
      <c r="W995" s="97" t="str">
        <f t="shared" ca="1" si="982"/>
        <v>#REF!</v>
      </c>
      <c r="X995" s="98" t="str">
        <f t="shared" ca="1" si="882"/>
        <v>#REF!</v>
      </c>
      <c r="Y995" s="98" t="str">
        <f t="shared" ca="1" si="883"/>
        <v>#REF!</v>
      </c>
      <c r="Z995" s="121">
        <v>0</v>
      </c>
      <c r="AA995" s="121" t="str">
        <f t="shared" ca="1" si="556"/>
        <v>#REF!</v>
      </c>
      <c r="AB995" s="121" t="str">
        <f t="shared" ca="1" si="557"/>
        <v>#REF!</v>
      </c>
      <c r="AC995" s="99" t="str">
        <f t="shared" ca="1" si="8"/>
        <v>#REF!</v>
      </c>
      <c r="AD995" s="121" t="str">
        <f t="shared" ca="1" si="558"/>
        <v>#REF!</v>
      </c>
      <c r="AE995" s="99" t="str">
        <f t="shared" ca="1" si="10"/>
        <v>#REF!</v>
      </c>
      <c r="AF995" s="121" t="str">
        <f t="shared" ca="1" si="559"/>
        <v>#REF!</v>
      </c>
      <c r="AG995" s="100" t="str">
        <f t="shared" ca="1" si="560"/>
        <v>#REF!</v>
      </c>
      <c r="AH995" s="101" t="str">
        <f t="shared" ca="1" si="891"/>
        <v>#REF!</v>
      </c>
      <c r="AI995" s="102" t="str">
        <f t="shared" ref="AI995:AJ995" ca="1" si="1330">AG995/X995</f>
        <v>#REF!</v>
      </c>
      <c r="AJ995" s="102" t="str">
        <f t="shared" ca="1" si="1330"/>
        <v>#REF!</v>
      </c>
      <c r="AK995" s="212"/>
      <c r="AL995" s="213"/>
      <c r="AM995" s="4"/>
      <c r="AN995" s="4"/>
      <c r="AO995" s="4"/>
      <c r="AP995" s="4"/>
      <c r="AQ995" s="4"/>
      <c r="AR995" s="4"/>
      <c r="AS995" s="4"/>
      <c r="AT995" s="4"/>
      <c r="AU995" s="4"/>
      <c r="AV995" s="4"/>
      <c r="AW995" s="4"/>
    </row>
    <row r="996" spans="1:49" ht="13.2">
      <c r="A996" s="120"/>
      <c r="B996" s="266"/>
      <c r="C996" s="117"/>
      <c r="D996" s="117"/>
      <c r="E996" s="117"/>
      <c r="F996" s="123"/>
      <c r="G996" s="125" t="s">
        <v>145</v>
      </c>
      <c r="H996" s="125"/>
      <c r="I996" s="125"/>
      <c r="J996" s="125"/>
      <c r="K996" s="82" t="str">
        <f t="shared" ca="1" si="1125"/>
        <v>#REF!</v>
      </c>
      <c r="L996" s="82" t="str">
        <f t="shared" ca="1" si="1126"/>
        <v>#REF!</v>
      </c>
      <c r="M996" s="82" t="str">
        <f t="shared" ca="1" si="550"/>
        <v>#REF!</v>
      </c>
      <c r="N996" s="93"/>
      <c r="O996" s="93"/>
      <c r="P996" s="95">
        <f t="shared" si="965"/>
        <v>0</v>
      </c>
      <c r="Q996" s="96">
        <f t="shared" si="1269"/>
        <v>0</v>
      </c>
      <c r="R996" s="96">
        <v>0</v>
      </c>
      <c r="S996" s="97">
        <f t="shared" si="553"/>
        <v>0</v>
      </c>
      <c r="T996" s="97" t="str">
        <f ca="1">ROUNDUP(HLOOKUP(ROUNDUP(K996,0),'배송비 조회'!A$10:AE$22,7,0)*C$3,-2)</f>
        <v>#REF!</v>
      </c>
      <c r="U996" s="97">
        <v>0</v>
      </c>
      <c r="V996" s="97" t="str">
        <f t="shared" ca="1" si="981"/>
        <v>#REF!</v>
      </c>
      <c r="W996" s="97" t="str">
        <f t="shared" ca="1" si="982"/>
        <v>#REF!</v>
      </c>
      <c r="X996" s="98" t="str">
        <f t="shared" ca="1" si="882"/>
        <v>#REF!</v>
      </c>
      <c r="Y996" s="98" t="str">
        <f t="shared" ca="1" si="883"/>
        <v>#REF!</v>
      </c>
      <c r="Z996" s="121">
        <v>0</v>
      </c>
      <c r="AA996" s="121" t="str">
        <f t="shared" ca="1" si="556"/>
        <v>#REF!</v>
      </c>
      <c r="AB996" s="121" t="str">
        <f t="shared" ca="1" si="557"/>
        <v>#REF!</v>
      </c>
      <c r="AC996" s="99" t="str">
        <f t="shared" ca="1" si="8"/>
        <v>#REF!</v>
      </c>
      <c r="AD996" s="121" t="str">
        <f t="shared" ca="1" si="558"/>
        <v>#REF!</v>
      </c>
      <c r="AE996" s="99" t="str">
        <f t="shared" ca="1" si="10"/>
        <v>#REF!</v>
      </c>
      <c r="AF996" s="121" t="str">
        <f t="shared" ca="1" si="559"/>
        <v>#REF!</v>
      </c>
      <c r="AG996" s="100" t="str">
        <f t="shared" ca="1" si="560"/>
        <v>#REF!</v>
      </c>
      <c r="AH996" s="101" t="str">
        <f t="shared" ca="1" si="891"/>
        <v>#REF!</v>
      </c>
      <c r="AI996" s="102" t="str">
        <f t="shared" ref="AI996:AJ996" ca="1" si="1331">AG996/X996</f>
        <v>#REF!</v>
      </c>
      <c r="AJ996" s="102" t="str">
        <f t="shared" ca="1" si="1331"/>
        <v>#REF!</v>
      </c>
      <c r="AK996" s="212"/>
      <c r="AL996" s="213"/>
      <c r="AM996" s="4"/>
      <c r="AN996" s="4"/>
      <c r="AO996" s="4"/>
      <c r="AP996" s="4"/>
      <c r="AQ996" s="4"/>
      <c r="AR996" s="4"/>
      <c r="AS996" s="4"/>
      <c r="AT996" s="4"/>
      <c r="AU996" s="4"/>
      <c r="AV996" s="4"/>
      <c r="AW996" s="4"/>
    </row>
    <row r="997" spans="1:49" ht="13.2">
      <c r="A997" s="120"/>
      <c r="B997" s="266"/>
      <c r="C997" s="117"/>
      <c r="D997" s="117"/>
      <c r="E997" s="117"/>
      <c r="F997" s="123"/>
      <c r="G997" s="125" t="s">
        <v>145</v>
      </c>
      <c r="H997" s="125"/>
      <c r="I997" s="125"/>
      <c r="J997" s="125"/>
      <c r="K997" s="82" t="str">
        <f t="shared" ca="1" si="1125"/>
        <v>#REF!</v>
      </c>
      <c r="L997" s="82" t="str">
        <f t="shared" ca="1" si="1126"/>
        <v>#REF!</v>
      </c>
      <c r="M997" s="82" t="str">
        <f t="shared" ca="1" si="550"/>
        <v>#REF!</v>
      </c>
      <c r="N997" s="93"/>
      <c r="O997" s="93"/>
      <c r="P997" s="95">
        <f t="shared" si="965"/>
        <v>0</v>
      </c>
      <c r="Q997" s="96">
        <f t="shared" si="1269"/>
        <v>0</v>
      </c>
      <c r="R997" s="96">
        <v>0</v>
      </c>
      <c r="S997" s="97">
        <f t="shared" si="553"/>
        <v>0</v>
      </c>
      <c r="T997" s="97" t="str">
        <f ca="1">ROUNDUP(HLOOKUP(ROUNDUP(K997,0),'배송비 조회'!A$10:AE$22,7,0)*C$3,-2)</f>
        <v>#REF!</v>
      </c>
      <c r="U997" s="97">
        <v>0</v>
      </c>
      <c r="V997" s="97" t="str">
        <f t="shared" ca="1" si="981"/>
        <v>#REF!</v>
      </c>
      <c r="W997" s="97" t="str">
        <f t="shared" ca="1" si="982"/>
        <v>#REF!</v>
      </c>
      <c r="X997" s="98" t="str">
        <f t="shared" ca="1" si="882"/>
        <v>#REF!</v>
      </c>
      <c r="Y997" s="98" t="str">
        <f t="shared" ca="1" si="883"/>
        <v>#REF!</v>
      </c>
      <c r="Z997" s="121">
        <v>0</v>
      </c>
      <c r="AA997" s="121" t="str">
        <f t="shared" ca="1" si="556"/>
        <v>#REF!</v>
      </c>
      <c r="AB997" s="121" t="str">
        <f t="shared" ca="1" si="557"/>
        <v>#REF!</v>
      </c>
      <c r="AC997" s="99" t="str">
        <f t="shared" ca="1" si="8"/>
        <v>#REF!</v>
      </c>
      <c r="AD997" s="121" t="str">
        <f t="shared" ca="1" si="558"/>
        <v>#REF!</v>
      </c>
      <c r="AE997" s="99" t="str">
        <f t="shared" ca="1" si="10"/>
        <v>#REF!</v>
      </c>
      <c r="AF997" s="121" t="str">
        <f t="shared" ca="1" si="559"/>
        <v>#REF!</v>
      </c>
      <c r="AG997" s="100" t="str">
        <f t="shared" ca="1" si="560"/>
        <v>#REF!</v>
      </c>
      <c r="AH997" s="101" t="str">
        <f t="shared" ca="1" si="891"/>
        <v>#REF!</v>
      </c>
      <c r="AI997" s="102" t="str">
        <f t="shared" ref="AI997:AJ997" ca="1" si="1332">AG997/X997</f>
        <v>#REF!</v>
      </c>
      <c r="AJ997" s="102" t="str">
        <f t="shared" ca="1" si="1332"/>
        <v>#REF!</v>
      </c>
      <c r="AK997" s="212"/>
      <c r="AL997" s="213"/>
      <c r="AM997" s="4"/>
      <c r="AN997" s="4"/>
      <c r="AO997" s="4"/>
      <c r="AP997" s="4"/>
      <c r="AQ997" s="4"/>
      <c r="AR997" s="4"/>
      <c r="AS997" s="4"/>
      <c r="AT997" s="4"/>
      <c r="AU997" s="4"/>
      <c r="AV997" s="4"/>
      <c r="AW997" s="4"/>
    </row>
    <row r="998" spans="1:49" ht="13.2">
      <c r="A998" s="120"/>
      <c r="B998" s="266"/>
      <c r="C998" s="117"/>
      <c r="D998" s="117"/>
      <c r="E998" s="117"/>
      <c r="F998" s="123"/>
      <c r="G998" s="125" t="s">
        <v>145</v>
      </c>
      <c r="H998" s="125"/>
      <c r="I998" s="125"/>
      <c r="J998" s="125"/>
      <c r="K998" s="82" t="str">
        <f t="shared" ca="1" si="1125"/>
        <v>#REF!</v>
      </c>
      <c r="L998" s="82" t="str">
        <f t="shared" ca="1" si="1126"/>
        <v>#REF!</v>
      </c>
      <c r="M998" s="82" t="str">
        <f t="shared" ca="1" si="550"/>
        <v>#REF!</v>
      </c>
      <c r="N998" s="93"/>
      <c r="O998" s="93"/>
      <c r="P998" s="95">
        <f t="shared" si="965"/>
        <v>0</v>
      </c>
      <c r="Q998" s="96">
        <f t="shared" si="1269"/>
        <v>0</v>
      </c>
      <c r="R998" s="96">
        <v>0</v>
      </c>
      <c r="S998" s="97">
        <f t="shared" si="553"/>
        <v>0</v>
      </c>
      <c r="T998" s="97" t="str">
        <f ca="1">ROUNDUP(HLOOKUP(ROUNDUP(K998,0),'배송비 조회'!A$10:AE$22,7,0)*C$3,-2)</f>
        <v>#REF!</v>
      </c>
      <c r="U998" s="97">
        <v>0</v>
      </c>
      <c r="V998" s="97" t="str">
        <f t="shared" ca="1" si="981"/>
        <v>#REF!</v>
      </c>
      <c r="W998" s="97" t="str">
        <f t="shared" ca="1" si="982"/>
        <v>#REF!</v>
      </c>
      <c r="X998" s="98" t="str">
        <f t="shared" ca="1" si="882"/>
        <v>#REF!</v>
      </c>
      <c r="Y998" s="98" t="str">
        <f t="shared" ca="1" si="883"/>
        <v>#REF!</v>
      </c>
      <c r="Z998" s="121">
        <v>0</v>
      </c>
      <c r="AA998" s="121" t="str">
        <f t="shared" ca="1" si="556"/>
        <v>#REF!</v>
      </c>
      <c r="AB998" s="121" t="str">
        <f t="shared" ca="1" si="557"/>
        <v>#REF!</v>
      </c>
      <c r="AC998" s="99" t="str">
        <f t="shared" ca="1" si="8"/>
        <v>#REF!</v>
      </c>
      <c r="AD998" s="121" t="str">
        <f t="shared" ca="1" si="558"/>
        <v>#REF!</v>
      </c>
      <c r="AE998" s="99" t="str">
        <f t="shared" ca="1" si="10"/>
        <v>#REF!</v>
      </c>
      <c r="AF998" s="121" t="str">
        <f t="shared" ca="1" si="559"/>
        <v>#REF!</v>
      </c>
      <c r="AG998" s="100" t="str">
        <f t="shared" ca="1" si="560"/>
        <v>#REF!</v>
      </c>
      <c r="AH998" s="101" t="str">
        <f t="shared" ca="1" si="891"/>
        <v>#REF!</v>
      </c>
      <c r="AI998" s="102" t="str">
        <f t="shared" ref="AI998:AJ998" ca="1" si="1333">AG998/X998</f>
        <v>#REF!</v>
      </c>
      <c r="AJ998" s="102" t="str">
        <f t="shared" ca="1" si="1333"/>
        <v>#REF!</v>
      </c>
      <c r="AK998" s="212"/>
      <c r="AL998" s="213"/>
      <c r="AM998" s="4"/>
      <c r="AN998" s="4"/>
      <c r="AO998" s="4"/>
      <c r="AP998" s="4"/>
      <c r="AQ998" s="4"/>
      <c r="AR998" s="4"/>
      <c r="AS998" s="4"/>
      <c r="AT998" s="4"/>
      <c r="AU998" s="4"/>
      <c r="AV998" s="4"/>
      <c r="AW998" s="4"/>
    </row>
    <row r="999" spans="1:49" ht="13.2">
      <c r="A999" s="120"/>
      <c r="B999" s="266"/>
      <c r="C999" s="117"/>
      <c r="D999" s="117"/>
      <c r="E999" s="117"/>
      <c r="F999" s="123"/>
      <c r="G999" s="125" t="s">
        <v>145</v>
      </c>
      <c r="H999" s="125"/>
      <c r="I999" s="125"/>
      <c r="J999" s="125"/>
      <c r="K999" s="82" t="str">
        <f t="shared" ca="1" si="1125"/>
        <v>#REF!</v>
      </c>
      <c r="L999" s="82" t="str">
        <f t="shared" ca="1" si="1126"/>
        <v>#REF!</v>
      </c>
      <c r="M999" s="82" t="str">
        <f t="shared" ca="1" si="550"/>
        <v>#REF!</v>
      </c>
      <c r="N999" s="93"/>
      <c r="O999" s="93"/>
      <c r="P999" s="95">
        <f t="shared" si="965"/>
        <v>0</v>
      </c>
      <c r="Q999" s="96">
        <f t="shared" ref="Q999:Q1062" si="1334">P999*C$3</f>
        <v>0</v>
      </c>
      <c r="R999" s="96">
        <v>0</v>
      </c>
      <c r="S999" s="97">
        <f t="shared" si="553"/>
        <v>0</v>
      </c>
      <c r="T999" s="97" t="str">
        <f ca="1">ROUNDUP(HLOOKUP(ROUNDUP(K999,0),'배송비 조회'!A$10:AE$22,7,0)*C$3,-2)</f>
        <v>#REF!</v>
      </c>
      <c r="U999" s="97">
        <v>0</v>
      </c>
      <c r="V999" s="97" t="str">
        <f t="shared" ca="1" si="981"/>
        <v>#REF!</v>
      </c>
      <c r="W999" s="97" t="str">
        <f t="shared" ca="1" si="982"/>
        <v>#REF!</v>
      </c>
      <c r="X999" s="98" t="str">
        <f t="shared" ca="1" si="882"/>
        <v>#REF!</v>
      </c>
      <c r="Y999" s="98" t="str">
        <f t="shared" ca="1" si="883"/>
        <v>#REF!</v>
      </c>
      <c r="Z999" s="121">
        <v>0</v>
      </c>
      <c r="AA999" s="121" t="str">
        <f t="shared" ca="1" si="556"/>
        <v>#REF!</v>
      </c>
      <c r="AB999" s="121" t="str">
        <f t="shared" ca="1" si="557"/>
        <v>#REF!</v>
      </c>
      <c r="AC999" s="99" t="str">
        <f t="shared" ca="1" si="8"/>
        <v>#REF!</v>
      </c>
      <c r="AD999" s="121" t="str">
        <f t="shared" ca="1" si="558"/>
        <v>#REF!</v>
      </c>
      <c r="AE999" s="99" t="str">
        <f t="shared" ca="1" si="10"/>
        <v>#REF!</v>
      </c>
      <c r="AF999" s="121" t="str">
        <f t="shared" ca="1" si="559"/>
        <v>#REF!</v>
      </c>
      <c r="AG999" s="100" t="str">
        <f t="shared" ca="1" si="560"/>
        <v>#REF!</v>
      </c>
      <c r="AH999" s="101" t="str">
        <f t="shared" ca="1" si="891"/>
        <v>#REF!</v>
      </c>
      <c r="AI999" s="102" t="str">
        <f t="shared" ref="AI999:AJ999" ca="1" si="1335">AG999/X999</f>
        <v>#REF!</v>
      </c>
      <c r="AJ999" s="102" t="str">
        <f t="shared" ca="1" si="1335"/>
        <v>#REF!</v>
      </c>
      <c r="AK999" s="212"/>
      <c r="AL999" s="213"/>
      <c r="AM999" s="4"/>
      <c r="AN999" s="4"/>
      <c r="AO999" s="4"/>
      <c r="AP999" s="4"/>
      <c r="AQ999" s="4"/>
      <c r="AR999" s="4"/>
      <c r="AS999" s="4"/>
      <c r="AT999" s="4"/>
      <c r="AU999" s="4"/>
      <c r="AV999" s="4"/>
      <c r="AW999" s="4"/>
    </row>
    <row r="1000" spans="1:49" ht="13.2">
      <c r="A1000" s="120"/>
      <c r="B1000" s="266"/>
      <c r="C1000" s="117"/>
      <c r="D1000" s="117"/>
      <c r="E1000" s="117"/>
      <c r="F1000" s="123"/>
      <c r="G1000" s="125" t="s">
        <v>145</v>
      </c>
      <c r="H1000" s="125"/>
      <c r="I1000" s="125"/>
      <c r="J1000" s="125"/>
      <c r="K1000" s="82" t="str">
        <f t="shared" ca="1" si="1125"/>
        <v>#REF!</v>
      </c>
      <c r="L1000" s="82" t="str">
        <f t="shared" ca="1" si="1126"/>
        <v>#REF!</v>
      </c>
      <c r="M1000" s="82" t="str">
        <f t="shared" ca="1" si="550"/>
        <v>#REF!</v>
      </c>
      <c r="N1000" s="93"/>
      <c r="O1000" s="93"/>
      <c r="P1000" s="95">
        <f t="shared" si="965"/>
        <v>0</v>
      </c>
      <c r="Q1000" s="96">
        <f t="shared" si="1334"/>
        <v>0</v>
      </c>
      <c r="R1000" s="96">
        <v>0</v>
      </c>
      <c r="S1000" s="97">
        <f t="shared" si="553"/>
        <v>0</v>
      </c>
      <c r="T1000" s="97" t="str">
        <f ca="1">ROUNDUP(HLOOKUP(ROUNDUP(K1000,0),'배송비 조회'!A$10:AE$22,7,0)*C$3,-2)</f>
        <v>#REF!</v>
      </c>
      <c r="U1000" s="97">
        <v>0</v>
      </c>
      <c r="V1000" s="97" t="str">
        <f t="shared" ca="1" si="981"/>
        <v>#REF!</v>
      </c>
      <c r="W1000" s="97" t="str">
        <f t="shared" ca="1" si="982"/>
        <v>#REF!</v>
      </c>
      <c r="X1000" s="98" t="str">
        <f t="shared" ca="1" si="882"/>
        <v>#REF!</v>
      </c>
      <c r="Y1000" s="98" t="str">
        <f t="shared" ca="1" si="883"/>
        <v>#REF!</v>
      </c>
      <c r="Z1000" s="121">
        <v>0</v>
      </c>
      <c r="AA1000" s="121" t="str">
        <f t="shared" ca="1" si="556"/>
        <v>#REF!</v>
      </c>
      <c r="AB1000" s="121" t="str">
        <f t="shared" ca="1" si="557"/>
        <v>#REF!</v>
      </c>
      <c r="AC1000" s="99" t="str">
        <f t="shared" ca="1" si="8"/>
        <v>#REF!</v>
      </c>
      <c r="AD1000" s="121" t="str">
        <f t="shared" ca="1" si="558"/>
        <v>#REF!</v>
      </c>
      <c r="AE1000" s="99" t="str">
        <f t="shared" ca="1" si="10"/>
        <v>#REF!</v>
      </c>
      <c r="AF1000" s="121" t="str">
        <f t="shared" ca="1" si="559"/>
        <v>#REF!</v>
      </c>
      <c r="AG1000" s="100" t="str">
        <f t="shared" ca="1" si="560"/>
        <v>#REF!</v>
      </c>
      <c r="AH1000" s="101" t="str">
        <f t="shared" ca="1" si="891"/>
        <v>#REF!</v>
      </c>
      <c r="AI1000" s="102" t="str">
        <f t="shared" ref="AI1000:AJ1000" ca="1" si="1336">AG1000/X1000</f>
        <v>#REF!</v>
      </c>
      <c r="AJ1000" s="102" t="str">
        <f t="shared" ca="1" si="1336"/>
        <v>#REF!</v>
      </c>
      <c r="AK1000" s="212"/>
      <c r="AL1000" s="213"/>
      <c r="AM1000" s="4"/>
      <c r="AN1000" s="4"/>
      <c r="AO1000" s="4"/>
      <c r="AP1000" s="4"/>
      <c r="AQ1000" s="4"/>
      <c r="AR1000" s="4"/>
      <c r="AS1000" s="4"/>
      <c r="AT1000" s="4"/>
      <c r="AU1000" s="4"/>
      <c r="AV1000" s="4"/>
      <c r="AW1000" s="4"/>
    </row>
    <row r="1001" spans="1:49" ht="13.2">
      <c r="A1001" s="120"/>
      <c r="B1001" s="266"/>
      <c r="C1001" s="117"/>
      <c r="D1001" s="117"/>
      <c r="E1001" s="117"/>
      <c r="F1001" s="123"/>
      <c r="G1001" s="125" t="s">
        <v>145</v>
      </c>
      <c r="H1001" s="125"/>
      <c r="I1001" s="125"/>
      <c r="J1001" s="125"/>
      <c r="K1001" s="82" t="str">
        <f t="shared" ca="1" si="1125"/>
        <v>#REF!</v>
      </c>
      <c r="L1001" s="82" t="str">
        <f t="shared" ca="1" si="1126"/>
        <v>#REF!</v>
      </c>
      <c r="M1001" s="82" t="str">
        <f t="shared" ca="1" si="550"/>
        <v>#REF!</v>
      </c>
      <c r="N1001" s="93"/>
      <c r="O1001" s="93"/>
      <c r="P1001" s="95">
        <f t="shared" si="965"/>
        <v>0</v>
      </c>
      <c r="Q1001" s="96">
        <f t="shared" si="1334"/>
        <v>0</v>
      </c>
      <c r="R1001" s="96">
        <v>0</v>
      </c>
      <c r="S1001" s="97">
        <f t="shared" si="553"/>
        <v>0</v>
      </c>
      <c r="T1001" s="97" t="str">
        <f ca="1">ROUNDUP(HLOOKUP(ROUNDUP(K1001,0),'배송비 조회'!A$10:AE$22,7,0)*C$3,-2)</f>
        <v>#REF!</v>
      </c>
      <c r="U1001" s="97">
        <v>0</v>
      </c>
      <c r="V1001" s="97" t="str">
        <f t="shared" ca="1" si="981"/>
        <v>#REF!</v>
      </c>
      <c r="W1001" s="97" t="str">
        <f t="shared" ca="1" si="982"/>
        <v>#REF!</v>
      </c>
      <c r="X1001" s="98" t="str">
        <f t="shared" ca="1" si="882"/>
        <v>#REF!</v>
      </c>
      <c r="Y1001" s="98" t="str">
        <f t="shared" ca="1" si="883"/>
        <v>#REF!</v>
      </c>
      <c r="Z1001" s="121">
        <v>0</v>
      </c>
      <c r="AA1001" s="121" t="str">
        <f t="shared" ca="1" si="556"/>
        <v>#REF!</v>
      </c>
      <c r="AB1001" s="121" t="str">
        <f t="shared" ca="1" si="557"/>
        <v>#REF!</v>
      </c>
      <c r="AC1001" s="99" t="str">
        <f t="shared" ca="1" si="8"/>
        <v>#REF!</v>
      </c>
      <c r="AD1001" s="121" t="str">
        <f t="shared" ca="1" si="558"/>
        <v>#REF!</v>
      </c>
      <c r="AE1001" s="99" t="str">
        <f t="shared" ca="1" si="10"/>
        <v>#REF!</v>
      </c>
      <c r="AF1001" s="121" t="str">
        <f t="shared" ca="1" si="559"/>
        <v>#REF!</v>
      </c>
      <c r="AG1001" s="100" t="str">
        <f t="shared" ca="1" si="560"/>
        <v>#REF!</v>
      </c>
      <c r="AH1001" s="101" t="str">
        <f t="shared" ca="1" si="891"/>
        <v>#REF!</v>
      </c>
      <c r="AI1001" s="102" t="str">
        <f t="shared" ref="AI1001:AJ1001" ca="1" si="1337">AG1001/X1001</f>
        <v>#REF!</v>
      </c>
      <c r="AJ1001" s="102" t="str">
        <f t="shared" ca="1" si="1337"/>
        <v>#REF!</v>
      </c>
      <c r="AK1001" s="212"/>
      <c r="AL1001" s="213"/>
      <c r="AM1001" s="4"/>
      <c r="AN1001" s="4"/>
      <c r="AO1001" s="4"/>
      <c r="AP1001" s="4"/>
      <c r="AQ1001" s="4"/>
      <c r="AR1001" s="4"/>
      <c r="AS1001" s="4"/>
      <c r="AT1001" s="4"/>
      <c r="AU1001" s="4"/>
      <c r="AV1001" s="4"/>
      <c r="AW1001" s="4"/>
    </row>
    <row r="1002" spans="1:49" ht="13.2">
      <c r="A1002" s="120"/>
      <c r="B1002" s="266"/>
      <c r="C1002" s="117"/>
      <c r="D1002" s="117"/>
      <c r="E1002" s="117"/>
      <c r="F1002" s="123"/>
      <c r="G1002" s="125" t="s">
        <v>145</v>
      </c>
      <c r="H1002" s="125"/>
      <c r="I1002" s="125"/>
      <c r="J1002" s="125"/>
      <c r="K1002" s="82" t="str">
        <f t="shared" ca="1" si="1125"/>
        <v>#REF!</v>
      </c>
      <c r="L1002" s="82" t="str">
        <f t="shared" ca="1" si="1126"/>
        <v>#REF!</v>
      </c>
      <c r="M1002" s="82" t="str">
        <f t="shared" ca="1" si="550"/>
        <v>#REF!</v>
      </c>
      <c r="N1002" s="93"/>
      <c r="O1002" s="93"/>
      <c r="P1002" s="95">
        <f t="shared" si="965"/>
        <v>0</v>
      </c>
      <c r="Q1002" s="96">
        <f t="shared" si="1334"/>
        <v>0</v>
      </c>
      <c r="R1002" s="96">
        <v>0</v>
      </c>
      <c r="S1002" s="97">
        <f t="shared" si="553"/>
        <v>0</v>
      </c>
      <c r="T1002" s="97" t="str">
        <f ca="1">ROUNDUP(HLOOKUP(ROUNDUP(K1002,0),'배송비 조회'!A$10:AE$22,7,0)*C$3,-2)</f>
        <v>#REF!</v>
      </c>
      <c r="U1002" s="97">
        <v>0</v>
      </c>
      <c r="V1002" s="97" t="str">
        <f t="shared" ca="1" si="981"/>
        <v>#REF!</v>
      </c>
      <c r="W1002" s="97" t="str">
        <f t="shared" ca="1" si="982"/>
        <v>#REF!</v>
      </c>
      <c r="X1002" s="98" t="str">
        <f t="shared" ca="1" si="882"/>
        <v>#REF!</v>
      </c>
      <c r="Y1002" s="98" t="str">
        <f t="shared" ca="1" si="883"/>
        <v>#REF!</v>
      </c>
      <c r="Z1002" s="121">
        <v>0</v>
      </c>
      <c r="AA1002" s="121" t="str">
        <f t="shared" ca="1" si="556"/>
        <v>#REF!</v>
      </c>
      <c r="AB1002" s="121" t="str">
        <f t="shared" ca="1" si="557"/>
        <v>#REF!</v>
      </c>
      <c r="AC1002" s="99" t="str">
        <f t="shared" ca="1" si="8"/>
        <v>#REF!</v>
      </c>
      <c r="AD1002" s="121" t="str">
        <f t="shared" ca="1" si="558"/>
        <v>#REF!</v>
      </c>
      <c r="AE1002" s="99" t="str">
        <f t="shared" ca="1" si="10"/>
        <v>#REF!</v>
      </c>
      <c r="AF1002" s="121" t="str">
        <f t="shared" ca="1" si="559"/>
        <v>#REF!</v>
      </c>
      <c r="AG1002" s="100" t="str">
        <f t="shared" ca="1" si="560"/>
        <v>#REF!</v>
      </c>
      <c r="AH1002" s="101" t="str">
        <f t="shared" ca="1" si="891"/>
        <v>#REF!</v>
      </c>
      <c r="AI1002" s="102" t="str">
        <f t="shared" ref="AI1002:AJ1002" ca="1" si="1338">AG1002/X1002</f>
        <v>#REF!</v>
      </c>
      <c r="AJ1002" s="102" t="str">
        <f t="shared" ca="1" si="1338"/>
        <v>#REF!</v>
      </c>
      <c r="AK1002" s="212"/>
      <c r="AL1002" s="213"/>
      <c r="AM1002" s="4"/>
      <c r="AN1002" s="4"/>
      <c r="AO1002" s="4"/>
      <c r="AP1002" s="4"/>
      <c r="AQ1002" s="4"/>
      <c r="AR1002" s="4"/>
      <c r="AS1002" s="4"/>
      <c r="AT1002" s="4"/>
      <c r="AU1002" s="4"/>
      <c r="AV1002" s="4"/>
      <c r="AW1002" s="4"/>
    </row>
    <row r="1003" spans="1:49" ht="13.2">
      <c r="A1003" s="120"/>
      <c r="B1003" s="266"/>
      <c r="C1003" s="117"/>
      <c r="D1003" s="117"/>
      <c r="E1003" s="117"/>
      <c r="F1003" s="123"/>
      <c r="G1003" s="125" t="s">
        <v>145</v>
      </c>
      <c r="H1003" s="125"/>
      <c r="I1003" s="125"/>
      <c r="J1003" s="125"/>
      <c r="K1003" s="82" t="str">
        <f t="shared" ca="1" si="1125"/>
        <v>#REF!</v>
      </c>
      <c r="L1003" s="82" t="str">
        <f t="shared" ca="1" si="1126"/>
        <v>#REF!</v>
      </c>
      <c r="M1003" s="82" t="str">
        <f t="shared" ca="1" si="550"/>
        <v>#REF!</v>
      </c>
      <c r="N1003" s="93"/>
      <c r="O1003" s="93"/>
      <c r="P1003" s="95">
        <f t="shared" si="965"/>
        <v>0</v>
      </c>
      <c r="Q1003" s="96">
        <f t="shared" si="1334"/>
        <v>0</v>
      </c>
      <c r="R1003" s="96">
        <v>0</v>
      </c>
      <c r="S1003" s="97">
        <f t="shared" si="553"/>
        <v>0</v>
      </c>
      <c r="T1003" s="97" t="str">
        <f ca="1">ROUNDUP(HLOOKUP(ROUNDUP(K1003,0),'배송비 조회'!A$10:AE$22,7,0)*C$3,-2)</f>
        <v>#REF!</v>
      </c>
      <c r="U1003" s="97">
        <v>0</v>
      </c>
      <c r="V1003" s="97" t="str">
        <f t="shared" ca="1" si="981"/>
        <v>#REF!</v>
      </c>
      <c r="W1003" s="97" t="str">
        <f t="shared" ca="1" si="982"/>
        <v>#REF!</v>
      </c>
      <c r="X1003" s="98" t="str">
        <f t="shared" ca="1" si="882"/>
        <v>#REF!</v>
      </c>
      <c r="Y1003" s="98" t="str">
        <f t="shared" ca="1" si="883"/>
        <v>#REF!</v>
      </c>
      <c r="Z1003" s="121">
        <v>0</v>
      </c>
      <c r="AA1003" s="121" t="str">
        <f t="shared" ca="1" si="556"/>
        <v>#REF!</v>
      </c>
      <c r="AB1003" s="121" t="str">
        <f t="shared" ca="1" si="557"/>
        <v>#REF!</v>
      </c>
      <c r="AC1003" s="99" t="str">
        <f t="shared" ca="1" si="8"/>
        <v>#REF!</v>
      </c>
      <c r="AD1003" s="121" t="str">
        <f t="shared" ca="1" si="558"/>
        <v>#REF!</v>
      </c>
      <c r="AE1003" s="99" t="str">
        <f t="shared" ca="1" si="10"/>
        <v>#REF!</v>
      </c>
      <c r="AF1003" s="121" t="str">
        <f t="shared" ca="1" si="559"/>
        <v>#REF!</v>
      </c>
      <c r="AG1003" s="100" t="str">
        <f t="shared" ca="1" si="560"/>
        <v>#REF!</v>
      </c>
      <c r="AH1003" s="101" t="str">
        <f t="shared" ca="1" si="891"/>
        <v>#REF!</v>
      </c>
      <c r="AI1003" s="102" t="str">
        <f t="shared" ref="AI1003:AJ1003" ca="1" si="1339">AG1003/X1003</f>
        <v>#REF!</v>
      </c>
      <c r="AJ1003" s="102" t="str">
        <f t="shared" ca="1" si="1339"/>
        <v>#REF!</v>
      </c>
      <c r="AK1003" s="212"/>
      <c r="AL1003" s="213"/>
      <c r="AM1003" s="4"/>
      <c r="AN1003" s="4"/>
      <c r="AO1003" s="4"/>
      <c r="AP1003" s="4"/>
      <c r="AQ1003" s="4"/>
      <c r="AR1003" s="4"/>
      <c r="AS1003" s="4"/>
      <c r="AT1003" s="4"/>
      <c r="AU1003" s="4"/>
      <c r="AV1003" s="4"/>
      <c r="AW1003" s="4"/>
    </row>
    <row r="1004" spans="1:49" ht="13.2">
      <c r="A1004" s="120"/>
      <c r="B1004" s="266"/>
      <c r="C1004" s="117"/>
      <c r="D1004" s="117"/>
      <c r="E1004" s="117"/>
      <c r="F1004" s="123"/>
      <c r="G1004" s="125" t="s">
        <v>145</v>
      </c>
      <c r="H1004" s="125"/>
      <c r="I1004" s="125"/>
      <c r="J1004" s="125"/>
      <c r="K1004" s="82" t="str">
        <f t="shared" ca="1" si="1125"/>
        <v>#REF!</v>
      </c>
      <c r="L1004" s="82" t="str">
        <f t="shared" ca="1" si="1126"/>
        <v>#REF!</v>
      </c>
      <c r="M1004" s="82" t="str">
        <f t="shared" ca="1" si="550"/>
        <v>#REF!</v>
      </c>
      <c r="N1004" s="93"/>
      <c r="O1004" s="93"/>
      <c r="P1004" s="95">
        <f t="shared" si="965"/>
        <v>0</v>
      </c>
      <c r="Q1004" s="96">
        <f t="shared" si="1334"/>
        <v>0</v>
      </c>
      <c r="R1004" s="96">
        <v>0</v>
      </c>
      <c r="S1004" s="97">
        <f t="shared" si="553"/>
        <v>0</v>
      </c>
      <c r="T1004" s="97" t="str">
        <f ca="1">ROUNDUP(HLOOKUP(ROUNDUP(K1004,0),'배송비 조회'!A$10:AE$22,7,0)*C$3,-2)</f>
        <v>#REF!</v>
      </c>
      <c r="U1004" s="97">
        <v>0</v>
      </c>
      <c r="V1004" s="97" t="str">
        <f t="shared" ca="1" si="981"/>
        <v>#REF!</v>
      </c>
      <c r="W1004" s="97" t="str">
        <f t="shared" ca="1" si="982"/>
        <v>#REF!</v>
      </c>
      <c r="X1004" s="98" t="str">
        <f t="shared" ca="1" si="882"/>
        <v>#REF!</v>
      </c>
      <c r="Y1004" s="98" t="str">
        <f t="shared" ca="1" si="883"/>
        <v>#REF!</v>
      </c>
      <c r="Z1004" s="121">
        <v>0</v>
      </c>
      <c r="AA1004" s="121" t="str">
        <f t="shared" ca="1" si="556"/>
        <v>#REF!</v>
      </c>
      <c r="AB1004" s="121" t="str">
        <f t="shared" ca="1" si="557"/>
        <v>#REF!</v>
      </c>
      <c r="AC1004" s="99" t="str">
        <f t="shared" ca="1" si="8"/>
        <v>#REF!</v>
      </c>
      <c r="AD1004" s="121" t="str">
        <f t="shared" ca="1" si="558"/>
        <v>#REF!</v>
      </c>
      <c r="AE1004" s="99" t="str">
        <f t="shared" ca="1" si="10"/>
        <v>#REF!</v>
      </c>
      <c r="AF1004" s="121" t="str">
        <f t="shared" ca="1" si="559"/>
        <v>#REF!</v>
      </c>
      <c r="AG1004" s="100" t="str">
        <f t="shared" ca="1" si="560"/>
        <v>#REF!</v>
      </c>
      <c r="AH1004" s="101" t="str">
        <f t="shared" ca="1" si="891"/>
        <v>#REF!</v>
      </c>
      <c r="AI1004" s="102" t="str">
        <f t="shared" ref="AI1004:AJ1004" ca="1" si="1340">AG1004/X1004</f>
        <v>#REF!</v>
      </c>
      <c r="AJ1004" s="102" t="str">
        <f t="shared" ca="1" si="1340"/>
        <v>#REF!</v>
      </c>
      <c r="AK1004" s="212"/>
      <c r="AL1004" s="213"/>
      <c r="AM1004" s="4"/>
      <c r="AN1004" s="4"/>
      <c r="AO1004" s="4"/>
      <c r="AP1004" s="4"/>
      <c r="AQ1004" s="4"/>
      <c r="AR1004" s="4"/>
      <c r="AS1004" s="4"/>
      <c r="AT1004" s="4"/>
      <c r="AU1004" s="4"/>
      <c r="AV1004" s="4"/>
      <c r="AW1004" s="4"/>
    </row>
    <row r="1005" spans="1:49" ht="13.2">
      <c r="A1005" s="120"/>
      <c r="B1005" s="266"/>
      <c r="C1005" s="117"/>
      <c r="D1005" s="117"/>
      <c r="E1005" s="117"/>
      <c r="F1005" s="123"/>
      <c r="G1005" s="125" t="s">
        <v>145</v>
      </c>
      <c r="H1005" s="125"/>
      <c r="I1005" s="125"/>
      <c r="J1005" s="125"/>
      <c r="K1005" s="82" t="str">
        <f t="shared" ca="1" si="1125"/>
        <v>#REF!</v>
      </c>
      <c r="L1005" s="82" t="str">
        <f t="shared" ca="1" si="1126"/>
        <v>#REF!</v>
      </c>
      <c r="M1005" s="82" t="str">
        <f t="shared" ca="1" si="550"/>
        <v>#REF!</v>
      </c>
      <c r="N1005" s="93"/>
      <c r="O1005" s="93"/>
      <c r="P1005" s="95">
        <f t="shared" si="965"/>
        <v>0</v>
      </c>
      <c r="Q1005" s="96">
        <f t="shared" si="1334"/>
        <v>0</v>
      </c>
      <c r="R1005" s="96">
        <v>0</v>
      </c>
      <c r="S1005" s="97">
        <f t="shared" si="553"/>
        <v>0</v>
      </c>
      <c r="T1005" s="97" t="str">
        <f ca="1">ROUNDUP(HLOOKUP(ROUNDUP(K1005,0),'배송비 조회'!A$10:AE$22,7,0)*C$3,-2)</f>
        <v>#REF!</v>
      </c>
      <c r="U1005" s="97">
        <v>0</v>
      </c>
      <c r="V1005" s="97" t="str">
        <f t="shared" ca="1" si="981"/>
        <v>#REF!</v>
      </c>
      <c r="W1005" s="97" t="str">
        <f t="shared" ca="1" si="982"/>
        <v>#REF!</v>
      </c>
      <c r="X1005" s="98" t="str">
        <f t="shared" ca="1" si="882"/>
        <v>#REF!</v>
      </c>
      <c r="Y1005" s="98" t="str">
        <f t="shared" ca="1" si="883"/>
        <v>#REF!</v>
      </c>
      <c r="Z1005" s="121">
        <v>0</v>
      </c>
      <c r="AA1005" s="121" t="str">
        <f t="shared" ca="1" si="556"/>
        <v>#REF!</v>
      </c>
      <c r="AB1005" s="121" t="str">
        <f t="shared" ca="1" si="557"/>
        <v>#REF!</v>
      </c>
      <c r="AC1005" s="99" t="str">
        <f t="shared" ca="1" si="8"/>
        <v>#REF!</v>
      </c>
      <c r="AD1005" s="121" t="str">
        <f t="shared" ca="1" si="558"/>
        <v>#REF!</v>
      </c>
      <c r="AE1005" s="99" t="str">
        <f t="shared" ca="1" si="10"/>
        <v>#REF!</v>
      </c>
      <c r="AF1005" s="121" t="str">
        <f t="shared" ca="1" si="559"/>
        <v>#REF!</v>
      </c>
      <c r="AG1005" s="100" t="str">
        <f t="shared" ca="1" si="560"/>
        <v>#REF!</v>
      </c>
      <c r="AH1005" s="101" t="str">
        <f t="shared" ca="1" si="891"/>
        <v>#REF!</v>
      </c>
      <c r="AI1005" s="102" t="str">
        <f t="shared" ref="AI1005:AJ1005" ca="1" si="1341">AG1005/X1005</f>
        <v>#REF!</v>
      </c>
      <c r="AJ1005" s="102" t="str">
        <f t="shared" ca="1" si="1341"/>
        <v>#REF!</v>
      </c>
      <c r="AK1005" s="212"/>
      <c r="AL1005" s="213"/>
      <c r="AM1005" s="4"/>
      <c r="AN1005" s="4"/>
      <c r="AO1005" s="4"/>
      <c r="AP1005" s="4"/>
      <c r="AQ1005" s="4"/>
      <c r="AR1005" s="4"/>
      <c r="AS1005" s="4"/>
      <c r="AT1005" s="4"/>
      <c r="AU1005" s="4"/>
      <c r="AV1005" s="4"/>
      <c r="AW1005" s="4"/>
    </row>
    <row r="1006" spans="1:49" ht="13.2">
      <c r="A1006" s="120"/>
      <c r="B1006" s="266"/>
      <c r="C1006" s="117"/>
      <c r="D1006" s="117"/>
      <c r="E1006" s="117"/>
      <c r="F1006" s="123"/>
      <c r="G1006" s="125" t="s">
        <v>145</v>
      </c>
      <c r="H1006" s="125"/>
      <c r="I1006" s="125"/>
      <c r="J1006" s="125"/>
      <c r="K1006" s="82" t="str">
        <f t="shared" ca="1" si="1125"/>
        <v>#REF!</v>
      </c>
      <c r="L1006" s="82" t="str">
        <f t="shared" ca="1" si="1126"/>
        <v>#REF!</v>
      </c>
      <c r="M1006" s="82" t="str">
        <f t="shared" ca="1" si="550"/>
        <v>#REF!</v>
      </c>
      <c r="N1006" s="93"/>
      <c r="O1006" s="93"/>
      <c r="P1006" s="95">
        <f t="shared" si="965"/>
        <v>0</v>
      </c>
      <c r="Q1006" s="96">
        <f t="shared" si="1334"/>
        <v>0</v>
      </c>
      <c r="R1006" s="96">
        <v>0</v>
      </c>
      <c r="S1006" s="97">
        <f t="shared" si="553"/>
        <v>0</v>
      </c>
      <c r="T1006" s="97" t="str">
        <f ca="1">ROUNDUP(HLOOKUP(ROUNDUP(K1006,0),'배송비 조회'!A$10:AE$22,7,0)*C$3,-2)</f>
        <v>#REF!</v>
      </c>
      <c r="U1006" s="97">
        <v>0</v>
      </c>
      <c r="V1006" s="97" t="str">
        <f t="shared" ca="1" si="981"/>
        <v>#REF!</v>
      </c>
      <c r="W1006" s="97" t="str">
        <f t="shared" ca="1" si="982"/>
        <v>#REF!</v>
      </c>
      <c r="X1006" s="98" t="str">
        <f t="shared" ca="1" si="882"/>
        <v>#REF!</v>
      </c>
      <c r="Y1006" s="98" t="str">
        <f t="shared" ca="1" si="883"/>
        <v>#REF!</v>
      </c>
      <c r="Z1006" s="121">
        <v>0</v>
      </c>
      <c r="AA1006" s="121" t="str">
        <f t="shared" ca="1" si="556"/>
        <v>#REF!</v>
      </c>
      <c r="AB1006" s="121" t="str">
        <f t="shared" ca="1" si="557"/>
        <v>#REF!</v>
      </c>
      <c r="AC1006" s="99" t="str">
        <f t="shared" ca="1" si="8"/>
        <v>#REF!</v>
      </c>
      <c r="AD1006" s="121" t="str">
        <f t="shared" ca="1" si="558"/>
        <v>#REF!</v>
      </c>
      <c r="AE1006" s="99" t="str">
        <f t="shared" ca="1" si="10"/>
        <v>#REF!</v>
      </c>
      <c r="AF1006" s="121" t="str">
        <f t="shared" ca="1" si="559"/>
        <v>#REF!</v>
      </c>
      <c r="AG1006" s="100" t="str">
        <f t="shared" ca="1" si="560"/>
        <v>#REF!</v>
      </c>
      <c r="AH1006" s="101" t="str">
        <f t="shared" ca="1" si="891"/>
        <v>#REF!</v>
      </c>
      <c r="AI1006" s="102" t="str">
        <f t="shared" ref="AI1006:AJ1006" ca="1" si="1342">AG1006/X1006</f>
        <v>#REF!</v>
      </c>
      <c r="AJ1006" s="102" t="str">
        <f t="shared" ca="1" si="1342"/>
        <v>#REF!</v>
      </c>
      <c r="AK1006" s="212"/>
      <c r="AL1006" s="213"/>
      <c r="AM1006" s="4"/>
      <c r="AN1006" s="4"/>
      <c r="AO1006" s="4"/>
      <c r="AP1006" s="4"/>
      <c r="AQ1006" s="4"/>
      <c r="AR1006" s="4"/>
      <c r="AS1006" s="4"/>
      <c r="AT1006" s="4"/>
      <c r="AU1006" s="4"/>
      <c r="AV1006" s="4"/>
      <c r="AW1006" s="4"/>
    </row>
    <row r="1007" spans="1:49" ht="13.2">
      <c r="A1007" s="120"/>
      <c r="B1007" s="266"/>
      <c r="C1007" s="117"/>
      <c r="D1007" s="117"/>
      <c r="E1007" s="117"/>
      <c r="F1007" s="123"/>
      <c r="G1007" s="125" t="s">
        <v>145</v>
      </c>
      <c r="H1007" s="125"/>
      <c r="I1007" s="125"/>
      <c r="J1007" s="125"/>
      <c r="K1007" s="82" t="str">
        <f t="shared" ca="1" si="1125"/>
        <v>#REF!</v>
      </c>
      <c r="L1007" s="82" t="str">
        <f t="shared" ca="1" si="1126"/>
        <v>#REF!</v>
      </c>
      <c r="M1007" s="82" t="str">
        <f t="shared" ca="1" si="550"/>
        <v>#REF!</v>
      </c>
      <c r="N1007" s="93"/>
      <c r="O1007" s="93"/>
      <c r="P1007" s="95">
        <f t="shared" si="965"/>
        <v>0</v>
      </c>
      <c r="Q1007" s="96">
        <f t="shared" si="1334"/>
        <v>0</v>
      </c>
      <c r="R1007" s="96">
        <v>0</v>
      </c>
      <c r="S1007" s="97">
        <f t="shared" si="553"/>
        <v>0</v>
      </c>
      <c r="T1007" s="97" t="str">
        <f ca="1">ROUNDUP(HLOOKUP(ROUNDUP(K1007,0),'배송비 조회'!A$10:AE$22,7,0)*C$3,-2)</f>
        <v>#REF!</v>
      </c>
      <c r="U1007" s="97">
        <v>0</v>
      </c>
      <c r="V1007" s="97" t="str">
        <f t="shared" ca="1" si="981"/>
        <v>#REF!</v>
      </c>
      <c r="W1007" s="97" t="str">
        <f t="shared" ca="1" si="982"/>
        <v>#REF!</v>
      </c>
      <c r="X1007" s="98" t="str">
        <f t="shared" ca="1" si="882"/>
        <v>#REF!</v>
      </c>
      <c r="Y1007" s="98" t="str">
        <f t="shared" ca="1" si="883"/>
        <v>#REF!</v>
      </c>
      <c r="Z1007" s="121">
        <v>0</v>
      </c>
      <c r="AA1007" s="121" t="str">
        <f t="shared" ca="1" si="556"/>
        <v>#REF!</v>
      </c>
      <c r="AB1007" s="121" t="str">
        <f t="shared" ca="1" si="557"/>
        <v>#REF!</v>
      </c>
      <c r="AC1007" s="99" t="str">
        <f t="shared" ca="1" si="8"/>
        <v>#REF!</v>
      </c>
      <c r="AD1007" s="121" t="str">
        <f t="shared" ca="1" si="558"/>
        <v>#REF!</v>
      </c>
      <c r="AE1007" s="99" t="str">
        <f t="shared" ca="1" si="10"/>
        <v>#REF!</v>
      </c>
      <c r="AF1007" s="121" t="str">
        <f t="shared" ca="1" si="559"/>
        <v>#REF!</v>
      </c>
      <c r="AG1007" s="100" t="str">
        <f t="shared" ca="1" si="560"/>
        <v>#REF!</v>
      </c>
      <c r="AH1007" s="101" t="str">
        <f t="shared" ca="1" si="891"/>
        <v>#REF!</v>
      </c>
      <c r="AI1007" s="102" t="str">
        <f t="shared" ref="AI1007:AJ1007" ca="1" si="1343">AG1007/X1007</f>
        <v>#REF!</v>
      </c>
      <c r="AJ1007" s="102" t="str">
        <f t="shared" ca="1" si="1343"/>
        <v>#REF!</v>
      </c>
      <c r="AK1007" s="212"/>
      <c r="AL1007" s="213"/>
      <c r="AM1007" s="4"/>
      <c r="AN1007" s="4"/>
      <c r="AO1007" s="4"/>
      <c r="AP1007" s="4"/>
      <c r="AQ1007" s="4"/>
      <c r="AR1007" s="4"/>
      <c r="AS1007" s="4"/>
      <c r="AT1007" s="4"/>
      <c r="AU1007" s="4"/>
      <c r="AV1007" s="4"/>
      <c r="AW1007" s="4"/>
    </row>
    <row r="1008" spans="1:49" ht="13.2">
      <c r="A1008" s="120"/>
      <c r="B1008" s="266"/>
      <c r="C1008" s="117"/>
      <c r="D1008" s="117"/>
      <c r="E1008" s="117"/>
      <c r="F1008" s="123"/>
      <c r="G1008" s="125" t="s">
        <v>145</v>
      </c>
      <c r="H1008" s="125"/>
      <c r="I1008" s="125"/>
      <c r="J1008" s="125"/>
      <c r="K1008" s="82" t="str">
        <f t="shared" ca="1" si="1125"/>
        <v>#REF!</v>
      </c>
      <c r="L1008" s="82" t="str">
        <f t="shared" ca="1" si="1126"/>
        <v>#REF!</v>
      </c>
      <c r="M1008" s="82" t="str">
        <f t="shared" ca="1" si="550"/>
        <v>#REF!</v>
      </c>
      <c r="N1008" s="93"/>
      <c r="O1008" s="93"/>
      <c r="P1008" s="95">
        <f t="shared" si="965"/>
        <v>0</v>
      </c>
      <c r="Q1008" s="96">
        <f t="shared" si="1334"/>
        <v>0</v>
      </c>
      <c r="R1008" s="96">
        <v>0</v>
      </c>
      <c r="S1008" s="97">
        <f t="shared" si="553"/>
        <v>0</v>
      </c>
      <c r="T1008" s="97" t="str">
        <f ca="1">ROUNDUP(HLOOKUP(ROUNDUP(K1008,0),'배송비 조회'!A$10:AE$22,7,0)*C$3,-2)</f>
        <v>#REF!</v>
      </c>
      <c r="U1008" s="97">
        <v>0</v>
      </c>
      <c r="V1008" s="97" t="str">
        <f t="shared" ca="1" si="981"/>
        <v>#REF!</v>
      </c>
      <c r="W1008" s="97" t="str">
        <f t="shared" ca="1" si="982"/>
        <v>#REF!</v>
      </c>
      <c r="X1008" s="98" t="str">
        <f t="shared" ca="1" si="882"/>
        <v>#REF!</v>
      </c>
      <c r="Y1008" s="98" t="str">
        <f t="shared" ca="1" si="883"/>
        <v>#REF!</v>
      </c>
      <c r="Z1008" s="121">
        <v>0</v>
      </c>
      <c r="AA1008" s="121" t="str">
        <f t="shared" ca="1" si="556"/>
        <v>#REF!</v>
      </c>
      <c r="AB1008" s="121" t="str">
        <f t="shared" ca="1" si="557"/>
        <v>#REF!</v>
      </c>
      <c r="AC1008" s="99" t="str">
        <f t="shared" ca="1" si="8"/>
        <v>#REF!</v>
      </c>
      <c r="AD1008" s="121" t="str">
        <f t="shared" ca="1" si="558"/>
        <v>#REF!</v>
      </c>
      <c r="AE1008" s="99" t="str">
        <f t="shared" ca="1" si="10"/>
        <v>#REF!</v>
      </c>
      <c r="AF1008" s="121" t="str">
        <f t="shared" ca="1" si="559"/>
        <v>#REF!</v>
      </c>
      <c r="AG1008" s="100" t="str">
        <f t="shared" ca="1" si="560"/>
        <v>#REF!</v>
      </c>
      <c r="AH1008" s="101" t="str">
        <f t="shared" ca="1" si="891"/>
        <v>#REF!</v>
      </c>
      <c r="AI1008" s="102" t="str">
        <f t="shared" ref="AI1008:AJ1008" ca="1" si="1344">AG1008/X1008</f>
        <v>#REF!</v>
      </c>
      <c r="AJ1008" s="102" t="str">
        <f t="shared" ca="1" si="1344"/>
        <v>#REF!</v>
      </c>
      <c r="AK1008" s="212"/>
      <c r="AL1008" s="213"/>
      <c r="AM1008" s="4"/>
      <c r="AN1008" s="4"/>
      <c r="AO1008" s="4"/>
      <c r="AP1008" s="4"/>
      <c r="AQ1008" s="4"/>
      <c r="AR1008" s="4"/>
      <c r="AS1008" s="4"/>
      <c r="AT1008" s="4"/>
      <c r="AU1008" s="4"/>
      <c r="AV1008" s="4"/>
      <c r="AW1008" s="4"/>
    </row>
    <row r="1009" spans="1:49" ht="13.2">
      <c r="A1009" s="120"/>
      <c r="B1009" s="266"/>
      <c r="C1009" s="117"/>
      <c r="D1009" s="117"/>
      <c r="E1009" s="117"/>
      <c r="F1009" s="123"/>
      <c r="G1009" s="125" t="s">
        <v>145</v>
      </c>
      <c r="H1009" s="125"/>
      <c r="I1009" s="125"/>
      <c r="J1009" s="125"/>
      <c r="K1009" s="82" t="str">
        <f t="shared" ca="1" si="1125"/>
        <v>#REF!</v>
      </c>
      <c r="L1009" s="82" t="str">
        <f t="shared" ca="1" si="1126"/>
        <v>#REF!</v>
      </c>
      <c r="M1009" s="82" t="str">
        <f t="shared" ca="1" si="550"/>
        <v>#REF!</v>
      </c>
      <c r="N1009" s="93"/>
      <c r="O1009" s="93"/>
      <c r="P1009" s="95">
        <f t="shared" si="965"/>
        <v>0</v>
      </c>
      <c r="Q1009" s="96">
        <f t="shared" si="1334"/>
        <v>0</v>
      </c>
      <c r="R1009" s="96">
        <v>0</v>
      </c>
      <c r="S1009" s="97">
        <f t="shared" si="553"/>
        <v>0</v>
      </c>
      <c r="T1009" s="97" t="str">
        <f ca="1">ROUNDUP(HLOOKUP(ROUNDUP(K1009,0),'배송비 조회'!A$10:AE$22,7,0)*C$3,-2)</f>
        <v>#REF!</v>
      </c>
      <c r="U1009" s="97">
        <v>0</v>
      </c>
      <c r="V1009" s="97" t="str">
        <f t="shared" ca="1" si="981"/>
        <v>#REF!</v>
      </c>
      <c r="W1009" s="97" t="str">
        <f t="shared" ca="1" si="982"/>
        <v>#REF!</v>
      </c>
      <c r="X1009" s="98" t="str">
        <f t="shared" ca="1" si="882"/>
        <v>#REF!</v>
      </c>
      <c r="Y1009" s="98" t="str">
        <f t="shared" ca="1" si="883"/>
        <v>#REF!</v>
      </c>
      <c r="Z1009" s="121">
        <v>0</v>
      </c>
      <c r="AA1009" s="121" t="str">
        <f t="shared" ca="1" si="556"/>
        <v>#REF!</v>
      </c>
      <c r="AB1009" s="121" t="str">
        <f t="shared" ca="1" si="557"/>
        <v>#REF!</v>
      </c>
      <c r="AC1009" s="99" t="str">
        <f t="shared" ca="1" si="8"/>
        <v>#REF!</v>
      </c>
      <c r="AD1009" s="121" t="str">
        <f t="shared" ca="1" si="558"/>
        <v>#REF!</v>
      </c>
      <c r="AE1009" s="99" t="str">
        <f t="shared" ca="1" si="10"/>
        <v>#REF!</v>
      </c>
      <c r="AF1009" s="121" t="str">
        <f t="shared" ca="1" si="559"/>
        <v>#REF!</v>
      </c>
      <c r="AG1009" s="100" t="str">
        <f t="shared" ca="1" si="560"/>
        <v>#REF!</v>
      </c>
      <c r="AH1009" s="101" t="str">
        <f t="shared" ca="1" si="891"/>
        <v>#REF!</v>
      </c>
      <c r="AI1009" s="102" t="str">
        <f t="shared" ref="AI1009:AJ1009" ca="1" si="1345">AG1009/X1009</f>
        <v>#REF!</v>
      </c>
      <c r="AJ1009" s="102" t="str">
        <f t="shared" ca="1" si="1345"/>
        <v>#REF!</v>
      </c>
      <c r="AK1009" s="212"/>
      <c r="AL1009" s="213"/>
      <c r="AM1009" s="4"/>
      <c r="AN1009" s="4"/>
      <c r="AO1009" s="4"/>
      <c r="AP1009" s="4"/>
      <c r="AQ1009" s="4"/>
      <c r="AR1009" s="4"/>
      <c r="AS1009" s="4"/>
      <c r="AT1009" s="4"/>
      <c r="AU1009" s="4"/>
      <c r="AV1009" s="4"/>
      <c r="AW1009" s="4"/>
    </row>
    <row r="1010" spans="1:49" ht="13.2">
      <c r="A1010" s="120"/>
      <c r="B1010" s="266"/>
      <c r="C1010" s="117"/>
      <c r="D1010" s="117"/>
      <c r="E1010" s="117"/>
      <c r="F1010" s="123"/>
      <c r="G1010" s="125" t="s">
        <v>145</v>
      </c>
      <c r="H1010" s="125"/>
      <c r="I1010" s="125"/>
      <c r="J1010" s="125"/>
      <c r="K1010" s="82" t="str">
        <f t="shared" ca="1" si="1125"/>
        <v>#REF!</v>
      </c>
      <c r="L1010" s="82" t="str">
        <f t="shared" ca="1" si="1126"/>
        <v>#REF!</v>
      </c>
      <c r="M1010" s="82" t="str">
        <f t="shared" ca="1" si="550"/>
        <v>#REF!</v>
      </c>
      <c r="N1010" s="93"/>
      <c r="O1010" s="93"/>
      <c r="P1010" s="95">
        <f t="shared" si="965"/>
        <v>0</v>
      </c>
      <c r="Q1010" s="96">
        <f t="shared" si="1334"/>
        <v>0</v>
      </c>
      <c r="R1010" s="96">
        <v>0</v>
      </c>
      <c r="S1010" s="97">
        <f t="shared" si="553"/>
        <v>0</v>
      </c>
      <c r="T1010" s="97" t="str">
        <f ca="1">ROUNDUP(HLOOKUP(ROUNDUP(K1010,0),'배송비 조회'!A$10:AE$22,7,0)*C$3,-2)</f>
        <v>#REF!</v>
      </c>
      <c r="U1010" s="97">
        <v>0</v>
      </c>
      <c r="V1010" s="97" t="str">
        <f t="shared" ca="1" si="981"/>
        <v>#REF!</v>
      </c>
      <c r="W1010" s="97" t="str">
        <f t="shared" ca="1" si="982"/>
        <v>#REF!</v>
      </c>
      <c r="X1010" s="98" t="str">
        <f t="shared" ca="1" si="882"/>
        <v>#REF!</v>
      </c>
      <c r="Y1010" s="98" t="str">
        <f t="shared" ca="1" si="883"/>
        <v>#REF!</v>
      </c>
      <c r="Z1010" s="121">
        <v>0</v>
      </c>
      <c r="AA1010" s="121" t="str">
        <f t="shared" ca="1" si="556"/>
        <v>#REF!</v>
      </c>
      <c r="AB1010" s="121" t="str">
        <f t="shared" ca="1" si="557"/>
        <v>#REF!</v>
      </c>
      <c r="AC1010" s="99" t="str">
        <f t="shared" ca="1" si="8"/>
        <v>#REF!</v>
      </c>
      <c r="AD1010" s="121" t="str">
        <f t="shared" ca="1" si="558"/>
        <v>#REF!</v>
      </c>
      <c r="AE1010" s="99" t="str">
        <f t="shared" ca="1" si="10"/>
        <v>#REF!</v>
      </c>
      <c r="AF1010" s="121" t="str">
        <f t="shared" ca="1" si="559"/>
        <v>#REF!</v>
      </c>
      <c r="AG1010" s="100" t="str">
        <f t="shared" ca="1" si="560"/>
        <v>#REF!</v>
      </c>
      <c r="AH1010" s="101" t="str">
        <f t="shared" ca="1" si="891"/>
        <v>#REF!</v>
      </c>
      <c r="AI1010" s="102" t="str">
        <f t="shared" ref="AI1010:AJ1010" ca="1" si="1346">AG1010/X1010</f>
        <v>#REF!</v>
      </c>
      <c r="AJ1010" s="102" t="str">
        <f t="shared" ca="1" si="1346"/>
        <v>#REF!</v>
      </c>
      <c r="AK1010" s="212"/>
      <c r="AL1010" s="213"/>
      <c r="AM1010" s="4"/>
      <c r="AN1010" s="4"/>
      <c r="AO1010" s="4"/>
      <c r="AP1010" s="4"/>
      <c r="AQ1010" s="4"/>
      <c r="AR1010" s="4"/>
      <c r="AS1010" s="4"/>
      <c r="AT1010" s="4"/>
      <c r="AU1010" s="4"/>
      <c r="AV1010" s="4"/>
      <c r="AW1010" s="4"/>
    </row>
    <row r="1011" spans="1:49" ht="13.2">
      <c r="A1011" s="120"/>
      <c r="B1011" s="266"/>
      <c r="C1011" s="117"/>
      <c r="D1011" s="117"/>
      <c r="E1011" s="117"/>
      <c r="F1011" s="123"/>
      <c r="G1011" s="125" t="s">
        <v>145</v>
      </c>
      <c r="H1011" s="125"/>
      <c r="I1011" s="125"/>
      <c r="J1011" s="125"/>
      <c r="K1011" s="82" t="str">
        <f t="shared" ca="1" si="1125"/>
        <v>#REF!</v>
      </c>
      <c r="L1011" s="82" t="str">
        <f t="shared" ca="1" si="1126"/>
        <v>#REF!</v>
      </c>
      <c r="M1011" s="82" t="str">
        <f t="shared" ca="1" si="550"/>
        <v>#REF!</v>
      </c>
      <c r="N1011" s="93"/>
      <c r="O1011" s="93"/>
      <c r="P1011" s="95">
        <f t="shared" si="965"/>
        <v>0</v>
      </c>
      <c r="Q1011" s="96">
        <f t="shared" si="1334"/>
        <v>0</v>
      </c>
      <c r="R1011" s="96">
        <v>0</v>
      </c>
      <c r="S1011" s="97">
        <f t="shared" si="553"/>
        <v>0</v>
      </c>
      <c r="T1011" s="97" t="str">
        <f ca="1">ROUNDUP(HLOOKUP(ROUNDUP(K1011,0),'배송비 조회'!A$10:AE$22,7,0)*C$3,-2)</f>
        <v>#REF!</v>
      </c>
      <c r="U1011" s="97">
        <v>0</v>
      </c>
      <c r="V1011" s="97" t="str">
        <f t="shared" ca="1" si="981"/>
        <v>#REF!</v>
      </c>
      <c r="W1011" s="97" t="str">
        <f t="shared" ca="1" si="982"/>
        <v>#REF!</v>
      </c>
      <c r="X1011" s="98" t="str">
        <f t="shared" ca="1" si="882"/>
        <v>#REF!</v>
      </c>
      <c r="Y1011" s="98" t="str">
        <f t="shared" ca="1" si="883"/>
        <v>#REF!</v>
      </c>
      <c r="Z1011" s="121">
        <v>0</v>
      </c>
      <c r="AA1011" s="121" t="str">
        <f t="shared" ca="1" si="556"/>
        <v>#REF!</v>
      </c>
      <c r="AB1011" s="121" t="str">
        <f t="shared" ca="1" si="557"/>
        <v>#REF!</v>
      </c>
      <c r="AC1011" s="99" t="str">
        <f t="shared" ca="1" si="8"/>
        <v>#REF!</v>
      </c>
      <c r="AD1011" s="121" t="str">
        <f t="shared" ca="1" si="558"/>
        <v>#REF!</v>
      </c>
      <c r="AE1011" s="99" t="str">
        <f t="shared" ca="1" si="10"/>
        <v>#REF!</v>
      </c>
      <c r="AF1011" s="121" t="str">
        <f t="shared" ca="1" si="559"/>
        <v>#REF!</v>
      </c>
      <c r="AG1011" s="100" t="str">
        <f t="shared" ca="1" si="560"/>
        <v>#REF!</v>
      </c>
      <c r="AH1011" s="101" t="str">
        <f t="shared" ca="1" si="891"/>
        <v>#REF!</v>
      </c>
      <c r="AI1011" s="102" t="str">
        <f t="shared" ref="AI1011:AJ1011" ca="1" si="1347">AG1011/X1011</f>
        <v>#REF!</v>
      </c>
      <c r="AJ1011" s="102" t="str">
        <f t="shared" ca="1" si="1347"/>
        <v>#REF!</v>
      </c>
      <c r="AK1011" s="212"/>
      <c r="AL1011" s="213"/>
      <c r="AM1011" s="4"/>
      <c r="AN1011" s="4"/>
      <c r="AO1011" s="4"/>
      <c r="AP1011" s="4"/>
      <c r="AQ1011" s="4"/>
      <c r="AR1011" s="4"/>
      <c r="AS1011" s="4"/>
      <c r="AT1011" s="4"/>
      <c r="AU1011" s="4"/>
      <c r="AV1011" s="4"/>
      <c r="AW1011" s="4"/>
    </row>
    <row r="1012" spans="1:49" ht="13.2">
      <c r="A1012" s="120"/>
      <c r="B1012" s="266"/>
      <c r="C1012" s="117"/>
      <c r="D1012" s="117"/>
      <c r="E1012" s="117"/>
      <c r="F1012" s="123"/>
      <c r="G1012" s="125" t="s">
        <v>145</v>
      </c>
      <c r="H1012" s="125"/>
      <c r="I1012" s="125"/>
      <c r="J1012" s="125"/>
      <c r="K1012" s="82" t="str">
        <f t="shared" ca="1" si="1125"/>
        <v>#REF!</v>
      </c>
      <c r="L1012" s="82" t="str">
        <f t="shared" ca="1" si="1126"/>
        <v>#REF!</v>
      </c>
      <c r="M1012" s="82" t="str">
        <f t="shared" ca="1" si="550"/>
        <v>#REF!</v>
      </c>
      <c r="N1012" s="93"/>
      <c r="O1012" s="93"/>
      <c r="P1012" s="95">
        <f t="shared" si="965"/>
        <v>0</v>
      </c>
      <c r="Q1012" s="96">
        <f t="shared" si="1334"/>
        <v>0</v>
      </c>
      <c r="R1012" s="96">
        <v>0</v>
      </c>
      <c r="S1012" s="97">
        <f t="shared" si="553"/>
        <v>0</v>
      </c>
      <c r="T1012" s="97" t="str">
        <f ca="1">ROUNDUP(HLOOKUP(ROUNDUP(K1012,0),'배송비 조회'!A$10:AE$22,7,0)*C$3,-2)</f>
        <v>#REF!</v>
      </c>
      <c r="U1012" s="97">
        <v>0</v>
      </c>
      <c r="V1012" s="97" t="str">
        <f t="shared" ca="1" si="981"/>
        <v>#REF!</v>
      </c>
      <c r="W1012" s="97" t="str">
        <f t="shared" ca="1" si="982"/>
        <v>#REF!</v>
      </c>
      <c r="X1012" s="98" t="str">
        <f t="shared" ca="1" si="882"/>
        <v>#REF!</v>
      </c>
      <c r="Y1012" s="98" t="str">
        <f t="shared" ca="1" si="883"/>
        <v>#REF!</v>
      </c>
      <c r="Z1012" s="121">
        <v>0</v>
      </c>
      <c r="AA1012" s="121" t="str">
        <f t="shared" ca="1" si="556"/>
        <v>#REF!</v>
      </c>
      <c r="AB1012" s="121" t="str">
        <f t="shared" ca="1" si="557"/>
        <v>#REF!</v>
      </c>
      <c r="AC1012" s="99" t="str">
        <f t="shared" ca="1" si="8"/>
        <v>#REF!</v>
      </c>
      <c r="AD1012" s="121" t="str">
        <f t="shared" ca="1" si="558"/>
        <v>#REF!</v>
      </c>
      <c r="AE1012" s="99" t="str">
        <f t="shared" ca="1" si="10"/>
        <v>#REF!</v>
      </c>
      <c r="AF1012" s="121" t="str">
        <f t="shared" ca="1" si="559"/>
        <v>#REF!</v>
      </c>
      <c r="AG1012" s="100" t="str">
        <f t="shared" ca="1" si="560"/>
        <v>#REF!</v>
      </c>
      <c r="AH1012" s="101" t="str">
        <f t="shared" ca="1" si="891"/>
        <v>#REF!</v>
      </c>
      <c r="AI1012" s="102" t="str">
        <f t="shared" ref="AI1012:AJ1012" ca="1" si="1348">AG1012/X1012</f>
        <v>#REF!</v>
      </c>
      <c r="AJ1012" s="102" t="str">
        <f t="shared" ca="1" si="1348"/>
        <v>#REF!</v>
      </c>
      <c r="AK1012" s="212"/>
      <c r="AL1012" s="213"/>
      <c r="AM1012" s="4"/>
      <c r="AN1012" s="4"/>
      <c r="AO1012" s="4"/>
      <c r="AP1012" s="4"/>
      <c r="AQ1012" s="4"/>
      <c r="AR1012" s="4"/>
      <c r="AS1012" s="4"/>
      <c r="AT1012" s="4"/>
      <c r="AU1012" s="4"/>
      <c r="AV1012" s="4"/>
      <c r="AW1012" s="4"/>
    </row>
    <row r="1013" spans="1:49" ht="13.2">
      <c r="A1013" s="120"/>
      <c r="B1013" s="266"/>
      <c r="C1013" s="117"/>
      <c r="D1013" s="117"/>
      <c r="E1013" s="117"/>
      <c r="F1013" s="123"/>
      <c r="G1013" s="125" t="s">
        <v>145</v>
      </c>
      <c r="H1013" s="125"/>
      <c r="I1013" s="125"/>
      <c r="J1013" s="125"/>
      <c r="K1013" s="82" t="str">
        <f t="shared" ca="1" si="1125"/>
        <v>#REF!</v>
      </c>
      <c r="L1013" s="82" t="str">
        <f t="shared" ca="1" si="1126"/>
        <v>#REF!</v>
      </c>
      <c r="M1013" s="82" t="str">
        <f t="shared" ca="1" si="550"/>
        <v>#REF!</v>
      </c>
      <c r="N1013" s="93"/>
      <c r="O1013" s="93"/>
      <c r="P1013" s="95">
        <f t="shared" si="965"/>
        <v>0</v>
      </c>
      <c r="Q1013" s="96">
        <f t="shared" si="1334"/>
        <v>0</v>
      </c>
      <c r="R1013" s="96">
        <v>0</v>
      </c>
      <c r="S1013" s="97">
        <f t="shared" si="553"/>
        <v>0</v>
      </c>
      <c r="T1013" s="97" t="str">
        <f ca="1">ROUNDUP(HLOOKUP(ROUNDUP(K1013,0),'배송비 조회'!A$10:AE$22,7,0)*C$3,-2)</f>
        <v>#REF!</v>
      </c>
      <c r="U1013" s="97">
        <v>0</v>
      </c>
      <c r="V1013" s="97" t="str">
        <f t="shared" ca="1" si="981"/>
        <v>#REF!</v>
      </c>
      <c r="W1013" s="97" t="str">
        <f t="shared" ca="1" si="982"/>
        <v>#REF!</v>
      </c>
      <c r="X1013" s="98" t="str">
        <f t="shared" ca="1" si="882"/>
        <v>#REF!</v>
      </c>
      <c r="Y1013" s="98" t="str">
        <f t="shared" ca="1" si="883"/>
        <v>#REF!</v>
      </c>
      <c r="Z1013" s="121">
        <v>0</v>
      </c>
      <c r="AA1013" s="121" t="str">
        <f t="shared" ca="1" si="556"/>
        <v>#REF!</v>
      </c>
      <c r="AB1013" s="121" t="str">
        <f t="shared" ca="1" si="557"/>
        <v>#REF!</v>
      </c>
      <c r="AC1013" s="99" t="str">
        <f t="shared" ca="1" si="8"/>
        <v>#REF!</v>
      </c>
      <c r="AD1013" s="121" t="str">
        <f t="shared" ca="1" si="558"/>
        <v>#REF!</v>
      </c>
      <c r="AE1013" s="99" t="str">
        <f t="shared" ca="1" si="10"/>
        <v>#REF!</v>
      </c>
      <c r="AF1013" s="121" t="str">
        <f t="shared" ca="1" si="559"/>
        <v>#REF!</v>
      </c>
      <c r="AG1013" s="100" t="str">
        <f t="shared" ca="1" si="560"/>
        <v>#REF!</v>
      </c>
      <c r="AH1013" s="101" t="str">
        <f t="shared" ca="1" si="891"/>
        <v>#REF!</v>
      </c>
      <c r="AI1013" s="102" t="str">
        <f t="shared" ref="AI1013:AJ1013" ca="1" si="1349">AG1013/X1013</f>
        <v>#REF!</v>
      </c>
      <c r="AJ1013" s="102" t="str">
        <f t="shared" ca="1" si="1349"/>
        <v>#REF!</v>
      </c>
      <c r="AK1013" s="212"/>
      <c r="AL1013" s="213"/>
      <c r="AM1013" s="4"/>
      <c r="AN1013" s="4"/>
      <c r="AO1013" s="4"/>
      <c r="AP1013" s="4"/>
      <c r="AQ1013" s="4"/>
      <c r="AR1013" s="4"/>
      <c r="AS1013" s="4"/>
      <c r="AT1013" s="4"/>
      <c r="AU1013" s="4"/>
      <c r="AV1013" s="4"/>
      <c r="AW1013" s="4"/>
    </row>
    <row r="1014" spans="1:49" ht="13.2">
      <c r="A1014" s="120"/>
      <c r="B1014" s="266"/>
      <c r="C1014" s="117"/>
      <c r="D1014" s="117"/>
      <c r="E1014" s="117"/>
      <c r="F1014" s="123"/>
      <c r="G1014" s="125" t="s">
        <v>145</v>
      </c>
      <c r="H1014" s="125"/>
      <c r="I1014" s="125"/>
      <c r="J1014" s="125"/>
      <c r="K1014" s="82" t="str">
        <f t="shared" ca="1" si="1125"/>
        <v>#REF!</v>
      </c>
      <c r="L1014" s="82" t="str">
        <f t="shared" ca="1" si="1126"/>
        <v>#REF!</v>
      </c>
      <c r="M1014" s="82" t="str">
        <f t="shared" ca="1" si="550"/>
        <v>#REF!</v>
      </c>
      <c r="N1014" s="93"/>
      <c r="O1014" s="93"/>
      <c r="P1014" s="95">
        <f t="shared" si="965"/>
        <v>0</v>
      </c>
      <c r="Q1014" s="96">
        <f t="shared" si="1334"/>
        <v>0</v>
      </c>
      <c r="R1014" s="96">
        <v>0</v>
      </c>
      <c r="S1014" s="97">
        <f t="shared" si="553"/>
        <v>0</v>
      </c>
      <c r="T1014" s="97" t="str">
        <f ca="1">ROUNDUP(HLOOKUP(ROUNDUP(K1014,0),'배송비 조회'!A$10:AE$22,7,0)*C$3,-2)</f>
        <v>#REF!</v>
      </c>
      <c r="U1014" s="97">
        <v>0</v>
      </c>
      <c r="V1014" s="97" t="str">
        <f t="shared" ca="1" si="981"/>
        <v>#REF!</v>
      </c>
      <c r="W1014" s="97" t="str">
        <f t="shared" ca="1" si="982"/>
        <v>#REF!</v>
      </c>
      <c r="X1014" s="98" t="str">
        <f t="shared" ca="1" si="882"/>
        <v>#REF!</v>
      </c>
      <c r="Y1014" s="98" t="str">
        <f t="shared" ca="1" si="883"/>
        <v>#REF!</v>
      </c>
      <c r="Z1014" s="121">
        <v>0</v>
      </c>
      <c r="AA1014" s="121" t="str">
        <f t="shared" ca="1" si="556"/>
        <v>#REF!</v>
      </c>
      <c r="AB1014" s="121" t="str">
        <f t="shared" ca="1" si="557"/>
        <v>#REF!</v>
      </c>
      <c r="AC1014" s="99" t="str">
        <f t="shared" ca="1" si="8"/>
        <v>#REF!</v>
      </c>
      <c r="AD1014" s="121" t="str">
        <f t="shared" ca="1" si="558"/>
        <v>#REF!</v>
      </c>
      <c r="AE1014" s="99" t="str">
        <f t="shared" ca="1" si="10"/>
        <v>#REF!</v>
      </c>
      <c r="AF1014" s="121" t="str">
        <f t="shared" ca="1" si="559"/>
        <v>#REF!</v>
      </c>
      <c r="AG1014" s="100" t="str">
        <f t="shared" ca="1" si="560"/>
        <v>#REF!</v>
      </c>
      <c r="AH1014" s="101" t="str">
        <f t="shared" ca="1" si="891"/>
        <v>#REF!</v>
      </c>
      <c r="AI1014" s="102" t="str">
        <f t="shared" ref="AI1014:AJ1014" ca="1" si="1350">AG1014/X1014</f>
        <v>#REF!</v>
      </c>
      <c r="AJ1014" s="102" t="str">
        <f t="shared" ca="1" si="1350"/>
        <v>#REF!</v>
      </c>
      <c r="AK1014" s="212"/>
      <c r="AL1014" s="213"/>
      <c r="AM1014" s="4"/>
      <c r="AN1014" s="4"/>
      <c r="AO1014" s="4"/>
      <c r="AP1014" s="4"/>
      <c r="AQ1014" s="4"/>
      <c r="AR1014" s="4"/>
      <c r="AS1014" s="4"/>
      <c r="AT1014" s="4"/>
      <c r="AU1014" s="4"/>
      <c r="AV1014" s="4"/>
      <c r="AW1014" s="4"/>
    </row>
    <row r="1015" spans="1:49" ht="13.2">
      <c r="A1015" s="120"/>
      <c r="B1015" s="266"/>
      <c r="C1015" s="117"/>
      <c r="D1015" s="117"/>
      <c r="E1015" s="117"/>
      <c r="F1015" s="123"/>
      <c r="G1015" s="125" t="s">
        <v>145</v>
      </c>
      <c r="H1015" s="125"/>
      <c r="I1015" s="125"/>
      <c r="J1015" s="125"/>
      <c r="K1015" s="82" t="str">
        <f t="shared" ca="1" si="1125"/>
        <v>#REF!</v>
      </c>
      <c r="L1015" s="82" t="str">
        <f t="shared" ca="1" si="1126"/>
        <v>#REF!</v>
      </c>
      <c r="M1015" s="82" t="str">
        <f t="shared" ca="1" si="550"/>
        <v>#REF!</v>
      </c>
      <c r="N1015" s="93"/>
      <c r="O1015" s="93"/>
      <c r="P1015" s="95">
        <f t="shared" si="965"/>
        <v>0</v>
      </c>
      <c r="Q1015" s="96">
        <f t="shared" si="1334"/>
        <v>0</v>
      </c>
      <c r="R1015" s="217"/>
      <c r="S1015" s="97">
        <f t="shared" si="553"/>
        <v>0</v>
      </c>
      <c r="T1015" s="97" t="str">
        <f ca="1">ROUNDUP(HLOOKUP(ROUNDUP(K1015,0),'배송비 조회'!A$10:AE$22,7,0)*C$3,-2)</f>
        <v>#REF!</v>
      </c>
      <c r="U1015" s="97">
        <v>0</v>
      </c>
      <c r="V1015" s="97" t="str">
        <f t="shared" ca="1" si="981"/>
        <v>#REF!</v>
      </c>
      <c r="W1015" s="97" t="str">
        <f t="shared" ca="1" si="982"/>
        <v>#REF!</v>
      </c>
      <c r="X1015" s="98" t="str">
        <f t="shared" ca="1" si="882"/>
        <v>#REF!</v>
      </c>
      <c r="Y1015" s="98" t="str">
        <f t="shared" ca="1" si="883"/>
        <v>#REF!</v>
      </c>
      <c r="Z1015" s="121">
        <v>0</v>
      </c>
      <c r="AA1015" s="121" t="str">
        <f t="shared" ca="1" si="556"/>
        <v>#REF!</v>
      </c>
      <c r="AB1015" s="121" t="str">
        <f t="shared" ca="1" si="557"/>
        <v>#REF!</v>
      </c>
      <c r="AC1015" s="99" t="str">
        <f t="shared" ca="1" si="8"/>
        <v>#REF!</v>
      </c>
      <c r="AD1015" s="121" t="str">
        <f t="shared" ca="1" si="558"/>
        <v>#REF!</v>
      </c>
      <c r="AE1015" s="99" t="str">
        <f t="shared" ca="1" si="10"/>
        <v>#REF!</v>
      </c>
      <c r="AF1015" s="121" t="str">
        <f t="shared" ca="1" si="559"/>
        <v>#REF!</v>
      </c>
      <c r="AG1015" s="100" t="str">
        <f t="shared" ca="1" si="560"/>
        <v>#REF!</v>
      </c>
      <c r="AH1015" s="101" t="str">
        <f t="shared" ca="1" si="891"/>
        <v>#REF!</v>
      </c>
      <c r="AI1015" s="102" t="str">
        <f t="shared" ref="AI1015:AJ1015" ca="1" si="1351">AG1015/X1015</f>
        <v>#REF!</v>
      </c>
      <c r="AJ1015" s="102" t="str">
        <f t="shared" ca="1" si="1351"/>
        <v>#REF!</v>
      </c>
      <c r="AK1015" s="212"/>
      <c r="AL1015" s="213"/>
      <c r="AM1015" s="4"/>
      <c r="AN1015" s="4"/>
      <c r="AO1015" s="4"/>
      <c r="AP1015" s="4"/>
      <c r="AQ1015" s="4"/>
      <c r="AR1015" s="4"/>
      <c r="AS1015" s="4"/>
      <c r="AT1015" s="4"/>
      <c r="AU1015" s="4"/>
      <c r="AV1015" s="4"/>
      <c r="AW1015" s="4"/>
    </row>
    <row r="1016" spans="1:49" ht="13.2">
      <c r="A1016" s="120"/>
      <c r="B1016" s="266"/>
      <c r="C1016" s="117"/>
      <c r="D1016" s="117"/>
      <c r="E1016" s="117"/>
      <c r="F1016" s="123"/>
      <c r="G1016" s="125" t="s">
        <v>145</v>
      </c>
      <c r="H1016" s="125"/>
      <c r="I1016" s="125"/>
      <c r="J1016" s="125"/>
      <c r="K1016" s="82" t="str">
        <f t="shared" ca="1" si="1125"/>
        <v>#REF!</v>
      </c>
      <c r="L1016" s="82" t="str">
        <f t="shared" ca="1" si="1126"/>
        <v>#REF!</v>
      </c>
      <c r="M1016" s="82" t="str">
        <f t="shared" ca="1" si="550"/>
        <v>#REF!</v>
      </c>
      <c r="N1016" s="93"/>
      <c r="O1016" s="93"/>
      <c r="P1016" s="95">
        <f t="shared" si="965"/>
        <v>0</v>
      </c>
      <c r="Q1016" s="96">
        <f t="shared" si="1334"/>
        <v>0</v>
      </c>
      <c r="R1016" s="217"/>
      <c r="S1016" s="97">
        <f t="shared" si="553"/>
        <v>0</v>
      </c>
      <c r="T1016" s="97" t="str">
        <f ca="1">ROUNDUP(HLOOKUP(ROUNDUP(K1016,0),'배송비 조회'!A$10:AE$22,7,0)*C$3,-2)</f>
        <v>#REF!</v>
      </c>
      <c r="U1016" s="97">
        <v>0</v>
      </c>
      <c r="V1016" s="97" t="str">
        <f t="shared" ca="1" si="981"/>
        <v>#REF!</v>
      </c>
      <c r="W1016" s="97" t="str">
        <f t="shared" ca="1" si="982"/>
        <v>#REF!</v>
      </c>
      <c r="X1016" s="98" t="str">
        <f t="shared" ca="1" si="882"/>
        <v>#REF!</v>
      </c>
      <c r="Y1016" s="98" t="str">
        <f t="shared" ca="1" si="883"/>
        <v>#REF!</v>
      </c>
      <c r="Z1016" s="121">
        <v>0</v>
      </c>
      <c r="AA1016" s="121" t="str">
        <f t="shared" ca="1" si="556"/>
        <v>#REF!</v>
      </c>
      <c r="AB1016" s="121" t="str">
        <f t="shared" ca="1" si="557"/>
        <v>#REF!</v>
      </c>
      <c r="AC1016" s="99" t="str">
        <f t="shared" ca="1" si="8"/>
        <v>#REF!</v>
      </c>
      <c r="AD1016" s="121" t="str">
        <f t="shared" ca="1" si="558"/>
        <v>#REF!</v>
      </c>
      <c r="AE1016" s="99" t="str">
        <f t="shared" ca="1" si="10"/>
        <v>#REF!</v>
      </c>
      <c r="AF1016" s="121" t="str">
        <f t="shared" ca="1" si="559"/>
        <v>#REF!</v>
      </c>
      <c r="AG1016" s="100" t="str">
        <f t="shared" ca="1" si="560"/>
        <v>#REF!</v>
      </c>
      <c r="AH1016" s="101" t="str">
        <f t="shared" ca="1" si="891"/>
        <v>#REF!</v>
      </c>
      <c r="AI1016" s="102" t="str">
        <f t="shared" ref="AI1016:AJ1016" ca="1" si="1352">AG1016/X1016</f>
        <v>#REF!</v>
      </c>
      <c r="AJ1016" s="102" t="str">
        <f t="shared" ca="1" si="1352"/>
        <v>#REF!</v>
      </c>
      <c r="AK1016" s="212"/>
      <c r="AL1016" s="213"/>
      <c r="AM1016" s="4"/>
      <c r="AN1016" s="4"/>
      <c r="AO1016" s="4"/>
      <c r="AP1016" s="4"/>
      <c r="AQ1016" s="4"/>
      <c r="AR1016" s="4"/>
      <c r="AS1016" s="4"/>
      <c r="AT1016" s="4"/>
      <c r="AU1016" s="4"/>
      <c r="AV1016" s="4"/>
      <c r="AW1016" s="4"/>
    </row>
    <row r="1017" spans="1:49" ht="13.2">
      <c r="A1017" s="120"/>
      <c r="B1017" s="266"/>
      <c r="C1017" s="117"/>
      <c r="D1017" s="117"/>
      <c r="E1017" s="117"/>
      <c r="F1017" s="123"/>
      <c r="G1017" s="125" t="s">
        <v>145</v>
      </c>
      <c r="H1017" s="125"/>
      <c r="I1017" s="125"/>
      <c r="J1017" s="125"/>
      <c r="K1017" s="82" t="str">
        <f t="shared" ca="1" si="1125"/>
        <v>#REF!</v>
      </c>
      <c r="L1017" s="82" t="str">
        <f t="shared" ca="1" si="1126"/>
        <v>#REF!</v>
      </c>
      <c r="M1017" s="82" t="str">
        <f t="shared" ca="1" si="550"/>
        <v>#REF!</v>
      </c>
      <c r="N1017" s="93"/>
      <c r="O1017" s="93"/>
      <c r="P1017" s="95">
        <f t="shared" si="965"/>
        <v>0</v>
      </c>
      <c r="Q1017" s="96">
        <f t="shared" si="1334"/>
        <v>0</v>
      </c>
      <c r="R1017" s="217"/>
      <c r="S1017" s="97">
        <f t="shared" si="553"/>
        <v>0</v>
      </c>
      <c r="T1017" s="97" t="str">
        <f ca="1">ROUNDUP(HLOOKUP(ROUNDUP(K1017,0),'배송비 조회'!A$10:AE$22,7,0)*C$3,-2)</f>
        <v>#REF!</v>
      </c>
      <c r="U1017" s="97">
        <v>0</v>
      </c>
      <c r="V1017" s="97" t="str">
        <f t="shared" ca="1" si="981"/>
        <v>#REF!</v>
      </c>
      <c r="W1017" s="97" t="str">
        <f t="shared" ca="1" si="982"/>
        <v>#REF!</v>
      </c>
      <c r="X1017" s="98" t="str">
        <f t="shared" ca="1" si="882"/>
        <v>#REF!</v>
      </c>
      <c r="Y1017" s="98" t="str">
        <f t="shared" ca="1" si="883"/>
        <v>#REF!</v>
      </c>
      <c r="Z1017" s="121">
        <v>0</v>
      </c>
      <c r="AA1017" s="121" t="str">
        <f t="shared" ca="1" si="556"/>
        <v>#REF!</v>
      </c>
      <c r="AB1017" s="121" t="str">
        <f t="shared" ca="1" si="557"/>
        <v>#REF!</v>
      </c>
      <c r="AC1017" s="99" t="str">
        <f t="shared" ca="1" si="8"/>
        <v>#REF!</v>
      </c>
      <c r="AD1017" s="121" t="str">
        <f t="shared" ca="1" si="558"/>
        <v>#REF!</v>
      </c>
      <c r="AE1017" s="99" t="str">
        <f t="shared" ca="1" si="10"/>
        <v>#REF!</v>
      </c>
      <c r="AF1017" s="121" t="str">
        <f t="shared" ca="1" si="559"/>
        <v>#REF!</v>
      </c>
      <c r="AG1017" s="100" t="str">
        <f t="shared" ca="1" si="560"/>
        <v>#REF!</v>
      </c>
      <c r="AH1017" s="101" t="str">
        <f t="shared" ca="1" si="891"/>
        <v>#REF!</v>
      </c>
      <c r="AI1017" s="102" t="str">
        <f t="shared" ref="AI1017:AJ1017" ca="1" si="1353">AG1017/X1017</f>
        <v>#REF!</v>
      </c>
      <c r="AJ1017" s="102" t="str">
        <f t="shared" ca="1" si="1353"/>
        <v>#REF!</v>
      </c>
      <c r="AK1017" s="212"/>
      <c r="AL1017" s="213"/>
      <c r="AM1017" s="4"/>
      <c r="AN1017" s="4"/>
      <c r="AO1017" s="4"/>
      <c r="AP1017" s="4"/>
      <c r="AQ1017" s="4"/>
      <c r="AR1017" s="4"/>
      <c r="AS1017" s="4"/>
      <c r="AT1017" s="4"/>
      <c r="AU1017" s="4"/>
      <c r="AV1017" s="4"/>
      <c r="AW1017" s="4"/>
    </row>
    <row r="1018" spans="1:49" ht="13.2">
      <c r="A1018" s="120"/>
      <c r="B1018" s="266"/>
      <c r="C1018" s="117"/>
      <c r="D1018" s="117"/>
      <c r="E1018" s="117"/>
      <c r="F1018" s="123"/>
      <c r="G1018" s="125" t="s">
        <v>145</v>
      </c>
      <c r="H1018" s="125"/>
      <c r="I1018" s="125"/>
      <c r="J1018" s="125"/>
      <c r="K1018" s="82" t="str">
        <f t="shared" ca="1" si="1125"/>
        <v>#REF!</v>
      </c>
      <c r="L1018" s="82" t="str">
        <f t="shared" ca="1" si="1126"/>
        <v>#REF!</v>
      </c>
      <c r="M1018" s="82" t="str">
        <f t="shared" ca="1" si="550"/>
        <v>#REF!</v>
      </c>
      <c r="N1018" s="93"/>
      <c r="O1018" s="93"/>
      <c r="P1018" s="95">
        <f t="shared" si="965"/>
        <v>0</v>
      </c>
      <c r="Q1018" s="96">
        <f t="shared" si="1334"/>
        <v>0</v>
      </c>
      <c r="R1018" s="217"/>
      <c r="S1018" s="97">
        <f t="shared" si="553"/>
        <v>0</v>
      </c>
      <c r="T1018" s="97" t="str">
        <f ca="1">ROUNDUP(HLOOKUP(ROUNDUP(K1018,0),'배송비 조회'!A$10:AE$22,7,0)*C$3,-2)</f>
        <v>#REF!</v>
      </c>
      <c r="U1018" s="97">
        <v>0</v>
      </c>
      <c r="V1018" s="97" t="str">
        <f t="shared" ca="1" si="981"/>
        <v>#REF!</v>
      </c>
      <c r="W1018" s="97" t="str">
        <f t="shared" ca="1" si="982"/>
        <v>#REF!</v>
      </c>
      <c r="X1018" s="98" t="str">
        <f t="shared" ca="1" si="882"/>
        <v>#REF!</v>
      </c>
      <c r="Y1018" s="98" t="str">
        <f t="shared" ca="1" si="883"/>
        <v>#REF!</v>
      </c>
      <c r="Z1018" s="121">
        <v>0</v>
      </c>
      <c r="AA1018" s="121" t="str">
        <f t="shared" ca="1" si="556"/>
        <v>#REF!</v>
      </c>
      <c r="AB1018" s="121" t="str">
        <f t="shared" ca="1" si="557"/>
        <v>#REF!</v>
      </c>
      <c r="AC1018" s="99" t="str">
        <f t="shared" ca="1" si="8"/>
        <v>#REF!</v>
      </c>
      <c r="AD1018" s="121" t="str">
        <f t="shared" ca="1" si="558"/>
        <v>#REF!</v>
      </c>
      <c r="AE1018" s="99" t="str">
        <f t="shared" ca="1" si="10"/>
        <v>#REF!</v>
      </c>
      <c r="AF1018" s="121" t="str">
        <f t="shared" ca="1" si="559"/>
        <v>#REF!</v>
      </c>
      <c r="AG1018" s="100" t="str">
        <f t="shared" ca="1" si="560"/>
        <v>#REF!</v>
      </c>
      <c r="AH1018" s="101" t="str">
        <f t="shared" ca="1" si="891"/>
        <v>#REF!</v>
      </c>
      <c r="AI1018" s="102" t="str">
        <f t="shared" ref="AI1018:AJ1018" ca="1" si="1354">AG1018/X1018</f>
        <v>#REF!</v>
      </c>
      <c r="AJ1018" s="102" t="str">
        <f t="shared" ca="1" si="1354"/>
        <v>#REF!</v>
      </c>
      <c r="AK1018" s="212"/>
      <c r="AL1018" s="213"/>
      <c r="AM1018" s="4"/>
      <c r="AN1018" s="4"/>
      <c r="AO1018" s="4"/>
      <c r="AP1018" s="4"/>
      <c r="AQ1018" s="4"/>
      <c r="AR1018" s="4"/>
      <c r="AS1018" s="4"/>
      <c r="AT1018" s="4"/>
      <c r="AU1018" s="4"/>
      <c r="AV1018" s="4"/>
      <c r="AW1018" s="4"/>
    </row>
  </sheetData>
  <autoFilter ref="A2:AW1018" xr:uid="{609C61A5-A08B-4F2C-924E-51FDB66E5DD7}">
    <filterColumn colId="6" showButton="0"/>
  </autoFilter>
  <mergeCells count="583">
    <mergeCell ref="H459:H460"/>
    <mergeCell ref="E480:E481"/>
    <mergeCell ref="E485:E487"/>
    <mergeCell ref="E488:E489"/>
    <mergeCell ref="E491:E493"/>
    <mergeCell ref="E494:E495"/>
    <mergeCell ref="E501:E503"/>
    <mergeCell ref="E507:E509"/>
    <mergeCell ref="E510:E515"/>
    <mergeCell ref="E517:E523"/>
    <mergeCell ref="E524:E527"/>
    <mergeCell ref="E528:E530"/>
    <mergeCell ref="E532:E534"/>
    <mergeCell ref="E535:E543"/>
    <mergeCell ref="E554:E555"/>
    <mergeCell ref="E254:E256"/>
    <mergeCell ref="E257:E260"/>
    <mergeCell ref="E261:E262"/>
    <mergeCell ref="E264:E265"/>
    <mergeCell ref="E269:E270"/>
    <mergeCell ref="E280:E285"/>
    <mergeCell ref="E287:E288"/>
    <mergeCell ref="E290:E291"/>
    <mergeCell ref="E292:E293"/>
    <mergeCell ref="E330:E339"/>
    <mergeCell ref="E340:E348"/>
    <mergeCell ref="E349:E358"/>
    <mergeCell ref="E359:E361"/>
    <mergeCell ref="E368:E369"/>
    <mergeCell ref="E370:E371"/>
    <mergeCell ref="E373:E378"/>
    <mergeCell ref="E383:E385"/>
    <mergeCell ref="E386:E393"/>
    <mergeCell ref="E394:E395"/>
    <mergeCell ref="E396:E398"/>
    <mergeCell ref="E399:E400"/>
    <mergeCell ref="E401:E402"/>
    <mergeCell ref="E404:E405"/>
    <mergeCell ref="E406:E410"/>
    <mergeCell ref="E412:E413"/>
    <mergeCell ref="E414:E416"/>
    <mergeCell ref="E419:E420"/>
    <mergeCell ref="E421:E423"/>
    <mergeCell ref="E425:E426"/>
    <mergeCell ref="E427:E428"/>
    <mergeCell ref="E429:E432"/>
    <mergeCell ref="E434:E436"/>
    <mergeCell ref="E438:E440"/>
    <mergeCell ref="E441:E443"/>
    <mergeCell ref="E444:E446"/>
    <mergeCell ref="E452:E453"/>
    <mergeCell ref="E457:E458"/>
    <mergeCell ref="E459:E460"/>
    <mergeCell ref="E462:E463"/>
    <mergeCell ref="E464:E465"/>
    <mergeCell ref="E468:E469"/>
    <mergeCell ref="E471:E474"/>
    <mergeCell ref="E559:E561"/>
    <mergeCell ref="E563:E566"/>
    <mergeCell ref="A156:A159"/>
    <mergeCell ref="B156:B159"/>
    <mergeCell ref="C156:C159"/>
    <mergeCell ref="D156:D159"/>
    <mergeCell ref="E156:E159"/>
    <mergeCell ref="A162:A164"/>
    <mergeCell ref="B162:B164"/>
    <mergeCell ref="E162:E164"/>
    <mergeCell ref="C162:C164"/>
    <mergeCell ref="D162:D164"/>
    <mergeCell ref="A169:A174"/>
    <mergeCell ref="C169:C174"/>
    <mergeCell ref="E169:E174"/>
    <mergeCell ref="C180:C182"/>
    <mergeCell ref="E180:E182"/>
    <mergeCell ref="C229:C230"/>
    <mergeCell ref="E229:E230"/>
    <mergeCell ref="A217:A218"/>
    <mergeCell ref="C217:C218"/>
    <mergeCell ref="E217:E218"/>
    <mergeCell ref="A219:A223"/>
    <mergeCell ref="C219:C223"/>
    <mergeCell ref="E219:E223"/>
    <mergeCell ref="A229:A230"/>
    <mergeCell ref="A232:A233"/>
    <mergeCell ref="C232:C233"/>
    <mergeCell ref="A234:A235"/>
    <mergeCell ref="C234:C235"/>
    <mergeCell ref="E234:E235"/>
    <mergeCell ref="C239:C240"/>
    <mergeCell ref="E239:E240"/>
    <mergeCell ref="A239:A240"/>
    <mergeCell ref="A241:A244"/>
    <mergeCell ref="C241:C244"/>
    <mergeCell ref="E241:E244"/>
    <mergeCell ref="A248:A251"/>
    <mergeCell ref="E248:E251"/>
    <mergeCell ref="E252:E253"/>
    <mergeCell ref="A275:A276"/>
    <mergeCell ref="B275:B276"/>
    <mergeCell ref="C275:C276"/>
    <mergeCell ref="D275:D276"/>
    <mergeCell ref="E275:E276"/>
    <mergeCell ref="C248:C251"/>
    <mergeCell ref="C252:C253"/>
    <mergeCell ref="C254:C256"/>
    <mergeCell ref="C257:C260"/>
    <mergeCell ref="C261:C262"/>
    <mergeCell ref="C264:C265"/>
    <mergeCell ref="C269:C270"/>
    <mergeCell ref="A252:A253"/>
    <mergeCell ref="A254:A256"/>
    <mergeCell ref="A257:A260"/>
    <mergeCell ref="A261:A262"/>
    <mergeCell ref="A264:A265"/>
    <mergeCell ref="A269:A270"/>
    <mergeCell ref="A271:A272"/>
    <mergeCell ref="E298:E301"/>
    <mergeCell ref="E303:E310"/>
    <mergeCell ref="E312:E313"/>
    <mergeCell ref="E316:E317"/>
    <mergeCell ref="E318:E321"/>
    <mergeCell ref="E326:E328"/>
    <mergeCell ref="A468:A469"/>
    <mergeCell ref="A471:A474"/>
    <mergeCell ref="A475:A476"/>
    <mergeCell ref="A318:A321"/>
    <mergeCell ref="A326:A328"/>
    <mergeCell ref="A330:A339"/>
    <mergeCell ref="A340:A348"/>
    <mergeCell ref="A349:A358"/>
    <mergeCell ref="A359:A361"/>
    <mergeCell ref="A368:A369"/>
    <mergeCell ref="A370:A372"/>
    <mergeCell ref="A373:A378"/>
    <mergeCell ref="A383:A385"/>
    <mergeCell ref="A386:A393"/>
    <mergeCell ref="A394:A395"/>
    <mergeCell ref="A396:A398"/>
    <mergeCell ref="A399:A400"/>
    <mergeCell ref="A401:A402"/>
    <mergeCell ref="A480:A481"/>
    <mergeCell ref="A485:A487"/>
    <mergeCell ref="A488:A489"/>
    <mergeCell ref="A491:A493"/>
    <mergeCell ref="A494:A495"/>
    <mergeCell ref="A501:A503"/>
    <mergeCell ref="A507:A509"/>
    <mergeCell ref="A510:A515"/>
    <mergeCell ref="A517:A523"/>
    <mergeCell ref="A524:A527"/>
    <mergeCell ref="A528:A530"/>
    <mergeCell ref="A532:A534"/>
    <mergeCell ref="A535:A543"/>
    <mergeCell ref="A554:A555"/>
    <mergeCell ref="A559:A561"/>
    <mergeCell ref="A563:A566"/>
    <mergeCell ref="A567:A568"/>
    <mergeCell ref="A569:A572"/>
    <mergeCell ref="A575:A577"/>
    <mergeCell ref="A580:A587"/>
    <mergeCell ref="A589:A593"/>
    <mergeCell ref="A594:A597"/>
    <mergeCell ref="A608:A609"/>
    <mergeCell ref="B608:B609"/>
    <mergeCell ref="B610:B612"/>
    <mergeCell ref="A629:A630"/>
    <mergeCell ref="B629:B630"/>
    <mergeCell ref="A632:A636"/>
    <mergeCell ref="B632:B636"/>
    <mergeCell ref="A644:A645"/>
    <mergeCell ref="A651:B651"/>
    <mergeCell ref="A656:A658"/>
    <mergeCell ref="A610:A612"/>
    <mergeCell ref="A613:A619"/>
    <mergeCell ref="B613:B619"/>
    <mergeCell ref="A623:A624"/>
    <mergeCell ref="B623:B624"/>
    <mergeCell ref="A627:A628"/>
    <mergeCell ref="B627:B628"/>
    <mergeCell ref="A278:A279"/>
    <mergeCell ref="A280:A285"/>
    <mergeCell ref="A287:A288"/>
    <mergeCell ref="A290:A291"/>
    <mergeCell ref="A292:A293"/>
    <mergeCell ref="A298:A301"/>
    <mergeCell ref="A303:A310"/>
    <mergeCell ref="A312:A313"/>
    <mergeCell ref="A316:A317"/>
    <mergeCell ref="A404:A405"/>
    <mergeCell ref="A406:A410"/>
    <mergeCell ref="A412:A413"/>
    <mergeCell ref="A414:A416"/>
    <mergeCell ref="A419:A420"/>
    <mergeCell ref="A421:A423"/>
    <mergeCell ref="A425:A426"/>
    <mergeCell ref="A427:A428"/>
    <mergeCell ref="A429:A432"/>
    <mergeCell ref="A434:A436"/>
    <mergeCell ref="A438:A440"/>
    <mergeCell ref="A441:A443"/>
    <mergeCell ref="A444:A446"/>
    <mergeCell ref="A452:A453"/>
    <mergeCell ref="A457:A458"/>
    <mergeCell ref="A459:A460"/>
    <mergeCell ref="A462:A463"/>
    <mergeCell ref="A464:A465"/>
    <mergeCell ref="C485:C487"/>
    <mergeCell ref="C488:C489"/>
    <mergeCell ref="C491:C493"/>
    <mergeCell ref="C494:C495"/>
    <mergeCell ref="C501:C503"/>
    <mergeCell ref="C507:C509"/>
    <mergeCell ref="C510:C515"/>
    <mergeCell ref="C517:C523"/>
    <mergeCell ref="C524:C527"/>
    <mergeCell ref="C528:C530"/>
    <mergeCell ref="C532:C534"/>
    <mergeCell ref="C535:C543"/>
    <mergeCell ref="C554:C555"/>
    <mergeCell ref="C559:C561"/>
    <mergeCell ref="C563:C566"/>
    <mergeCell ref="C567:C568"/>
    <mergeCell ref="E567:E568"/>
    <mergeCell ref="E569:E572"/>
    <mergeCell ref="E575:E577"/>
    <mergeCell ref="E580:E587"/>
    <mergeCell ref="E589:E593"/>
    <mergeCell ref="C613:C619"/>
    <mergeCell ref="C623:C624"/>
    <mergeCell ref="C627:C628"/>
    <mergeCell ref="C629:C630"/>
    <mergeCell ref="C632:C636"/>
    <mergeCell ref="C644:C645"/>
    <mergeCell ref="D632:D636"/>
    <mergeCell ref="C656:C658"/>
    <mergeCell ref="C569:C572"/>
    <mergeCell ref="C575:C577"/>
    <mergeCell ref="C580:C587"/>
    <mergeCell ref="C589:C593"/>
    <mergeCell ref="C594:C597"/>
    <mergeCell ref="C608:C609"/>
    <mergeCell ref="C610:C612"/>
    <mergeCell ref="E594:E597"/>
    <mergeCell ref="D608:D609"/>
    <mergeCell ref="E608:E609"/>
    <mergeCell ref="D610:D612"/>
    <mergeCell ref="E610:E612"/>
    <mergeCell ref="D613:D619"/>
    <mergeCell ref="E613:E619"/>
    <mergeCell ref="E632:E636"/>
    <mergeCell ref="E644:E645"/>
    <mergeCell ref="E656:E658"/>
    <mergeCell ref="D623:D624"/>
    <mergeCell ref="E623:E624"/>
    <mergeCell ref="D627:D628"/>
    <mergeCell ref="E627:E628"/>
    <mergeCell ref="D629:D630"/>
    <mergeCell ref="E629:E630"/>
    <mergeCell ref="C278:C279"/>
    <mergeCell ref="C280:C285"/>
    <mergeCell ref="C287:C288"/>
    <mergeCell ref="C290:C291"/>
    <mergeCell ref="C292:C293"/>
    <mergeCell ref="C298:C301"/>
    <mergeCell ref="C303:C310"/>
    <mergeCell ref="C312:C313"/>
    <mergeCell ref="C316:C317"/>
    <mergeCell ref="C318:C321"/>
    <mergeCell ref="C326:C328"/>
    <mergeCell ref="C330:C339"/>
    <mergeCell ref="C340:C348"/>
    <mergeCell ref="C349:C358"/>
    <mergeCell ref="C359:C361"/>
    <mergeCell ref="C368:C369"/>
    <mergeCell ref="C370:C371"/>
    <mergeCell ref="C373:C378"/>
    <mergeCell ref="C383:C385"/>
    <mergeCell ref="C386:C393"/>
    <mergeCell ref="C394:C395"/>
    <mergeCell ref="C396:C398"/>
    <mergeCell ref="C399:C400"/>
    <mergeCell ref="C401:C402"/>
    <mergeCell ref="C404:C405"/>
    <mergeCell ref="C406:C410"/>
    <mergeCell ref="C412:C413"/>
    <mergeCell ref="C414:C416"/>
    <mergeCell ref="C419:C420"/>
    <mergeCell ref="C421:C423"/>
    <mergeCell ref="C425:C426"/>
    <mergeCell ref="C427:C428"/>
    <mergeCell ref="B429:B432"/>
    <mergeCell ref="C429:C432"/>
    <mergeCell ref="D429:D432"/>
    <mergeCell ref="C434:C436"/>
    <mergeCell ref="C438:C440"/>
    <mergeCell ref="C441:C443"/>
    <mergeCell ref="C444:C446"/>
    <mergeCell ref="B452:B453"/>
    <mergeCell ref="C452:C453"/>
    <mergeCell ref="D452:D453"/>
    <mergeCell ref="C457:C458"/>
    <mergeCell ref="C459:C460"/>
    <mergeCell ref="C462:C463"/>
    <mergeCell ref="C464:C465"/>
    <mergeCell ref="C468:C469"/>
    <mergeCell ref="C471:C474"/>
    <mergeCell ref="C480:C481"/>
    <mergeCell ref="C105:C106"/>
    <mergeCell ref="C108:C109"/>
    <mergeCell ref="A114:A115"/>
    <mergeCell ref="C114:C115"/>
    <mergeCell ref="E114:E115"/>
    <mergeCell ref="C116:C117"/>
    <mergeCell ref="E116:E117"/>
    <mergeCell ref="A120:A122"/>
    <mergeCell ref="A127:A128"/>
    <mergeCell ref="B127:B128"/>
    <mergeCell ref="C127:C128"/>
    <mergeCell ref="D127:D128"/>
    <mergeCell ref="E127:E128"/>
    <mergeCell ref="A116:A117"/>
    <mergeCell ref="C120:C122"/>
    <mergeCell ref="E120:E122"/>
    <mergeCell ref="A135:A136"/>
    <mergeCell ref="C135:C136"/>
    <mergeCell ref="E135:E136"/>
    <mergeCell ref="E124:E125"/>
    <mergeCell ref="C92:C93"/>
    <mergeCell ref="C94:C95"/>
    <mergeCell ref="A84:A87"/>
    <mergeCell ref="A90:A91"/>
    <mergeCell ref="B90:B91"/>
    <mergeCell ref="C90:C91"/>
    <mergeCell ref="D90:D91"/>
    <mergeCell ref="A92:A93"/>
    <mergeCell ref="A94:A95"/>
    <mergeCell ref="E100:E104"/>
    <mergeCell ref="E105:E106"/>
    <mergeCell ref="G105:G106"/>
    <mergeCell ref="A97:A99"/>
    <mergeCell ref="C97:C99"/>
    <mergeCell ref="E97:E99"/>
    <mergeCell ref="A100:A104"/>
    <mergeCell ref="C100:C104"/>
    <mergeCell ref="A105:A106"/>
    <mergeCell ref="A108:A109"/>
    <mergeCell ref="E108:E109"/>
    <mergeCell ref="A197:A198"/>
    <mergeCell ref="A200:A203"/>
    <mergeCell ref="C200:C203"/>
    <mergeCell ref="E200:E203"/>
    <mergeCell ref="A204:A205"/>
    <mergeCell ref="C204:C205"/>
    <mergeCell ref="E204:E205"/>
    <mergeCell ref="A124:A125"/>
    <mergeCell ref="B124:B125"/>
    <mergeCell ref="C124:C125"/>
    <mergeCell ref="D124:D125"/>
    <mergeCell ref="A193:A195"/>
    <mergeCell ref="E193:E195"/>
    <mergeCell ref="E197:E198"/>
    <mergeCell ref="AW567:AW568"/>
    <mergeCell ref="AW569:AW572"/>
    <mergeCell ref="AW575:AW577"/>
    <mergeCell ref="AW580:AW587"/>
    <mergeCell ref="AW589:AW593"/>
    <mergeCell ref="AW594:AW597"/>
    <mergeCell ref="AW524:AW527"/>
    <mergeCell ref="AW528:AW530"/>
    <mergeCell ref="AW532:AW534"/>
    <mergeCell ref="AW535:AW543"/>
    <mergeCell ref="AW554:AW555"/>
    <mergeCell ref="AW559:AW561"/>
    <mergeCell ref="AW563:AW566"/>
    <mergeCell ref="AW298:AW301"/>
    <mergeCell ref="AW303:AW310"/>
    <mergeCell ref="AW312:AW313"/>
    <mergeCell ref="AW316:AW317"/>
    <mergeCell ref="AW318:AW321"/>
    <mergeCell ref="AW326:AW328"/>
    <mergeCell ref="AW330:AW339"/>
    <mergeCell ref="AW340:AW348"/>
    <mergeCell ref="AW349:AW358"/>
    <mergeCell ref="AW359:AW361"/>
    <mergeCell ref="AW368:AW369"/>
    <mergeCell ref="AW370:AW372"/>
    <mergeCell ref="AW373:AW378"/>
    <mergeCell ref="AW383:AW385"/>
    <mergeCell ref="AW386:AW393"/>
    <mergeCell ref="AW394:AW395"/>
    <mergeCell ref="AW396:AW398"/>
    <mergeCell ref="AW399:AW400"/>
    <mergeCell ref="AW401:AW402"/>
    <mergeCell ref="AW404:AW405"/>
    <mergeCell ref="AW406:AW410"/>
    <mergeCell ref="AW412:AW413"/>
    <mergeCell ref="AW414:AW416"/>
    <mergeCell ref="AW419:AW420"/>
    <mergeCell ref="AW421:AW423"/>
    <mergeCell ref="AW425:AW426"/>
    <mergeCell ref="AW427:AW428"/>
    <mergeCell ref="AW429:AW432"/>
    <mergeCell ref="AW434:AW436"/>
    <mergeCell ref="AW438:AW440"/>
    <mergeCell ref="AW441:AW443"/>
    <mergeCell ref="AW444:AW446"/>
    <mergeCell ref="AW452:AW453"/>
    <mergeCell ref="AW457:AW458"/>
    <mergeCell ref="AW459:AW460"/>
    <mergeCell ref="AW462:AW463"/>
    <mergeCell ref="AW464:AW465"/>
    <mergeCell ref="AW468:AW469"/>
    <mergeCell ref="AW471:AW474"/>
    <mergeCell ref="AW475:AW476"/>
    <mergeCell ref="AW480:AW481"/>
    <mergeCell ref="AW485:AW487"/>
    <mergeCell ref="AW488:AW489"/>
    <mergeCell ref="AW491:AW493"/>
    <mergeCell ref="AW494:AW495"/>
    <mergeCell ref="AW501:AW503"/>
    <mergeCell ref="AW507:AW509"/>
    <mergeCell ref="AW510:AW515"/>
    <mergeCell ref="AW517:AW523"/>
    <mergeCell ref="C82:C83"/>
    <mergeCell ref="C84:C87"/>
    <mergeCell ref="A68:A69"/>
    <mergeCell ref="C68:C69"/>
    <mergeCell ref="E68:E69"/>
    <mergeCell ref="A80:A81"/>
    <mergeCell ref="C80:C81"/>
    <mergeCell ref="A82:A83"/>
    <mergeCell ref="E84:E87"/>
    <mergeCell ref="E80:E81"/>
    <mergeCell ref="E82:E83"/>
    <mergeCell ref="E90:E91"/>
    <mergeCell ref="E92:E93"/>
    <mergeCell ref="E94:E95"/>
    <mergeCell ref="C193:C195"/>
    <mergeCell ref="C197:C198"/>
    <mergeCell ref="A180:A182"/>
    <mergeCell ref="A183:A192"/>
    <mergeCell ref="C183:C192"/>
    <mergeCell ref="E183:E192"/>
    <mergeCell ref="A18:A19"/>
    <mergeCell ref="B18:B19"/>
    <mergeCell ref="C18:C19"/>
    <mergeCell ref="D18:D19"/>
    <mergeCell ref="E18:E19"/>
    <mergeCell ref="C29:C33"/>
    <mergeCell ref="E29:E33"/>
    <mergeCell ref="E46:E48"/>
    <mergeCell ref="E49:E50"/>
    <mergeCell ref="E61:E62"/>
    <mergeCell ref="C51:C53"/>
    <mergeCell ref="E51:E53"/>
    <mergeCell ref="A29:A33"/>
    <mergeCell ref="A42:A43"/>
    <mergeCell ref="C42:C43"/>
    <mergeCell ref="E42:E43"/>
    <mergeCell ref="A44:A45"/>
    <mergeCell ref="E44:E45"/>
    <mergeCell ref="C49:C50"/>
    <mergeCell ref="A46:A48"/>
    <mergeCell ref="A49:A50"/>
    <mergeCell ref="A51:A53"/>
    <mergeCell ref="A61:A62"/>
    <mergeCell ref="B61:B62"/>
    <mergeCell ref="C61:C62"/>
    <mergeCell ref="D61:D62"/>
    <mergeCell ref="U1:U2"/>
    <mergeCell ref="V1:W1"/>
    <mergeCell ref="X1:Y1"/>
    <mergeCell ref="Z1:AC1"/>
    <mergeCell ref="AD1:AE1"/>
    <mergeCell ref="AG1:AH1"/>
    <mergeCell ref="AI1:AJ1"/>
    <mergeCell ref="N1:N2"/>
    <mergeCell ref="O1:O2"/>
    <mergeCell ref="P1:P2"/>
    <mergeCell ref="Q1:Q2"/>
    <mergeCell ref="R1:R2"/>
    <mergeCell ref="S1:S2"/>
    <mergeCell ref="T1:T2"/>
    <mergeCell ref="A1:B1"/>
    <mergeCell ref="C1:D1"/>
    <mergeCell ref="E1:E2"/>
    <mergeCell ref="F1:F2"/>
    <mergeCell ref="G1:H2"/>
    <mergeCell ref="J1:J2"/>
    <mergeCell ref="K1:M1"/>
    <mergeCell ref="A9:A10"/>
    <mergeCell ref="R9:R10"/>
    <mergeCell ref="I1:I2"/>
    <mergeCell ref="AI9:AI10"/>
    <mergeCell ref="AJ9:AJ10"/>
    <mergeCell ref="AW29:AW33"/>
    <mergeCell ref="C44:C45"/>
    <mergeCell ref="C46:C48"/>
    <mergeCell ref="AW42:AW43"/>
    <mergeCell ref="AW44:AW45"/>
    <mergeCell ref="AW46:AW48"/>
    <mergeCell ref="AW49:AW50"/>
    <mergeCell ref="S9:S10"/>
    <mergeCell ref="T9:T10"/>
    <mergeCell ref="U9:U10"/>
    <mergeCell ref="V9:V10"/>
    <mergeCell ref="W9:W10"/>
    <mergeCell ref="X9:X10"/>
    <mergeCell ref="Y9:Y10"/>
    <mergeCell ref="AG9:AG10"/>
    <mergeCell ref="AH9:AH10"/>
    <mergeCell ref="AW51:AW53"/>
    <mergeCell ref="AW61:AW62"/>
    <mergeCell ref="AW68:AW69"/>
    <mergeCell ref="C153:C154"/>
    <mergeCell ref="E153:E154"/>
    <mergeCell ref="A142:A144"/>
    <mergeCell ref="C142:C144"/>
    <mergeCell ref="E142:E144"/>
    <mergeCell ref="A149:A150"/>
    <mergeCell ref="C149:C150"/>
    <mergeCell ref="E149:E150"/>
    <mergeCell ref="A153:A154"/>
    <mergeCell ref="AW75:AW79"/>
    <mergeCell ref="AW80:AW81"/>
    <mergeCell ref="AW82:AW83"/>
    <mergeCell ref="AW84:AW87"/>
    <mergeCell ref="AW92:AW93"/>
    <mergeCell ref="AW94:AW95"/>
    <mergeCell ref="AW97:AW99"/>
    <mergeCell ref="AW100:AW104"/>
    <mergeCell ref="AW105:AW106"/>
    <mergeCell ref="AW108:AW109"/>
    <mergeCell ref="AW114:AW115"/>
    <mergeCell ref="AW116:AW117"/>
    <mergeCell ref="A211:A214"/>
    <mergeCell ref="A215:A216"/>
    <mergeCell ref="E211:E214"/>
    <mergeCell ref="E215:E216"/>
    <mergeCell ref="A207:A208"/>
    <mergeCell ref="B207:B208"/>
    <mergeCell ref="C207:C208"/>
    <mergeCell ref="D207:D208"/>
    <mergeCell ref="E207:E208"/>
    <mergeCell ref="C211:C214"/>
    <mergeCell ref="C215:C216"/>
    <mergeCell ref="AW120:AW122"/>
    <mergeCell ref="AW135:AW136"/>
    <mergeCell ref="AW142:AW144"/>
    <mergeCell ref="AW149:AW150"/>
    <mergeCell ref="AW153:AW154"/>
    <mergeCell ref="AW156:AW159"/>
    <mergeCell ref="AW162:AW164"/>
    <mergeCell ref="AW169:AW174"/>
    <mergeCell ref="AW180:AW182"/>
    <mergeCell ref="AW183:AW192"/>
    <mergeCell ref="AW193:AW195"/>
    <mergeCell ref="AW197:AW198"/>
    <mergeCell ref="AW200:AW203"/>
    <mergeCell ref="AW204:AW205"/>
    <mergeCell ref="AW211:AW214"/>
    <mergeCell ref="AW215:AW216"/>
    <mergeCell ref="AW217:AW218"/>
    <mergeCell ref="AW219:AW223"/>
    <mergeCell ref="AW229:AW230"/>
    <mergeCell ref="AW232:AW233"/>
    <mergeCell ref="AW234:AW235"/>
    <mergeCell ref="AW239:AW240"/>
    <mergeCell ref="AW241:AW244"/>
    <mergeCell ref="AW248:AW251"/>
    <mergeCell ref="AW252:AW253"/>
    <mergeCell ref="AW254:AW256"/>
    <mergeCell ref="AW257:AW260"/>
    <mergeCell ref="AW292:AW293"/>
    <mergeCell ref="AW261:AW262"/>
    <mergeCell ref="AW264:AW265"/>
    <mergeCell ref="AW269:AW270"/>
    <mergeCell ref="AW271:AW273"/>
    <mergeCell ref="AW275:AW276"/>
    <mergeCell ref="AW278:AW279"/>
    <mergeCell ref="AW280:AW285"/>
    <mergeCell ref="AW287:AW288"/>
    <mergeCell ref="AW290:AW291"/>
  </mergeCells>
  <phoneticPr fontId="60" type="noConversion"/>
  <hyperlinks>
    <hyperlink ref="E108" r:id="rId1" xr:uid="{00000000-0004-0000-0000-000000000000}"/>
    <hyperlink ref="G610" r:id="rId2" xr:uid="{630A184F-A2E7-42FA-A96E-91A44F8F937F}"/>
    <hyperlink ref="G54" r:id="rId3" xr:uid="{F18ED129-0870-4C88-BA17-6F4D49D48532}"/>
    <hyperlink ref="G56" r:id="rId4" xr:uid="{441DDDDA-2271-44FD-9500-22222C095093}"/>
    <hyperlink ref="G75" r:id="rId5" xr:uid="{426A45AC-C20F-44EE-83DC-E53502AAD9E4}"/>
    <hyperlink ref="G94" r:id="rId6" xr:uid="{2867CC61-DBBA-45F4-B5F0-84F59BD8B65B}"/>
    <hyperlink ref="G95" r:id="rId7" xr:uid="{E33EA731-C3D8-49CA-9924-06987A677443}"/>
    <hyperlink ref="G114" r:id="rId8" xr:uid="{661E5C11-A949-4D13-9893-B99B6DD11FEC}"/>
    <hyperlink ref="G115" r:id="rId9" xr:uid="{B1B75CF7-7AF2-4F31-8435-EF19A6A2C97C}"/>
    <hyperlink ref="G127" r:id="rId10" xr:uid="{0B27B6D6-0B40-4FB5-B03A-C784E1C3BC45}"/>
    <hyperlink ref="G128" r:id="rId11" xr:uid="{C619CAA1-390D-46DE-A85A-1E805606BC41}"/>
    <hyperlink ref="G168" r:id="rId12" xr:uid="{11B605D0-4652-4515-896E-AD9BCC885CE9}"/>
    <hyperlink ref="G199" r:id="rId13" xr:uid="{39C9008A-105E-4349-AE7C-14AB5E628836}"/>
    <hyperlink ref="G207" r:id="rId14" xr:uid="{778186BD-3534-4ED8-B8D8-55DBA1E78C88}"/>
    <hyperlink ref="G210" r:id="rId15" xr:uid="{B43FA7E7-0218-40CA-A68B-5D20115A5BA3}"/>
    <hyperlink ref="G211" r:id="rId16" xr:uid="{36CAFFFF-3047-484F-8E50-97F5368E2870}"/>
    <hyperlink ref="G212" r:id="rId17" xr:uid="{A8102593-FE9B-4E6D-BA32-0331FE0F1950}"/>
    <hyperlink ref="G213" r:id="rId18" xr:uid="{63F6D59E-5004-4E84-B2CD-8323DE2DFB2E}"/>
    <hyperlink ref="G214" r:id="rId19" xr:uid="{3FA15BEA-9A34-438A-9BF7-342AAA7BDA7A}"/>
    <hyperlink ref="G215" r:id="rId20" xr:uid="{16AB5ACB-72DC-4AD0-AF51-27228D9F6507}"/>
    <hyperlink ref="G216" r:id="rId21" xr:uid="{55D531D6-025B-46DF-9F87-33651F6C4750}"/>
    <hyperlink ref="G241" r:id="rId22" xr:uid="{83944651-FA70-4FFA-8D7F-1078F8C30AD9}"/>
    <hyperlink ref="G242" r:id="rId23" xr:uid="{0C3AC414-8BD7-40D5-BD4F-58FA7BD4C85F}"/>
    <hyperlink ref="G243" r:id="rId24" xr:uid="{6E9130D5-E66C-4B90-B1F2-CCBA8CB0B181}"/>
    <hyperlink ref="G244" r:id="rId25" xr:uid="{B53F91AA-F03C-44A6-9136-AE755B5954E7}"/>
    <hyperlink ref="G245" r:id="rId26" xr:uid="{7DFCC91A-96CF-4E9C-92DD-FA173B1618A5}"/>
    <hyperlink ref="G246" r:id="rId27" xr:uid="{AC6084F8-BB2A-4A1B-BA58-622992E78F2A}"/>
    <hyperlink ref="G269" r:id="rId28" xr:uid="{AB330729-D9AB-43CD-938E-9B512FB5734C}"/>
    <hyperlink ref="G272" r:id="rId29" xr:uid="{399C6F8A-65BD-488E-976C-2CB024BB1758}"/>
    <hyperlink ref="G286" r:id="rId30" location="customerReviews" xr:uid="{EBE1AF31-FA82-4309-AD0F-5566A1717352}"/>
    <hyperlink ref="G315" r:id="rId31" xr:uid="{2211DF2E-52F0-480C-BA72-542CAED9DEB8}"/>
    <hyperlink ref="G318" r:id="rId32" xr:uid="{2FCFD6C2-191C-48B7-86AB-9B324B403A8E}"/>
    <hyperlink ref="G319" r:id="rId33" xr:uid="{E8A819C4-468C-4CDE-81E3-FFFAEDEA029E}"/>
    <hyperlink ref="G320" r:id="rId34" xr:uid="{62769C3C-7105-48F1-942C-9461D6AA8997}"/>
    <hyperlink ref="G321" r:id="rId35" xr:uid="{44B549C8-D974-459E-AA67-0E453888FE7E}"/>
    <hyperlink ref="G373" r:id="rId36" xr:uid="{2B07EAA5-5C80-4AB9-A11D-76D498A6CC7B}"/>
    <hyperlink ref="G374" r:id="rId37" xr:uid="{3DFE027E-CC1E-4E3A-8A9F-C5C0D41C9370}"/>
    <hyperlink ref="G375" r:id="rId38" xr:uid="{96D68E1B-3AA5-46EC-80E8-78DF7BC3EE86}"/>
    <hyperlink ref="G376" r:id="rId39" xr:uid="{EC896816-0B03-466E-BAA5-61A563AEBA45}"/>
    <hyperlink ref="G377" r:id="rId40" xr:uid="{A290A2D3-ABD6-4846-AAD2-63BED84EEBB9}"/>
    <hyperlink ref="G378" r:id="rId41" xr:uid="{D6210438-3202-400F-8837-7BFD2C28E8B4}"/>
    <hyperlink ref="G382" r:id="rId42" xr:uid="{3D8458CA-FC3C-400A-90A2-CE6D28CB7661}"/>
    <hyperlink ref="G383" r:id="rId43" xr:uid="{8FAEB80C-6D6B-4B07-AEB9-1C96EADB2FF4}"/>
    <hyperlink ref="G384" r:id="rId44" xr:uid="{8563E6E5-5690-433E-B357-01211446B95B}"/>
    <hyperlink ref="G385" r:id="rId45" xr:uid="{75B2258F-2CD6-4A1A-8BF7-F252C0C20AF8}"/>
    <hyperlink ref="G386" r:id="rId46" xr:uid="{2B4B8F8A-E3FC-4221-9A5D-08B05359765A}"/>
    <hyperlink ref="G387" r:id="rId47" xr:uid="{A2B333FC-B347-4DA8-96BE-26DA85AB4147}"/>
    <hyperlink ref="G388" r:id="rId48" xr:uid="{766FBBB0-D4AF-49F3-B1E7-1057779B8F54}"/>
    <hyperlink ref="G389" r:id="rId49" xr:uid="{5EFC4A10-9815-4AC2-BC18-3E4CE3F81A6D}"/>
    <hyperlink ref="G390" r:id="rId50" xr:uid="{AC890652-F64F-4C09-A47F-65821A1A1F23}"/>
    <hyperlink ref="G391" r:id="rId51" xr:uid="{91C5E252-9A91-4C52-AAFE-2E1AC36C7600}"/>
    <hyperlink ref="G392" r:id="rId52" xr:uid="{0CD8A0B2-41C6-40DE-A5F2-8049B9B6128C}"/>
    <hyperlink ref="G393" r:id="rId53" xr:uid="{1490D939-4BD2-47F5-96DA-F86DCF752986}"/>
    <hyperlink ref="G421" r:id="rId54" xr:uid="{ADA4AF2E-8960-480D-9303-0FFA97100FC2}"/>
    <hyperlink ref="G422" r:id="rId55" xr:uid="{34394BA3-502E-4BDB-A89D-EA5D52BB2ECA}"/>
    <hyperlink ref="G423" r:id="rId56" xr:uid="{17506296-1CDE-4EBF-8749-0F7A20C7C3EB}"/>
    <hyperlink ref="G429" r:id="rId57" xr:uid="{26144172-6C58-447A-83BC-AD909163BF43}"/>
    <hyperlink ref="G430" r:id="rId58" xr:uid="{34F1A444-4303-41CA-ACF7-6569DC53EE7A}"/>
    <hyperlink ref="G431" r:id="rId59" xr:uid="{28045973-6FA3-4EF1-82EC-2B5630B73A3D}"/>
    <hyperlink ref="G432" r:id="rId60" xr:uid="{7DC57023-F05F-4C49-9171-D107D8B089CF}"/>
    <hyperlink ref="G433" r:id="rId61" xr:uid="{078FCE15-0CFB-4385-AF05-2FC3A4D31C77}"/>
    <hyperlink ref="G453" r:id="rId62" xr:uid="{A023BE82-3025-469D-BA89-4033FB3CA13C}"/>
    <hyperlink ref="G455" r:id="rId63" xr:uid="{41B8F7ED-E8F5-413F-B5B9-0420CD22F993}"/>
    <hyperlink ref="G457" r:id="rId64" xr:uid="{91DF12D1-CC7E-4127-818B-F95C86454B92}"/>
    <hyperlink ref="G458" r:id="rId65" xr:uid="{CE48564E-4171-4B16-9412-14A21DFFAE0C}"/>
    <hyperlink ref="G466" r:id="rId66" xr:uid="{9861A77C-DDEE-4CBF-B8B0-0228238220C1}"/>
    <hyperlink ref="G471" r:id="rId67" xr:uid="{372715D0-81FC-40C1-B156-775FD9E7A683}"/>
    <hyperlink ref="G472" r:id="rId68" xr:uid="{CEE7D6C0-0888-4946-8523-2EEBDC77F61A}"/>
    <hyperlink ref="G473" r:id="rId69" xr:uid="{AAF791D6-86AE-42A0-A233-FB3AD5444421}"/>
    <hyperlink ref="G474" r:id="rId70" xr:uid="{1A71AD73-E4A5-43D2-AA6A-38D388669475}"/>
    <hyperlink ref="G490" r:id="rId71" xr:uid="{339E507E-854D-40E0-AD88-E805109FD646}"/>
    <hyperlink ref="G497" r:id="rId72" xr:uid="{3F8CC0CE-6BBA-4E0A-8568-E8ED998D5CB0}"/>
    <hyperlink ref="G498" r:id="rId73" xr:uid="{DD907835-19BC-467E-95C2-50DAFF64186E}"/>
    <hyperlink ref="G510" r:id="rId74" location="customerReviews" xr:uid="{2103147C-E7C3-4023-A3DE-A4444035AF27}"/>
    <hyperlink ref="G511" r:id="rId75" xr:uid="{B444030D-F17D-4D30-8B13-F49582C94AD0}"/>
    <hyperlink ref="G512" r:id="rId76" xr:uid="{780859CB-D526-4BA5-996C-0CADC00BC9E6}"/>
    <hyperlink ref="G513" r:id="rId77" xr:uid="{FDCB76D3-A323-49AD-BC89-C58EA02135B3}"/>
    <hyperlink ref="G514" r:id="rId78" xr:uid="{423EEC80-526B-4B7B-AF73-56E9B76E640E}"/>
    <hyperlink ref="G515" r:id="rId79" xr:uid="{138A83BB-49DA-4A8F-B4C8-0FBC988DCB30}"/>
    <hyperlink ref="G544" r:id="rId80" xr:uid="{07DAEACF-1284-4824-8EE1-664A5D3CE560}"/>
    <hyperlink ref="G552" r:id="rId81" xr:uid="{AAB3A5CC-A246-4839-9229-A62BE2E89437}"/>
    <hyperlink ref="G562" r:id="rId82" xr:uid="{C893D12C-378D-48AA-8B79-73DF745F60E5}"/>
    <hyperlink ref="G563" r:id="rId83" xr:uid="{DD6C8396-6F0B-4308-8566-45291E52EA60}"/>
    <hyperlink ref="G564" r:id="rId84" xr:uid="{1581A63F-0C38-482A-97A3-7360E8AC7E2B}"/>
    <hyperlink ref="G565" r:id="rId85" xr:uid="{F375CA01-FA71-4D42-8D31-884ED15289DE}"/>
    <hyperlink ref="G566" r:id="rId86" xr:uid="{B3EC8F30-F168-4F48-BDE7-D8864A2DC3AB}"/>
    <hyperlink ref="G578" r:id="rId87" xr:uid="{82098538-DEE1-4969-8C60-2869608BB23B}"/>
    <hyperlink ref="G579" r:id="rId88" xr:uid="{F13D2653-6D1F-4920-BF6B-9A3711281336}"/>
    <hyperlink ref="G611" r:id="rId89" xr:uid="{6A065C0A-FDB1-4D6C-9B3F-2CCC7984A737}"/>
    <hyperlink ref="G612" r:id="rId90" xr:uid="{8D6CBCBF-5D2C-42AB-BA19-90A566B1818D}"/>
    <hyperlink ref="G646" r:id="rId91" xr:uid="{5311F435-2B16-44B0-B094-EE08BDB6646D}"/>
    <hyperlink ref="G653" r:id="rId92" xr:uid="{8640E6DF-5452-4396-974F-0B48C03AD9DD}"/>
    <hyperlink ref="G654" r:id="rId93" xr:uid="{4D5150A1-D56F-486E-AE66-D8F783095667}"/>
    <hyperlink ref="G656" r:id="rId94" xr:uid="{6A090C93-6E3E-421D-BAF0-2F438F24BA1C}"/>
    <hyperlink ref="G657" r:id="rId95" xr:uid="{36045493-D74B-4DE6-94CE-CB1ADCB0DA2A}"/>
    <hyperlink ref="G658" r:id="rId96" xr:uid="{6A475634-4055-4E74-A34E-39FFFB7C816F}"/>
  </hyperlinks>
  <pageMargins left="0.7" right="0.7" top="0.75" bottom="0.75" header="0.3" footer="0.3"/>
  <legacyDrawing r:id="rId9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U1009"/>
  <sheetViews>
    <sheetView workbookViewId="0">
      <pane xSplit="2" ySplit="2" topLeftCell="C109" activePane="bottomRight" state="frozen"/>
      <selection pane="topRight" activeCell="C1" sqref="C1"/>
      <selection pane="bottomLeft" activeCell="A3" sqref="A3"/>
      <selection pane="bottomRight" activeCell="R175" sqref="R175"/>
    </sheetView>
  </sheetViews>
  <sheetFormatPr defaultColWidth="14.44140625" defaultRowHeight="15.75" customHeight="1" outlineLevelCol="1"/>
  <cols>
    <col min="1" max="2" width="10.88671875" style="129" customWidth="1"/>
    <col min="3" max="3" width="25" style="129" customWidth="1"/>
    <col min="4" max="4" width="21.5546875" style="129" customWidth="1"/>
    <col min="5" max="5" width="10.109375" style="129" customWidth="1"/>
    <col min="6" max="6" width="18.5546875" style="129" customWidth="1"/>
    <col min="7" max="7" width="6.6640625" style="129" customWidth="1"/>
    <col min="8" max="8" width="6.33203125" style="129" customWidth="1"/>
    <col min="9" max="9" width="8.6640625" style="129" customWidth="1" collapsed="1"/>
    <col min="10" max="12" width="8.6640625" style="129" hidden="1" customWidth="1" outlineLevel="1"/>
    <col min="13" max="20" width="8.6640625" style="129" customWidth="1"/>
    <col min="21" max="22" width="9.6640625" style="129" bestFit="1" customWidth="1"/>
    <col min="23" max="26" width="14.44140625" style="129" customWidth="1" outlineLevel="1"/>
    <col min="27" max="29" width="8.6640625" style="129" customWidth="1" outlineLevel="1"/>
    <col min="30" max="33" width="8.6640625" style="129" customWidth="1"/>
    <col min="34" max="34" width="17.44140625" style="129" customWidth="1"/>
    <col min="35" max="35" width="18.44140625" style="129" customWidth="1"/>
  </cols>
  <sheetData>
    <row r="1" spans="1:47" ht="15.75" customHeight="1">
      <c r="A1" s="363" t="s">
        <v>0</v>
      </c>
      <c r="B1" s="302"/>
      <c r="C1" s="363" t="s">
        <v>1</v>
      </c>
      <c r="D1" s="302"/>
      <c r="E1" s="363" t="s">
        <v>11</v>
      </c>
      <c r="F1" s="363" t="s">
        <v>3</v>
      </c>
      <c r="G1" s="363" t="s">
        <v>4</v>
      </c>
      <c r="H1" s="302"/>
      <c r="I1" s="363" t="s">
        <v>5</v>
      </c>
      <c r="J1" s="219"/>
      <c r="K1" s="219"/>
      <c r="L1" s="219"/>
      <c r="M1" s="363" t="s">
        <v>7</v>
      </c>
      <c r="N1" s="363" t="s">
        <v>8</v>
      </c>
      <c r="O1" s="367" t="s">
        <v>9</v>
      </c>
      <c r="P1" s="366" t="s">
        <v>10</v>
      </c>
      <c r="Q1" s="366" t="s">
        <v>8</v>
      </c>
      <c r="R1" s="366" t="s">
        <v>13</v>
      </c>
      <c r="S1" s="368" t="s">
        <v>20</v>
      </c>
      <c r="T1" s="302"/>
      <c r="U1" s="368" t="s">
        <v>15</v>
      </c>
      <c r="V1" s="302"/>
      <c r="W1" s="366" t="s">
        <v>16</v>
      </c>
      <c r="X1" s="302"/>
      <c r="Y1" s="302"/>
      <c r="Z1" s="302"/>
      <c r="AA1" s="366" t="s">
        <v>17</v>
      </c>
      <c r="AB1" s="302"/>
      <c r="AC1" s="366" t="s">
        <v>30</v>
      </c>
      <c r="AD1" s="366" t="s">
        <v>18</v>
      </c>
      <c r="AE1" s="302"/>
      <c r="AF1" s="366" t="s">
        <v>34</v>
      </c>
      <c r="AG1" s="302"/>
      <c r="AH1" s="220"/>
      <c r="AI1" s="221"/>
      <c r="AJ1" s="4"/>
      <c r="AK1" s="4"/>
      <c r="AL1" s="4"/>
      <c r="AM1" s="4"/>
      <c r="AN1" s="4"/>
      <c r="AO1" s="4"/>
      <c r="AP1" s="4"/>
      <c r="AQ1" s="4"/>
      <c r="AR1" s="4"/>
      <c r="AS1" s="4"/>
      <c r="AT1" s="4"/>
      <c r="AU1" s="4"/>
    </row>
    <row r="2" spans="1:47" ht="15.75" customHeight="1">
      <c r="A2" s="222" t="s">
        <v>35</v>
      </c>
      <c r="B2" s="222" t="s">
        <v>22</v>
      </c>
      <c r="C2" s="222" t="s">
        <v>35</v>
      </c>
      <c r="D2" s="74" t="s">
        <v>22</v>
      </c>
      <c r="E2" s="302"/>
      <c r="F2" s="302"/>
      <c r="G2" s="302"/>
      <c r="H2" s="302"/>
      <c r="I2" s="302"/>
      <c r="J2" s="219" t="s">
        <v>38</v>
      </c>
      <c r="K2" s="219" t="s">
        <v>39</v>
      </c>
      <c r="L2" s="219" t="s">
        <v>40</v>
      </c>
      <c r="M2" s="302"/>
      <c r="N2" s="302"/>
      <c r="O2" s="302"/>
      <c r="P2" s="302"/>
      <c r="Q2" s="302"/>
      <c r="R2" s="302"/>
      <c r="S2" s="223" t="s">
        <v>21</v>
      </c>
      <c r="T2" s="223" t="s">
        <v>22</v>
      </c>
      <c r="U2" s="223" t="s">
        <v>21</v>
      </c>
      <c r="V2" s="223" t="s">
        <v>22</v>
      </c>
      <c r="W2" s="224" t="s">
        <v>26</v>
      </c>
      <c r="X2" s="224" t="s">
        <v>41</v>
      </c>
      <c r="Y2" s="224" t="s">
        <v>28</v>
      </c>
      <c r="Z2" s="224" t="s">
        <v>29</v>
      </c>
      <c r="AA2" s="224" t="s">
        <v>21</v>
      </c>
      <c r="AB2" s="224" t="s">
        <v>22</v>
      </c>
      <c r="AC2" s="302"/>
      <c r="AD2" s="224" t="s">
        <v>21</v>
      </c>
      <c r="AE2" s="224" t="s">
        <v>22</v>
      </c>
      <c r="AF2" s="224" t="s">
        <v>21</v>
      </c>
      <c r="AG2" s="224" t="s">
        <v>22</v>
      </c>
      <c r="AH2" s="225" t="s">
        <v>42</v>
      </c>
      <c r="AI2" s="226" t="s">
        <v>43</v>
      </c>
      <c r="AJ2" s="4"/>
      <c r="AK2" s="4"/>
      <c r="AL2" s="4"/>
      <c r="AM2" s="4"/>
      <c r="AN2" s="4"/>
      <c r="AO2" s="4"/>
      <c r="AP2" s="4"/>
      <c r="AQ2" s="4"/>
      <c r="AR2" s="4"/>
      <c r="AS2" s="4"/>
      <c r="AT2" s="4"/>
      <c r="AU2" s="4"/>
    </row>
    <row r="3" spans="1:47" ht="15.75" customHeight="1">
      <c r="A3" s="364" t="s">
        <v>44</v>
      </c>
      <c r="B3" s="302"/>
      <c r="C3" s="227">
        <v>190</v>
      </c>
      <c r="D3" s="227"/>
      <c r="E3" s="227"/>
      <c r="F3" s="80"/>
      <c r="G3" s="81"/>
      <c r="H3" s="81"/>
      <c r="I3" s="81"/>
      <c r="J3" s="228"/>
      <c r="K3" s="228"/>
      <c r="L3" s="228">
        <f>ROUND(L5,1)</f>
        <v>2</v>
      </c>
      <c r="M3" s="81"/>
      <c r="N3" s="81"/>
      <c r="O3" s="229"/>
      <c r="P3" s="85"/>
      <c r="Q3" s="85"/>
      <c r="R3" s="85"/>
      <c r="S3" s="85"/>
      <c r="T3" s="85"/>
      <c r="U3" s="85"/>
      <c r="V3" s="85"/>
      <c r="W3" s="85"/>
      <c r="X3" s="85"/>
      <c r="Y3" s="85"/>
      <c r="Z3" s="85"/>
      <c r="AA3" s="85"/>
      <c r="AB3" s="85"/>
      <c r="AC3" s="85"/>
      <c r="AD3" s="85"/>
      <c r="AE3" s="85"/>
      <c r="AF3" s="85"/>
      <c r="AG3" s="85"/>
      <c r="AH3" s="87"/>
      <c r="AI3" s="88"/>
      <c r="AJ3" s="5"/>
      <c r="AK3" s="5"/>
      <c r="AL3" s="5"/>
      <c r="AM3" s="5"/>
      <c r="AN3" s="5"/>
      <c r="AO3" s="5"/>
      <c r="AP3" s="5"/>
      <c r="AQ3" s="5"/>
      <c r="AR3" s="5"/>
      <c r="AS3" s="5"/>
      <c r="AT3" s="5"/>
      <c r="AU3" s="5"/>
    </row>
    <row r="4" spans="1:47" ht="15.75" customHeight="1">
      <c r="A4" s="365" t="s">
        <v>45</v>
      </c>
      <c r="B4" s="302"/>
      <c r="C4" s="227">
        <v>1250</v>
      </c>
      <c r="D4" s="227"/>
      <c r="E4" s="227"/>
      <c r="F4" s="80"/>
      <c r="G4" s="81"/>
      <c r="H4" s="81"/>
      <c r="I4" s="81"/>
      <c r="J4" s="228"/>
      <c r="K4" s="228"/>
      <c r="L4" s="228"/>
      <c r="M4" s="81"/>
      <c r="N4" s="81"/>
      <c r="O4" s="229"/>
      <c r="P4" s="85"/>
      <c r="Q4" s="85"/>
      <c r="R4" s="85"/>
      <c r="S4" s="85"/>
      <c r="T4" s="85"/>
      <c r="U4" s="85"/>
      <c r="V4" s="85"/>
      <c r="W4" s="85"/>
      <c r="X4" s="85"/>
      <c r="Y4" s="85"/>
      <c r="Z4" s="85"/>
      <c r="AA4" s="85"/>
      <c r="AB4" s="85"/>
      <c r="AC4" s="85"/>
      <c r="AD4" s="85"/>
      <c r="AE4" s="85"/>
      <c r="AF4" s="85"/>
      <c r="AG4" s="85"/>
      <c r="AH4" s="87"/>
      <c r="AI4" s="88"/>
      <c r="AJ4" s="5"/>
      <c r="AK4" s="5"/>
      <c r="AL4" s="5"/>
      <c r="AM4" s="5"/>
      <c r="AN4" s="5"/>
      <c r="AO4" s="5"/>
      <c r="AP4" s="5"/>
      <c r="AQ4" s="5"/>
      <c r="AR4" s="5"/>
      <c r="AS4" s="5"/>
      <c r="AT4" s="5"/>
      <c r="AU4" s="5"/>
    </row>
    <row r="5" spans="1:47" ht="15.75" customHeight="1">
      <c r="A5" s="303" t="str">
        <f>HYPERLINK("https://smartstore.naver.com/brickstore2019/products/4404573419","4404573419")</f>
        <v>4404573419</v>
      </c>
      <c r="B5" s="349"/>
      <c r="C5" s="304" t="s">
        <v>46</v>
      </c>
      <c r="D5" s="117"/>
      <c r="E5" s="304" t="s">
        <v>47</v>
      </c>
      <c r="F5" s="123" t="s">
        <v>48</v>
      </c>
      <c r="G5" s="124" t="str">
        <f t="shared" ref="G5:G8" si="0">HYPERLINK("https://detail.tmall.com/item.htm?id=581572257662&amp;skuId=4057208162574","T")</f>
        <v>T</v>
      </c>
      <c r="H5" s="125"/>
      <c r="I5" s="125">
        <v>138</v>
      </c>
      <c r="J5" s="228">
        <f t="shared" ref="J5:J63" si="1">IF(K5&gt;0,K5*0.0625,)</f>
        <v>0.25</v>
      </c>
      <c r="K5" s="228">
        <v>4</v>
      </c>
      <c r="L5" s="228">
        <v>2</v>
      </c>
      <c r="M5" s="125">
        <v>0</v>
      </c>
      <c r="N5" s="125">
        <v>0</v>
      </c>
      <c r="O5" s="230">
        <f t="shared" ref="O5:O1009" si="2">I5+N5+M5</f>
        <v>138</v>
      </c>
      <c r="P5" s="231">
        <f t="shared" ref="P5:P1009" si="3">O5*C$3</f>
        <v>26220</v>
      </c>
      <c r="Q5" s="232">
        <f>ROUNDUP(HLOOKUP(IF(CEILING(L5,0.5)&lt;1,1,CEILING(L5,0.5)),'배송비 조회'!A$32:AY$36,2,0),-2)</f>
        <v>9600</v>
      </c>
      <c r="R5" s="232">
        <v>0</v>
      </c>
      <c r="S5" s="231">
        <f t="shared" ref="S5:S29" si="4">ROUND((P5+Q5)*0.6,-2)</f>
        <v>21500</v>
      </c>
      <c r="T5" s="231">
        <f t="shared" ref="T5:T30" si="5">ROUND((P5+Q5)*0.7,-2)</f>
        <v>25100</v>
      </c>
      <c r="U5" s="233">
        <f t="shared" ref="U5:U95" si="6">ROUND(SUM(P5+Q5+R5+S5), -2)</f>
        <v>57300</v>
      </c>
      <c r="V5" s="233">
        <f t="shared" ref="V5:V1009" si="7">ROUND(P5+Q5+R5+T5, -2)</f>
        <v>60900</v>
      </c>
      <c r="W5" s="234">
        <v>0</v>
      </c>
      <c r="X5" s="234">
        <f t="shared" ref="X5:X1009" si="8">U5*0.038</f>
        <v>2177.4</v>
      </c>
      <c r="Y5" s="234">
        <f t="shared" ref="Y5:Y1009" si="9">U5*0.02</f>
        <v>1146</v>
      </c>
      <c r="Z5" s="234">
        <f t="shared" ref="Z5:Z1009" si="10">V5*0.1</f>
        <v>6090</v>
      </c>
      <c r="AA5" s="234">
        <f t="shared" ref="AA5:AA1009" si="11">U5-X5-Y5</f>
        <v>53976.6</v>
      </c>
      <c r="AB5" s="234">
        <f t="shared" ref="AB5:AB1009" si="12">V5-Z5</f>
        <v>54810</v>
      </c>
      <c r="AC5" s="234">
        <f t="shared" ref="AC5:AC1009" si="13">AA5*0.01</f>
        <v>539.76599999999996</v>
      </c>
      <c r="AD5" s="101">
        <f t="shared" ref="AD5:AD1009" si="14">AA5-P5-AC5-Q5</f>
        <v>17616.833999999999</v>
      </c>
      <c r="AE5" s="101">
        <f t="shared" ref="AE5:AE1009" si="15">AB5-P5-Q5-AC5</f>
        <v>18450.234</v>
      </c>
      <c r="AF5" s="235">
        <f t="shared" ref="AF5:AG5" si="16">AD5/U5</f>
        <v>0.30744910994764396</v>
      </c>
      <c r="AG5" s="235">
        <f t="shared" si="16"/>
        <v>0.30295950738916255</v>
      </c>
      <c r="AH5" s="212"/>
      <c r="AI5" s="213"/>
      <c r="AJ5" s="4"/>
      <c r="AK5" s="4"/>
      <c r="AL5" s="4"/>
      <c r="AM5" s="4"/>
      <c r="AN5" s="4"/>
      <c r="AO5" s="4"/>
      <c r="AP5" s="4"/>
      <c r="AQ5" s="4"/>
      <c r="AR5" s="4"/>
      <c r="AS5" s="4"/>
      <c r="AT5" s="4"/>
      <c r="AU5" s="4"/>
    </row>
    <row r="6" spans="1:47" ht="15.75" customHeight="1">
      <c r="A6" s="302"/>
      <c r="B6" s="302"/>
      <c r="C6" s="302"/>
      <c r="D6" s="117"/>
      <c r="E6" s="302"/>
      <c r="F6" s="91" t="s">
        <v>54</v>
      </c>
      <c r="G6" s="124" t="str">
        <f t="shared" si="0"/>
        <v>T</v>
      </c>
      <c r="H6" s="93"/>
      <c r="I6" s="125">
        <v>138</v>
      </c>
      <c r="J6" s="228">
        <f t="shared" si="1"/>
        <v>0.25</v>
      </c>
      <c r="K6" s="228">
        <v>4</v>
      </c>
      <c r="L6" s="228">
        <v>2</v>
      </c>
      <c r="M6" s="125">
        <v>0</v>
      </c>
      <c r="N6" s="125">
        <v>0</v>
      </c>
      <c r="O6" s="230">
        <f t="shared" si="2"/>
        <v>138</v>
      </c>
      <c r="P6" s="231">
        <f t="shared" si="3"/>
        <v>26220</v>
      </c>
      <c r="Q6" s="232">
        <f>ROUNDUP(HLOOKUP(IF(CEILING(L6,0.5)&lt;1,1,CEILING(L6,0.5)),'배송비 조회'!A$32:AY$36,2,0),-2)</f>
        <v>9600</v>
      </c>
      <c r="R6" s="232">
        <v>0</v>
      </c>
      <c r="S6" s="231">
        <f t="shared" si="4"/>
        <v>21500</v>
      </c>
      <c r="T6" s="231">
        <f t="shared" si="5"/>
        <v>25100</v>
      </c>
      <c r="U6" s="233">
        <f t="shared" si="6"/>
        <v>57300</v>
      </c>
      <c r="V6" s="233">
        <f t="shared" si="7"/>
        <v>60900</v>
      </c>
      <c r="W6" s="234">
        <v>0</v>
      </c>
      <c r="X6" s="234">
        <f t="shared" si="8"/>
        <v>2177.4</v>
      </c>
      <c r="Y6" s="234">
        <f t="shared" si="9"/>
        <v>1146</v>
      </c>
      <c r="Z6" s="234">
        <f t="shared" si="10"/>
        <v>6090</v>
      </c>
      <c r="AA6" s="234">
        <f t="shared" si="11"/>
        <v>53976.6</v>
      </c>
      <c r="AB6" s="234">
        <f t="shared" si="12"/>
        <v>54810</v>
      </c>
      <c r="AC6" s="234">
        <f t="shared" si="13"/>
        <v>539.76599999999996</v>
      </c>
      <c r="AD6" s="101">
        <f t="shared" si="14"/>
        <v>17616.833999999999</v>
      </c>
      <c r="AE6" s="101">
        <f t="shared" si="15"/>
        <v>18450.234</v>
      </c>
      <c r="AF6" s="235">
        <f t="shared" ref="AF6:AG6" si="17">AD6/U6</f>
        <v>0.30744910994764396</v>
      </c>
      <c r="AG6" s="235">
        <f t="shared" si="17"/>
        <v>0.30295950738916255</v>
      </c>
      <c r="AH6" s="103"/>
      <c r="AI6" s="104"/>
      <c r="AJ6" s="17"/>
      <c r="AK6" s="17"/>
      <c r="AL6" s="17"/>
      <c r="AM6" s="17"/>
      <c r="AN6" s="17"/>
      <c r="AO6" s="17"/>
      <c r="AP6" s="17"/>
      <c r="AQ6" s="17"/>
      <c r="AR6" s="17"/>
      <c r="AS6" s="17"/>
      <c r="AT6" s="17"/>
      <c r="AU6" s="17"/>
    </row>
    <row r="7" spans="1:47" ht="15.75" customHeight="1">
      <c r="A7" s="302"/>
      <c r="B7" s="302"/>
      <c r="C7" s="302"/>
      <c r="D7" s="117"/>
      <c r="E7" s="302"/>
      <c r="F7" s="91" t="s">
        <v>56</v>
      </c>
      <c r="G7" s="124" t="str">
        <f t="shared" si="0"/>
        <v>T</v>
      </c>
      <c r="H7" s="93"/>
      <c r="I7" s="202">
        <v>128</v>
      </c>
      <c r="J7" s="236">
        <f t="shared" si="1"/>
        <v>0.25</v>
      </c>
      <c r="K7" s="236">
        <v>4</v>
      </c>
      <c r="L7" s="228">
        <v>2</v>
      </c>
      <c r="M7" s="202">
        <v>0</v>
      </c>
      <c r="N7" s="202">
        <v>0</v>
      </c>
      <c r="O7" s="230">
        <f t="shared" si="2"/>
        <v>128</v>
      </c>
      <c r="P7" s="231">
        <f t="shared" si="3"/>
        <v>24320</v>
      </c>
      <c r="Q7" s="232">
        <f>ROUNDUP(HLOOKUP(IF(CEILING(L7,0.5)&lt;1,1,CEILING(L7,0.5)),'배송비 조회'!A$32:AY$36,2,0),-2)</f>
        <v>9600</v>
      </c>
      <c r="R7" s="232">
        <v>0</v>
      </c>
      <c r="S7" s="231">
        <f t="shared" si="4"/>
        <v>20400</v>
      </c>
      <c r="T7" s="231">
        <f t="shared" si="5"/>
        <v>23700</v>
      </c>
      <c r="U7" s="233">
        <f t="shared" si="6"/>
        <v>54300</v>
      </c>
      <c r="V7" s="233">
        <f t="shared" si="7"/>
        <v>57600</v>
      </c>
      <c r="W7" s="234">
        <v>0</v>
      </c>
      <c r="X7" s="234">
        <f t="shared" si="8"/>
        <v>2063.4</v>
      </c>
      <c r="Y7" s="234">
        <f t="shared" si="9"/>
        <v>1086</v>
      </c>
      <c r="Z7" s="234">
        <f t="shared" si="10"/>
        <v>5760</v>
      </c>
      <c r="AA7" s="234">
        <f t="shared" si="11"/>
        <v>51150.6</v>
      </c>
      <c r="AB7" s="234">
        <f t="shared" si="12"/>
        <v>51840</v>
      </c>
      <c r="AC7" s="234">
        <f t="shared" si="13"/>
        <v>511.50599999999997</v>
      </c>
      <c r="AD7" s="101">
        <f t="shared" si="14"/>
        <v>16719.093999999997</v>
      </c>
      <c r="AE7" s="101">
        <f t="shared" si="15"/>
        <v>17408.493999999999</v>
      </c>
      <c r="AF7" s="235">
        <f t="shared" ref="AF7:AG7" si="18">AD7/U7</f>
        <v>0.30790228360957639</v>
      </c>
      <c r="AG7" s="235">
        <f t="shared" si="18"/>
        <v>0.30223079861111107</v>
      </c>
      <c r="AH7" s="103"/>
      <c r="AI7" s="104"/>
      <c r="AJ7" s="17"/>
      <c r="AK7" s="17"/>
      <c r="AL7" s="17"/>
      <c r="AM7" s="17"/>
      <c r="AN7" s="17"/>
      <c r="AO7" s="17"/>
      <c r="AP7" s="17"/>
      <c r="AQ7" s="17"/>
      <c r="AR7" s="17"/>
      <c r="AS7" s="17"/>
      <c r="AT7" s="17"/>
      <c r="AU7" s="17"/>
    </row>
    <row r="8" spans="1:47" ht="15.75" customHeight="1">
      <c r="A8" s="302"/>
      <c r="B8" s="302"/>
      <c r="C8" s="302"/>
      <c r="D8" s="117"/>
      <c r="E8" s="302"/>
      <c r="F8" s="91" t="s">
        <v>59</v>
      </c>
      <c r="G8" s="124" t="str">
        <f t="shared" si="0"/>
        <v>T</v>
      </c>
      <c r="H8" s="93"/>
      <c r="I8" s="202">
        <v>128</v>
      </c>
      <c r="J8" s="236">
        <f t="shared" si="1"/>
        <v>0.25</v>
      </c>
      <c r="K8" s="236">
        <v>4</v>
      </c>
      <c r="L8" s="228">
        <v>2</v>
      </c>
      <c r="M8" s="202">
        <v>0</v>
      </c>
      <c r="N8" s="202">
        <v>0</v>
      </c>
      <c r="O8" s="230">
        <f t="shared" si="2"/>
        <v>128</v>
      </c>
      <c r="P8" s="231">
        <f t="shared" si="3"/>
        <v>24320</v>
      </c>
      <c r="Q8" s="232">
        <f>ROUNDUP(HLOOKUP(IF(CEILING(L8,0.5)&lt;1,1,CEILING(L8,0.5)),'배송비 조회'!A$32:AY$36,2,0),-2)</f>
        <v>9600</v>
      </c>
      <c r="R8" s="232">
        <v>0</v>
      </c>
      <c r="S8" s="231">
        <f t="shared" si="4"/>
        <v>20400</v>
      </c>
      <c r="T8" s="231">
        <f t="shared" si="5"/>
        <v>23700</v>
      </c>
      <c r="U8" s="233">
        <f t="shared" si="6"/>
        <v>54300</v>
      </c>
      <c r="V8" s="233">
        <f t="shared" si="7"/>
        <v>57600</v>
      </c>
      <c r="W8" s="234">
        <v>0</v>
      </c>
      <c r="X8" s="234">
        <f t="shared" si="8"/>
        <v>2063.4</v>
      </c>
      <c r="Y8" s="234">
        <f t="shared" si="9"/>
        <v>1086</v>
      </c>
      <c r="Z8" s="234">
        <f t="shared" si="10"/>
        <v>5760</v>
      </c>
      <c r="AA8" s="234">
        <f t="shared" si="11"/>
        <v>51150.6</v>
      </c>
      <c r="AB8" s="234">
        <f t="shared" si="12"/>
        <v>51840</v>
      </c>
      <c r="AC8" s="234">
        <f t="shared" si="13"/>
        <v>511.50599999999997</v>
      </c>
      <c r="AD8" s="101">
        <f t="shared" si="14"/>
        <v>16719.093999999997</v>
      </c>
      <c r="AE8" s="101">
        <f t="shared" si="15"/>
        <v>17408.493999999999</v>
      </c>
      <c r="AF8" s="235">
        <f t="shared" ref="AF8:AG8" si="19">AD8/U8</f>
        <v>0.30790228360957639</v>
      </c>
      <c r="AG8" s="235">
        <f t="shared" si="19"/>
        <v>0.30223079861111107</v>
      </c>
      <c r="AH8" s="103"/>
      <c r="AI8" s="104"/>
      <c r="AJ8" s="17"/>
      <c r="AK8" s="17"/>
      <c r="AL8" s="17"/>
      <c r="AM8" s="17"/>
      <c r="AN8" s="17"/>
      <c r="AO8" s="17"/>
      <c r="AP8" s="17"/>
      <c r="AQ8" s="17"/>
      <c r="AR8" s="17"/>
      <c r="AS8" s="17"/>
      <c r="AT8" s="17"/>
      <c r="AU8" s="17"/>
    </row>
    <row r="9" spans="1:47" ht="15.75" customHeight="1">
      <c r="A9" s="301" t="str">
        <f>HYPERLINK("https://smartstore.naver.com/brickstore2019/products/4712388670","4712388670")</f>
        <v>4712388670</v>
      </c>
      <c r="B9" s="361"/>
      <c r="C9" s="307" t="s">
        <v>62</v>
      </c>
      <c r="D9" s="114"/>
      <c r="E9" s="307" t="s">
        <v>63</v>
      </c>
      <c r="F9" s="91" t="s">
        <v>64</v>
      </c>
      <c r="G9" s="237" t="str">
        <f t="shared" ref="G9:G11" si="20">HYPERLINK("https://item.taobao.com/item.htm?id=589837040192","A")</f>
        <v>A</v>
      </c>
      <c r="H9" s="93"/>
      <c r="I9" s="95">
        <v>69</v>
      </c>
      <c r="J9" s="228">
        <f t="shared" si="1"/>
        <v>0.5</v>
      </c>
      <c r="K9" s="228">
        <v>8</v>
      </c>
      <c r="L9" s="228">
        <f t="shared" ref="L9:L100" si="21">IF(J9&gt;0,J9*0.453592,IF(K9&gt;0,K9*0.02835,))</f>
        <v>0.226796</v>
      </c>
      <c r="M9" s="202">
        <v>0</v>
      </c>
      <c r="N9" s="202">
        <v>0</v>
      </c>
      <c r="O9" s="230">
        <f t="shared" si="2"/>
        <v>69</v>
      </c>
      <c r="P9" s="231">
        <f t="shared" si="3"/>
        <v>13110</v>
      </c>
      <c r="Q9" s="232">
        <f>ROUNDUP(HLOOKUP(IF(CEILING(L9,0.5)&lt;1,1,CEILING(L9,0.5)),'배송비 조회'!A$32:AY$36,2,0),-2)</f>
        <v>8000</v>
      </c>
      <c r="R9" s="232">
        <v>0</v>
      </c>
      <c r="S9" s="231">
        <f t="shared" si="4"/>
        <v>12700</v>
      </c>
      <c r="T9" s="231">
        <f t="shared" si="5"/>
        <v>14800</v>
      </c>
      <c r="U9" s="233">
        <f t="shared" si="6"/>
        <v>33800</v>
      </c>
      <c r="V9" s="233">
        <f t="shared" si="7"/>
        <v>35900</v>
      </c>
      <c r="W9" s="234">
        <v>0</v>
      </c>
      <c r="X9" s="234">
        <f t="shared" si="8"/>
        <v>1284.3999999999999</v>
      </c>
      <c r="Y9" s="234">
        <f t="shared" si="9"/>
        <v>676</v>
      </c>
      <c r="Z9" s="234">
        <f t="shared" si="10"/>
        <v>3590</v>
      </c>
      <c r="AA9" s="234">
        <f t="shared" si="11"/>
        <v>31839.599999999999</v>
      </c>
      <c r="AB9" s="234">
        <f t="shared" si="12"/>
        <v>32310</v>
      </c>
      <c r="AC9" s="234">
        <f t="shared" si="13"/>
        <v>318.39600000000002</v>
      </c>
      <c r="AD9" s="101">
        <f t="shared" si="14"/>
        <v>10411.203999999998</v>
      </c>
      <c r="AE9" s="101">
        <f t="shared" si="15"/>
        <v>10881.603999999999</v>
      </c>
      <c r="AF9" s="235">
        <f t="shared" ref="AF9:AG9" si="22">AD9/U9</f>
        <v>0.30802378698224847</v>
      </c>
      <c r="AG9" s="235">
        <f t="shared" si="22"/>
        <v>0.30310874651810582</v>
      </c>
      <c r="AH9" s="103"/>
      <c r="AI9" s="104"/>
      <c r="AJ9" s="17"/>
      <c r="AK9" s="17"/>
      <c r="AL9" s="17"/>
      <c r="AM9" s="17"/>
      <c r="AN9" s="17"/>
      <c r="AO9" s="17"/>
      <c r="AP9" s="17"/>
      <c r="AQ9" s="17"/>
      <c r="AR9" s="17"/>
      <c r="AS9" s="17"/>
      <c r="AT9" s="17"/>
      <c r="AU9" s="17"/>
    </row>
    <row r="10" spans="1:47" ht="13.2">
      <c r="A10" s="302"/>
      <c r="B10" s="302"/>
      <c r="C10" s="302"/>
      <c r="D10" s="114"/>
      <c r="E10" s="302"/>
      <c r="F10" s="91" t="s">
        <v>69</v>
      </c>
      <c r="G10" s="237" t="str">
        <f t="shared" si="20"/>
        <v>A</v>
      </c>
      <c r="H10" s="93"/>
      <c r="I10" s="95">
        <v>69</v>
      </c>
      <c r="J10" s="228">
        <f t="shared" si="1"/>
        <v>0.5</v>
      </c>
      <c r="K10" s="228">
        <v>8</v>
      </c>
      <c r="L10" s="228">
        <f t="shared" si="21"/>
        <v>0.226796</v>
      </c>
      <c r="M10" s="202">
        <v>0</v>
      </c>
      <c r="N10" s="202">
        <v>0</v>
      </c>
      <c r="O10" s="238">
        <f t="shared" si="2"/>
        <v>69</v>
      </c>
      <c r="P10" s="231">
        <f t="shared" si="3"/>
        <v>13110</v>
      </c>
      <c r="Q10" s="232">
        <f>ROUNDUP(HLOOKUP(IF(CEILING(L10,0.5)&lt;1,1,CEILING(L10,0.5)),'배송비 조회'!A$32:AY$36,2,0),-2)</f>
        <v>8000</v>
      </c>
      <c r="R10" s="232">
        <v>0</v>
      </c>
      <c r="S10" s="231">
        <f t="shared" si="4"/>
        <v>12700</v>
      </c>
      <c r="T10" s="231">
        <f t="shared" si="5"/>
        <v>14800</v>
      </c>
      <c r="U10" s="233">
        <f t="shared" si="6"/>
        <v>33800</v>
      </c>
      <c r="V10" s="233">
        <f t="shared" si="7"/>
        <v>35900</v>
      </c>
      <c r="W10" s="234">
        <v>0</v>
      </c>
      <c r="X10" s="234">
        <f t="shared" si="8"/>
        <v>1284.3999999999999</v>
      </c>
      <c r="Y10" s="234">
        <f t="shared" si="9"/>
        <v>676</v>
      </c>
      <c r="Z10" s="234">
        <f t="shared" si="10"/>
        <v>3590</v>
      </c>
      <c r="AA10" s="234">
        <f t="shared" si="11"/>
        <v>31839.599999999999</v>
      </c>
      <c r="AB10" s="234">
        <f t="shared" si="12"/>
        <v>32310</v>
      </c>
      <c r="AC10" s="234">
        <f t="shared" si="13"/>
        <v>318.39600000000002</v>
      </c>
      <c r="AD10" s="101">
        <f t="shared" si="14"/>
        <v>10411.203999999998</v>
      </c>
      <c r="AE10" s="101">
        <f t="shared" si="15"/>
        <v>10881.603999999999</v>
      </c>
      <c r="AF10" s="235">
        <f t="shared" ref="AF10:AG10" si="23">AD10/U10</f>
        <v>0.30802378698224847</v>
      </c>
      <c r="AG10" s="235">
        <f t="shared" si="23"/>
        <v>0.30310874651810582</v>
      </c>
      <c r="AH10" s="103"/>
      <c r="AI10" s="104"/>
      <c r="AJ10" s="17"/>
      <c r="AK10" s="17"/>
      <c r="AL10" s="17"/>
      <c r="AM10" s="17"/>
      <c r="AN10" s="17"/>
      <c r="AO10" s="17"/>
      <c r="AP10" s="17"/>
      <c r="AQ10" s="17"/>
      <c r="AR10" s="17"/>
      <c r="AS10" s="17"/>
      <c r="AT10" s="17"/>
      <c r="AU10" s="17"/>
    </row>
    <row r="11" spans="1:47" ht="13.2">
      <c r="A11" s="302"/>
      <c r="B11" s="302"/>
      <c r="C11" s="302"/>
      <c r="D11" s="114"/>
      <c r="E11" s="302"/>
      <c r="F11" s="91" t="s">
        <v>71</v>
      </c>
      <c r="G11" s="237" t="str">
        <f t="shared" si="20"/>
        <v>A</v>
      </c>
      <c r="H11" s="93"/>
      <c r="I11" s="95">
        <v>69</v>
      </c>
      <c r="J11" s="228">
        <f t="shared" si="1"/>
        <v>0.5</v>
      </c>
      <c r="K11" s="228">
        <v>8</v>
      </c>
      <c r="L11" s="228">
        <f t="shared" si="21"/>
        <v>0.226796</v>
      </c>
      <c r="M11" s="202">
        <v>0</v>
      </c>
      <c r="N11" s="202">
        <v>0</v>
      </c>
      <c r="O11" s="238">
        <f t="shared" si="2"/>
        <v>69</v>
      </c>
      <c r="P11" s="231">
        <f t="shared" si="3"/>
        <v>13110</v>
      </c>
      <c r="Q11" s="232">
        <f>ROUNDUP(HLOOKUP(IF(CEILING(L11,0.5)&lt;1,1,CEILING(L11,0.5)),'배송비 조회'!A$32:AY$36,2,0),-2)</f>
        <v>8000</v>
      </c>
      <c r="R11" s="232">
        <v>0</v>
      </c>
      <c r="S11" s="231">
        <f t="shared" si="4"/>
        <v>12700</v>
      </c>
      <c r="T11" s="231">
        <f t="shared" si="5"/>
        <v>14800</v>
      </c>
      <c r="U11" s="233">
        <f t="shared" si="6"/>
        <v>33800</v>
      </c>
      <c r="V11" s="233">
        <f t="shared" si="7"/>
        <v>35900</v>
      </c>
      <c r="W11" s="234">
        <v>0</v>
      </c>
      <c r="X11" s="234">
        <f t="shared" si="8"/>
        <v>1284.3999999999999</v>
      </c>
      <c r="Y11" s="234">
        <f t="shared" si="9"/>
        <v>676</v>
      </c>
      <c r="Z11" s="234">
        <f t="shared" si="10"/>
        <v>3590</v>
      </c>
      <c r="AA11" s="234">
        <f t="shared" si="11"/>
        <v>31839.599999999999</v>
      </c>
      <c r="AB11" s="234">
        <f t="shared" si="12"/>
        <v>32310</v>
      </c>
      <c r="AC11" s="234">
        <f t="shared" si="13"/>
        <v>318.39600000000002</v>
      </c>
      <c r="AD11" s="101">
        <f t="shared" si="14"/>
        <v>10411.203999999998</v>
      </c>
      <c r="AE11" s="101">
        <f t="shared" si="15"/>
        <v>10881.603999999999</v>
      </c>
      <c r="AF11" s="235">
        <f t="shared" ref="AF11:AG11" si="24">AD11/U11</f>
        <v>0.30802378698224847</v>
      </c>
      <c r="AG11" s="235">
        <f t="shared" si="24"/>
        <v>0.30310874651810582</v>
      </c>
      <c r="AH11" s="103"/>
      <c r="AI11" s="104"/>
      <c r="AJ11" s="17"/>
      <c r="AK11" s="17"/>
      <c r="AL11" s="17"/>
      <c r="AM11" s="17"/>
      <c r="AN11" s="17"/>
      <c r="AO11" s="17"/>
      <c r="AP11" s="17"/>
      <c r="AQ11" s="17"/>
      <c r="AR11" s="17"/>
      <c r="AS11" s="17"/>
      <c r="AT11" s="17"/>
      <c r="AU11" s="17"/>
    </row>
    <row r="12" spans="1:47" ht="13.2">
      <c r="A12" s="301" t="str">
        <f>HYPERLINK("https://smartstore.naver.com/brickstore2019/products/4712419771","4712419771")</f>
        <v>4712419771</v>
      </c>
      <c r="B12" s="361"/>
      <c r="C12" s="307" t="s">
        <v>74</v>
      </c>
      <c r="D12" s="114"/>
      <c r="E12" s="307" t="s">
        <v>75</v>
      </c>
      <c r="F12" s="91" t="s">
        <v>76</v>
      </c>
      <c r="G12" s="237" t="str">
        <f>HYPERLINK("https://detail.tmall.com/item.htm?id=537788310214&amp;skuId=3211551042490","A")</f>
        <v>A</v>
      </c>
      <c r="H12" s="93"/>
      <c r="I12" s="95">
        <v>182</v>
      </c>
      <c r="J12" s="228">
        <f t="shared" si="1"/>
        <v>0.625</v>
      </c>
      <c r="K12" s="228">
        <v>10</v>
      </c>
      <c r="L12" s="228">
        <f t="shared" si="21"/>
        <v>0.283495</v>
      </c>
      <c r="M12" s="202">
        <v>0</v>
      </c>
      <c r="N12" s="202">
        <v>0</v>
      </c>
      <c r="O12" s="230">
        <f t="shared" si="2"/>
        <v>182</v>
      </c>
      <c r="P12" s="231">
        <f t="shared" si="3"/>
        <v>34580</v>
      </c>
      <c r="Q12" s="232">
        <f>ROUNDUP(HLOOKUP(IF(CEILING(L12,0.5)&lt;1,1,CEILING(L12,0.5)),'배송비 조회'!A$32:AY$36,2,0),-2)</f>
        <v>8000</v>
      </c>
      <c r="R12" s="232">
        <v>0</v>
      </c>
      <c r="S12" s="231">
        <f t="shared" si="4"/>
        <v>25500</v>
      </c>
      <c r="T12" s="231">
        <f t="shared" si="5"/>
        <v>29800</v>
      </c>
      <c r="U12" s="233">
        <f t="shared" si="6"/>
        <v>68100</v>
      </c>
      <c r="V12" s="233">
        <f t="shared" si="7"/>
        <v>72400</v>
      </c>
      <c r="W12" s="234">
        <v>0</v>
      </c>
      <c r="X12" s="234">
        <f t="shared" si="8"/>
        <v>2587.7999999999997</v>
      </c>
      <c r="Y12" s="234">
        <f t="shared" si="9"/>
        <v>1362</v>
      </c>
      <c r="Z12" s="234">
        <f t="shared" si="10"/>
        <v>7240</v>
      </c>
      <c r="AA12" s="234">
        <f t="shared" si="11"/>
        <v>64150.2</v>
      </c>
      <c r="AB12" s="234">
        <f t="shared" si="12"/>
        <v>65160</v>
      </c>
      <c r="AC12" s="234">
        <f t="shared" si="13"/>
        <v>641.50199999999995</v>
      </c>
      <c r="AD12" s="101">
        <f t="shared" si="14"/>
        <v>20928.697999999997</v>
      </c>
      <c r="AE12" s="101">
        <f t="shared" si="15"/>
        <v>21938.498</v>
      </c>
      <c r="AF12" s="235">
        <f t="shared" ref="AF12:AG12" si="25">AD12/U12</f>
        <v>0.30732302496328923</v>
      </c>
      <c r="AG12" s="235">
        <f t="shared" si="25"/>
        <v>0.30301792817679557</v>
      </c>
      <c r="AH12" s="103"/>
      <c r="AI12" s="104"/>
      <c r="AJ12" s="17"/>
      <c r="AK12" s="17"/>
      <c r="AL12" s="17"/>
      <c r="AM12" s="17"/>
      <c r="AN12" s="17"/>
      <c r="AO12" s="17"/>
      <c r="AP12" s="17"/>
      <c r="AQ12" s="17"/>
      <c r="AR12" s="17"/>
      <c r="AS12" s="17"/>
      <c r="AT12" s="17"/>
      <c r="AU12" s="17"/>
    </row>
    <row r="13" spans="1:47" ht="13.2">
      <c r="A13" s="302"/>
      <c r="B13" s="302"/>
      <c r="C13" s="302"/>
      <c r="D13" s="114"/>
      <c r="E13" s="302"/>
      <c r="F13" s="91" t="s">
        <v>80</v>
      </c>
      <c r="G13" s="237" t="str">
        <f>HYPERLINK("https://detail.tmall.com/item.htm?id=537788310214&amp;skuId=3453072827393","A")</f>
        <v>A</v>
      </c>
      <c r="H13" s="93"/>
      <c r="I13" s="95">
        <v>182</v>
      </c>
      <c r="J13" s="228">
        <f t="shared" si="1"/>
        <v>0.625</v>
      </c>
      <c r="K13" s="228">
        <v>10</v>
      </c>
      <c r="L13" s="228">
        <f t="shared" si="21"/>
        <v>0.283495</v>
      </c>
      <c r="M13" s="202">
        <v>0</v>
      </c>
      <c r="N13" s="202">
        <v>0</v>
      </c>
      <c r="O13" s="230">
        <f t="shared" si="2"/>
        <v>182</v>
      </c>
      <c r="P13" s="231">
        <f t="shared" si="3"/>
        <v>34580</v>
      </c>
      <c r="Q13" s="232">
        <f>ROUNDUP(HLOOKUP(IF(CEILING(L13,0.5)&lt;1,1,CEILING(L13,0.5)),'배송비 조회'!A$32:AY$36,2,0),-2)</f>
        <v>8000</v>
      </c>
      <c r="R13" s="232">
        <v>0</v>
      </c>
      <c r="S13" s="231">
        <f t="shared" si="4"/>
        <v>25500</v>
      </c>
      <c r="T13" s="231">
        <f t="shared" si="5"/>
        <v>29800</v>
      </c>
      <c r="U13" s="233">
        <f t="shared" si="6"/>
        <v>68100</v>
      </c>
      <c r="V13" s="233">
        <f t="shared" si="7"/>
        <v>72400</v>
      </c>
      <c r="W13" s="234">
        <v>0</v>
      </c>
      <c r="X13" s="234">
        <f t="shared" si="8"/>
        <v>2587.7999999999997</v>
      </c>
      <c r="Y13" s="234">
        <f t="shared" si="9"/>
        <v>1362</v>
      </c>
      <c r="Z13" s="234">
        <f t="shared" si="10"/>
        <v>7240</v>
      </c>
      <c r="AA13" s="234">
        <f t="shared" si="11"/>
        <v>64150.2</v>
      </c>
      <c r="AB13" s="234">
        <f t="shared" si="12"/>
        <v>65160</v>
      </c>
      <c r="AC13" s="234">
        <f t="shared" si="13"/>
        <v>641.50199999999995</v>
      </c>
      <c r="AD13" s="101">
        <f t="shared" si="14"/>
        <v>20928.697999999997</v>
      </c>
      <c r="AE13" s="101">
        <f t="shared" si="15"/>
        <v>21938.498</v>
      </c>
      <c r="AF13" s="235">
        <f t="shared" ref="AF13:AG13" si="26">AD13/U13</f>
        <v>0.30732302496328923</v>
      </c>
      <c r="AG13" s="235">
        <f t="shared" si="26"/>
        <v>0.30301792817679557</v>
      </c>
      <c r="AH13" s="103"/>
      <c r="AI13" s="104"/>
      <c r="AJ13" s="17"/>
      <c r="AK13" s="17"/>
      <c r="AL13" s="17"/>
      <c r="AM13" s="17"/>
      <c r="AN13" s="17"/>
      <c r="AO13" s="17"/>
      <c r="AP13" s="17"/>
      <c r="AQ13" s="17"/>
      <c r="AR13" s="17"/>
      <c r="AS13" s="17"/>
      <c r="AT13" s="17"/>
      <c r="AU13" s="17"/>
    </row>
    <row r="14" spans="1:47" ht="13.2">
      <c r="A14" s="301" t="str">
        <f>HYPERLINK("https://smartstore.naver.com/brickstore2019/products/4712436630","4712436630")</f>
        <v>4712436630</v>
      </c>
      <c r="B14" s="361"/>
      <c r="C14" s="307" t="s">
        <v>81</v>
      </c>
      <c r="D14" s="114"/>
      <c r="E14" s="307" t="s">
        <v>82</v>
      </c>
      <c r="F14" s="91" t="s">
        <v>84</v>
      </c>
      <c r="G14" s="237" t="str">
        <f>HYPERLINK("https://detail.tmall.com/item.htm?id=565331207708&amp;skuId=3743026958191","A")</f>
        <v>A</v>
      </c>
      <c r="H14" s="93"/>
      <c r="I14" s="95">
        <v>264</v>
      </c>
      <c r="J14" s="228">
        <f t="shared" si="1"/>
        <v>0.625</v>
      </c>
      <c r="K14" s="228">
        <v>10</v>
      </c>
      <c r="L14" s="228">
        <f t="shared" si="21"/>
        <v>0.283495</v>
      </c>
      <c r="M14" s="95">
        <v>0</v>
      </c>
      <c r="N14" s="95">
        <v>0</v>
      </c>
      <c r="O14" s="230">
        <f t="shared" si="2"/>
        <v>264</v>
      </c>
      <c r="P14" s="231">
        <f t="shared" si="3"/>
        <v>50160</v>
      </c>
      <c r="Q14" s="232">
        <f>ROUNDUP(HLOOKUP(IF(CEILING(L14,0.5)&lt;1,1,CEILING(L14,0.5)),'배송비 조회'!A$32:AY$36,2,0),-2)</f>
        <v>8000</v>
      </c>
      <c r="R14" s="232">
        <v>0</v>
      </c>
      <c r="S14" s="231">
        <f t="shared" si="4"/>
        <v>34900</v>
      </c>
      <c r="T14" s="231">
        <f t="shared" si="5"/>
        <v>40700</v>
      </c>
      <c r="U14" s="233">
        <f t="shared" si="6"/>
        <v>93100</v>
      </c>
      <c r="V14" s="233">
        <f t="shared" si="7"/>
        <v>98900</v>
      </c>
      <c r="W14" s="234">
        <v>0</v>
      </c>
      <c r="X14" s="234">
        <f t="shared" si="8"/>
        <v>3537.7999999999997</v>
      </c>
      <c r="Y14" s="234">
        <f t="shared" si="9"/>
        <v>1862</v>
      </c>
      <c r="Z14" s="234">
        <f t="shared" si="10"/>
        <v>9890</v>
      </c>
      <c r="AA14" s="234">
        <f t="shared" si="11"/>
        <v>87700.2</v>
      </c>
      <c r="AB14" s="234">
        <f t="shared" si="12"/>
        <v>89010</v>
      </c>
      <c r="AC14" s="234">
        <f t="shared" si="13"/>
        <v>877.00199999999995</v>
      </c>
      <c r="AD14" s="101">
        <f t="shared" si="14"/>
        <v>28663.197999999997</v>
      </c>
      <c r="AE14" s="101">
        <f t="shared" si="15"/>
        <v>29972.998</v>
      </c>
      <c r="AF14" s="235">
        <f t="shared" ref="AF14:AG14" si="27">AD14/U14</f>
        <v>0.30787538131041886</v>
      </c>
      <c r="AG14" s="235">
        <f t="shared" si="27"/>
        <v>0.30306368048533872</v>
      </c>
      <c r="AH14" s="103"/>
      <c r="AI14" s="104"/>
      <c r="AJ14" s="17"/>
      <c r="AK14" s="17"/>
      <c r="AL14" s="17"/>
      <c r="AM14" s="17"/>
      <c r="AN14" s="17"/>
      <c r="AO14" s="17"/>
      <c r="AP14" s="17"/>
      <c r="AQ14" s="17"/>
      <c r="AR14" s="17"/>
      <c r="AS14" s="17"/>
      <c r="AT14" s="17"/>
      <c r="AU14" s="17"/>
    </row>
    <row r="15" spans="1:47" ht="13.2">
      <c r="A15" s="302"/>
      <c r="B15" s="302"/>
      <c r="C15" s="302"/>
      <c r="D15" s="114"/>
      <c r="E15" s="302"/>
      <c r="F15" s="91" t="s">
        <v>88</v>
      </c>
      <c r="G15" s="237" t="str">
        <f>HYPERLINK("https://detail.tmall.com/item.htm?id=565331207708&amp;skuId=3743026958190","A")</f>
        <v>A</v>
      </c>
      <c r="H15" s="93"/>
      <c r="I15" s="95">
        <v>306</v>
      </c>
      <c r="J15" s="228">
        <f t="shared" si="1"/>
        <v>0.625</v>
      </c>
      <c r="K15" s="228">
        <v>10</v>
      </c>
      <c r="L15" s="228">
        <f t="shared" si="21"/>
        <v>0.283495</v>
      </c>
      <c r="M15" s="95">
        <v>0</v>
      </c>
      <c r="N15" s="95">
        <v>0</v>
      </c>
      <c r="O15" s="230">
        <f t="shared" si="2"/>
        <v>306</v>
      </c>
      <c r="P15" s="231">
        <f t="shared" si="3"/>
        <v>58140</v>
      </c>
      <c r="Q15" s="232">
        <f>ROUNDUP(HLOOKUP(IF(CEILING(L15,0.5)&lt;1,1,CEILING(L15,0.5)),'배송비 조회'!A$32:AY$36,2,0),-2)</f>
        <v>8000</v>
      </c>
      <c r="R15" s="232">
        <v>0</v>
      </c>
      <c r="S15" s="231">
        <f t="shared" si="4"/>
        <v>39700</v>
      </c>
      <c r="T15" s="231">
        <f t="shared" si="5"/>
        <v>46300</v>
      </c>
      <c r="U15" s="233">
        <f t="shared" si="6"/>
        <v>105800</v>
      </c>
      <c r="V15" s="233">
        <f t="shared" si="7"/>
        <v>112400</v>
      </c>
      <c r="W15" s="234">
        <v>0</v>
      </c>
      <c r="X15" s="234">
        <f t="shared" si="8"/>
        <v>4020.4</v>
      </c>
      <c r="Y15" s="234">
        <f t="shared" si="9"/>
        <v>2116</v>
      </c>
      <c r="Z15" s="234">
        <f t="shared" si="10"/>
        <v>11240</v>
      </c>
      <c r="AA15" s="234">
        <f t="shared" si="11"/>
        <v>99663.6</v>
      </c>
      <c r="AB15" s="234">
        <f t="shared" si="12"/>
        <v>101160</v>
      </c>
      <c r="AC15" s="234">
        <f t="shared" si="13"/>
        <v>996.63600000000008</v>
      </c>
      <c r="AD15" s="101">
        <f t="shared" si="14"/>
        <v>32526.964000000007</v>
      </c>
      <c r="AE15" s="101">
        <f t="shared" si="15"/>
        <v>34023.364000000001</v>
      </c>
      <c r="AF15" s="235">
        <f t="shared" ref="AF15:AG15" si="28">AD15/U15</f>
        <v>0.30743822306238194</v>
      </c>
      <c r="AG15" s="235">
        <f t="shared" si="28"/>
        <v>0.30269896797153029</v>
      </c>
      <c r="AH15" s="103">
        <f>V15-V14</f>
        <v>13500</v>
      </c>
      <c r="AI15" s="104"/>
      <c r="AJ15" s="17"/>
      <c r="AK15" s="17"/>
      <c r="AL15" s="17"/>
      <c r="AM15" s="17"/>
      <c r="AN15" s="17"/>
      <c r="AO15" s="17"/>
      <c r="AP15" s="17"/>
      <c r="AQ15" s="17"/>
      <c r="AR15" s="17"/>
      <c r="AS15" s="17"/>
      <c r="AT15" s="17"/>
      <c r="AU15" s="17"/>
    </row>
    <row r="16" spans="1:47" ht="13.2">
      <c r="A16" s="301" t="str">
        <f>HYPERLINK("https://smartstore.naver.com/brickstore2019/products/4713627867","4713627867")</f>
        <v>4713627867</v>
      </c>
      <c r="B16" s="361"/>
      <c r="C16" s="307" t="s">
        <v>89</v>
      </c>
      <c r="D16" s="114"/>
      <c r="E16" s="307" t="s">
        <v>90</v>
      </c>
      <c r="F16" s="91" t="s">
        <v>91</v>
      </c>
      <c r="G16" s="237" t="str">
        <f>HYPERLINK("https://detail.tmall.com/item.htm?id=586144682529&amp;skuId=4143899078066","A")</f>
        <v>A</v>
      </c>
      <c r="H16" s="93"/>
      <c r="I16" s="95">
        <v>99</v>
      </c>
      <c r="J16" s="228">
        <f t="shared" si="1"/>
        <v>0.9375</v>
      </c>
      <c r="K16" s="228">
        <v>15</v>
      </c>
      <c r="L16" s="228">
        <f t="shared" si="21"/>
        <v>0.42524249999999997</v>
      </c>
      <c r="M16" s="95">
        <v>0</v>
      </c>
      <c r="N16" s="95">
        <v>0</v>
      </c>
      <c r="O16" s="230">
        <f t="shared" si="2"/>
        <v>99</v>
      </c>
      <c r="P16" s="231">
        <f t="shared" si="3"/>
        <v>18810</v>
      </c>
      <c r="Q16" s="232">
        <f>ROUNDUP(HLOOKUP(IF(CEILING(L16,0.5)&lt;1,1,CEILING(L16,0.5)),'배송비 조회'!A$32:AY$36,2,0),-2)</f>
        <v>8000</v>
      </c>
      <c r="R16" s="232">
        <v>0</v>
      </c>
      <c r="S16" s="231">
        <f t="shared" si="4"/>
        <v>16100</v>
      </c>
      <c r="T16" s="231">
        <f t="shared" si="5"/>
        <v>18800</v>
      </c>
      <c r="U16" s="233">
        <f t="shared" si="6"/>
        <v>42900</v>
      </c>
      <c r="V16" s="233">
        <f t="shared" si="7"/>
        <v>45600</v>
      </c>
      <c r="W16" s="234">
        <v>0</v>
      </c>
      <c r="X16" s="234">
        <f t="shared" si="8"/>
        <v>1630.2</v>
      </c>
      <c r="Y16" s="234">
        <f t="shared" si="9"/>
        <v>858</v>
      </c>
      <c r="Z16" s="234">
        <f t="shared" si="10"/>
        <v>4560</v>
      </c>
      <c r="AA16" s="234">
        <f t="shared" si="11"/>
        <v>40411.800000000003</v>
      </c>
      <c r="AB16" s="234">
        <f t="shared" si="12"/>
        <v>41040</v>
      </c>
      <c r="AC16" s="234">
        <f t="shared" si="13"/>
        <v>404.11800000000005</v>
      </c>
      <c r="AD16" s="101">
        <f t="shared" si="14"/>
        <v>13197.682000000004</v>
      </c>
      <c r="AE16" s="101">
        <f t="shared" si="15"/>
        <v>13825.882</v>
      </c>
      <c r="AF16" s="235">
        <f t="shared" ref="AF16:AG16" si="29">AD16/U16</f>
        <v>0.30763827505827518</v>
      </c>
      <c r="AG16" s="235">
        <f t="shared" si="29"/>
        <v>0.30319916666666663</v>
      </c>
      <c r="AH16" s="103">
        <f>V16-V20</f>
        <v>13000</v>
      </c>
      <c r="AI16" s="104"/>
      <c r="AJ16" s="17"/>
      <c r="AK16" s="17"/>
      <c r="AL16" s="17"/>
      <c r="AM16" s="17"/>
      <c r="AN16" s="17"/>
      <c r="AO16" s="17"/>
      <c r="AP16" s="17"/>
      <c r="AQ16" s="17"/>
      <c r="AR16" s="17"/>
      <c r="AS16" s="17"/>
      <c r="AT16" s="17"/>
      <c r="AU16" s="17"/>
    </row>
    <row r="17" spans="1:47" ht="13.2">
      <c r="A17" s="302"/>
      <c r="B17" s="302"/>
      <c r="C17" s="302"/>
      <c r="D17" s="114"/>
      <c r="E17" s="302"/>
      <c r="F17" s="91" t="s">
        <v>94</v>
      </c>
      <c r="G17" s="237" t="str">
        <f>HYPERLINK("https://detail.tmall.com/item.htm?id=586144682529&amp;skuId=4143899078067","A")</f>
        <v>A</v>
      </c>
      <c r="H17" s="93"/>
      <c r="I17" s="95">
        <v>99</v>
      </c>
      <c r="J17" s="228">
        <f t="shared" si="1"/>
        <v>0.9375</v>
      </c>
      <c r="K17" s="228">
        <v>15</v>
      </c>
      <c r="L17" s="228">
        <f t="shared" si="21"/>
        <v>0.42524249999999997</v>
      </c>
      <c r="M17" s="95">
        <v>0</v>
      </c>
      <c r="N17" s="95">
        <v>0</v>
      </c>
      <c r="O17" s="230">
        <f t="shared" si="2"/>
        <v>99</v>
      </c>
      <c r="P17" s="231">
        <f t="shared" si="3"/>
        <v>18810</v>
      </c>
      <c r="Q17" s="232">
        <f>ROUNDUP(HLOOKUP(IF(CEILING(L17,0.5)&lt;1,1,CEILING(L17,0.5)),'배송비 조회'!A$32:AY$36,2,0),-2)</f>
        <v>8000</v>
      </c>
      <c r="R17" s="232">
        <v>0</v>
      </c>
      <c r="S17" s="231">
        <f t="shared" si="4"/>
        <v>16100</v>
      </c>
      <c r="T17" s="231">
        <f t="shared" si="5"/>
        <v>18800</v>
      </c>
      <c r="U17" s="233">
        <f t="shared" si="6"/>
        <v>42900</v>
      </c>
      <c r="V17" s="233">
        <f t="shared" si="7"/>
        <v>45600</v>
      </c>
      <c r="W17" s="234">
        <v>0</v>
      </c>
      <c r="X17" s="234">
        <f t="shared" si="8"/>
        <v>1630.2</v>
      </c>
      <c r="Y17" s="234">
        <f t="shared" si="9"/>
        <v>858</v>
      </c>
      <c r="Z17" s="234">
        <f t="shared" si="10"/>
        <v>4560</v>
      </c>
      <c r="AA17" s="234">
        <f t="shared" si="11"/>
        <v>40411.800000000003</v>
      </c>
      <c r="AB17" s="234">
        <f t="shared" si="12"/>
        <v>41040</v>
      </c>
      <c r="AC17" s="234">
        <f t="shared" si="13"/>
        <v>404.11800000000005</v>
      </c>
      <c r="AD17" s="101">
        <f t="shared" si="14"/>
        <v>13197.682000000004</v>
      </c>
      <c r="AE17" s="101">
        <f t="shared" si="15"/>
        <v>13825.882</v>
      </c>
      <c r="AF17" s="235">
        <f t="shared" ref="AF17:AG17" si="30">AD17/U17</f>
        <v>0.30763827505827518</v>
      </c>
      <c r="AG17" s="235">
        <f t="shared" si="30"/>
        <v>0.30319916666666663</v>
      </c>
      <c r="AH17" s="103"/>
      <c r="AI17" s="104"/>
      <c r="AJ17" s="17"/>
      <c r="AK17" s="17"/>
      <c r="AL17" s="17"/>
      <c r="AM17" s="17"/>
      <c r="AN17" s="17"/>
      <c r="AO17" s="17"/>
      <c r="AP17" s="17"/>
      <c r="AQ17" s="17"/>
      <c r="AR17" s="17"/>
      <c r="AS17" s="17"/>
      <c r="AT17" s="17"/>
      <c r="AU17" s="17"/>
    </row>
    <row r="18" spans="1:47" ht="13.2">
      <c r="A18" s="302"/>
      <c r="B18" s="302"/>
      <c r="C18" s="302"/>
      <c r="D18" s="114"/>
      <c r="E18" s="302"/>
      <c r="F18" s="91" t="s">
        <v>97</v>
      </c>
      <c r="G18" s="237" t="str">
        <f>HYPERLINK("https://detail.tmall.com/item.htm?id=586144682529&amp;skuId=4324921419501","A")</f>
        <v>A</v>
      </c>
      <c r="H18" s="93"/>
      <c r="I18" s="95">
        <v>149</v>
      </c>
      <c r="J18" s="228">
        <f t="shared" si="1"/>
        <v>0.9375</v>
      </c>
      <c r="K18" s="228">
        <v>15</v>
      </c>
      <c r="L18" s="228">
        <f t="shared" si="21"/>
        <v>0.42524249999999997</v>
      </c>
      <c r="M18" s="95">
        <v>0</v>
      </c>
      <c r="N18" s="95">
        <v>0</v>
      </c>
      <c r="O18" s="230">
        <f t="shared" si="2"/>
        <v>149</v>
      </c>
      <c r="P18" s="231">
        <f t="shared" si="3"/>
        <v>28310</v>
      </c>
      <c r="Q18" s="232">
        <f>ROUNDUP(HLOOKUP(IF(CEILING(L18,0.5)&lt;1,1,CEILING(L18,0.5)),'배송비 조회'!A$32:AY$36,2,0),-2)</f>
        <v>8000</v>
      </c>
      <c r="R18" s="232">
        <v>0</v>
      </c>
      <c r="S18" s="231">
        <f t="shared" si="4"/>
        <v>21800</v>
      </c>
      <c r="T18" s="231">
        <f t="shared" si="5"/>
        <v>25400</v>
      </c>
      <c r="U18" s="233">
        <f t="shared" si="6"/>
        <v>58100</v>
      </c>
      <c r="V18" s="233">
        <f t="shared" si="7"/>
        <v>61700</v>
      </c>
      <c r="W18" s="234">
        <v>0</v>
      </c>
      <c r="X18" s="234">
        <f t="shared" si="8"/>
        <v>2207.7999999999997</v>
      </c>
      <c r="Y18" s="234">
        <f t="shared" si="9"/>
        <v>1162</v>
      </c>
      <c r="Z18" s="234">
        <f t="shared" si="10"/>
        <v>6170</v>
      </c>
      <c r="AA18" s="234">
        <f t="shared" si="11"/>
        <v>54730.2</v>
      </c>
      <c r="AB18" s="234">
        <f t="shared" si="12"/>
        <v>55530</v>
      </c>
      <c r="AC18" s="234">
        <f t="shared" si="13"/>
        <v>547.30200000000002</v>
      </c>
      <c r="AD18" s="101">
        <f t="shared" si="14"/>
        <v>17872.897999999997</v>
      </c>
      <c r="AE18" s="101">
        <f t="shared" si="15"/>
        <v>18672.698</v>
      </c>
      <c r="AF18" s="235">
        <f t="shared" ref="AF18:AG18" si="31">AD18/U18</f>
        <v>0.30762302925989671</v>
      </c>
      <c r="AG18" s="235">
        <f t="shared" si="31"/>
        <v>0.30263692058346842</v>
      </c>
      <c r="AH18" s="103">
        <f>V18-V17</f>
        <v>16100</v>
      </c>
      <c r="AI18" s="104"/>
      <c r="AJ18" s="17"/>
      <c r="AK18" s="17"/>
      <c r="AL18" s="17"/>
      <c r="AM18" s="17"/>
      <c r="AN18" s="17"/>
      <c r="AO18" s="17"/>
      <c r="AP18" s="17"/>
      <c r="AQ18" s="17"/>
      <c r="AR18" s="17"/>
      <c r="AS18" s="17"/>
      <c r="AT18" s="17"/>
      <c r="AU18" s="17"/>
    </row>
    <row r="19" spans="1:47" ht="13.2">
      <c r="A19" s="302"/>
      <c r="B19" s="302"/>
      <c r="C19" s="302"/>
      <c r="D19" s="114"/>
      <c r="E19" s="302"/>
      <c r="F19" s="91" t="s">
        <v>99</v>
      </c>
      <c r="G19" s="237" t="str">
        <f>HYPERLINK("https://detail.tmall.com/item.htm?id=586144682529&amp;skuId=4324921419500","A")</f>
        <v>A</v>
      </c>
      <c r="H19" s="93"/>
      <c r="I19" s="95">
        <v>149</v>
      </c>
      <c r="J19" s="228">
        <f t="shared" si="1"/>
        <v>0.9375</v>
      </c>
      <c r="K19" s="228">
        <v>15</v>
      </c>
      <c r="L19" s="228">
        <f t="shared" si="21"/>
        <v>0.42524249999999997</v>
      </c>
      <c r="M19" s="95">
        <v>0</v>
      </c>
      <c r="N19" s="95">
        <v>0</v>
      </c>
      <c r="O19" s="230">
        <f t="shared" si="2"/>
        <v>149</v>
      </c>
      <c r="P19" s="231">
        <f t="shared" si="3"/>
        <v>28310</v>
      </c>
      <c r="Q19" s="232">
        <f>ROUNDUP(HLOOKUP(IF(CEILING(L19,0.5)&lt;1,1,CEILING(L19,0.5)),'배송비 조회'!A$32:AY$36,2,0),-2)</f>
        <v>8000</v>
      </c>
      <c r="R19" s="232">
        <v>0</v>
      </c>
      <c r="S19" s="231">
        <f t="shared" si="4"/>
        <v>21800</v>
      </c>
      <c r="T19" s="231">
        <f t="shared" si="5"/>
        <v>25400</v>
      </c>
      <c r="U19" s="233">
        <f t="shared" si="6"/>
        <v>58100</v>
      </c>
      <c r="V19" s="233">
        <f t="shared" si="7"/>
        <v>61700</v>
      </c>
      <c r="W19" s="234">
        <v>0</v>
      </c>
      <c r="X19" s="234">
        <f t="shared" si="8"/>
        <v>2207.7999999999997</v>
      </c>
      <c r="Y19" s="234">
        <f t="shared" si="9"/>
        <v>1162</v>
      </c>
      <c r="Z19" s="234">
        <f t="shared" si="10"/>
        <v>6170</v>
      </c>
      <c r="AA19" s="234">
        <f t="shared" si="11"/>
        <v>54730.2</v>
      </c>
      <c r="AB19" s="234">
        <f t="shared" si="12"/>
        <v>55530</v>
      </c>
      <c r="AC19" s="234">
        <f t="shared" si="13"/>
        <v>547.30200000000002</v>
      </c>
      <c r="AD19" s="101">
        <f t="shared" si="14"/>
        <v>17872.897999999997</v>
      </c>
      <c r="AE19" s="101">
        <f t="shared" si="15"/>
        <v>18672.698</v>
      </c>
      <c r="AF19" s="235">
        <f t="shared" ref="AF19:AG19" si="32">AD19/U19</f>
        <v>0.30762302925989671</v>
      </c>
      <c r="AG19" s="235">
        <f t="shared" si="32"/>
        <v>0.30263692058346842</v>
      </c>
      <c r="AH19" s="103"/>
      <c r="AI19" s="104"/>
      <c r="AJ19" s="17"/>
      <c r="AK19" s="17"/>
      <c r="AL19" s="17"/>
      <c r="AM19" s="17"/>
      <c r="AN19" s="17"/>
      <c r="AO19" s="17"/>
      <c r="AP19" s="17"/>
      <c r="AQ19" s="17"/>
      <c r="AR19" s="17"/>
      <c r="AS19" s="17"/>
      <c r="AT19" s="17"/>
      <c r="AU19" s="17"/>
    </row>
    <row r="20" spans="1:47" ht="13.2">
      <c r="A20" s="302"/>
      <c r="B20" s="302"/>
      <c r="C20" s="302"/>
      <c r="D20" s="114"/>
      <c r="E20" s="302"/>
      <c r="F20" s="91" t="s">
        <v>100</v>
      </c>
      <c r="G20" s="237" t="str">
        <f>HYPERLINK("https://detail.tmall.com/item.htm?id=586144682529&amp;skuId=4194559228194","A")</f>
        <v>A</v>
      </c>
      <c r="H20" s="93"/>
      <c r="I20" s="95">
        <v>59</v>
      </c>
      <c r="J20" s="228">
        <f t="shared" si="1"/>
        <v>0.9375</v>
      </c>
      <c r="K20" s="228">
        <v>15</v>
      </c>
      <c r="L20" s="228">
        <f t="shared" si="21"/>
        <v>0.42524249999999997</v>
      </c>
      <c r="M20" s="95">
        <v>0</v>
      </c>
      <c r="N20" s="95">
        <v>0</v>
      </c>
      <c r="O20" s="230">
        <f t="shared" si="2"/>
        <v>59</v>
      </c>
      <c r="P20" s="231">
        <f t="shared" si="3"/>
        <v>11210</v>
      </c>
      <c r="Q20" s="232">
        <f>ROUNDUP(HLOOKUP(IF(CEILING(L20,0.5)&lt;1,1,CEILING(L20,0.5)),'배송비 조회'!A$32:AY$36,2,0),-2)</f>
        <v>8000</v>
      </c>
      <c r="R20" s="232">
        <v>0</v>
      </c>
      <c r="S20" s="231">
        <f t="shared" si="4"/>
        <v>11500</v>
      </c>
      <c r="T20" s="231">
        <f t="shared" si="5"/>
        <v>13400</v>
      </c>
      <c r="U20" s="233">
        <f t="shared" si="6"/>
        <v>30700</v>
      </c>
      <c r="V20" s="233">
        <f t="shared" si="7"/>
        <v>32600</v>
      </c>
      <c r="W20" s="234">
        <v>0</v>
      </c>
      <c r="X20" s="234">
        <f t="shared" si="8"/>
        <v>1166.5999999999999</v>
      </c>
      <c r="Y20" s="234">
        <f t="shared" si="9"/>
        <v>614</v>
      </c>
      <c r="Z20" s="234">
        <f t="shared" si="10"/>
        <v>3260</v>
      </c>
      <c r="AA20" s="234">
        <f t="shared" si="11"/>
        <v>28919.4</v>
      </c>
      <c r="AB20" s="234">
        <f t="shared" si="12"/>
        <v>29340</v>
      </c>
      <c r="AC20" s="234">
        <f t="shared" si="13"/>
        <v>289.19400000000002</v>
      </c>
      <c r="AD20" s="101">
        <f t="shared" si="14"/>
        <v>9420.2060000000019</v>
      </c>
      <c r="AE20" s="101">
        <f t="shared" si="15"/>
        <v>9840.8060000000005</v>
      </c>
      <c r="AF20" s="235">
        <f t="shared" ref="AF20:AG20" si="33">AD20/U20</f>
        <v>0.30684710097719875</v>
      </c>
      <c r="AG20" s="235">
        <f t="shared" si="33"/>
        <v>0.30186521472392641</v>
      </c>
      <c r="AH20" s="103">
        <f>V17-V20</f>
        <v>13000</v>
      </c>
      <c r="AI20" s="104"/>
      <c r="AJ20" s="17"/>
      <c r="AK20" s="17"/>
      <c r="AL20" s="17"/>
      <c r="AM20" s="17"/>
      <c r="AN20" s="17"/>
      <c r="AO20" s="17"/>
      <c r="AP20" s="17"/>
      <c r="AQ20" s="17"/>
      <c r="AR20" s="17"/>
      <c r="AS20" s="17"/>
      <c r="AT20" s="17"/>
      <c r="AU20" s="17"/>
    </row>
    <row r="21" spans="1:47" ht="13.2">
      <c r="A21" s="302"/>
      <c r="B21" s="302"/>
      <c r="C21" s="302"/>
      <c r="D21" s="114"/>
      <c r="E21" s="302"/>
      <c r="F21" s="91" t="s">
        <v>107</v>
      </c>
      <c r="G21" s="237" t="str">
        <f>HYPERLINK("https://detail.tmall.com/item.htm?id=586144682529&amp;skuId=4194559228193","A")</f>
        <v>A</v>
      </c>
      <c r="H21" s="93"/>
      <c r="I21" s="95">
        <v>59</v>
      </c>
      <c r="J21" s="228">
        <f t="shared" si="1"/>
        <v>0.9375</v>
      </c>
      <c r="K21" s="228">
        <v>15</v>
      </c>
      <c r="L21" s="228">
        <f t="shared" si="21"/>
        <v>0.42524249999999997</v>
      </c>
      <c r="M21" s="95">
        <v>0</v>
      </c>
      <c r="N21" s="95">
        <v>0</v>
      </c>
      <c r="O21" s="230">
        <f t="shared" si="2"/>
        <v>59</v>
      </c>
      <c r="P21" s="231">
        <f t="shared" si="3"/>
        <v>11210</v>
      </c>
      <c r="Q21" s="232">
        <f>ROUNDUP(HLOOKUP(IF(CEILING(L21,0.5)&lt;1,1,CEILING(L21,0.5)),'배송비 조회'!A$32:AY$36,2,0),-2)</f>
        <v>8000</v>
      </c>
      <c r="R21" s="232">
        <v>0</v>
      </c>
      <c r="S21" s="231">
        <f t="shared" si="4"/>
        <v>11500</v>
      </c>
      <c r="T21" s="231">
        <f t="shared" si="5"/>
        <v>13400</v>
      </c>
      <c r="U21" s="233">
        <f t="shared" si="6"/>
        <v>30700</v>
      </c>
      <c r="V21" s="233">
        <f t="shared" si="7"/>
        <v>32600</v>
      </c>
      <c r="W21" s="234">
        <v>0</v>
      </c>
      <c r="X21" s="234">
        <f t="shared" si="8"/>
        <v>1166.5999999999999</v>
      </c>
      <c r="Y21" s="234">
        <f t="shared" si="9"/>
        <v>614</v>
      </c>
      <c r="Z21" s="234">
        <f t="shared" si="10"/>
        <v>3260</v>
      </c>
      <c r="AA21" s="234">
        <f t="shared" si="11"/>
        <v>28919.4</v>
      </c>
      <c r="AB21" s="234">
        <f t="shared" si="12"/>
        <v>29340</v>
      </c>
      <c r="AC21" s="234">
        <f t="shared" si="13"/>
        <v>289.19400000000002</v>
      </c>
      <c r="AD21" s="101">
        <f t="shared" si="14"/>
        <v>9420.2060000000019</v>
      </c>
      <c r="AE21" s="101">
        <f t="shared" si="15"/>
        <v>9840.8060000000005</v>
      </c>
      <c r="AF21" s="235">
        <f t="shared" ref="AF21:AG21" si="34">AD21/U21</f>
        <v>0.30684710097719875</v>
      </c>
      <c r="AG21" s="235">
        <f t="shared" si="34"/>
        <v>0.30186521472392641</v>
      </c>
      <c r="AH21" s="103"/>
      <c r="AI21" s="104"/>
      <c r="AJ21" s="17"/>
      <c r="AK21" s="17"/>
      <c r="AL21" s="17"/>
      <c r="AM21" s="17"/>
      <c r="AN21" s="17"/>
      <c r="AO21" s="17"/>
      <c r="AP21" s="17"/>
      <c r="AQ21" s="17"/>
      <c r="AR21" s="17"/>
      <c r="AS21" s="17"/>
      <c r="AT21" s="17"/>
      <c r="AU21" s="17"/>
    </row>
    <row r="22" spans="1:47" ht="13.2">
      <c r="A22" s="301" t="str">
        <f>HYPERLINK("https://smartstore.naver.com/brickstore2019/products/4713673721","4713673721")</f>
        <v>4713673721</v>
      </c>
      <c r="B22" s="361"/>
      <c r="C22" s="307" t="s">
        <v>113</v>
      </c>
      <c r="D22" s="114"/>
      <c r="E22" s="307" t="s">
        <v>114</v>
      </c>
      <c r="F22" s="91" t="s">
        <v>115</v>
      </c>
      <c r="G22" s="237" t="str">
        <f>HYPERLINK("https://detail.tmall.com/item.htm?id=604600172910&amp;skuId=4239825045151","A")</f>
        <v>A</v>
      </c>
      <c r="H22" s="93"/>
      <c r="I22" s="95">
        <v>65</v>
      </c>
      <c r="J22" s="228">
        <f t="shared" si="1"/>
        <v>0.9375</v>
      </c>
      <c r="K22" s="228">
        <v>15</v>
      </c>
      <c r="L22" s="228">
        <f t="shared" si="21"/>
        <v>0.42524249999999997</v>
      </c>
      <c r="M22" s="95">
        <v>0</v>
      </c>
      <c r="N22" s="95">
        <v>0</v>
      </c>
      <c r="O22" s="230">
        <f t="shared" si="2"/>
        <v>65</v>
      </c>
      <c r="P22" s="231">
        <f t="shared" si="3"/>
        <v>12350</v>
      </c>
      <c r="Q22" s="232">
        <f>ROUNDUP(HLOOKUP(IF(CEILING(L22,0.5)&lt;1,1,CEILING(L22,0.5)),'배송비 조회'!A$32:AY$36,2,0),-2)</f>
        <v>8000</v>
      </c>
      <c r="R22" s="232">
        <v>0</v>
      </c>
      <c r="S22" s="231">
        <f t="shared" si="4"/>
        <v>12200</v>
      </c>
      <c r="T22" s="231">
        <f t="shared" si="5"/>
        <v>14200</v>
      </c>
      <c r="U22" s="233">
        <f t="shared" si="6"/>
        <v>32600</v>
      </c>
      <c r="V22" s="233">
        <f t="shared" si="7"/>
        <v>34600</v>
      </c>
      <c r="W22" s="234">
        <v>0</v>
      </c>
      <c r="X22" s="234">
        <f t="shared" si="8"/>
        <v>1238.8</v>
      </c>
      <c r="Y22" s="234">
        <f t="shared" si="9"/>
        <v>652</v>
      </c>
      <c r="Z22" s="234">
        <f t="shared" si="10"/>
        <v>3460</v>
      </c>
      <c r="AA22" s="234">
        <f t="shared" si="11"/>
        <v>30709.200000000001</v>
      </c>
      <c r="AB22" s="234">
        <f t="shared" si="12"/>
        <v>31140</v>
      </c>
      <c r="AC22" s="234">
        <f t="shared" si="13"/>
        <v>307.09200000000004</v>
      </c>
      <c r="AD22" s="101">
        <f t="shared" si="14"/>
        <v>10052.108</v>
      </c>
      <c r="AE22" s="101">
        <f t="shared" si="15"/>
        <v>10482.907999999999</v>
      </c>
      <c r="AF22" s="235">
        <f t="shared" ref="AF22:AG22" si="35">AD22/U22</f>
        <v>0.30834687116564419</v>
      </c>
      <c r="AG22" s="235">
        <f t="shared" si="35"/>
        <v>0.30297421965317917</v>
      </c>
      <c r="AH22" s="103"/>
      <c r="AI22" s="104"/>
      <c r="AJ22" s="17"/>
      <c r="AK22" s="17"/>
      <c r="AL22" s="17"/>
      <c r="AM22" s="17"/>
      <c r="AN22" s="17"/>
      <c r="AO22" s="17"/>
      <c r="AP22" s="17"/>
      <c r="AQ22" s="17"/>
      <c r="AR22" s="17"/>
      <c r="AS22" s="17"/>
      <c r="AT22" s="17"/>
      <c r="AU22" s="17"/>
    </row>
    <row r="23" spans="1:47" ht="13.2">
      <c r="A23" s="302"/>
      <c r="B23" s="302"/>
      <c r="C23" s="302"/>
      <c r="D23" s="114"/>
      <c r="E23" s="302"/>
      <c r="F23" s="91" t="s">
        <v>119</v>
      </c>
      <c r="G23" s="237" t="str">
        <f>HYPERLINK("https://detail.tmall.com/item.htm?id=604600172910&amp;skuId=4239825045152","A")</f>
        <v>A</v>
      </c>
      <c r="H23" s="93"/>
      <c r="I23" s="95">
        <v>128</v>
      </c>
      <c r="J23" s="228">
        <f t="shared" si="1"/>
        <v>0.9375</v>
      </c>
      <c r="K23" s="228">
        <v>15</v>
      </c>
      <c r="L23" s="228">
        <f t="shared" si="21"/>
        <v>0.42524249999999997</v>
      </c>
      <c r="M23" s="95">
        <v>0</v>
      </c>
      <c r="N23" s="95">
        <v>0</v>
      </c>
      <c r="O23" s="230">
        <f t="shared" si="2"/>
        <v>128</v>
      </c>
      <c r="P23" s="231">
        <f t="shared" si="3"/>
        <v>24320</v>
      </c>
      <c r="Q23" s="232">
        <f>ROUNDUP(HLOOKUP(IF(CEILING(L23,0.5)&lt;1,1,CEILING(L23,0.5)),'배송비 조회'!A$32:AY$36,2,0),-2)</f>
        <v>8000</v>
      </c>
      <c r="R23" s="232">
        <v>0</v>
      </c>
      <c r="S23" s="231">
        <f t="shared" si="4"/>
        <v>19400</v>
      </c>
      <c r="T23" s="231">
        <f t="shared" si="5"/>
        <v>22600</v>
      </c>
      <c r="U23" s="233">
        <f t="shared" si="6"/>
        <v>51700</v>
      </c>
      <c r="V23" s="233">
        <f t="shared" si="7"/>
        <v>54900</v>
      </c>
      <c r="W23" s="234">
        <v>0</v>
      </c>
      <c r="X23" s="234">
        <f t="shared" si="8"/>
        <v>1964.6</v>
      </c>
      <c r="Y23" s="234">
        <f t="shared" si="9"/>
        <v>1034</v>
      </c>
      <c r="Z23" s="234">
        <f t="shared" si="10"/>
        <v>5490</v>
      </c>
      <c r="AA23" s="234">
        <f t="shared" si="11"/>
        <v>48701.4</v>
      </c>
      <c r="AB23" s="234">
        <f t="shared" si="12"/>
        <v>49410</v>
      </c>
      <c r="AC23" s="234">
        <f t="shared" si="13"/>
        <v>487.01400000000001</v>
      </c>
      <c r="AD23" s="101">
        <f t="shared" si="14"/>
        <v>15894.386000000002</v>
      </c>
      <c r="AE23" s="101">
        <f t="shared" si="15"/>
        <v>16602.986000000001</v>
      </c>
      <c r="AF23" s="235">
        <f t="shared" ref="AF23:AG23" si="36">AD23/U23</f>
        <v>0.30743493230174085</v>
      </c>
      <c r="AG23" s="235">
        <f t="shared" si="36"/>
        <v>0.30242233151183973</v>
      </c>
      <c r="AH23" s="103">
        <f>V23-V22</f>
        <v>20300</v>
      </c>
      <c r="AI23" s="104"/>
      <c r="AJ23" s="17"/>
      <c r="AK23" s="17"/>
      <c r="AL23" s="17"/>
      <c r="AM23" s="17"/>
      <c r="AN23" s="17"/>
      <c r="AO23" s="17"/>
      <c r="AP23" s="17"/>
      <c r="AQ23" s="17"/>
      <c r="AR23" s="17"/>
      <c r="AS23" s="17"/>
      <c r="AT23" s="17"/>
      <c r="AU23" s="17"/>
    </row>
    <row r="24" spans="1:47" ht="13.2">
      <c r="A24" s="89" t="str">
        <f>HYPERLINK("https://smartstore.naver.com/brickstore2019/products/4714963164","4714963164")</f>
        <v>4714963164</v>
      </c>
      <c r="B24" s="113"/>
      <c r="C24" s="114" t="s">
        <v>127</v>
      </c>
      <c r="D24" s="114"/>
      <c r="E24" s="114" t="s">
        <v>128</v>
      </c>
      <c r="F24" s="91" t="s">
        <v>129</v>
      </c>
      <c r="G24" s="279" t="s">
        <v>1293</v>
      </c>
      <c r="H24" s="93"/>
      <c r="I24" s="95">
        <v>40</v>
      </c>
      <c r="J24" s="228">
        <f t="shared" si="1"/>
        <v>6.25E-2</v>
      </c>
      <c r="K24" s="228">
        <v>1</v>
      </c>
      <c r="L24" s="228">
        <f t="shared" si="21"/>
        <v>2.83495E-2</v>
      </c>
      <c r="M24" s="95">
        <v>0</v>
      </c>
      <c r="N24" s="95">
        <v>0</v>
      </c>
      <c r="O24" s="230">
        <f t="shared" si="2"/>
        <v>40</v>
      </c>
      <c r="P24" s="231">
        <f t="shared" si="3"/>
        <v>7600</v>
      </c>
      <c r="Q24" s="232">
        <f>ROUNDUP(HLOOKUP(IF(CEILING(L24,0.5)&lt;1,1,CEILING(L24,0.5)),'배송비 조회'!A$32:AY$36,2,0),-2)</f>
        <v>8000</v>
      </c>
      <c r="R24" s="232">
        <v>0</v>
      </c>
      <c r="S24" s="231">
        <f t="shared" si="4"/>
        <v>9400</v>
      </c>
      <c r="T24" s="231">
        <f t="shared" si="5"/>
        <v>10900</v>
      </c>
      <c r="U24" s="233">
        <f t="shared" si="6"/>
        <v>25000</v>
      </c>
      <c r="V24" s="233">
        <f t="shared" si="7"/>
        <v>26500</v>
      </c>
      <c r="W24" s="234">
        <v>0</v>
      </c>
      <c r="X24" s="234">
        <f t="shared" si="8"/>
        <v>950</v>
      </c>
      <c r="Y24" s="234">
        <f t="shared" si="9"/>
        <v>500</v>
      </c>
      <c r="Z24" s="234">
        <f t="shared" si="10"/>
        <v>2650</v>
      </c>
      <c r="AA24" s="234">
        <f t="shared" si="11"/>
        <v>23550</v>
      </c>
      <c r="AB24" s="234">
        <f t="shared" si="12"/>
        <v>23850</v>
      </c>
      <c r="AC24" s="234">
        <f t="shared" si="13"/>
        <v>235.5</v>
      </c>
      <c r="AD24" s="101">
        <f t="shared" si="14"/>
        <v>7714.5</v>
      </c>
      <c r="AE24" s="101">
        <f t="shared" si="15"/>
        <v>8014.5</v>
      </c>
      <c r="AF24" s="235">
        <f t="shared" ref="AF24:AG24" si="37">AD24/U24</f>
        <v>0.30858000000000002</v>
      </c>
      <c r="AG24" s="235">
        <f t="shared" si="37"/>
        <v>0.30243396226415092</v>
      </c>
      <c r="AH24" s="103"/>
      <c r="AI24" s="104"/>
      <c r="AJ24" s="17"/>
      <c r="AK24" s="17"/>
      <c r="AL24" s="17"/>
      <c r="AM24" s="17"/>
      <c r="AN24" s="17"/>
      <c r="AO24" s="17"/>
      <c r="AP24" s="17"/>
      <c r="AQ24" s="17"/>
      <c r="AR24" s="17"/>
      <c r="AS24" s="17"/>
      <c r="AT24" s="17"/>
      <c r="AU24" s="17"/>
    </row>
    <row r="25" spans="1:47" ht="13.2">
      <c r="A25" s="301" t="str">
        <f>HYPERLINK("https://smartstore.naver.com/brickstore2019/products/4714999969","4714999969")</f>
        <v>4714999969</v>
      </c>
      <c r="B25" s="361"/>
      <c r="C25" s="307" t="s">
        <v>132</v>
      </c>
      <c r="D25" s="114"/>
      <c r="E25" s="307" t="s">
        <v>133</v>
      </c>
      <c r="F25" s="91" t="s">
        <v>134</v>
      </c>
      <c r="G25" s="237" t="str">
        <f>HYPERLINK("https://detail.tmall.com/item.htm?spm=a220o.1000855.0.da321h.12cb5ae8Jwt8gW&amp;id=564887410872&amp;skuId=3572166204670","A")</f>
        <v>A</v>
      </c>
      <c r="H25" s="93"/>
      <c r="I25" s="95">
        <v>100</v>
      </c>
      <c r="J25" s="228">
        <f t="shared" si="1"/>
        <v>0.9375</v>
      </c>
      <c r="K25" s="228">
        <v>15</v>
      </c>
      <c r="L25" s="228">
        <f t="shared" si="21"/>
        <v>0.42524249999999997</v>
      </c>
      <c r="M25" s="95">
        <v>0</v>
      </c>
      <c r="N25" s="95">
        <v>0</v>
      </c>
      <c r="O25" s="230">
        <f t="shared" si="2"/>
        <v>100</v>
      </c>
      <c r="P25" s="231">
        <f t="shared" si="3"/>
        <v>19000</v>
      </c>
      <c r="Q25" s="232">
        <f>ROUNDUP(HLOOKUP(IF(CEILING(L25,0.5)&lt;1,1,CEILING(L25,0.5)),'배송비 조회'!A$32:AY$36,2,0),-2)</f>
        <v>8000</v>
      </c>
      <c r="R25" s="232">
        <v>0</v>
      </c>
      <c r="S25" s="231">
        <f t="shared" si="4"/>
        <v>16200</v>
      </c>
      <c r="T25" s="231">
        <f t="shared" si="5"/>
        <v>18900</v>
      </c>
      <c r="U25" s="233">
        <f t="shared" si="6"/>
        <v>43200</v>
      </c>
      <c r="V25" s="233">
        <f t="shared" si="7"/>
        <v>45900</v>
      </c>
      <c r="W25" s="234">
        <v>0</v>
      </c>
      <c r="X25" s="234">
        <f t="shared" si="8"/>
        <v>1641.6</v>
      </c>
      <c r="Y25" s="234">
        <f t="shared" si="9"/>
        <v>864</v>
      </c>
      <c r="Z25" s="234">
        <f t="shared" si="10"/>
        <v>4590</v>
      </c>
      <c r="AA25" s="234">
        <f t="shared" si="11"/>
        <v>40694.400000000001</v>
      </c>
      <c r="AB25" s="234">
        <f t="shared" si="12"/>
        <v>41310</v>
      </c>
      <c r="AC25" s="234">
        <f t="shared" si="13"/>
        <v>406.94400000000002</v>
      </c>
      <c r="AD25" s="101">
        <f t="shared" si="14"/>
        <v>13287.456000000002</v>
      </c>
      <c r="AE25" s="101">
        <f t="shared" si="15"/>
        <v>13903.056</v>
      </c>
      <c r="AF25" s="235">
        <f t="shared" ref="AF25:AG25" si="38">AD25/U25</f>
        <v>0.30758000000000002</v>
      </c>
      <c r="AG25" s="235">
        <f t="shared" si="38"/>
        <v>0.30289882352941178</v>
      </c>
      <c r="AH25" s="103"/>
      <c r="AI25" s="104"/>
      <c r="AJ25" s="17"/>
      <c r="AK25" s="17"/>
      <c r="AL25" s="17"/>
      <c r="AM25" s="17"/>
      <c r="AN25" s="17"/>
      <c r="AO25" s="17"/>
      <c r="AP25" s="17"/>
      <c r="AQ25" s="17"/>
      <c r="AR25" s="17"/>
      <c r="AS25" s="17"/>
      <c r="AT25" s="17"/>
      <c r="AU25" s="17"/>
    </row>
    <row r="26" spans="1:47" ht="13.2">
      <c r="A26" s="302"/>
      <c r="B26" s="302"/>
      <c r="C26" s="302"/>
      <c r="D26" s="114"/>
      <c r="E26" s="302"/>
      <c r="F26" s="91" t="s">
        <v>136</v>
      </c>
      <c r="G26" s="237" t="str">
        <f>HYPERLINK("https://detail.tmall.com/item.htm?spm=a220o.1000855.0.da321h.12cb5ae8Jwt8gW&amp;id=564887410872&amp;skuId=3572166204672","A")</f>
        <v>A</v>
      </c>
      <c r="H26" s="93"/>
      <c r="I26" s="95">
        <v>100</v>
      </c>
      <c r="J26" s="228">
        <f t="shared" si="1"/>
        <v>0.9375</v>
      </c>
      <c r="K26" s="228">
        <v>15</v>
      </c>
      <c r="L26" s="228">
        <f t="shared" si="21"/>
        <v>0.42524249999999997</v>
      </c>
      <c r="M26" s="95">
        <v>0</v>
      </c>
      <c r="N26" s="95">
        <v>0</v>
      </c>
      <c r="O26" s="230">
        <f t="shared" si="2"/>
        <v>100</v>
      </c>
      <c r="P26" s="231">
        <f t="shared" si="3"/>
        <v>19000</v>
      </c>
      <c r="Q26" s="232">
        <f>ROUNDUP(HLOOKUP(IF(CEILING(L26,0.5)&lt;1,1,CEILING(L26,0.5)),'배송비 조회'!A$32:AY$36,2,0),-2)</f>
        <v>8000</v>
      </c>
      <c r="R26" s="232">
        <v>0</v>
      </c>
      <c r="S26" s="231">
        <f t="shared" si="4"/>
        <v>16200</v>
      </c>
      <c r="T26" s="231">
        <f t="shared" si="5"/>
        <v>18900</v>
      </c>
      <c r="U26" s="233">
        <f t="shared" si="6"/>
        <v>43200</v>
      </c>
      <c r="V26" s="233">
        <f t="shared" si="7"/>
        <v>45900</v>
      </c>
      <c r="W26" s="234">
        <v>0</v>
      </c>
      <c r="X26" s="234">
        <f t="shared" si="8"/>
        <v>1641.6</v>
      </c>
      <c r="Y26" s="234">
        <f t="shared" si="9"/>
        <v>864</v>
      </c>
      <c r="Z26" s="234">
        <f t="shared" si="10"/>
        <v>4590</v>
      </c>
      <c r="AA26" s="234">
        <f t="shared" si="11"/>
        <v>40694.400000000001</v>
      </c>
      <c r="AB26" s="234">
        <f t="shared" si="12"/>
        <v>41310</v>
      </c>
      <c r="AC26" s="234">
        <f t="shared" si="13"/>
        <v>406.94400000000002</v>
      </c>
      <c r="AD26" s="101">
        <f t="shared" si="14"/>
        <v>13287.456000000002</v>
      </c>
      <c r="AE26" s="101">
        <f t="shared" si="15"/>
        <v>13903.056</v>
      </c>
      <c r="AF26" s="235">
        <f t="shared" ref="AF26:AG26" si="39">AD26/U26</f>
        <v>0.30758000000000002</v>
      </c>
      <c r="AG26" s="235">
        <f t="shared" si="39"/>
        <v>0.30289882352941178</v>
      </c>
      <c r="AH26" s="103"/>
      <c r="AI26" s="104"/>
      <c r="AJ26" s="17"/>
      <c r="AK26" s="17"/>
      <c r="AL26" s="17"/>
      <c r="AM26" s="17"/>
      <c r="AN26" s="17"/>
      <c r="AO26" s="17"/>
      <c r="AP26" s="17"/>
      <c r="AQ26" s="17"/>
      <c r="AR26" s="17"/>
      <c r="AS26" s="17"/>
      <c r="AT26" s="17"/>
      <c r="AU26" s="17"/>
    </row>
    <row r="27" spans="1:47" ht="13.2">
      <c r="A27" s="301" t="str">
        <f>HYPERLINK("https://smartstore.naver.com/brickstore2019/products/4720223586","4720223586")</f>
        <v>4720223586</v>
      </c>
      <c r="B27" s="361"/>
      <c r="C27" s="362" t="s">
        <v>139</v>
      </c>
      <c r="D27" s="239"/>
      <c r="E27" s="307" t="s">
        <v>140</v>
      </c>
      <c r="F27" s="91" t="s">
        <v>64</v>
      </c>
      <c r="G27" s="237" t="str">
        <f>HYPERLINK("https://detail.tmall.com/item.htm?id=587306434683&amp;skuId=4324721123134","A")</f>
        <v>A</v>
      </c>
      <c r="H27" s="93"/>
      <c r="I27" s="95">
        <v>48</v>
      </c>
      <c r="J27" s="228">
        <f t="shared" si="1"/>
        <v>0.3125</v>
      </c>
      <c r="K27" s="228">
        <v>5</v>
      </c>
      <c r="L27" s="228">
        <f t="shared" si="21"/>
        <v>0.1417475</v>
      </c>
      <c r="M27" s="95">
        <v>0</v>
      </c>
      <c r="N27" s="95">
        <v>0</v>
      </c>
      <c r="O27" s="230">
        <f t="shared" si="2"/>
        <v>48</v>
      </c>
      <c r="P27" s="231">
        <f t="shared" si="3"/>
        <v>9120</v>
      </c>
      <c r="Q27" s="232">
        <f>ROUNDUP(HLOOKUP(IF(CEILING(L27,0.5)&lt;1,1,CEILING(L27,0.5)),'배송비 조회'!A$32:AY$36,2,0),-2)</f>
        <v>8000</v>
      </c>
      <c r="R27" s="232">
        <v>0</v>
      </c>
      <c r="S27" s="231">
        <f t="shared" si="4"/>
        <v>10300</v>
      </c>
      <c r="T27" s="231">
        <f t="shared" si="5"/>
        <v>12000</v>
      </c>
      <c r="U27" s="233">
        <f t="shared" si="6"/>
        <v>27400</v>
      </c>
      <c r="V27" s="233">
        <f t="shared" si="7"/>
        <v>29100</v>
      </c>
      <c r="W27" s="234">
        <v>0</v>
      </c>
      <c r="X27" s="234">
        <f t="shared" si="8"/>
        <v>1041.2</v>
      </c>
      <c r="Y27" s="234">
        <f t="shared" si="9"/>
        <v>548</v>
      </c>
      <c r="Z27" s="234">
        <f t="shared" si="10"/>
        <v>2910</v>
      </c>
      <c r="AA27" s="234">
        <f t="shared" si="11"/>
        <v>25810.799999999999</v>
      </c>
      <c r="AB27" s="234">
        <f t="shared" si="12"/>
        <v>26190</v>
      </c>
      <c r="AC27" s="234">
        <f t="shared" si="13"/>
        <v>258.108</v>
      </c>
      <c r="AD27" s="101">
        <f t="shared" si="14"/>
        <v>8432.6919999999991</v>
      </c>
      <c r="AE27" s="101">
        <f t="shared" si="15"/>
        <v>8811.8919999999998</v>
      </c>
      <c r="AF27" s="235">
        <f t="shared" ref="AF27:AG27" si="40">AD27/U27</f>
        <v>0.3077624817518248</v>
      </c>
      <c r="AG27" s="235">
        <f t="shared" si="40"/>
        <v>0.30281415807560136</v>
      </c>
      <c r="AH27" s="103"/>
      <c r="AI27" s="104"/>
      <c r="AJ27" s="17"/>
      <c r="AK27" s="17"/>
      <c r="AL27" s="17"/>
      <c r="AM27" s="17"/>
      <c r="AN27" s="17"/>
      <c r="AO27" s="17"/>
      <c r="AP27" s="17"/>
      <c r="AQ27" s="17"/>
      <c r="AR27" s="17"/>
      <c r="AS27" s="17"/>
      <c r="AT27" s="17"/>
      <c r="AU27" s="17"/>
    </row>
    <row r="28" spans="1:47" ht="13.2">
      <c r="A28" s="302"/>
      <c r="B28" s="302"/>
      <c r="C28" s="302"/>
      <c r="D28" s="239"/>
      <c r="E28" s="302"/>
      <c r="F28" s="91" t="s">
        <v>144</v>
      </c>
      <c r="G28" s="237" t="str">
        <f>HYPERLINK("https://detail.tmall.com/item.htm?id=587306434683&amp;skuId=4324721123135","A")</f>
        <v>A</v>
      </c>
      <c r="H28" s="93"/>
      <c r="I28" s="95">
        <v>48</v>
      </c>
      <c r="J28" s="228">
        <f t="shared" si="1"/>
        <v>0.3125</v>
      </c>
      <c r="K28" s="228">
        <v>5</v>
      </c>
      <c r="L28" s="228">
        <f t="shared" si="21"/>
        <v>0.1417475</v>
      </c>
      <c r="M28" s="95">
        <v>0</v>
      </c>
      <c r="N28" s="95">
        <v>0</v>
      </c>
      <c r="O28" s="230">
        <f t="shared" si="2"/>
        <v>48</v>
      </c>
      <c r="P28" s="231">
        <f t="shared" si="3"/>
        <v>9120</v>
      </c>
      <c r="Q28" s="232">
        <f>ROUNDUP(HLOOKUP(IF(CEILING(L28,0.5)&lt;1,1,CEILING(L28,0.5)),'배송비 조회'!A$32:AY$36,2,0),-2)</f>
        <v>8000</v>
      </c>
      <c r="R28" s="232">
        <v>0</v>
      </c>
      <c r="S28" s="231">
        <f t="shared" si="4"/>
        <v>10300</v>
      </c>
      <c r="T28" s="231">
        <f t="shared" si="5"/>
        <v>12000</v>
      </c>
      <c r="U28" s="233">
        <f t="shared" si="6"/>
        <v>27400</v>
      </c>
      <c r="V28" s="233">
        <f t="shared" si="7"/>
        <v>29100</v>
      </c>
      <c r="W28" s="234">
        <v>0</v>
      </c>
      <c r="X28" s="234">
        <f t="shared" si="8"/>
        <v>1041.2</v>
      </c>
      <c r="Y28" s="234">
        <f t="shared" si="9"/>
        <v>548</v>
      </c>
      <c r="Z28" s="234">
        <f t="shared" si="10"/>
        <v>2910</v>
      </c>
      <c r="AA28" s="234">
        <f t="shared" si="11"/>
        <v>25810.799999999999</v>
      </c>
      <c r="AB28" s="234">
        <f t="shared" si="12"/>
        <v>26190</v>
      </c>
      <c r="AC28" s="234">
        <f t="shared" si="13"/>
        <v>258.108</v>
      </c>
      <c r="AD28" s="101">
        <f t="shared" si="14"/>
        <v>8432.6919999999991</v>
      </c>
      <c r="AE28" s="101">
        <f t="shared" si="15"/>
        <v>8811.8919999999998</v>
      </c>
      <c r="AF28" s="235">
        <f t="shared" ref="AF28:AG28" si="41">AD28/U28</f>
        <v>0.3077624817518248</v>
      </c>
      <c r="AG28" s="235">
        <f t="shared" si="41"/>
        <v>0.30281415807560136</v>
      </c>
      <c r="AH28" s="103"/>
      <c r="AI28" s="104"/>
      <c r="AJ28" s="17"/>
      <c r="AK28" s="17"/>
      <c r="AL28" s="17"/>
      <c r="AM28" s="17"/>
      <c r="AN28" s="17"/>
      <c r="AO28" s="17"/>
      <c r="AP28" s="17"/>
      <c r="AQ28" s="17"/>
      <c r="AR28" s="17"/>
      <c r="AS28" s="17"/>
      <c r="AT28" s="17"/>
      <c r="AU28" s="17"/>
    </row>
    <row r="29" spans="1:47" ht="13.2">
      <c r="A29" s="89" t="str">
        <f>HYPERLINK("https://smartstore.naver.com/brickstore2019/products/4720275994","4720275994")</f>
        <v>4720275994</v>
      </c>
      <c r="B29" s="113"/>
      <c r="C29" s="239" t="s">
        <v>148</v>
      </c>
      <c r="D29" s="239"/>
      <c r="E29" s="114" t="s">
        <v>149</v>
      </c>
      <c r="F29" s="91"/>
      <c r="G29" s="237" t="str">
        <f>HYPERLINK("https://detail.tmall.com/item.htm?id=586992337448&amp;areaId=370200&amp;user_id=2200659979547&amp;cat_id=2&amp;is_b=1&amp;rn=8111995cd0632ce16a66715a2aed9005","A")</f>
        <v>A</v>
      </c>
      <c r="H29" s="93"/>
      <c r="I29" s="95">
        <v>70</v>
      </c>
      <c r="J29" s="228">
        <f t="shared" si="1"/>
        <v>0.625</v>
      </c>
      <c r="K29" s="228">
        <v>10</v>
      </c>
      <c r="L29" s="228">
        <f t="shared" si="21"/>
        <v>0.283495</v>
      </c>
      <c r="M29" s="95">
        <v>0</v>
      </c>
      <c r="N29" s="95">
        <v>0</v>
      </c>
      <c r="O29" s="230">
        <f t="shared" si="2"/>
        <v>70</v>
      </c>
      <c r="P29" s="231">
        <f t="shared" si="3"/>
        <v>13300</v>
      </c>
      <c r="Q29" s="232">
        <f>ROUNDUP(HLOOKUP(IF(CEILING(L29,0.5)&lt;1,1,CEILING(L29,0.5)),'배송비 조회'!A$32:AY$36,2,0),-2)</f>
        <v>8000</v>
      </c>
      <c r="R29" s="232">
        <v>0</v>
      </c>
      <c r="S29" s="231">
        <f t="shared" si="4"/>
        <v>12800</v>
      </c>
      <c r="T29" s="231">
        <f t="shared" si="5"/>
        <v>14900</v>
      </c>
      <c r="U29" s="233">
        <f t="shared" si="6"/>
        <v>34100</v>
      </c>
      <c r="V29" s="233">
        <f t="shared" si="7"/>
        <v>36200</v>
      </c>
      <c r="W29" s="234">
        <v>0</v>
      </c>
      <c r="X29" s="234">
        <f t="shared" si="8"/>
        <v>1295.8</v>
      </c>
      <c r="Y29" s="234">
        <f t="shared" si="9"/>
        <v>682</v>
      </c>
      <c r="Z29" s="234">
        <f t="shared" si="10"/>
        <v>3620</v>
      </c>
      <c r="AA29" s="234">
        <f t="shared" si="11"/>
        <v>32122.199999999997</v>
      </c>
      <c r="AB29" s="234">
        <f t="shared" si="12"/>
        <v>32580</v>
      </c>
      <c r="AC29" s="234">
        <f t="shared" si="13"/>
        <v>321.22199999999998</v>
      </c>
      <c r="AD29" s="101">
        <f t="shared" si="14"/>
        <v>10500.977999999996</v>
      </c>
      <c r="AE29" s="101">
        <f t="shared" si="15"/>
        <v>10958.778</v>
      </c>
      <c r="AF29" s="235">
        <f t="shared" ref="AF29:AG29" si="42">AD29/U29</f>
        <v>0.30794656891495586</v>
      </c>
      <c r="AG29" s="235">
        <f t="shared" si="42"/>
        <v>0.30272867403314918</v>
      </c>
      <c r="AH29" s="103"/>
      <c r="AI29" s="104"/>
      <c r="AJ29" s="17"/>
      <c r="AK29" s="17"/>
      <c r="AL29" s="17"/>
      <c r="AM29" s="17"/>
      <c r="AN29" s="17"/>
      <c r="AO29" s="17"/>
      <c r="AP29" s="17"/>
      <c r="AQ29" s="17"/>
      <c r="AR29" s="17"/>
      <c r="AS29" s="17"/>
      <c r="AT29" s="17"/>
      <c r="AU29" s="17"/>
    </row>
    <row r="30" spans="1:47" ht="13.2">
      <c r="A30" s="89" t="str">
        <f>HYPERLINK("https://smartstore.naver.com/brickstore2019/products/4721754307","4721754307")</f>
        <v>4721754307</v>
      </c>
      <c r="B30" s="113"/>
      <c r="C30" s="239" t="s">
        <v>150</v>
      </c>
      <c r="D30" s="239"/>
      <c r="E30" s="114" t="s">
        <v>151</v>
      </c>
      <c r="F30" s="91"/>
      <c r="G30" s="237" t="str">
        <f>HYPERLINK("https://detail.tmall.com/item.htm?id=580392053103&amp;skuId=4036831923383","A")</f>
        <v>A</v>
      </c>
      <c r="H30" s="93"/>
      <c r="I30" s="95">
        <v>50</v>
      </c>
      <c r="J30" s="228">
        <f t="shared" si="1"/>
        <v>2.1875</v>
      </c>
      <c r="K30" s="228">
        <v>35</v>
      </c>
      <c r="L30" s="228">
        <f t="shared" si="21"/>
        <v>0.99223249999999996</v>
      </c>
      <c r="M30" s="95">
        <v>0</v>
      </c>
      <c r="N30" s="95">
        <v>0</v>
      </c>
      <c r="O30" s="230">
        <f t="shared" si="2"/>
        <v>50</v>
      </c>
      <c r="P30" s="231">
        <f t="shared" si="3"/>
        <v>9500</v>
      </c>
      <c r="Q30" s="232">
        <f>ROUNDUP(HLOOKUP(IF(CEILING(L30,0.5)&lt;1,1,CEILING(L30,0.5)),'배송비 조회'!A$32:AY$36,2,0),-2)</f>
        <v>8000</v>
      </c>
      <c r="R30" s="232">
        <v>0</v>
      </c>
      <c r="S30" s="231">
        <f>ROUND((P30+Q30)*0.5,-2)</f>
        <v>8800</v>
      </c>
      <c r="T30" s="231">
        <f t="shared" si="5"/>
        <v>12300</v>
      </c>
      <c r="U30" s="233">
        <f t="shared" si="6"/>
        <v>26300</v>
      </c>
      <c r="V30" s="233">
        <f t="shared" si="7"/>
        <v>29800</v>
      </c>
      <c r="W30" s="234">
        <v>0</v>
      </c>
      <c r="X30" s="234">
        <f t="shared" si="8"/>
        <v>999.4</v>
      </c>
      <c r="Y30" s="234">
        <f t="shared" si="9"/>
        <v>526</v>
      </c>
      <c r="Z30" s="234">
        <f t="shared" si="10"/>
        <v>2980</v>
      </c>
      <c r="AA30" s="234">
        <f t="shared" si="11"/>
        <v>24774.6</v>
      </c>
      <c r="AB30" s="234">
        <f t="shared" si="12"/>
        <v>26820</v>
      </c>
      <c r="AC30" s="234">
        <f t="shared" si="13"/>
        <v>247.74599999999998</v>
      </c>
      <c r="AD30" s="101">
        <f t="shared" si="14"/>
        <v>7026.8539999999994</v>
      </c>
      <c r="AE30" s="101">
        <f t="shared" si="15"/>
        <v>9072.2540000000008</v>
      </c>
      <c r="AF30" s="235">
        <f t="shared" ref="AF30:AG30" si="43">AD30/U30</f>
        <v>0.26718076045627376</v>
      </c>
      <c r="AG30" s="235">
        <f t="shared" si="43"/>
        <v>0.30443805369127519</v>
      </c>
      <c r="AH30" s="103"/>
      <c r="AI30" s="104"/>
      <c r="AJ30" s="17"/>
      <c r="AK30" s="17"/>
      <c r="AL30" s="17"/>
      <c r="AM30" s="17"/>
      <c r="AN30" s="17"/>
      <c r="AO30" s="17"/>
      <c r="AP30" s="17"/>
      <c r="AQ30" s="17"/>
      <c r="AR30" s="17"/>
      <c r="AS30" s="17"/>
      <c r="AT30" s="17"/>
      <c r="AU30" s="17"/>
    </row>
    <row r="31" spans="1:47" ht="13.2">
      <c r="A31" s="89" t="str">
        <f>HYPERLINK("https://smartstore.naver.com/brickstore2019/products/4721784251","4721784251")</f>
        <v>4721784251</v>
      </c>
      <c r="B31" s="113"/>
      <c r="C31" s="239" t="s">
        <v>154</v>
      </c>
      <c r="D31" s="239"/>
      <c r="E31" s="114" t="s">
        <v>155</v>
      </c>
      <c r="F31" s="91"/>
      <c r="G31" s="237" t="str">
        <f>HYPERLINK("https://detail.tmall.com/item.htm?id=37332330339&amp;skuId=3105458738980","A")</f>
        <v>A</v>
      </c>
      <c r="H31" s="93"/>
      <c r="I31" s="95">
        <v>118</v>
      </c>
      <c r="J31" s="228">
        <f t="shared" si="1"/>
        <v>2.1875</v>
      </c>
      <c r="K31" s="228">
        <v>35</v>
      </c>
      <c r="L31" s="228">
        <f t="shared" si="21"/>
        <v>0.99223249999999996</v>
      </c>
      <c r="M31" s="95">
        <v>0</v>
      </c>
      <c r="N31" s="95">
        <v>0</v>
      </c>
      <c r="O31" s="230">
        <f t="shared" si="2"/>
        <v>118</v>
      </c>
      <c r="P31" s="231">
        <f t="shared" si="3"/>
        <v>22420</v>
      </c>
      <c r="Q31" s="232">
        <f>ROUNDUP(HLOOKUP(IF(CEILING(L31,0.5)&lt;1,1,CEILING(L31,0.5)),'배송비 조회'!A$32:AY$36,2,0),-2)</f>
        <v>8000</v>
      </c>
      <c r="R31" s="232">
        <v>0</v>
      </c>
      <c r="S31" s="231">
        <f>ROUND((P31+Q31)*0.3,-2)</f>
        <v>9100</v>
      </c>
      <c r="T31" s="231">
        <f>ROUND((P31+Q31)*0.5,-2)</f>
        <v>15200</v>
      </c>
      <c r="U31" s="233">
        <f t="shared" si="6"/>
        <v>39500</v>
      </c>
      <c r="V31" s="233">
        <f t="shared" si="7"/>
        <v>45600</v>
      </c>
      <c r="W31" s="234">
        <v>0</v>
      </c>
      <c r="X31" s="234">
        <f t="shared" si="8"/>
        <v>1501</v>
      </c>
      <c r="Y31" s="234">
        <f t="shared" si="9"/>
        <v>790</v>
      </c>
      <c r="Z31" s="234">
        <f t="shared" si="10"/>
        <v>4560</v>
      </c>
      <c r="AA31" s="234">
        <f t="shared" si="11"/>
        <v>37209</v>
      </c>
      <c r="AB31" s="234">
        <f t="shared" si="12"/>
        <v>41040</v>
      </c>
      <c r="AC31" s="234">
        <f t="shared" si="13"/>
        <v>372.09000000000003</v>
      </c>
      <c r="AD31" s="101">
        <f t="shared" si="14"/>
        <v>6416.91</v>
      </c>
      <c r="AE31" s="101">
        <f t="shared" si="15"/>
        <v>10247.91</v>
      </c>
      <c r="AF31" s="235">
        <f t="shared" ref="AF31:AG31" si="44">AD31/U31</f>
        <v>0.16245341772151897</v>
      </c>
      <c r="AG31" s="235">
        <f t="shared" si="44"/>
        <v>0.22473486842105264</v>
      </c>
      <c r="AH31" s="103"/>
      <c r="AI31" s="104"/>
      <c r="AJ31" s="17"/>
      <c r="AK31" s="17"/>
      <c r="AL31" s="17"/>
      <c r="AM31" s="17"/>
      <c r="AN31" s="17"/>
      <c r="AO31" s="17"/>
      <c r="AP31" s="17"/>
      <c r="AQ31" s="17"/>
      <c r="AR31" s="17"/>
      <c r="AS31" s="17"/>
      <c r="AT31" s="17"/>
      <c r="AU31" s="17"/>
    </row>
    <row r="32" spans="1:47" ht="13.2">
      <c r="A32" s="89" t="str">
        <f>HYPERLINK("https://smartstore.naver.com/brickstore2019/products/4724167330","4724167330")</f>
        <v>4724167330</v>
      </c>
      <c r="B32" s="113"/>
      <c r="C32" s="240" t="s">
        <v>158</v>
      </c>
      <c r="D32" s="240"/>
      <c r="E32" s="114" t="s">
        <v>159</v>
      </c>
      <c r="F32" s="91" t="s">
        <v>160</v>
      </c>
      <c r="G32" s="237" t="str">
        <f>HYPERLINK("https://item.taobao.com/item.htm?id=521642894966","A")</f>
        <v>A</v>
      </c>
      <c r="H32" s="93"/>
      <c r="I32" s="95">
        <v>40</v>
      </c>
      <c r="J32" s="228">
        <f t="shared" si="1"/>
        <v>6.25</v>
      </c>
      <c r="K32" s="228">
        <v>100</v>
      </c>
      <c r="L32" s="228">
        <f t="shared" si="21"/>
        <v>2.8349500000000001</v>
      </c>
      <c r="M32" s="95">
        <v>0</v>
      </c>
      <c r="N32" s="95">
        <v>0</v>
      </c>
      <c r="O32" s="230">
        <f t="shared" si="2"/>
        <v>40</v>
      </c>
      <c r="P32" s="231">
        <f t="shared" si="3"/>
        <v>7600</v>
      </c>
      <c r="Q32" s="232">
        <f>ROUNDUP(HLOOKUP(IF(CEILING(L32,0.5)&lt;1,1,CEILING(L32,0.5)),'배송비 조회'!A$32:AY$36,2,0),-2)</f>
        <v>11200</v>
      </c>
      <c r="R32" s="232">
        <v>0</v>
      </c>
      <c r="S32" s="231">
        <f>ROUND((P32+Q32)*0.5,-2)</f>
        <v>9400</v>
      </c>
      <c r="T32" s="231">
        <f t="shared" ref="T32:T35" si="45">ROUND((P32+Q32)*0.7,-2)</f>
        <v>13200</v>
      </c>
      <c r="U32" s="233">
        <f t="shared" si="6"/>
        <v>28200</v>
      </c>
      <c r="V32" s="233">
        <f t="shared" si="7"/>
        <v>32000</v>
      </c>
      <c r="W32" s="234">
        <v>0</v>
      </c>
      <c r="X32" s="234">
        <f t="shared" si="8"/>
        <v>1071.5999999999999</v>
      </c>
      <c r="Y32" s="234">
        <f t="shared" si="9"/>
        <v>564</v>
      </c>
      <c r="Z32" s="234">
        <f t="shared" si="10"/>
        <v>3200</v>
      </c>
      <c r="AA32" s="234">
        <f t="shared" si="11"/>
        <v>26564.400000000001</v>
      </c>
      <c r="AB32" s="234">
        <f t="shared" si="12"/>
        <v>28800</v>
      </c>
      <c r="AC32" s="234">
        <f t="shared" si="13"/>
        <v>265.64400000000001</v>
      </c>
      <c r="AD32" s="101">
        <f t="shared" si="14"/>
        <v>7498.7560000000012</v>
      </c>
      <c r="AE32" s="101">
        <f t="shared" si="15"/>
        <v>9734.3559999999998</v>
      </c>
      <c r="AF32" s="235">
        <f t="shared" ref="AF32:AG32" si="46">AD32/U32</f>
        <v>0.26591333333333339</v>
      </c>
      <c r="AG32" s="235">
        <f t="shared" si="46"/>
        <v>0.304198625</v>
      </c>
      <c r="AH32" s="103"/>
      <c r="AI32" s="104"/>
      <c r="AJ32" s="17"/>
      <c r="AK32" s="17"/>
      <c r="AL32" s="17"/>
      <c r="AM32" s="17"/>
      <c r="AN32" s="17"/>
      <c r="AO32" s="17"/>
      <c r="AP32" s="17"/>
      <c r="AQ32" s="17"/>
      <c r="AR32" s="17"/>
      <c r="AS32" s="17"/>
      <c r="AT32" s="17"/>
      <c r="AU32" s="17"/>
    </row>
    <row r="33" spans="1:47" ht="13.2">
      <c r="A33" s="301" t="str">
        <f>HYPERLINK("https://smartstore.naver.com/brickstore2019/products/4724197443","4724197443")</f>
        <v>4724197443</v>
      </c>
      <c r="B33" s="113"/>
      <c r="C33" s="362" t="s">
        <v>163</v>
      </c>
      <c r="D33" s="239"/>
      <c r="E33" s="307" t="s">
        <v>164</v>
      </c>
      <c r="F33" s="91" t="s">
        <v>165</v>
      </c>
      <c r="G33" s="237" t="str">
        <f>HYPERLINK("https://detail.tmall.com/item.htm?id=579642651530&amp;skuId=3851312148366","A")</f>
        <v>A</v>
      </c>
      <c r="H33" s="93"/>
      <c r="I33" s="95">
        <v>20</v>
      </c>
      <c r="J33" s="228">
        <f t="shared" si="1"/>
        <v>2.1875</v>
      </c>
      <c r="K33" s="228">
        <v>35</v>
      </c>
      <c r="L33" s="228">
        <f t="shared" si="21"/>
        <v>0.99223249999999996</v>
      </c>
      <c r="M33" s="95">
        <v>0</v>
      </c>
      <c r="N33" s="95">
        <v>0</v>
      </c>
      <c r="O33" s="230">
        <f t="shared" si="2"/>
        <v>20</v>
      </c>
      <c r="P33" s="231">
        <f t="shared" si="3"/>
        <v>3800</v>
      </c>
      <c r="Q33" s="232">
        <f>ROUNDUP(HLOOKUP(IF(CEILING(L33,0.5)&lt;1,1,CEILING(L33,0.5)),'배송비 조회'!A$32:AY$36,2,0),-2)</f>
        <v>8000</v>
      </c>
      <c r="R33" s="232">
        <v>0</v>
      </c>
      <c r="S33" s="231">
        <f t="shared" ref="S33:S34" si="47">ROUND((P33+Q33)*0.6,-2)</f>
        <v>7100</v>
      </c>
      <c r="T33" s="231">
        <f t="shared" si="45"/>
        <v>8300</v>
      </c>
      <c r="U33" s="233">
        <f t="shared" si="6"/>
        <v>18900</v>
      </c>
      <c r="V33" s="233">
        <f t="shared" si="7"/>
        <v>20100</v>
      </c>
      <c r="W33" s="234">
        <v>0</v>
      </c>
      <c r="X33" s="234">
        <f t="shared" si="8"/>
        <v>718.19999999999993</v>
      </c>
      <c r="Y33" s="234">
        <f t="shared" si="9"/>
        <v>378</v>
      </c>
      <c r="Z33" s="234">
        <f t="shared" si="10"/>
        <v>2010</v>
      </c>
      <c r="AA33" s="234">
        <f t="shared" si="11"/>
        <v>17803.8</v>
      </c>
      <c r="AB33" s="234">
        <f t="shared" si="12"/>
        <v>18090</v>
      </c>
      <c r="AC33" s="234">
        <f t="shared" si="13"/>
        <v>178.03799999999998</v>
      </c>
      <c r="AD33" s="101">
        <f t="shared" si="14"/>
        <v>5825.7619999999988</v>
      </c>
      <c r="AE33" s="101">
        <f t="shared" si="15"/>
        <v>6111.9620000000004</v>
      </c>
      <c r="AF33" s="235">
        <f t="shared" ref="AF33:AG33" si="48">AD33/U33</f>
        <v>0.30824137566137561</v>
      </c>
      <c r="AG33" s="235">
        <f t="shared" si="48"/>
        <v>0.30407771144278611</v>
      </c>
      <c r="AH33" s="103"/>
      <c r="AI33" s="104"/>
      <c r="AJ33" s="17"/>
      <c r="AK33" s="17"/>
      <c r="AL33" s="17"/>
      <c r="AM33" s="17"/>
      <c r="AN33" s="17"/>
      <c r="AO33" s="17"/>
      <c r="AP33" s="17"/>
      <c r="AQ33" s="17"/>
      <c r="AR33" s="17"/>
      <c r="AS33" s="17"/>
      <c r="AT33" s="17"/>
      <c r="AU33" s="17"/>
    </row>
    <row r="34" spans="1:47" ht="13.2">
      <c r="A34" s="302"/>
      <c r="B34" s="113"/>
      <c r="C34" s="302"/>
      <c r="D34" s="239"/>
      <c r="E34" s="302"/>
      <c r="F34" s="91" t="s">
        <v>166</v>
      </c>
      <c r="G34" s="237" t="str">
        <f>HYPERLINK("https://detail.tmall.com/item.htm?id=579642651530&amp;skuId=3851312148367","A")</f>
        <v>A</v>
      </c>
      <c r="H34" s="93"/>
      <c r="I34" s="95">
        <v>20</v>
      </c>
      <c r="J34" s="228">
        <f t="shared" si="1"/>
        <v>2.1875</v>
      </c>
      <c r="K34" s="228">
        <v>35</v>
      </c>
      <c r="L34" s="228">
        <f t="shared" si="21"/>
        <v>0.99223249999999996</v>
      </c>
      <c r="M34" s="95">
        <v>0</v>
      </c>
      <c r="N34" s="95">
        <v>0</v>
      </c>
      <c r="O34" s="230">
        <f t="shared" si="2"/>
        <v>20</v>
      </c>
      <c r="P34" s="231">
        <f t="shared" si="3"/>
        <v>3800</v>
      </c>
      <c r="Q34" s="232">
        <f>ROUNDUP(HLOOKUP(IF(CEILING(L34,0.5)&lt;1,1,CEILING(L34,0.5)),'배송비 조회'!A$32:AY$36,2,0),-2)</f>
        <v>8000</v>
      </c>
      <c r="R34" s="232">
        <v>0</v>
      </c>
      <c r="S34" s="231">
        <f t="shared" si="47"/>
        <v>7100</v>
      </c>
      <c r="T34" s="231">
        <f t="shared" si="45"/>
        <v>8300</v>
      </c>
      <c r="U34" s="233">
        <f t="shared" si="6"/>
        <v>18900</v>
      </c>
      <c r="V34" s="233">
        <f t="shared" si="7"/>
        <v>20100</v>
      </c>
      <c r="W34" s="234">
        <v>0</v>
      </c>
      <c r="X34" s="234">
        <f t="shared" si="8"/>
        <v>718.19999999999993</v>
      </c>
      <c r="Y34" s="234">
        <f t="shared" si="9"/>
        <v>378</v>
      </c>
      <c r="Z34" s="234">
        <f t="shared" si="10"/>
        <v>2010</v>
      </c>
      <c r="AA34" s="234">
        <f t="shared" si="11"/>
        <v>17803.8</v>
      </c>
      <c r="AB34" s="234">
        <f t="shared" si="12"/>
        <v>18090</v>
      </c>
      <c r="AC34" s="234">
        <f t="shared" si="13"/>
        <v>178.03799999999998</v>
      </c>
      <c r="AD34" s="101">
        <f t="shared" si="14"/>
        <v>5825.7619999999988</v>
      </c>
      <c r="AE34" s="101">
        <f t="shared" si="15"/>
        <v>6111.9620000000004</v>
      </c>
      <c r="AF34" s="235">
        <f t="shared" ref="AF34:AG34" si="49">AD34/U34</f>
        <v>0.30824137566137561</v>
      </c>
      <c r="AG34" s="235">
        <f t="shared" si="49"/>
        <v>0.30407771144278611</v>
      </c>
      <c r="AH34" s="103"/>
      <c r="AI34" s="104"/>
      <c r="AJ34" s="17"/>
      <c r="AK34" s="17"/>
      <c r="AL34" s="17"/>
      <c r="AM34" s="17"/>
      <c r="AN34" s="17"/>
      <c r="AO34" s="17"/>
      <c r="AP34" s="17"/>
      <c r="AQ34" s="17"/>
      <c r="AR34" s="17"/>
      <c r="AS34" s="17"/>
      <c r="AT34" s="17"/>
      <c r="AU34" s="17"/>
    </row>
    <row r="35" spans="1:47" ht="13.2">
      <c r="A35" s="89" t="str">
        <f>HYPERLINK("https://smartstore.naver.com/brickstore2019/products/4727854343","4727854343")</f>
        <v>4727854343</v>
      </c>
      <c r="B35" s="113"/>
      <c r="C35" s="239" t="s">
        <v>170</v>
      </c>
      <c r="D35" s="239"/>
      <c r="E35" s="114"/>
      <c r="F35" s="91"/>
      <c r="G35" s="237" t="str">
        <f>HYPERLINK("https://detail.tmall.com/item.htm?spm=a230r.1.999.98.53f7523cqfh1mp&amp;id=595039233214&amp;ns=1&amp;skuId=4200113004935","A")</f>
        <v>A</v>
      </c>
      <c r="H35" s="93"/>
      <c r="I35" s="95">
        <v>25</v>
      </c>
      <c r="J35" s="228">
        <f t="shared" si="1"/>
        <v>2.1875</v>
      </c>
      <c r="K35" s="228">
        <v>35</v>
      </c>
      <c r="L35" s="228">
        <f t="shared" si="21"/>
        <v>0.99223249999999996</v>
      </c>
      <c r="M35" s="95">
        <v>0</v>
      </c>
      <c r="N35" s="95">
        <v>0</v>
      </c>
      <c r="O35" s="230">
        <f t="shared" si="2"/>
        <v>25</v>
      </c>
      <c r="P35" s="231">
        <f t="shared" si="3"/>
        <v>4750</v>
      </c>
      <c r="Q35" s="232">
        <f>ROUNDUP(HLOOKUP(IF(CEILING(L35,0.5)&lt;1,1,CEILING(L35,0.5)),'배송비 조회'!A$32:AY$36,2,0),-2)</f>
        <v>8000</v>
      </c>
      <c r="R35" s="232">
        <v>0</v>
      </c>
      <c r="S35" s="231">
        <f>ROUND((P35+Q35)*0.5,-2)</f>
        <v>6400</v>
      </c>
      <c r="T35" s="231">
        <f t="shared" si="45"/>
        <v>8900</v>
      </c>
      <c r="U35" s="233">
        <f t="shared" si="6"/>
        <v>19200</v>
      </c>
      <c r="V35" s="233">
        <f t="shared" si="7"/>
        <v>21700</v>
      </c>
      <c r="W35" s="234">
        <v>0</v>
      </c>
      <c r="X35" s="234">
        <f t="shared" si="8"/>
        <v>729.6</v>
      </c>
      <c r="Y35" s="234">
        <f t="shared" si="9"/>
        <v>384</v>
      </c>
      <c r="Z35" s="234">
        <f t="shared" si="10"/>
        <v>2170</v>
      </c>
      <c r="AA35" s="234">
        <f t="shared" si="11"/>
        <v>18086.400000000001</v>
      </c>
      <c r="AB35" s="234">
        <f t="shared" si="12"/>
        <v>19530</v>
      </c>
      <c r="AC35" s="234">
        <f t="shared" si="13"/>
        <v>180.864</v>
      </c>
      <c r="AD35" s="101">
        <f t="shared" si="14"/>
        <v>5155.5360000000019</v>
      </c>
      <c r="AE35" s="101">
        <f t="shared" si="15"/>
        <v>6599.1360000000004</v>
      </c>
      <c r="AF35" s="235">
        <f t="shared" ref="AF35:AG35" si="50">AD35/U35</f>
        <v>0.26851750000000008</v>
      </c>
      <c r="AG35" s="235">
        <f t="shared" si="50"/>
        <v>0.30410764976958526</v>
      </c>
      <c r="AH35" s="103"/>
      <c r="AI35" s="104"/>
      <c r="AJ35" s="17"/>
      <c r="AK35" s="17"/>
      <c r="AL35" s="17"/>
      <c r="AM35" s="17"/>
      <c r="AN35" s="17"/>
      <c r="AO35" s="17"/>
      <c r="AP35" s="17"/>
      <c r="AQ35" s="17"/>
      <c r="AR35" s="17"/>
      <c r="AS35" s="17"/>
      <c r="AT35" s="17"/>
      <c r="AU35" s="17"/>
    </row>
    <row r="36" spans="1:47" ht="13.2">
      <c r="A36" s="301" t="str">
        <f>HYPERLINK("https://smartstore.naver.com/brickstore2019/products/4728982336","4728982336")</f>
        <v>4728982336</v>
      </c>
      <c r="B36" s="301" t="str">
        <f>HYPERLINK("https://www.coupang.com/vp/products/335296526?vendorItemId=5558360855","335296526")</f>
        <v>335296526</v>
      </c>
      <c r="C36" s="362" t="s">
        <v>171</v>
      </c>
      <c r="D36" s="362" t="s">
        <v>172</v>
      </c>
      <c r="E36" s="307" t="s">
        <v>173</v>
      </c>
      <c r="F36" s="91" t="s">
        <v>174</v>
      </c>
      <c r="G36" s="237" t="str">
        <f t="shared" ref="G36:G38" si="51">HYPERLINK("https://item.taobao.com/item.htm?spm=a230r.1.999.1.45ab523cCgKlug&amp;id=550682123913&amp;ns=1#detail","A")</f>
        <v>A</v>
      </c>
      <c r="H36" s="93"/>
      <c r="I36" s="95">
        <v>60</v>
      </c>
      <c r="J36" s="228">
        <f t="shared" si="1"/>
        <v>2.1875</v>
      </c>
      <c r="K36" s="228">
        <v>35</v>
      </c>
      <c r="L36" s="228">
        <f t="shared" si="21"/>
        <v>0.99223249999999996</v>
      </c>
      <c r="M36" s="95">
        <v>0</v>
      </c>
      <c r="N36" s="95">
        <v>0</v>
      </c>
      <c r="O36" s="230">
        <f t="shared" si="2"/>
        <v>60</v>
      </c>
      <c r="P36" s="231">
        <f t="shared" si="3"/>
        <v>11400</v>
      </c>
      <c r="Q36" s="232">
        <f>ROUNDUP(HLOOKUP(IF(CEILING(L36,0.5)&lt;1,1,CEILING(L36,0.5)),'배송비 조회'!A$32:AY$36,2,0),-2)</f>
        <v>8000</v>
      </c>
      <c r="R36" s="232">
        <v>0</v>
      </c>
      <c r="S36" s="231">
        <f t="shared" ref="S36:S38" si="52">ROUND((P36+Q36)*0.4,-2)</f>
        <v>7800</v>
      </c>
      <c r="T36" s="231">
        <f t="shared" ref="T36:T38" si="53">ROUND((P36+Q36)*0.5,-2)</f>
        <v>9700</v>
      </c>
      <c r="U36" s="233">
        <f t="shared" si="6"/>
        <v>27200</v>
      </c>
      <c r="V36" s="233">
        <f t="shared" si="7"/>
        <v>29100</v>
      </c>
      <c r="W36" s="234">
        <v>0</v>
      </c>
      <c r="X36" s="234">
        <f t="shared" si="8"/>
        <v>1033.5999999999999</v>
      </c>
      <c r="Y36" s="234">
        <f t="shared" si="9"/>
        <v>544</v>
      </c>
      <c r="Z36" s="234">
        <f t="shared" si="10"/>
        <v>2910</v>
      </c>
      <c r="AA36" s="234">
        <f t="shared" si="11"/>
        <v>25622.400000000001</v>
      </c>
      <c r="AB36" s="234">
        <f t="shared" si="12"/>
        <v>26190</v>
      </c>
      <c r="AC36" s="234">
        <f t="shared" si="13"/>
        <v>256.22400000000005</v>
      </c>
      <c r="AD36" s="101">
        <f t="shared" si="14"/>
        <v>5966.1760000000013</v>
      </c>
      <c r="AE36" s="101">
        <f t="shared" si="15"/>
        <v>6533.7759999999998</v>
      </c>
      <c r="AF36" s="235">
        <f t="shared" ref="AF36:AG36" si="54">AD36/U36</f>
        <v>0.219344705882353</v>
      </c>
      <c r="AG36" s="235">
        <f t="shared" si="54"/>
        <v>0.22452838487972507</v>
      </c>
      <c r="AH36" s="103"/>
      <c r="AI36" s="104"/>
      <c r="AJ36" s="17"/>
      <c r="AK36" s="17"/>
      <c r="AL36" s="17"/>
      <c r="AM36" s="17"/>
      <c r="AN36" s="17"/>
      <c r="AO36" s="17"/>
      <c r="AP36" s="17"/>
      <c r="AQ36" s="17"/>
      <c r="AR36" s="17"/>
      <c r="AS36" s="17"/>
      <c r="AT36" s="17"/>
      <c r="AU36" s="17"/>
    </row>
    <row r="37" spans="1:47" ht="13.2">
      <c r="A37" s="302"/>
      <c r="B37" s="302"/>
      <c r="C37" s="302"/>
      <c r="D37" s="302"/>
      <c r="E37" s="302"/>
      <c r="F37" s="91" t="s">
        <v>177</v>
      </c>
      <c r="G37" s="237" t="str">
        <f t="shared" si="51"/>
        <v>A</v>
      </c>
      <c r="H37" s="93"/>
      <c r="I37" s="95">
        <v>60</v>
      </c>
      <c r="J37" s="228">
        <f t="shared" si="1"/>
        <v>2.1875</v>
      </c>
      <c r="K37" s="228">
        <v>35</v>
      </c>
      <c r="L37" s="228">
        <f t="shared" si="21"/>
        <v>0.99223249999999996</v>
      </c>
      <c r="M37" s="95">
        <v>0</v>
      </c>
      <c r="N37" s="95">
        <v>0</v>
      </c>
      <c r="O37" s="230">
        <f t="shared" si="2"/>
        <v>60</v>
      </c>
      <c r="P37" s="231">
        <f t="shared" si="3"/>
        <v>11400</v>
      </c>
      <c r="Q37" s="232">
        <f>ROUNDUP(HLOOKUP(IF(CEILING(L37,0.5)&lt;1,1,CEILING(L37,0.5)),'배송비 조회'!A$32:AY$36,2,0),-2)</f>
        <v>8000</v>
      </c>
      <c r="R37" s="232">
        <v>0</v>
      </c>
      <c r="S37" s="231">
        <f t="shared" si="52"/>
        <v>7800</v>
      </c>
      <c r="T37" s="231">
        <f t="shared" si="53"/>
        <v>9700</v>
      </c>
      <c r="U37" s="233">
        <f t="shared" si="6"/>
        <v>27200</v>
      </c>
      <c r="V37" s="233">
        <f t="shared" si="7"/>
        <v>29100</v>
      </c>
      <c r="W37" s="234">
        <v>0</v>
      </c>
      <c r="X37" s="234">
        <f t="shared" si="8"/>
        <v>1033.5999999999999</v>
      </c>
      <c r="Y37" s="234">
        <f t="shared" si="9"/>
        <v>544</v>
      </c>
      <c r="Z37" s="234">
        <f t="shared" si="10"/>
        <v>2910</v>
      </c>
      <c r="AA37" s="234">
        <f t="shared" si="11"/>
        <v>25622.400000000001</v>
      </c>
      <c r="AB37" s="234">
        <f t="shared" si="12"/>
        <v>26190</v>
      </c>
      <c r="AC37" s="234">
        <f t="shared" si="13"/>
        <v>256.22400000000005</v>
      </c>
      <c r="AD37" s="101">
        <f t="shared" si="14"/>
        <v>5966.1760000000013</v>
      </c>
      <c r="AE37" s="101">
        <f t="shared" si="15"/>
        <v>6533.7759999999998</v>
      </c>
      <c r="AF37" s="235">
        <f t="shared" ref="AF37:AG37" si="55">AD37/U37</f>
        <v>0.219344705882353</v>
      </c>
      <c r="AG37" s="235">
        <f t="shared" si="55"/>
        <v>0.22452838487972507</v>
      </c>
      <c r="AH37" s="103"/>
      <c r="AI37" s="104"/>
      <c r="AJ37" s="17"/>
      <c r="AK37" s="17"/>
      <c r="AL37" s="17"/>
      <c r="AM37" s="17"/>
      <c r="AN37" s="17"/>
      <c r="AO37" s="17"/>
      <c r="AP37" s="17"/>
      <c r="AQ37" s="17"/>
      <c r="AR37" s="17"/>
      <c r="AS37" s="17"/>
      <c r="AT37" s="17"/>
      <c r="AU37" s="17"/>
    </row>
    <row r="38" spans="1:47" ht="13.2">
      <c r="A38" s="302"/>
      <c r="B38" s="302"/>
      <c r="C38" s="302"/>
      <c r="D38" s="302"/>
      <c r="E38" s="302"/>
      <c r="F38" s="91" t="s">
        <v>144</v>
      </c>
      <c r="G38" s="237" t="str">
        <f t="shared" si="51"/>
        <v>A</v>
      </c>
      <c r="H38" s="93"/>
      <c r="I38" s="95">
        <v>60</v>
      </c>
      <c r="J38" s="228">
        <f t="shared" si="1"/>
        <v>2.1875</v>
      </c>
      <c r="K38" s="228">
        <v>35</v>
      </c>
      <c r="L38" s="228">
        <f t="shared" si="21"/>
        <v>0.99223249999999996</v>
      </c>
      <c r="M38" s="95">
        <v>0</v>
      </c>
      <c r="N38" s="95">
        <v>0</v>
      </c>
      <c r="O38" s="230">
        <f t="shared" si="2"/>
        <v>60</v>
      </c>
      <c r="P38" s="231">
        <f t="shared" si="3"/>
        <v>11400</v>
      </c>
      <c r="Q38" s="232">
        <f>ROUNDUP(HLOOKUP(IF(CEILING(L38,0.5)&lt;1,1,CEILING(L38,0.5)),'배송비 조회'!A$32:AY$36,2,0),-2)</f>
        <v>8000</v>
      </c>
      <c r="R38" s="232">
        <v>0</v>
      </c>
      <c r="S38" s="231">
        <f t="shared" si="52"/>
        <v>7800</v>
      </c>
      <c r="T38" s="231">
        <f t="shared" si="53"/>
        <v>9700</v>
      </c>
      <c r="U38" s="233">
        <f t="shared" si="6"/>
        <v>27200</v>
      </c>
      <c r="V38" s="233">
        <f t="shared" si="7"/>
        <v>29100</v>
      </c>
      <c r="W38" s="234">
        <v>0</v>
      </c>
      <c r="X38" s="234">
        <f t="shared" si="8"/>
        <v>1033.5999999999999</v>
      </c>
      <c r="Y38" s="234">
        <f t="shared" si="9"/>
        <v>544</v>
      </c>
      <c r="Z38" s="234">
        <f t="shared" si="10"/>
        <v>2910</v>
      </c>
      <c r="AA38" s="234">
        <f t="shared" si="11"/>
        <v>25622.400000000001</v>
      </c>
      <c r="AB38" s="234">
        <f t="shared" si="12"/>
        <v>26190</v>
      </c>
      <c r="AC38" s="234">
        <f t="shared" si="13"/>
        <v>256.22400000000005</v>
      </c>
      <c r="AD38" s="101">
        <f t="shared" si="14"/>
        <v>5966.1760000000013</v>
      </c>
      <c r="AE38" s="101">
        <f t="shared" si="15"/>
        <v>6533.7759999999998</v>
      </c>
      <c r="AF38" s="235">
        <f t="shared" ref="AF38:AG38" si="56">AD38/U38</f>
        <v>0.219344705882353</v>
      </c>
      <c r="AG38" s="235">
        <f t="shared" si="56"/>
        <v>0.22452838487972507</v>
      </c>
      <c r="AH38" s="103"/>
      <c r="AI38" s="104"/>
      <c r="AJ38" s="17"/>
      <c r="AK38" s="17"/>
      <c r="AL38" s="17"/>
      <c r="AM38" s="17"/>
      <c r="AN38" s="17"/>
      <c r="AO38" s="17"/>
      <c r="AP38" s="17"/>
      <c r="AQ38" s="17"/>
      <c r="AR38" s="17"/>
      <c r="AS38" s="17"/>
      <c r="AT38" s="17"/>
      <c r="AU38" s="17"/>
    </row>
    <row r="39" spans="1:47" ht="13.2">
      <c r="A39" s="301" t="str">
        <f>HYPERLINK("https://smartstore.naver.com/brickstore2019/products/4729017628","4729017628")</f>
        <v>4729017628</v>
      </c>
      <c r="B39" s="301" t="str">
        <f>HYPERLINK("https://www.coupang.com/vp/products/335304310?vendorItemId=5558393491","335304310")</f>
        <v>335304310</v>
      </c>
      <c r="C39" s="307" t="s">
        <v>178</v>
      </c>
      <c r="D39" s="307"/>
      <c r="E39" s="307" t="s">
        <v>180</v>
      </c>
      <c r="F39" s="91" t="s">
        <v>182</v>
      </c>
      <c r="G39" s="237" t="str">
        <f t="shared" ref="G39:G40" si="57">HYPERLINK("https://item.taobao.com/item.htm?spm=a230r.1.999.1.6534523cEmgf96&amp;id=577932314106&amp;ns=1#detail","A")</f>
        <v>A</v>
      </c>
      <c r="H39" s="93"/>
      <c r="I39" s="95">
        <v>27</v>
      </c>
      <c r="J39" s="228">
        <f t="shared" si="1"/>
        <v>2.1875</v>
      </c>
      <c r="K39" s="228">
        <v>35</v>
      </c>
      <c r="L39" s="228">
        <f t="shared" si="21"/>
        <v>0.99223249999999996</v>
      </c>
      <c r="M39" s="95">
        <v>0</v>
      </c>
      <c r="N39" s="95">
        <v>0</v>
      </c>
      <c r="O39" s="230">
        <f t="shared" si="2"/>
        <v>27</v>
      </c>
      <c r="P39" s="231">
        <f t="shared" si="3"/>
        <v>5130</v>
      </c>
      <c r="Q39" s="232">
        <f>ROUNDUP(HLOOKUP(IF(CEILING(L39,0.5)&lt;1,1,CEILING(L39,0.5)),'배송비 조회'!A$32:AY$36,2,0),-2)</f>
        <v>8000</v>
      </c>
      <c r="R39" s="232">
        <v>0</v>
      </c>
      <c r="S39" s="231">
        <f t="shared" ref="S39:S40" si="58">ROUND((P39+Q39)*0.5,-2)</f>
        <v>6600</v>
      </c>
      <c r="T39" s="231">
        <f t="shared" ref="T39:T40" si="59">ROUND((P39+Q39)*0.6,-2)</f>
        <v>7900</v>
      </c>
      <c r="U39" s="233">
        <f t="shared" si="6"/>
        <v>19700</v>
      </c>
      <c r="V39" s="233">
        <f t="shared" si="7"/>
        <v>21000</v>
      </c>
      <c r="W39" s="234">
        <v>0</v>
      </c>
      <c r="X39" s="234">
        <f t="shared" si="8"/>
        <v>748.6</v>
      </c>
      <c r="Y39" s="234">
        <f t="shared" si="9"/>
        <v>394</v>
      </c>
      <c r="Z39" s="234">
        <f t="shared" si="10"/>
        <v>2100</v>
      </c>
      <c r="AA39" s="234">
        <f t="shared" si="11"/>
        <v>18557.400000000001</v>
      </c>
      <c r="AB39" s="234">
        <f t="shared" si="12"/>
        <v>18900</v>
      </c>
      <c r="AC39" s="234">
        <f t="shared" si="13"/>
        <v>185.57400000000001</v>
      </c>
      <c r="AD39" s="101">
        <f t="shared" si="14"/>
        <v>5241.8260000000009</v>
      </c>
      <c r="AE39" s="101">
        <f t="shared" si="15"/>
        <v>5584.4260000000004</v>
      </c>
      <c r="AF39" s="235">
        <f t="shared" ref="AF39:AG39" si="60">AD39/U39</f>
        <v>0.26608253807106602</v>
      </c>
      <c r="AG39" s="235">
        <f t="shared" si="60"/>
        <v>0.26592504761904762</v>
      </c>
      <c r="AH39" s="103"/>
      <c r="AI39" s="104"/>
      <c r="AJ39" s="17"/>
      <c r="AK39" s="17"/>
      <c r="AL39" s="17"/>
      <c r="AM39" s="17"/>
      <c r="AN39" s="17"/>
      <c r="AO39" s="17"/>
      <c r="AP39" s="17"/>
      <c r="AQ39" s="17"/>
      <c r="AR39" s="17"/>
      <c r="AS39" s="17"/>
      <c r="AT39" s="17"/>
      <c r="AU39" s="17"/>
    </row>
    <row r="40" spans="1:47" ht="13.2">
      <c r="A40" s="302"/>
      <c r="B40" s="302"/>
      <c r="C40" s="302"/>
      <c r="D40" s="302"/>
      <c r="E40" s="302"/>
      <c r="F40" s="91" t="s">
        <v>183</v>
      </c>
      <c r="G40" s="237" t="str">
        <f t="shared" si="57"/>
        <v>A</v>
      </c>
      <c r="H40" s="93"/>
      <c r="I40" s="95">
        <v>39</v>
      </c>
      <c r="J40" s="228">
        <f t="shared" si="1"/>
        <v>2.1875</v>
      </c>
      <c r="K40" s="228">
        <v>35</v>
      </c>
      <c r="L40" s="228">
        <f t="shared" si="21"/>
        <v>0.99223249999999996</v>
      </c>
      <c r="M40" s="95">
        <v>0</v>
      </c>
      <c r="N40" s="95">
        <v>0</v>
      </c>
      <c r="O40" s="230">
        <f t="shared" si="2"/>
        <v>39</v>
      </c>
      <c r="P40" s="231">
        <f t="shared" si="3"/>
        <v>7410</v>
      </c>
      <c r="Q40" s="232">
        <f>ROUNDUP(HLOOKUP(IF(CEILING(L40,0.5)&lt;1,1,CEILING(L40,0.5)),'배송비 조회'!A$32:AY$36,2,0),-2)</f>
        <v>8000</v>
      </c>
      <c r="R40" s="232">
        <v>0</v>
      </c>
      <c r="S40" s="231">
        <f t="shared" si="58"/>
        <v>7700</v>
      </c>
      <c r="T40" s="231">
        <f t="shared" si="59"/>
        <v>9200</v>
      </c>
      <c r="U40" s="233">
        <f t="shared" si="6"/>
        <v>23100</v>
      </c>
      <c r="V40" s="233">
        <f t="shared" si="7"/>
        <v>24600</v>
      </c>
      <c r="W40" s="234">
        <v>0</v>
      </c>
      <c r="X40" s="234">
        <f t="shared" si="8"/>
        <v>877.8</v>
      </c>
      <c r="Y40" s="234">
        <f t="shared" si="9"/>
        <v>462</v>
      </c>
      <c r="Z40" s="234">
        <f t="shared" si="10"/>
        <v>2460</v>
      </c>
      <c r="AA40" s="234">
        <f t="shared" si="11"/>
        <v>21760.2</v>
      </c>
      <c r="AB40" s="234">
        <f t="shared" si="12"/>
        <v>22140</v>
      </c>
      <c r="AC40" s="234">
        <f t="shared" si="13"/>
        <v>217.602</v>
      </c>
      <c r="AD40" s="101">
        <f t="shared" si="14"/>
        <v>6132.598</v>
      </c>
      <c r="AE40" s="101">
        <f t="shared" si="15"/>
        <v>6512.3980000000001</v>
      </c>
      <c r="AF40" s="235">
        <f t="shared" ref="AF40:AG40" si="61">AD40/U40</f>
        <v>0.26548043290043288</v>
      </c>
      <c r="AG40" s="235">
        <f t="shared" si="61"/>
        <v>0.26473162601626016</v>
      </c>
      <c r="AH40" s="103">
        <f>U40-U39</f>
        <v>3400</v>
      </c>
      <c r="AI40" s="104"/>
      <c r="AJ40" s="17"/>
      <c r="AK40" s="17"/>
      <c r="AL40" s="17"/>
      <c r="AM40" s="17"/>
      <c r="AN40" s="17"/>
      <c r="AO40" s="17"/>
      <c r="AP40" s="17"/>
      <c r="AQ40" s="17"/>
      <c r="AR40" s="17"/>
      <c r="AS40" s="17"/>
      <c r="AT40" s="17"/>
      <c r="AU40" s="17"/>
    </row>
    <row r="41" spans="1:47" ht="13.2">
      <c r="A41" s="301" t="str">
        <f>HYPERLINK("https://smartstore.naver.com/brickstore2019/products/4730103849","4730103849")</f>
        <v>4730103849</v>
      </c>
      <c r="B41" s="361"/>
      <c r="C41" s="307" t="s">
        <v>185</v>
      </c>
      <c r="D41" s="307"/>
      <c r="E41" s="307" t="s">
        <v>186</v>
      </c>
      <c r="F41" s="91" t="s">
        <v>71</v>
      </c>
      <c r="G41" s="237" t="str">
        <f t="shared" ref="G41:G46" si="62">HYPERLINK("https://item.taobao.com/item.htm?spm=a230r.1.999.1.21de523crdKwg5&amp;id=584417801631&amp;ns=1#detail","A")</f>
        <v>A</v>
      </c>
      <c r="H41" s="93"/>
      <c r="I41" s="95">
        <v>69</v>
      </c>
      <c r="J41" s="228">
        <f t="shared" si="1"/>
        <v>2.1875</v>
      </c>
      <c r="K41" s="228">
        <v>35</v>
      </c>
      <c r="L41" s="228">
        <f t="shared" si="21"/>
        <v>0.99223249999999996</v>
      </c>
      <c r="M41" s="95">
        <v>0</v>
      </c>
      <c r="N41" s="95">
        <v>0</v>
      </c>
      <c r="O41" s="230">
        <f t="shared" si="2"/>
        <v>69</v>
      </c>
      <c r="P41" s="231">
        <f t="shared" si="3"/>
        <v>13110</v>
      </c>
      <c r="Q41" s="232">
        <f>ROUNDUP(HLOOKUP(IF(CEILING(L41,0.5)&lt;1,1,CEILING(L41,0.5)),'배송비 조회'!A$32:AY$36,2,0),-2)</f>
        <v>8000</v>
      </c>
      <c r="R41" s="232">
        <v>0</v>
      </c>
      <c r="S41" s="231">
        <f t="shared" ref="S41:S46" si="63">ROUND((P41+Q41)*0.6,-2)</f>
        <v>12700</v>
      </c>
      <c r="T41" s="231">
        <f t="shared" ref="T41:T63" si="64">ROUND((P41+Q41)*0.7,-2)</f>
        <v>14800</v>
      </c>
      <c r="U41" s="233">
        <f t="shared" si="6"/>
        <v>33800</v>
      </c>
      <c r="V41" s="233">
        <f t="shared" si="7"/>
        <v>35900</v>
      </c>
      <c r="W41" s="234">
        <v>0</v>
      </c>
      <c r="X41" s="234">
        <f t="shared" si="8"/>
        <v>1284.3999999999999</v>
      </c>
      <c r="Y41" s="234">
        <f t="shared" si="9"/>
        <v>676</v>
      </c>
      <c r="Z41" s="234">
        <f t="shared" si="10"/>
        <v>3590</v>
      </c>
      <c r="AA41" s="234">
        <f t="shared" si="11"/>
        <v>31839.599999999999</v>
      </c>
      <c r="AB41" s="234">
        <f t="shared" si="12"/>
        <v>32310</v>
      </c>
      <c r="AC41" s="234">
        <f t="shared" si="13"/>
        <v>318.39600000000002</v>
      </c>
      <c r="AD41" s="101">
        <f t="shared" si="14"/>
        <v>10411.203999999998</v>
      </c>
      <c r="AE41" s="101">
        <f t="shared" si="15"/>
        <v>10881.603999999999</v>
      </c>
      <c r="AF41" s="235">
        <f t="shared" ref="AF41:AG41" si="65">AD41/U41</f>
        <v>0.30802378698224847</v>
      </c>
      <c r="AG41" s="235">
        <f t="shared" si="65"/>
        <v>0.30310874651810582</v>
      </c>
      <c r="AH41" s="103"/>
      <c r="AI41" s="104"/>
      <c r="AJ41" s="17"/>
      <c r="AK41" s="17"/>
      <c r="AL41" s="17"/>
      <c r="AM41" s="17"/>
      <c r="AN41" s="17"/>
      <c r="AO41" s="17"/>
      <c r="AP41" s="17"/>
      <c r="AQ41" s="17"/>
      <c r="AR41" s="17"/>
      <c r="AS41" s="17"/>
      <c r="AT41" s="17"/>
      <c r="AU41" s="17"/>
    </row>
    <row r="42" spans="1:47" ht="13.2">
      <c r="A42" s="302"/>
      <c r="B42" s="302"/>
      <c r="C42" s="302"/>
      <c r="D42" s="302"/>
      <c r="E42" s="302"/>
      <c r="F42" s="91" t="s">
        <v>134</v>
      </c>
      <c r="G42" s="237" t="str">
        <f t="shared" si="62"/>
        <v>A</v>
      </c>
      <c r="H42" s="93"/>
      <c r="I42" s="95">
        <v>69</v>
      </c>
      <c r="J42" s="228">
        <f t="shared" si="1"/>
        <v>2.1875</v>
      </c>
      <c r="K42" s="228">
        <v>35</v>
      </c>
      <c r="L42" s="228">
        <f t="shared" si="21"/>
        <v>0.99223249999999996</v>
      </c>
      <c r="M42" s="95">
        <v>0</v>
      </c>
      <c r="N42" s="95">
        <v>0</v>
      </c>
      <c r="O42" s="230">
        <f t="shared" si="2"/>
        <v>69</v>
      </c>
      <c r="P42" s="231">
        <f t="shared" si="3"/>
        <v>13110</v>
      </c>
      <c r="Q42" s="232">
        <f>ROUNDUP(HLOOKUP(IF(CEILING(L42,0.5)&lt;1,1,CEILING(L42,0.5)),'배송비 조회'!A$32:AY$36,2,0),-2)</f>
        <v>8000</v>
      </c>
      <c r="R42" s="232">
        <v>0</v>
      </c>
      <c r="S42" s="231">
        <f t="shared" si="63"/>
        <v>12700</v>
      </c>
      <c r="T42" s="231">
        <f t="shared" si="64"/>
        <v>14800</v>
      </c>
      <c r="U42" s="233">
        <f t="shared" si="6"/>
        <v>33800</v>
      </c>
      <c r="V42" s="233">
        <f t="shared" si="7"/>
        <v>35900</v>
      </c>
      <c r="W42" s="234">
        <v>0</v>
      </c>
      <c r="X42" s="234">
        <f t="shared" si="8"/>
        <v>1284.3999999999999</v>
      </c>
      <c r="Y42" s="234">
        <f t="shared" si="9"/>
        <v>676</v>
      </c>
      <c r="Z42" s="234">
        <f t="shared" si="10"/>
        <v>3590</v>
      </c>
      <c r="AA42" s="234">
        <f t="shared" si="11"/>
        <v>31839.599999999999</v>
      </c>
      <c r="AB42" s="234">
        <f t="shared" si="12"/>
        <v>32310</v>
      </c>
      <c r="AC42" s="234">
        <f t="shared" si="13"/>
        <v>318.39600000000002</v>
      </c>
      <c r="AD42" s="101">
        <f t="shared" si="14"/>
        <v>10411.203999999998</v>
      </c>
      <c r="AE42" s="101">
        <f t="shared" si="15"/>
        <v>10881.603999999999</v>
      </c>
      <c r="AF42" s="235">
        <f t="shared" ref="AF42:AG42" si="66">AD42/U42</f>
        <v>0.30802378698224847</v>
      </c>
      <c r="AG42" s="235">
        <f t="shared" si="66"/>
        <v>0.30310874651810582</v>
      </c>
      <c r="AH42" s="103"/>
      <c r="AI42" s="104"/>
      <c r="AJ42" s="17"/>
      <c r="AK42" s="17"/>
      <c r="AL42" s="17"/>
      <c r="AM42" s="17"/>
      <c r="AN42" s="17"/>
      <c r="AO42" s="17"/>
      <c r="AP42" s="17"/>
      <c r="AQ42" s="17"/>
      <c r="AR42" s="17"/>
      <c r="AS42" s="17"/>
      <c r="AT42" s="17"/>
      <c r="AU42" s="17"/>
    </row>
    <row r="43" spans="1:47" ht="13.2">
      <c r="A43" s="302"/>
      <c r="B43" s="302"/>
      <c r="C43" s="302"/>
      <c r="D43" s="302"/>
      <c r="E43" s="302"/>
      <c r="F43" s="91" t="s">
        <v>144</v>
      </c>
      <c r="G43" s="237" t="str">
        <f t="shared" si="62"/>
        <v>A</v>
      </c>
      <c r="H43" s="93"/>
      <c r="I43" s="95">
        <v>69</v>
      </c>
      <c r="J43" s="228">
        <f t="shared" si="1"/>
        <v>2.1875</v>
      </c>
      <c r="K43" s="228">
        <v>35</v>
      </c>
      <c r="L43" s="228">
        <f t="shared" si="21"/>
        <v>0.99223249999999996</v>
      </c>
      <c r="M43" s="95">
        <v>0</v>
      </c>
      <c r="N43" s="95">
        <v>0</v>
      </c>
      <c r="O43" s="230">
        <f t="shared" si="2"/>
        <v>69</v>
      </c>
      <c r="P43" s="231">
        <f t="shared" si="3"/>
        <v>13110</v>
      </c>
      <c r="Q43" s="232">
        <f>ROUNDUP(HLOOKUP(IF(CEILING(L43,0.5)&lt;1,1,CEILING(L43,0.5)),'배송비 조회'!A$32:AY$36,2,0),-2)</f>
        <v>8000</v>
      </c>
      <c r="R43" s="232">
        <v>0</v>
      </c>
      <c r="S43" s="231">
        <f t="shared" si="63"/>
        <v>12700</v>
      </c>
      <c r="T43" s="231">
        <f t="shared" si="64"/>
        <v>14800</v>
      </c>
      <c r="U43" s="233">
        <f t="shared" si="6"/>
        <v>33800</v>
      </c>
      <c r="V43" s="233">
        <f t="shared" si="7"/>
        <v>35900</v>
      </c>
      <c r="W43" s="234">
        <v>0</v>
      </c>
      <c r="X43" s="234">
        <f t="shared" si="8"/>
        <v>1284.3999999999999</v>
      </c>
      <c r="Y43" s="234">
        <f t="shared" si="9"/>
        <v>676</v>
      </c>
      <c r="Z43" s="234">
        <f t="shared" si="10"/>
        <v>3590</v>
      </c>
      <c r="AA43" s="234">
        <f t="shared" si="11"/>
        <v>31839.599999999999</v>
      </c>
      <c r="AB43" s="234">
        <f t="shared" si="12"/>
        <v>32310</v>
      </c>
      <c r="AC43" s="234">
        <f t="shared" si="13"/>
        <v>318.39600000000002</v>
      </c>
      <c r="AD43" s="101">
        <f t="shared" si="14"/>
        <v>10411.203999999998</v>
      </c>
      <c r="AE43" s="101">
        <f t="shared" si="15"/>
        <v>10881.603999999999</v>
      </c>
      <c r="AF43" s="235">
        <f t="shared" ref="AF43:AG43" si="67">AD43/U43</f>
        <v>0.30802378698224847</v>
      </c>
      <c r="AG43" s="235">
        <f t="shared" si="67"/>
        <v>0.30310874651810582</v>
      </c>
      <c r="AH43" s="103"/>
      <c r="AI43" s="104"/>
      <c r="AJ43" s="17"/>
      <c r="AK43" s="17"/>
      <c r="AL43" s="17"/>
      <c r="AM43" s="17"/>
      <c r="AN43" s="17"/>
      <c r="AO43" s="17"/>
      <c r="AP43" s="17"/>
      <c r="AQ43" s="17"/>
      <c r="AR43" s="17"/>
      <c r="AS43" s="17"/>
      <c r="AT43" s="17"/>
      <c r="AU43" s="17"/>
    </row>
    <row r="44" spans="1:47" ht="13.2">
      <c r="A44" s="302"/>
      <c r="B44" s="302"/>
      <c r="C44" s="302"/>
      <c r="D44" s="302"/>
      <c r="E44" s="302"/>
      <c r="F44" s="91" t="s">
        <v>174</v>
      </c>
      <c r="G44" s="237" t="str">
        <f t="shared" si="62"/>
        <v>A</v>
      </c>
      <c r="H44" s="93"/>
      <c r="I44" s="95">
        <v>69</v>
      </c>
      <c r="J44" s="228">
        <f t="shared" si="1"/>
        <v>2.1875</v>
      </c>
      <c r="K44" s="228">
        <v>35</v>
      </c>
      <c r="L44" s="228">
        <f t="shared" si="21"/>
        <v>0.99223249999999996</v>
      </c>
      <c r="M44" s="95">
        <v>0</v>
      </c>
      <c r="N44" s="95">
        <v>0</v>
      </c>
      <c r="O44" s="230">
        <f t="shared" si="2"/>
        <v>69</v>
      </c>
      <c r="P44" s="231">
        <f t="shared" si="3"/>
        <v>13110</v>
      </c>
      <c r="Q44" s="232">
        <f>ROUNDUP(HLOOKUP(IF(CEILING(L44,0.5)&lt;1,1,CEILING(L44,0.5)),'배송비 조회'!A$32:AY$36,2,0),-2)</f>
        <v>8000</v>
      </c>
      <c r="R44" s="232">
        <v>0</v>
      </c>
      <c r="S44" s="231">
        <f t="shared" si="63"/>
        <v>12700</v>
      </c>
      <c r="T44" s="231">
        <f t="shared" si="64"/>
        <v>14800</v>
      </c>
      <c r="U44" s="233">
        <f t="shared" si="6"/>
        <v>33800</v>
      </c>
      <c r="V44" s="233">
        <f t="shared" si="7"/>
        <v>35900</v>
      </c>
      <c r="W44" s="234">
        <v>0</v>
      </c>
      <c r="X44" s="234">
        <f t="shared" si="8"/>
        <v>1284.3999999999999</v>
      </c>
      <c r="Y44" s="234">
        <f t="shared" si="9"/>
        <v>676</v>
      </c>
      <c r="Z44" s="234">
        <f t="shared" si="10"/>
        <v>3590</v>
      </c>
      <c r="AA44" s="234">
        <f t="shared" si="11"/>
        <v>31839.599999999999</v>
      </c>
      <c r="AB44" s="234">
        <f t="shared" si="12"/>
        <v>32310</v>
      </c>
      <c r="AC44" s="234">
        <f t="shared" si="13"/>
        <v>318.39600000000002</v>
      </c>
      <c r="AD44" s="101">
        <f t="shared" si="14"/>
        <v>10411.203999999998</v>
      </c>
      <c r="AE44" s="101">
        <f t="shared" si="15"/>
        <v>10881.603999999999</v>
      </c>
      <c r="AF44" s="235">
        <f t="shared" ref="AF44:AG44" si="68">AD44/U44</f>
        <v>0.30802378698224847</v>
      </c>
      <c r="AG44" s="235">
        <f t="shared" si="68"/>
        <v>0.30310874651810582</v>
      </c>
      <c r="AH44" s="103"/>
      <c r="AI44" s="104"/>
      <c r="AJ44" s="17"/>
      <c r="AK44" s="17"/>
      <c r="AL44" s="17"/>
      <c r="AM44" s="17"/>
      <c r="AN44" s="17"/>
      <c r="AO44" s="17"/>
      <c r="AP44" s="17"/>
      <c r="AQ44" s="17"/>
      <c r="AR44" s="17"/>
      <c r="AS44" s="17"/>
      <c r="AT44" s="17"/>
      <c r="AU44" s="17"/>
    </row>
    <row r="45" spans="1:47" ht="13.2">
      <c r="A45" s="302"/>
      <c r="B45" s="302"/>
      <c r="C45" s="302"/>
      <c r="D45" s="302"/>
      <c r="E45" s="302"/>
      <c r="F45" s="91" t="s">
        <v>189</v>
      </c>
      <c r="G45" s="237" t="str">
        <f t="shared" si="62"/>
        <v>A</v>
      </c>
      <c r="H45" s="93"/>
      <c r="I45" s="95">
        <v>69</v>
      </c>
      <c r="J45" s="228">
        <f t="shared" si="1"/>
        <v>2.1875</v>
      </c>
      <c r="K45" s="228">
        <v>35</v>
      </c>
      <c r="L45" s="228">
        <f t="shared" si="21"/>
        <v>0.99223249999999996</v>
      </c>
      <c r="M45" s="95">
        <v>0</v>
      </c>
      <c r="N45" s="95">
        <v>0</v>
      </c>
      <c r="O45" s="230">
        <f t="shared" si="2"/>
        <v>69</v>
      </c>
      <c r="P45" s="231">
        <f t="shared" si="3"/>
        <v>13110</v>
      </c>
      <c r="Q45" s="232">
        <f>ROUNDUP(HLOOKUP(IF(CEILING(L45,0.5)&lt;1,1,CEILING(L45,0.5)),'배송비 조회'!A$32:AY$36,2,0),-2)</f>
        <v>8000</v>
      </c>
      <c r="R45" s="232">
        <v>0</v>
      </c>
      <c r="S45" s="231">
        <f t="shared" si="63"/>
        <v>12700</v>
      </c>
      <c r="T45" s="231">
        <f t="shared" si="64"/>
        <v>14800</v>
      </c>
      <c r="U45" s="233">
        <f t="shared" si="6"/>
        <v>33800</v>
      </c>
      <c r="V45" s="233">
        <f t="shared" si="7"/>
        <v>35900</v>
      </c>
      <c r="W45" s="234">
        <v>0</v>
      </c>
      <c r="X45" s="234">
        <f t="shared" si="8"/>
        <v>1284.3999999999999</v>
      </c>
      <c r="Y45" s="234">
        <f t="shared" si="9"/>
        <v>676</v>
      </c>
      <c r="Z45" s="234">
        <f t="shared" si="10"/>
        <v>3590</v>
      </c>
      <c r="AA45" s="234">
        <f t="shared" si="11"/>
        <v>31839.599999999999</v>
      </c>
      <c r="AB45" s="234">
        <f t="shared" si="12"/>
        <v>32310</v>
      </c>
      <c r="AC45" s="234">
        <f t="shared" si="13"/>
        <v>318.39600000000002</v>
      </c>
      <c r="AD45" s="101">
        <f t="shared" si="14"/>
        <v>10411.203999999998</v>
      </c>
      <c r="AE45" s="101">
        <f t="shared" si="15"/>
        <v>10881.603999999999</v>
      </c>
      <c r="AF45" s="235">
        <f t="shared" ref="AF45:AG45" si="69">AD45/U45</f>
        <v>0.30802378698224847</v>
      </c>
      <c r="AG45" s="235">
        <f t="shared" si="69"/>
        <v>0.30310874651810582</v>
      </c>
      <c r="AH45" s="103"/>
      <c r="AI45" s="104"/>
      <c r="AJ45" s="17"/>
      <c r="AK45" s="17"/>
      <c r="AL45" s="17"/>
      <c r="AM45" s="17"/>
      <c r="AN45" s="17"/>
      <c r="AO45" s="17"/>
      <c r="AP45" s="17"/>
      <c r="AQ45" s="17"/>
      <c r="AR45" s="17"/>
      <c r="AS45" s="17"/>
      <c r="AT45" s="17"/>
      <c r="AU45" s="17"/>
    </row>
    <row r="46" spans="1:47" ht="13.2">
      <c r="A46" s="302"/>
      <c r="B46" s="302"/>
      <c r="C46" s="302"/>
      <c r="D46" s="302"/>
      <c r="E46" s="302"/>
      <c r="F46" s="91" t="s">
        <v>190</v>
      </c>
      <c r="G46" s="237" t="str">
        <f t="shared" si="62"/>
        <v>A</v>
      </c>
      <c r="H46" s="93"/>
      <c r="I46" s="95">
        <v>69</v>
      </c>
      <c r="J46" s="228">
        <f t="shared" si="1"/>
        <v>2.1875</v>
      </c>
      <c r="K46" s="228">
        <v>35</v>
      </c>
      <c r="L46" s="228">
        <f t="shared" si="21"/>
        <v>0.99223249999999996</v>
      </c>
      <c r="M46" s="95">
        <v>0</v>
      </c>
      <c r="N46" s="95">
        <v>0</v>
      </c>
      <c r="O46" s="230">
        <f t="shared" si="2"/>
        <v>69</v>
      </c>
      <c r="P46" s="231">
        <f t="shared" si="3"/>
        <v>13110</v>
      </c>
      <c r="Q46" s="232">
        <f>ROUNDUP(HLOOKUP(IF(CEILING(L46,0.5)&lt;1,1,CEILING(L46,0.5)),'배송비 조회'!A$32:AY$36,2,0),-2)</f>
        <v>8000</v>
      </c>
      <c r="R46" s="232">
        <v>0</v>
      </c>
      <c r="S46" s="231">
        <f t="shared" si="63"/>
        <v>12700</v>
      </c>
      <c r="T46" s="231">
        <f t="shared" si="64"/>
        <v>14800</v>
      </c>
      <c r="U46" s="233">
        <f t="shared" si="6"/>
        <v>33800</v>
      </c>
      <c r="V46" s="233">
        <f t="shared" si="7"/>
        <v>35900</v>
      </c>
      <c r="W46" s="234">
        <v>0</v>
      </c>
      <c r="X46" s="234">
        <f t="shared" si="8"/>
        <v>1284.3999999999999</v>
      </c>
      <c r="Y46" s="234">
        <f t="shared" si="9"/>
        <v>676</v>
      </c>
      <c r="Z46" s="234">
        <f t="shared" si="10"/>
        <v>3590</v>
      </c>
      <c r="AA46" s="234">
        <f t="shared" si="11"/>
        <v>31839.599999999999</v>
      </c>
      <c r="AB46" s="234">
        <f t="shared" si="12"/>
        <v>32310</v>
      </c>
      <c r="AC46" s="234">
        <f t="shared" si="13"/>
        <v>318.39600000000002</v>
      </c>
      <c r="AD46" s="101">
        <f t="shared" si="14"/>
        <v>10411.203999999998</v>
      </c>
      <c r="AE46" s="101">
        <f t="shared" si="15"/>
        <v>10881.603999999999</v>
      </c>
      <c r="AF46" s="235">
        <f t="shared" ref="AF46:AG46" si="70">AD46/U46</f>
        <v>0.30802378698224847</v>
      </c>
      <c r="AG46" s="235">
        <f t="shared" si="70"/>
        <v>0.30310874651810582</v>
      </c>
      <c r="AH46" s="103"/>
      <c r="AI46" s="104"/>
      <c r="AJ46" s="17"/>
      <c r="AK46" s="17"/>
      <c r="AL46" s="17"/>
      <c r="AM46" s="17"/>
      <c r="AN46" s="17"/>
      <c r="AO46" s="17"/>
      <c r="AP46" s="17"/>
      <c r="AQ46" s="17"/>
      <c r="AR46" s="17"/>
      <c r="AS46" s="17"/>
      <c r="AT46" s="17"/>
      <c r="AU46" s="17"/>
    </row>
    <row r="47" spans="1:47" ht="13.2">
      <c r="A47" s="89" t="str">
        <f>HYPERLINK("https://smartstore.naver.com/brickstore2019/products/4730120153","4730120153")</f>
        <v>4730120153</v>
      </c>
      <c r="B47" s="113"/>
      <c r="C47" s="114" t="s">
        <v>193</v>
      </c>
      <c r="D47" s="114"/>
      <c r="E47" s="114" t="s">
        <v>194</v>
      </c>
      <c r="F47" s="91"/>
      <c r="G47" s="237" t="str">
        <f>HYPERLINK("https://item.taobao.com/item.htm?spm=a230r.1.999.1.5725523cyif3jj&amp;id=581549195418&amp;ns=1#detail","A")</f>
        <v>A</v>
      </c>
      <c r="H47" s="93"/>
      <c r="I47" s="95">
        <v>10</v>
      </c>
      <c r="J47" s="228">
        <f t="shared" si="1"/>
        <v>0.625</v>
      </c>
      <c r="K47" s="228">
        <v>10</v>
      </c>
      <c r="L47" s="228">
        <f t="shared" si="21"/>
        <v>0.283495</v>
      </c>
      <c r="M47" s="95">
        <v>0</v>
      </c>
      <c r="N47" s="95">
        <v>0</v>
      </c>
      <c r="O47" s="230">
        <f t="shared" si="2"/>
        <v>10</v>
      </c>
      <c r="P47" s="231">
        <f t="shared" si="3"/>
        <v>1900</v>
      </c>
      <c r="Q47" s="232">
        <f>ROUNDUP(HLOOKUP(IF(CEILING(L47,0.5)&lt;1,1,CEILING(L47,0.5)),'배송비 조회'!A$32:AY$36,2,0),-2)</f>
        <v>8000</v>
      </c>
      <c r="R47" s="232">
        <v>0</v>
      </c>
      <c r="S47" s="231">
        <f>ROUND((P47+Q47)*0.3,-2)</f>
        <v>3000</v>
      </c>
      <c r="T47" s="231">
        <f t="shared" si="64"/>
        <v>6900</v>
      </c>
      <c r="U47" s="233">
        <f t="shared" si="6"/>
        <v>12900</v>
      </c>
      <c r="V47" s="233">
        <f t="shared" si="7"/>
        <v>16800</v>
      </c>
      <c r="W47" s="234">
        <v>0</v>
      </c>
      <c r="X47" s="234">
        <f t="shared" si="8"/>
        <v>490.2</v>
      </c>
      <c r="Y47" s="234">
        <f t="shared" si="9"/>
        <v>258</v>
      </c>
      <c r="Z47" s="234">
        <f t="shared" si="10"/>
        <v>1680</v>
      </c>
      <c r="AA47" s="234">
        <f t="shared" si="11"/>
        <v>12151.8</v>
      </c>
      <c r="AB47" s="234">
        <f t="shared" si="12"/>
        <v>15120</v>
      </c>
      <c r="AC47" s="234">
        <f t="shared" si="13"/>
        <v>121.518</v>
      </c>
      <c r="AD47" s="101">
        <f t="shared" si="14"/>
        <v>2130.2819999999992</v>
      </c>
      <c r="AE47" s="101">
        <f t="shared" si="15"/>
        <v>5098.482</v>
      </c>
      <c r="AF47" s="235">
        <f t="shared" ref="AF47:AG47" si="71">AD47/U47</f>
        <v>0.16513813953488365</v>
      </c>
      <c r="AG47" s="235">
        <f t="shared" si="71"/>
        <v>0.30348107142857145</v>
      </c>
      <c r="AH47" s="103">
        <f>U47-8000</f>
        <v>4900</v>
      </c>
      <c r="AI47" s="122" t="s">
        <v>197</v>
      </c>
      <c r="AJ47" s="17"/>
      <c r="AK47" s="17"/>
      <c r="AL47" s="17"/>
      <c r="AM47" s="17"/>
      <c r="AN47" s="17"/>
      <c r="AO47" s="17"/>
      <c r="AP47" s="17"/>
      <c r="AQ47" s="17"/>
      <c r="AR47" s="17"/>
      <c r="AS47" s="17"/>
      <c r="AT47" s="17"/>
      <c r="AU47" s="17"/>
    </row>
    <row r="48" spans="1:47" ht="13.2">
      <c r="A48" s="89" t="str">
        <f>HYPERLINK("https://smartstore.naver.com/brickstore2019/products/4732241814","4732241814")</f>
        <v>4732241814</v>
      </c>
      <c r="B48" s="113"/>
      <c r="C48" s="114" t="s">
        <v>198</v>
      </c>
      <c r="D48" s="114"/>
      <c r="E48" s="114" t="s">
        <v>199</v>
      </c>
      <c r="F48" s="91"/>
      <c r="G48" s="237" t="str">
        <f>HYPERLINK("https://detail.tmall.com/item.htm?id=581725264948&amp;ali_refid=a3_430009_1006:1173110056:N:TB5F/iydVvKlrBgtp3KBo5E1Q2ltCGHc:e11c115c34d3e54df1db6ede23d64dbf&amp;ali_trackid=1_e11c115c34d3e54df1db6ede23d64dbf&amp;spm=a230r.1.0.0&amp;skuId=3897437385757","A")</f>
        <v>A</v>
      </c>
      <c r="H48" s="93"/>
      <c r="I48" s="95">
        <v>50</v>
      </c>
      <c r="J48" s="228">
        <f t="shared" si="1"/>
        <v>3.125</v>
      </c>
      <c r="K48" s="228">
        <v>50</v>
      </c>
      <c r="L48" s="228">
        <f t="shared" si="21"/>
        <v>1.417475</v>
      </c>
      <c r="M48" s="95">
        <v>0</v>
      </c>
      <c r="N48" s="95">
        <v>0</v>
      </c>
      <c r="O48" s="230">
        <f t="shared" si="2"/>
        <v>50</v>
      </c>
      <c r="P48" s="231">
        <f t="shared" si="3"/>
        <v>9500</v>
      </c>
      <c r="Q48" s="232">
        <f>ROUNDUP(HLOOKUP(IF(CEILING(L48,0.5)&lt;1,1,CEILING(L48,0.5)),'배송비 조회'!A$32:AY$36,2,0),-2)</f>
        <v>8800</v>
      </c>
      <c r="R48" s="232">
        <v>0</v>
      </c>
      <c r="S48" s="231">
        <f t="shared" ref="S48:S51" si="72">ROUND((P48+Q48)*0.5,-2)</f>
        <v>9200</v>
      </c>
      <c r="T48" s="231">
        <f t="shared" si="64"/>
        <v>12800</v>
      </c>
      <c r="U48" s="233">
        <f t="shared" si="6"/>
        <v>27500</v>
      </c>
      <c r="V48" s="233">
        <f t="shared" si="7"/>
        <v>31100</v>
      </c>
      <c r="W48" s="234">
        <v>0</v>
      </c>
      <c r="X48" s="234">
        <f t="shared" si="8"/>
        <v>1045</v>
      </c>
      <c r="Y48" s="234">
        <f t="shared" si="9"/>
        <v>550</v>
      </c>
      <c r="Z48" s="234">
        <f t="shared" si="10"/>
        <v>3110</v>
      </c>
      <c r="AA48" s="234">
        <f t="shared" si="11"/>
        <v>25905</v>
      </c>
      <c r="AB48" s="234">
        <f t="shared" si="12"/>
        <v>27990</v>
      </c>
      <c r="AC48" s="234">
        <f t="shared" si="13"/>
        <v>259.05</v>
      </c>
      <c r="AD48" s="101">
        <f t="shared" si="14"/>
        <v>7345.9500000000007</v>
      </c>
      <c r="AE48" s="101">
        <f t="shared" si="15"/>
        <v>9430.9500000000007</v>
      </c>
      <c r="AF48" s="235">
        <f t="shared" ref="AF48:AG48" si="73">AD48/U48</f>
        <v>0.26712545454545455</v>
      </c>
      <c r="AG48" s="235">
        <f t="shared" si="73"/>
        <v>0.3032459807073955</v>
      </c>
      <c r="AH48" s="103"/>
      <c r="AI48" s="104"/>
      <c r="AJ48" s="17"/>
      <c r="AK48" s="17"/>
      <c r="AL48" s="17"/>
      <c r="AM48" s="17"/>
      <c r="AN48" s="17"/>
      <c r="AO48" s="17"/>
      <c r="AP48" s="17"/>
      <c r="AQ48" s="17"/>
      <c r="AR48" s="17"/>
      <c r="AS48" s="17"/>
      <c r="AT48" s="17"/>
      <c r="AU48" s="17"/>
    </row>
    <row r="49" spans="1:47" ht="13.2">
      <c r="A49" s="301" t="str">
        <f>HYPERLINK("https://smartstore.naver.com/brickstore2019/products/4734421038","4734421038")</f>
        <v>4734421038</v>
      </c>
      <c r="B49" s="361"/>
      <c r="C49" s="307" t="s">
        <v>205</v>
      </c>
      <c r="D49" s="307"/>
      <c r="E49" s="307"/>
      <c r="F49" s="91" t="s">
        <v>206</v>
      </c>
      <c r="G49" s="237" t="str">
        <f>HYPERLINK("https://detail.tmall.com/item.htm?spm=a230r.1.999.8.345a523cFMXJQr&amp;id=42101494257&amp;ns=1&amp;skuId=3941368635912","A")</f>
        <v>A</v>
      </c>
      <c r="H49" s="93"/>
      <c r="I49" s="95">
        <v>30</v>
      </c>
      <c r="J49" s="228">
        <f t="shared" si="1"/>
        <v>2.1875</v>
      </c>
      <c r="K49" s="228">
        <v>35</v>
      </c>
      <c r="L49" s="228">
        <f t="shared" si="21"/>
        <v>0.99223249999999996</v>
      </c>
      <c r="M49" s="95">
        <v>0</v>
      </c>
      <c r="N49" s="95">
        <v>0</v>
      </c>
      <c r="O49" s="230">
        <f t="shared" si="2"/>
        <v>30</v>
      </c>
      <c r="P49" s="231">
        <f t="shared" si="3"/>
        <v>5700</v>
      </c>
      <c r="Q49" s="232">
        <f>ROUNDUP(HLOOKUP(IF(CEILING(L49,0.5)&lt;1,1,CEILING(L49,0.5)),'배송비 조회'!A$32:AY$36,2,0),-2)</f>
        <v>8000</v>
      </c>
      <c r="R49" s="232">
        <v>0</v>
      </c>
      <c r="S49" s="231">
        <f t="shared" si="72"/>
        <v>6900</v>
      </c>
      <c r="T49" s="231">
        <f t="shared" si="64"/>
        <v>9600</v>
      </c>
      <c r="U49" s="233">
        <f t="shared" si="6"/>
        <v>20600</v>
      </c>
      <c r="V49" s="233">
        <f t="shared" si="7"/>
        <v>23300</v>
      </c>
      <c r="W49" s="234">
        <v>0</v>
      </c>
      <c r="X49" s="234">
        <f t="shared" si="8"/>
        <v>782.8</v>
      </c>
      <c r="Y49" s="234">
        <f t="shared" si="9"/>
        <v>412</v>
      </c>
      <c r="Z49" s="234">
        <f t="shared" si="10"/>
        <v>2330</v>
      </c>
      <c r="AA49" s="234">
        <f t="shared" si="11"/>
        <v>19405.2</v>
      </c>
      <c r="AB49" s="234">
        <f t="shared" si="12"/>
        <v>20970</v>
      </c>
      <c r="AC49" s="234">
        <f t="shared" si="13"/>
        <v>194.05200000000002</v>
      </c>
      <c r="AD49" s="101">
        <f t="shared" si="14"/>
        <v>5511.148000000001</v>
      </c>
      <c r="AE49" s="101">
        <f t="shared" si="15"/>
        <v>7075.9480000000003</v>
      </c>
      <c r="AF49" s="235">
        <f t="shared" ref="AF49:AG49" si="74">AD49/U49</f>
        <v>0.26753145631067965</v>
      </c>
      <c r="AG49" s="235">
        <f t="shared" si="74"/>
        <v>0.30368875536480688</v>
      </c>
      <c r="AH49" s="103"/>
      <c r="AI49" s="104"/>
      <c r="AJ49" s="17"/>
      <c r="AK49" s="17"/>
      <c r="AL49" s="17"/>
      <c r="AM49" s="17"/>
      <c r="AN49" s="17"/>
      <c r="AO49" s="17"/>
      <c r="AP49" s="17"/>
      <c r="AQ49" s="17"/>
      <c r="AR49" s="17"/>
      <c r="AS49" s="17"/>
      <c r="AT49" s="17"/>
      <c r="AU49" s="17"/>
    </row>
    <row r="50" spans="1:47" ht="13.2">
      <c r="A50" s="302"/>
      <c r="B50" s="302"/>
      <c r="C50" s="302"/>
      <c r="D50" s="302"/>
      <c r="E50" s="302"/>
      <c r="F50" s="91" t="s">
        <v>209</v>
      </c>
      <c r="G50" s="237" t="str">
        <f>HYPERLINK("https://detail.tmall.com/item.htm?spm=a230r.1.999.8.345a523cFMXJQr&amp;id=42101494257&amp;ns=1&amp;skuId=3941368635904","A")</f>
        <v>A</v>
      </c>
      <c r="H50" s="93"/>
      <c r="I50" s="95">
        <v>30</v>
      </c>
      <c r="J50" s="228">
        <f t="shared" si="1"/>
        <v>2.1875</v>
      </c>
      <c r="K50" s="228">
        <v>35</v>
      </c>
      <c r="L50" s="228">
        <f t="shared" si="21"/>
        <v>0.99223249999999996</v>
      </c>
      <c r="M50" s="95">
        <v>0</v>
      </c>
      <c r="N50" s="95">
        <v>0</v>
      </c>
      <c r="O50" s="230">
        <f t="shared" si="2"/>
        <v>30</v>
      </c>
      <c r="P50" s="231">
        <f t="shared" si="3"/>
        <v>5700</v>
      </c>
      <c r="Q50" s="232">
        <f>ROUNDUP(HLOOKUP(IF(CEILING(L50,0.5)&lt;1,1,CEILING(L50,0.5)),'배송비 조회'!A$32:AY$36,2,0),-2)</f>
        <v>8000</v>
      </c>
      <c r="R50" s="232">
        <v>0</v>
      </c>
      <c r="S50" s="231">
        <f t="shared" si="72"/>
        <v>6900</v>
      </c>
      <c r="T50" s="231">
        <f t="shared" si="64"/>
        <v>9600</v>
      </c>
      <c r="U50" s="233">
        <f t="shared" si="6"/>
        <v>20600</v>
      </c>
      <c r="V50" s="233">
        <f t="shared" si="7"/>
        <v>23300</v>
      </c>
      <c r="W50" s="234">
        <v>0</v>
      </c>
      <c r="X50" s="234">
        <f t="shared" si="8"/>
        <v>782.8</v>
      </c>
      <c r="Y50" s="234">
        <f t="shared" si="9"/>
        <v>412</v>
      </c>
      <c r="Z50" s="234">
        <f t="shared" si="10"/>
        <v>2330</v>
      </c>
      <c r="AA50" s="234">
        <f t="shared" si="11"/>
        <v>19405.2</v>
      </c>
      <c r="AB50" s="234">
        <f t="shared" si="12"/>
        <v>20970</v>
      </c>
      <c r="AC50" s="234">
        <f t="shared" si="13"/>
        <v>194.05200000000002</v>
      </c>
      <c r="AD50" s="101">
        <f t="shared" si="14"/>
        <v>5511.148000000001</v>
      </c>
      <c r="AE50" s="101">
        <f t="shared" si="15"/>
        <v>7075.9480000000003</v>
      </c>
      <c r="AF50" s="235">
        <f t="shared" ref="AF50:AG50" si="75">AD50/U50</f>
        <v>0.26753145631067965</v>
      </c>
      <c r="AG50" s="235">
        <f t="shared" si="75"/>
        <v>0.30368875536480688</v>
      </c>
      <c r="AH50" s="103"/>
      <c r="AI50" s="104"/>
      <c r="AJ50" s="17"/>
      <c r="AK50" s="17"/>
      <c r="AL50" s="17"/>
      <c r="AM50" s="17"/>
      <c r="AN50" s="17"/>
      <c r="AO50" s="17"/>
      <c r="AP50" s="17"/>
      <c r="AQ50" s="17"/>
      <c r="AR50" s="17"/>
      <c r="AS50" s="17"/>
      <c r="AT50" s="17"/>
      <c r="AU50" s="17"/>
    </row>
    <row r="51" spans="1:47" ht="13.2">
      <c r="A51" s="302"/>
      <c r="B51" s="302"/>
      <c r="C51" s="302"/>
      <c r="D51" s="302"/>
      <c r="E51" s="302"/>
      <c r="F51" s="91" t="s">
        <v>212</v>
      </c>
      <c r="G51" s="237" t="str">
        <f>HYPERLINK("https://detail.tmall.com/item.htm?spm=a230r.1.999.8.345a523cFMXJQr&amp;id=42101494257&amp;ns=1&amp;skuId=3941368635911","A")</f>
        <v>A</v>
      </c>
      <c r="H51" s="93"/>
      <c r="I51" s="95">
        <v>30</v>
      </c>
      <c r="J51" s="228">
        <f t="shared" si="1"/>
        <v>2.1875</v>
      </c>
      <c r="K51" s="228">
        <v>35</v>
      </c>
      <c r="L51" s="228">
        <f t="shared" si="21"/>
        <v>0.99223249999999996</v>
      </c>
      <c r="M51" s="95">
        <v>0</v>
      </c>
      <c r="N51" s="95">
        <v>0</v>
      </c>
      <c r="O51" s="230">
        <f t="shared" si="2"/>
        <v>30</v>
      </c>
      <c r="P51" s="231">
        <f t="shared" si="3"/>
        <v>5700</v>
      </c>
      <c r="Q51" s="232">
        <f>ROUNDUP(HLOOKUP(IF(CEILING(L51,0.5)&lt;1,1,CEILING(L51,0.5)),'배송비 조회'!A$32:AY$36,2,0),-2)</f>
        <v>8000</v>
      </c>
      <c r="R51" s="232">
        <v>0</v>
      </c>
      <c r="S51" s="231">
        <f t="shared" si="72"/>
        <v>6900</v>
      </c>
      <c r="T51" s="231">
        <f t="shared" si="64"/>
        <v>9600</v>
      </c>
      <c r="U51" s="233">
        <f t="shared" si="6"/>
        <v>20600</v>
      </c>
      <c r="V51" s="233">
        <f t="shared" si="7"/>
        <v>23300</v>
      </c>
      <c r="W51" s="234">
        <v>0</v>
      </c>
      <c r="X51" s="234">
        <f t="shared" si="8"/>
        <v>782.8</v>
      </c>
      <c r="Y51" s="234">
        <f t="shared" si="9"/>
        <v>412</v>
      </c>
      <c r="Z51" s="234">
        <f t="shared" si="10"/>
        <v>2330</v>
      </c>
      <c r="AA51" s="234">
        <f t="shared" si="11"/>
        <v>19405.2</v>
      </c>
      <c r="AB51" s="234">
        <f t="shared" si="12"/>
        <v>20970</v>
      </c>
      <c r="AC51" s="234">
        <f t="shared" si="13"/>
        <v>194.05200000000002</v>
      </c>
      <c r="AD51" s="101">
        <f t="shared" si="14"/>
        <v>5511.148000000001</v>
      </c>
      <c r="AE51" s="101">
        <f t="shared" si="15"/>
        <v>7075.9480000000003</v>
      </c>
      <c r="AF51" s="235">
        <f t="shared" ref="AF51:AG51" si="76">AD51/U51</f>
        <v>0.26753145631067965</v>
      </c>
      <c r="AG51" s="235">
        <f t="shared" si="76"/>
        <v>0.30368875536480688</v>
      </c>
      <c r="AH51" s="103"/>
      <c r="AI51" s="104"/>
      <c r="AJ51" s="17"/>
      <c r="AK51" s="17"/>
      <c r="AL51" s="17"/>
      <c r="AM51" s="17"/>
      <c r="AN51" s="17"/>
      <c r="AO51" s="17"/>
      <c r="AP51" s="17"/>
      <c r="AQ51" s="17"/>
      <c r="AR51" s="17"/>
      <c r="AS51" s="17"/>
      <c r="AT51" s="17"/>
      <c r="AU51" s="17"/>
    </row>
    <row r="52" spans="1:47" ht="13.2">
      <c r="A52" s="301" t="str">
        <f>HYPERLINK("https://smartstore.naver.com/brickstore2019/products/4734477328","4734477328")</f>
        <v>4734477328</v>
      </c>
      <c r="B52" s="361"/>
      <c r="C52" s="307" t="s">
        <v>215</v>
      </c>
      <c r="D52" s="307"/>
      <c r="E52" s="114"/>
      <c r="F52" s="91" t="s">
        <v>216</v>
      </c>
      <c r="G52" s="237" t="str">
        <f t="shared" ref="G52:G54" si="77">HYPERLINK("https://item.taobao.com/item.htm?spm=a230r.1.999.191.1584523cFrYtn0&amp;id=600657646615&amp;ns=1#detail","A")</f>
        <v>A</v>
      </c>
      <c r="H52" s="93"/>
      <c r="I52" s="93">
        <v>10</v>
      </c>
      <c r="J52" s="228">
        <f t="shared" si="1"/>
        <v>2.1875</v>
      </c>
      <c r="K52" s="228">
        <v>35</v>
      </c>
      <c r="L52" s="228">
        <f t="shared" si="21"/>
        <v>0.99223249999999996</v>
      </c>
      <c r="M52" s="95">
        <v>0</v>
      </c>
      <c r="N52" s="95">
        <v>0</v>
      </c>
      <c r="O52" s="230">
        <f t="shared" si="2"/>
        <v>10</v>
      </c>
      <c r="P52" s="231">
        <f t="shared" si="3"/>
        <v>1900</v>
      </c>
      <c r="Q52" s="232">
        <f>ROUNDUP(HLOOKUP(IF(CEILING(L52,0.5)&lt;1,1,CEILING(L52,0.5)),'배송비 조회'!A$32:AY$36,2,0),-2)</f>
        <v>8000</v>
      </c>
      <c r="R52" s="232">
        <v>0</v>
      </c>
      <c r="S52" s="231">
        <f t="shared" ref="S52:S54" si="78">ROUND((P52+Q52)*0.6,-2)</f>
        <v>5900</v>
      </c>
      <c r="T52" s="231">
        <f t="shared" si="64"/>
        <v>6900</v>
      </c>
      <c r="U52" s="233">
        <f t="shared" si="6"/>
        <v>15800</v>
      </c>
      <c r="V52" s="233">
        <f t="shared" si="7"/>
        <v>16800</v>
      </c>
      <c r="W52" s="234">
        <v>0</v>
      </c>
      <c r="X52" s="234">
        <f t="shared" si="8"/>
        <v>600.4</v>
      </c>
      <c r="Y52" s="234">
        <f t="shared" si="9"/>
        <v>316</v>
      </c>
      <c r="Z52" s="234">
        <f t="shared" si="10"/>
        <v>1680</v>
      </c>
      <c r="AA52" s="234">
        <f t="shared" si="11"/>
        <v>14883.6</v>
      </c>
      <c r="AB52" s="234">
        <f t="shared" si="12"/>
        <v>15120</v>
      </c>
      <c r="AC52" s="234">
        <f t="shared" si="13"/>
        <v>148.83600000000001</v>
      </c>
      <c r="AD52" s="101">
        <f t="shared" si="14"/>
        <v>4834.764000000001</v>
      </c>
      <c r="AE52" s="101">
        <f t="shared" si="15"/>
        <v>5071.1639999999998</v>
      </c>
      <c r="AF52" s="235">
        <f t="shared" ref="AF52:AG52" si="79">AD52/U52</f>
        <v>0.30599772151898741</v>
      </c>
      <c r="AG52" s="235">
        <f t="shared" si="79"/>
        <v>0.30185499999999998</v>
      </c>
      <c r="AH52" s="103"/>
      <c r="AI52" s="104"/>
      <c r="AJ52" s="17"/>
      <c r="AK52" s="17"/>
      <c r="AL52" s="17"/>
      <c r="AM52" s="17"/>
      <c r="AN52" s="17"/>
      <c r="AO52" s="17"/>
      <c r="AP52" s="17"/>
      <c r="AQ52" s="17"/>
      <c r="AR52" s="17"/>
      <c r="AS52" s="17"/>
      <c r="AT52" s="17"/>
      <c r="AU52" s="17"/>
    </row>
    <row r="53" spans="1:47" ht="13.2">
      <c r="A53" s="302"/>
      <c r="B53" s="302"/>
      <c r="C53" s="302"/>
      <c r="D53" s="302"/>
      <c r="E53" s="114"/>
      <c r="F53" s="91" t="s">
        <v>219</v>
      </c>
      <c r="G53" s="237" t="str">
        <f t="shared" si="77"/>
        <v>A</v>
      </c>
      <c r="H53" s="93"/>
      <c r="I53" s="93">
        <v>13</v>
      </c>
      <c r="J53" s="228">
        <f t="shared" si="1"/>
        <v>2.1875</v>
      </c>
      <c r="K53" s="228">
        <v>35</v>
      </c>
      <c r="L53" s="228">
        <f t="shared" si="21"/>
        <v>0.99223249999999996</v>
      </c>
      <c r="M53" s="95">
        <v>0</v>
      </c>
      <c r="N53" s="95">
        <v>0</v>
      </c>
      <c r="O53" s="230">
        <f t="shared" si="2"/>
        <v>13</v>
      </c>
      <c r="P53" s="231">
        <f t="shared" si="3"/>
        <v>2470</v>
      </c>
      <c r="Q53" s="232">
        <f>ROUNDUP(HLOOKUP(IF(CEILING(L53,0.5)&lt;1,1,CEILING(L53,0.5)),'배송비 조회'!A$32:AY$36,2,0),-2)</f>
        <v>8000</v>
      </c>
      <c r="R53" s="232">
        <v>0</v>
      </c>
      <c r="S53" s="231">
        <f t="shared" si="78"/>
        <v>6300</v>
      </c>
      <c r="T53" s="231">
        <f t="shared" si="64"/>
        <v>7300</v>
      </c>
      <c r="U53" s="233">
        <f t="shared" si="6"/>
        <v>16800</v>
      </c>
      <c r="V53" s="233">
        <f t="shared" si="7"/>
        <v>17800</v>
      </c>
      <c r="W53" s="234">
        <v>0</v>
      </c>
      <c r="X53" s="234">
        <f t="shared" si="8"/>
        <v>638.4</v>
      </c>
      <c r="Y53" s="234">
        <f t="shared" si="9"/>
        <v>336</v>
      </c>
      <c r="Z53" s="234">
        <f t="shared" si="10"/>
        <v>1780</v>
      </c>
      <c r="AA53" s="234">
        <f t="shared" si="11"/>
        <v>15825.6</v>
      </c>
      <c r="AB53" s="234">
        <f t="shared" si="12"/>
        <v>16020</v>
      </c>
      <c r="AC53" s="234">
        <f t="shared" si="13"/>
        <v>158.256</v>
      </c>
      <c r="AD53" s="101">
        <f t="shared" si="14"/>
        <v>5197.344000000001</v>
      </c>
      <c r="AE53" s="101">
        <f t="shared" si="15"/>
        <v>5391.7439999999997</v>
      </c>
      <c r="AF53" s="235">
        <f t="shared" ref="AF53:AG53" si="80">AD53/U53</f>
        <v>0.30936571428571435</v>
      </c>
      <c r="AG53" s="235">
        <f t="shared" si="80"/>
        <v>0.30290696629213482</v>
      </c>
      <c r="AH53" s="103"/>
      <c r="AI53" s="104"/>
      <c r="AJ53" s="17"/>
      <c r="AK53" s="17"/>
      <c r="AL53" s="17"/>
      <c r="AM53" s="17"/>
      <c r="AN53" s="17"/>
      <c r="AO53" s="17"/>
      <c r="AP53" s="17"/>
      <c r="AQ53" s="17"/>
      <c r="AR53" s="17"/>
      <c r="AS53" s="17"/>
      <c r="AT53" s="17"/>
      <c r="AU53" s="17"/>
    </row>
    <row r="54" spans="1:47" ht="13.2">
      <c r="A54" s="302"/>
      <c r="B54" s="302"/>
      <c r="C54" s="302"/>
      <c r="D54" s="302"/>
      <c r="E54" s="114"/>
      <c r="F54" s="91" t="s">
        <v>223</v>
      </c>
      <c r="G54" s="237" t="str">
        <f t="shared" si="77"/>
        <v>A</v>
      </c>
      <c r="H54" s="93"/>
      <c r="I54" s="93">
        <v>14</v>
      </c>
      <c r="J54" s="228">
        <f t="shared" si="1"/>
        <v>2.1875</v>
      </c>
      <c r="K54" s="228">
        <v>35</v>
      </c>
      <c r="L54" s="228">
        <f t="shared" si="21"/>
        <v>0.99223249999999996</v>
      </c>
      <c r="M54" s="95">
        <v>0</v>
      </c>
      <c r="N54" s="95">
        <v>0</v>
      </c>
      <c r="O54" s="230">
        <f t="shared" si="2"/>
        <v>14</v>
      </c>
      <c r="P54" s="231">
        <f t="shared" si="3"/>
        <v>2660</v>
      </c>
      <c r="Q54" s="232">
        <f>ROUNDUP(HLOOKUP(IF(CEILING(L54,0.5)&lt;1,1,CEILING(L54,0.5)),'배송비 조회'!A$32:AY$36,2,0),-2)</f>
        <v>8000</v>
      </c>
      <c r="R54" s="232">
        <v>0</v>
      </c>
      <c r="S54" s="231">
        <f t="shared" si="78"/>
        <v>6400</v>
      </c>
      <c r="T54" s="231">
        <f t="shared" si="64"/>
        <v>7500</v>
      </c>
      <c r="U54" s="233">
        <f t="shared" si="6"/>
        <v>17100</v>
      </c>
      <c r="V54" s="233">
        <f t="shared" si="7"/>
        <v>18200</v>
      </c>
      <c r="W54" s="234">
        <v>0</v>
      </c>
      <c r="X54" s="234">
        <f t="shared" si="8"/>
        <v>649.79999999999995</v>
      </c>
      <c r="Y54" s="234">
        <f t="shared" si="9"/>
        <v>342</v>
      </c>
      <c r="Z54" s="234">
        <f t="shared" si="10"/>
        <v>1820</v>
      </c>
      <c r="AA54" s="234">
        <f t="shared" si="11"/>
        <v>16108.2</v>
      </c>
      <c r="AB54" s="234">
        <f t="shared" si="12"/>
        <v>16380</v>
      </c>
      <c r="AC54" s="234">
        <f t="shared" si="13"/>
        <v>161.08200000000002</v>
      </c>
      <c r="AD54" s="101">
        <f t="shared" si="14"/>
        <v>5287.1180000000004</v>
      </c>
      <c r="AE54" s="101">
        <f t="shared" si="15"/>
        <v>5558.9179999999997</v>
      </c>
      <c r="AF54" s="235">
        <f t="shared" ref="AF54:AG54" si="81">AD54/U54</f>
        <v>0.30918818713450297</v>
      </c>
      <c r="AG54" s="235">
        <f t="shared" si="81"/>
        <v>0.30543505494505491</v>
      </c>
      <c r="AH54" s="103"/>
      <c r="AI54" s="104"/>
      <c r="AJ54" s="17"/>
      <c r="AK54" s="17"/>
      <c r="AL54" s="17"/>
      <c r="AM54" s="17"/>
      <c r="AN54" s="17"/>
      <c r="AO54" s="17"/>
      <c r="AP54" s="17"/>
      <c r="AQ54" s="17"/>
      <c r="AR54" s="17"/>
      <c r="AS54" s="17"/>
      <c r="AT54" s="17"/>
      <c r="AU54" s="17"/>
    </row>
    <row r="55" spans="1:47" ht="13.2">
      <c r="A55" s="89" t="str">
        <f>HYPERLINK("https://smartstore.naver.com/brickstore2019/products/4735575364","4735575364")</f>
        <v>4735575364</v>
      </c>
      <c r="B55" s="113"/>
      <c r="C55" s="114" t="s">
        <v>224</v>
      </c>
      <c r="D55" s="114"/>
      <c r="E55" s="114" t="s">
        <v>225</v>
      </c>
      <c r="F55" s="91"/>
      <c r="G55" s="237" t="str">
        <f>HYPERLINK("https://item.taobao.com/item.htm?id=569463002873&amp;spm=2013.1.20141002.4.6c5e1259TNQg05&amp;main_itemid=600657646615&amp;go_item_id=569463002873&amp;scm=1007.10009.99063.&amp;pvid=c9303b97-d743-4a40-8be4-db2454811f45","A")</f>
        <v>A</v>
      </c>
      <c r="H55" s="93"/>
      <c r="I55" s="93">
        <v>58</v>
      </c>
      <c r="J55" s="228">
        <f t="shared" si="1"/>
        <v>2.1875</v>
      </c>
      <c r="K55" s="228">
        <v>35</v>
      </c>
      <c r="L55" s="228">
        <f t="shared" si="21"/>
        <v>0.99223249999999996</v>
      </c>
      <c r="M55" s="95">
        <v>0</v>
      </c>
      <c r="N55" s="95">
        <v>0</v>
      </c>
      <c r="O55" s="230">
        <f t="shared" si="2"/>
        <v>58</v>
      </c>
      <c r="P55" s="231">
        <f t="shared" si="3"/>
        <v>11020</v>
      </c>
      <c r="Q55" s="232">
        <f>ROUNDUP(HLOOKUP(IF(CEILING(L55,0.5)&lt;1,1,CEILING(L55,0.5)),'배송비 조회'!A$32:AY$36,2,0),-2)</f>
        <v>8000</v>
      </c>
      <c r="R55" s="232">
        <v>0</v>
      </c>
      <c r="S55" s="231">
        <f t="shared" ref="S55:S56" si="82">ROUND((P55+Q55)*0.4,-2)</f>
        <v>7600</v>
      </c>
      <c r="T55" s="231">
        <f t="shared" si="64"/>
        <v>13300</v>
      </c>
      <c r="U55" s="233">
        <f t="shared" si="6"/>
        <v>26600</v>
      </c>
      <c r="V55" s="233">
        <f t="shared" si="7"/>
        <v>32300</v>
      </c>
      <c r="W55" s="234">
        <v>0</v>
      </c>
      <c r="X55" s="234">
        <f t="shared" si="8"/>
        <v>1010.8</v>
      </c>
      <c r="Y55" s="234">
        <f t="shared" si="9"/>
        <v>532</v>
      </c>
      <c r="Z55" s="234">
        <f t="shared" si="10"/>
        <v>3230</v>
      </c>
      <c r="AA55" s="234">
        <f t="shared" si="11"/>
        <v>25057.200000000001</v>
      </c>
      <c r="AB55" s="234">
        <f t="shared" si="12"/>
        <v>29070</v>
      </c>
      <c r="AC55" s="234">
        <f t="shared" si="13"/>
        <v>250.572</v>
      </c>
      <c r="AD55" s="101">
        <f t="shared" si="14"/>
        <v>5786.6280000000006</v>
      </c>
      <c r="AE55" s="101">
        <f t="shared" si="15"/>
        <v>9799.4279999999999</v>
      </c>
      <c r="AF55" s="235">
        <f t="shared" ref="AF55:AG55" si="83">AD55/U55</f>
        <v>0.2175424060150376</v>
      </c>
      <c r="AG55" s="235">
        <f t="shared" si="83"/>
        <v>0.30338786377708976</v>
      </c>
      <c r="AH55" s="103"/>
      <c r="AI55" s="104"/>
      <c r="AJ55" s="17"/>
      <c r="AK55" s="17"/>
      <c r="AL55" s="17"/>
      <c r="AM55" s="17"/>
      <c r="AN55" s="17"/>
      <c r="AO55" s="17"/>
      <c r="AP55" s="17"/>
      <c r="AQ55" s="17"/>
      <c r="AR55" s="17"/>
      <c r="AS55" s="17"/>
      <c r="AT55" s="17"/>
      <c r="AU55" s="17"/>
    </row>
    <row r="56" spans="1:47" ht="13.2">
      <c r="A56" s="89" t="str">
        <f>HYPERLINK("https://smartstore.naver.com/brickstore2019/products/4735601219","4735601219")</f>
        <v>4735601219</v>
      </c>
      <c r="B56" s="113"/>
      <c r="C56" s="114" t="s">
        <v>227</v>
      </c>
      <c r="D56" s="114"/>
      <c r="E56" s="114" t="s">
        <v>228</v>
      </c>
      <c r="F56" s="91"/>
      <c r="G56" s="279" t="s">
        <v>1293</v>
      </c>
      <c r="H56" s="93"/>
      <c r="I56" s="93">
        <v>48</v>
      </c>
      <c r="J56" s="228">
        <f t="shared" si="1"/>
        <v>2.1875</v>
      </c>
      <c r="K56" s="228">
        <v>35</v>
      </c>
      <c r="L56" s="228">
        <f t="shared" si="21"/>
        <v>0.99223249999999996</v>
      </c>
      <c r="M56" s="93">
        <v>0</v>
      </c>
      <c r="N56" s="93">
        <v>0</v>
      </c>
      <c r="O56" s="230">
        <f t="shared" si="2"/>
        <v>48</v>
      </c>
      <c r="P56" s="231">
        <f t="shared" si="3"/>
        <v>9120</v>
      </c>
      <c r="Q56" s="232">
        <f>ROUNDUP(HLOOKUP(IF(CEILING(L56,0.5)&lt;1,1,CEILING(L56,0.5)),'배송비 조회'!A$32:AY$36,2,0),-2)</f>
        <v>8000</v>
      </c>
      <c r="R56" s="232">
        <v>0</v>
      </c>
      <c r="S56" s="231">
        <f t="shared" si="82"/>
        <v>6800</v>
      </c>
      <c r="T56" s="231">
        <f t="shared" si="64"/>
        <v>12000</v>
      </c>
      <c r="U56" s="233">
        <f t="shared" si="6"/>
        <v>23900</v>
      </c>
      <c r="V56" s="233">
        <f t="shared" si="7"/>
        <v>29100</v>
      </c>
      <c r="W56" s="234">
        <v>0</v>
      </c>
      <c r="X56" s="234">
        <f t="shared" si="8"/>
        <v>908.19999999999993</v>
      </c>
      <c r="Y56" s="234">
        <f t="shared" si="9"/>
        <v>478</v>
      </c>
      <c r="Z56" s="234">
        <f t="shared" si="10"/>
        <v>2910</v>
      </c>
      <c r="AA56" s="234">
        <f t="shared" si="11"/>
        <v>22513.8</v>
      </c>
      <c r="AB56" s="234">
        <f t="shared" si="12"/>
        <v>26190</v>
      </c>
      <c r="AC56" s="234">
        <f t="shared" si="13"/>
        <v>225.13800000000001</v>
      </c>
      <c r="AD56" s="101">
        <f t="shared" si="14"/>
        <v>5168.6619999999984</v>
      </c>
      <c r="AE56" s="101">
        <f t="shared" si="15"/>
        <v>8844.8619999999992</v>
      </c>
      <c r="AF56" s="235">
        <f t="shared" ref="AF56:AG56" si="84">AD56/U56</f>
        <v>0.21626200836820078</v>
      </c>
      <c r="AG56" s="235">
        <f t="shared" si="84"/>
        <v>0.30394714776632298</v>
      </c>
      <c r="AH56" s="103"/>
      <c r="AI56" s="104"/>
      <c r="AJ56" s="17"/>
      <c r="AK56" s="17"/>
      <c r="AL56" s="17"/>
      <c r="AM56" s="17"/>
      <c r="AN56" s="17"/>
      <c r="AO56" s="17"/>
      <c r="AP56" s="17"/>
      <c r="AQ56" s="17"/>
      <c r="AR56" s="17"/>
      <c r="AS56" s="17"/>
      <c r="AT56" s="17"/>
      <c r="AU56" s="17"/>
    </row>
    <row r="57" spans="1:47" ht="13.2">
      <c r="A57" s="301" t="str">
        <f>HYPERLINK("https://smartstore.naver.com/brickstore2019/products/4736466264","4736466264")</f>
        <v>4736466264</v>
      </c>
      <c r="B57" s="361"/>
      <c r="C57" s="307" t="s">
        <v>231</v>
      </c>
      <c r="D57" s="307"/>
      <c r="E57" s="307"/>
      <c r="F57" s="91" t="s">
        <v>232</v>
      </c>
      <c r="G57" s="237" t="str">
        <f t="shared" ref="G57:G58" si="85">HYPERLINK("https://item.taobao.com/item.htm?spm=a230r.1.999.64.4f6d523chC0SQs&amp;id=580005667701&amp;ns=1#detail","A")</f>
        <v>A</v>
      </c>
      <c r="H57" s="93"/>
      <c r="I57" s="93">
        <v>32</v>
      </c>
      <c r="J57" s="228">
        <f t="shared" si="1"/>
        <v>2.1875</v>
      </c>
      <c r="K57" s="228">
        <v>35</v>
      </c>
      <c r="L57" s="228">
        <f t="shared" si="21"/>
        <v>0.99223249999999996</v>
      </c>
      <c r="M57" s="93">
        <v>0</v>
      </c>
      <c r="N57" s="93">
        <v>0</v>
      </c>
      <c r="O57" s="230">
        <f t="shared" si="2"/>
        <v>32</v>
      </c>
      <c r="P57" s="231">
        <f t="shared" si="3"/>
        <v>6080</v>
      </c>
      <c r="Q57" s="232">
        <f>ROUNDUP(HLOOKUP(IF(CEILING(L57,0.5)&lt;1,1,CEILING(L57,0.5)),'배송비 조회'!A$32:AY$36,2,0),-2)</f>
        <v>8000</v>
      </c>
      <c r="R57" s="232">
        <v>0</v>
      </c>
      <c r="S57" s="231">
        <f t="shared" ref="S57:S58" si="86">ROUND((P57+Q57)*0.6,-2)</f>
        <v>8400</v>
      </c>
      <c r="T57" s="231">
        <f t="shared" si="64"/>
        <v>9900</v>
      </c>
      <c r="U57" s="233">
        <f t="shared" si="6"/>
        <v>22500</v>
      </c>
      <c r="V57" s="233">
        <f t="shared" si="7"/>
        <v>24000</v>
      </c>
      <c r="W57" s="234">
        <v>0</v>
      </c>
      <c r="X57" s="234">
        <f t="shared" si="8"/>
        <v>855</v>
      </c>
      <c r="Y57" s="234">
        <f t="shared" si="9"/>
        <v>450</v>
      </c>
      <c r="Z57" s="234">
        <f t="shared" si="10"/>
        <v>2400</v>
      </c>
      <c r="AA57" s="234">
        <f t="shared" si="11"/>
        <v>21195</v>
      </c>
      <c r="AB57" s="234">
        <f t="shared" si="12"/>
        <v>21600</v>
      </c>
      <c r="AC57" s="234">
        <f t="shared" si="13"/>
        <v>211.95000000000002</v>
      </c>
      <c r="AD57" s="101">
        <f t="shared" si="14"/>
        <v>6903.0499999999993</v>
      </c>
      <c r="AE57" s="101">
        <f t="shared" si="15"/>
        <v>7308.05</v>
      </c>
      <c r="AF57" s="235">
        <f t="shared" ref="AF57:AG57" si="87">AD57/U57</f>
        <v>0.3068022222222222</v>
      </c>
      <c r="AG57" s="235">
        <f t="shared" si="87"/>
        <v>0.30450208333333334</v>
      </c>
      <c r="AH57" s="103"/>
      <c r="AI57" s="104"/>
      <c r="AJ57" s="17"/>
      <c r="AK57" s="17"/>
      <c r="AL57" s="17"/>
      <c r="AM57" s="17"/>
      <c r="AN57" s="17"/>
      <c r="AO57" s="17"/>
      <c r="AP57" s="17"/>
      <c r="AQ57" s="17"/>
      <c r="AR57" s="17"/>
      <c r="AS57" s="17"/>
      <c r="AT57" s="17"/>
      <c r="AU57" s="17"/>
    </row>
    <row r="58" spans="1:47" ht="13.2">
      <c r="A58" s="302"/>
      <c r="B58" s="302"/>
      <c r="C58" s="302"/>
      <c r="D58" s="302"/>
      <c r="E58" s="302"/>
      <c r="F58" s="91" t="s">
        <v>233</v>
      </c>
      <c r="G58" s="237" t="str">
        <f t="shared" si="85"/>
        <v>A</v>
      </c>
      <c r="H58" s="93"/>
      <c r="I58" s="93">
        <v>37</v>
      </c>
      <c r="J58" s="228">
        <f t="shared" si="1"/>
        <v>2.1875</v>
      </c>
      <c r="K58" s="228">
        <v>35</v>
      </c>
      <c r="L58" s="228">
        <f t="shared" si="21"/>
        <v>0.99223249999999996</v>
      </c>
      <c r="M58" s="93">
        <v>0</v>
      </c>
      <c r="N58" s="93">
        <v>0</v>
      </c>
      <c r="O58" s="230">
        <f t="shared" si="2"/>
        <v>37</v>
      </c>
      <c r="P58" s="231">
        <f t="shared" si="3"/>
        <v>7030</v>
      </c>
      <c r="Q58" s="232">
        <f>ROUNDUP(HLOOKUP(IF(CEILING(L58,0.5)&lt;1,1,CEILING(L58,0.5)),'배송비 조회'!A$32:AY$36,2,0),-2)</f>
        <v>8000</v>
      </c>
      <c r="R58" s="232">
        <v>0</v>
      </c>
      <c r="S58" s="231">
        <f t="shared" si="86"/>
        <v>9000</v>
      </c>
      <c r="T58" s="231">
        <f t="shared" si="64"/>
        <v>10500</v>
      </c>
      <c r="U58" s="233">
        <f t="shared" si="6"/>
        <v>24000</v>
      </c>
      <c r="V58" s="233">
        <f t="shared" si="7"/>
        <v>25500</v>
      </c>
      <c r="W58" s="234">
        <v>0</v>
      </c>
      <c r="X58" s="234">
        <f t="shared" si="8"/>
        <v>912</v>
      </c>
      <c r="Y58" s="234">
        <f t="shared" si="9"/>
        <v>480</v>
      </c>
      <c r="Z58" s="234">
        <f t="shared" si="10"/>
        <v>2550</v>
      </c>
      <c r="AA58" s="234">
        <f t="shared" si="11"/>
        <v>22608</v>
      </c>
      <c r="AB58" s="234">
        <f t="shared" si="12"/>
        <v>22950</v>
      </c>
      <c r="AC58" s="234">
        <f t="shared" si="13"/>
        <v>226.08</v>
      </c>
      <c r="AD58" s="101">
        <f t="shared" si="14"/>
        <v>7351.92</v>
      </c>
      <c r="AE58" s="101">
        <f t="shared" si="15"/>
        <v>7693.92</v>
      </c>
      <c r="AF58" s="235">
        <f t="shared" ref="AF58:AG58" si="88">AD58/U58</f>
        <v>0.30632999999999999</v>
      </c>
      <c r="AG58" s="235">
        <f t="shared" si="88"/>
        <v>0.3017223529411765</v>
      </c>
      <c r="AH58" s="103"/>
      <c r="AI58" s="104"/>
      <c r="AJ58" s="17"/>
      <c r="AK58" s="17"/>
      <c r="AL58" s="17"/>
      <c r="AM58" s="17"/>
      <c r="AN58" s="17"/>
      <c r="AO58" s="17"/>
      <c r="AP58" s="17"/>
      <c r="AQ58" s="17"/>
      <c r="AR58" s="17"/>
      <c r="AS58" s="17"/>
      <c r="AT58" s="17"/>
      <c r="AU58" s="17"/>
    </row>
    <row r="59" spans="1:47" ht="13.2">
      <c r="A59" s="301" t="str">
        <f>HYPERLINK("https://smartstore.naver.com/brickstore2019/products/4737390723","4737390723")</f>
        <v>4737390723</v>
      </c>
      <c r="B59" s="361"/>
      <c r="C59" s="307" t="s">
        <v>237</v>
      </c>
      <c r="D59" s="307"/>
      <c r="E59" s="307"/>
      <c r="F59" s="91" t="s">
        <v>64</v>
      </c>
      <c r="G59" s="237" t="str">
        <f t="shared" ref="G59:G60" si="89">HYPERLINK("https://item.taobao.com/item.htm?id=584799541276&amp;spm=2013.1.20141003.6.43f85cfafg7rfg&amp;main_itemid=603950580402&amp;go_item_id=584799541276&amp;scm=1007.10011.99062.&amp;pvid=86d74d5f-ab73-4076-8dd0-5e7fbc6482ba","A")</f>
        <v>A</v>
      </c>
      <c r="H59" s="237" t="str">
        <f>HYPERLINK("https://detail.tmall.com/item.htm?spm=a230r.1.14.344.350e3325cqCADN&amp;id=606066911390&amp;ns=1&amp;abbucket=7&amp;skuId=4413011534020","A")</f>
        <v>A</v>
      </c>
      <c r="I59" s="93">
        <v>100</v>
      </c>
      <c r="J59" s="228">
        <f t="shared" si="1"/>
        <v>2.1875</v>
      </c>
      <c r="K59" s="228">
        <v>35</v>
      </c>
      <c r="L59" s="228">
        <f t="shared" si="21"/>
        <v>0.99223249999999996</v>
      </c>
      <c r="M59" s="93">
        <v>0</v>
      </c>
      <c r="N59" s="93">
        <v>0</v>
      </c>
      <c r="O59" s="230">
        <f t="shared" si="2"/>
        <v>100</v>
      </c>
      <c r="P59" s="231">
        <f t="shared" si="3"/>
        <v>19000</v>
      </c>
      <c r="Q59" s="232">
        <f>ROUNDUP(HLOOKUP(IF(CEILING(L59,0.5)&lt;1,1,CEILING(L59,0.5)),'배송비 조회'!A$32:AY$36,2,0),-2)</f>
        <v>8000</v>
      </c>
      <c r="R59" s="232">
        <v>0</v>
      </c>
      <c r="S59" s="231">
        <f t="shared" ref="S59:S62" si="90">ROUND((P59+Q59)*0.4,-2)</f>
        <v>10800</v>
      </c>
      <c r="T59" s="231">
        <f t="shared" si="64"/>
        <v>18900</v>
      </c>
      <c r="U59" s="233">
        <f t="shared" si="6"/>
        <v>37800</v>
      </c>
      <c r="V59" s="233">
        <f t="shared" si="7"/>
        <v>45900</v>
      </c>
      <c r="W59" s="234">
        <v>0</v>
      </c>
      <c r="X59" s="234">
        <f t="shared" si="8"/>
        <v>1436.3999999999999</v>
      </c>
      <c r="Y59" s="234">
        <f t="shared" si="9"/>
        <v>756</v>
      </c>
      <c r="Z59" s="234">
        <f t="shared" si="10"/>
        <v>4590</v>
      </c>
      <c r="AA59" s="234">
        <f t="shared" si="11"/>
        <v>35607.599999999999</v>
      </c>
      <c r="AB59" s="234">
        <f t="shared" si="12"/>
        <v>41310</v>
      </c>
      <c r="AC59" s="234">
        <f t="shared" si="13"/>
        <v>356.07599999999996</v>
      </c>
      <c r="AD59" s="101">
        <f t="shared" si="14"/>
        <v>8251.5239999999994</v>
      </c>
      <c r="AE59" s="101">
        <f t="shared" si="15"/>
        <v>13953.924000000001</v>
      </c>
      <c r="AF59" s="235">
        <f t="shared" ref="AF59:AG59" si="91">AD59/U59</f>
        <v>0.21829428571428569</v>
      </c>
      <c r="AG59" s="235">
        <f t="shared" si="91"/>
        <v>0.30400705882352941</v>
      </c>
      <c r="AH59" s="103">
        <f>U59-8000</f>
        <v>29800</v>
      </c>
      <c r="AI59" s="104"/>
      <c r="AJ59" s="17"/>
      <c r="AK59" s="17"/>
      <c r="AL59" s="17"/>
      <c r="AM59" s="17"/>
      <c r="AN59" s="17"/>
      <c r="AO59" s="17"/>
      <c r="AP59" s="17"/>
      <c r="AQ59" s="17"/>
      <c r="AR59" s="17"/>
      <c r="AS59" s="17"/>
      <c r="AT59" s="17"/>
      <c r="AU59" s="17"/>
    </row>
    <row r="60" spans="1:47" ht="13.2">
      <c r="A60" s="302"/>
      <c r="B60" s="302"/>
      <c r="C60" s="302"/>
      <c r="D60" s="302"/>
      <c r="E60" s="302"/>
      <c r="F60" s="91" t="s">
        <v>239</v>
      </c>
      <c r="G60" s="237" t="str">
        <f t="shared" si="89"/>
        <v>A</v>
      </c>
      <c r="H60" s="237" t="str">
        <f>HYPERLINK("https://detail.tmall.com/item.htm?spm=a230r.1.14.344.350e3325cqCADN&amp;id=606066911390&amp;ns=1&amp;abbucket=7&amp;skuId=4413011534021","A")</f>
        <v>A</v>
      </c>
      <c r="I60" s="93">
        <v>100</v>
      </c>
      <c r="J60" s="228">
        <f t="shared" si="1"/>
        <v>2.1875</v>
      </c>
      <c r="K60" s="228">
        <v>35</v>
      </c>
      <c r="L60" s="228">
        <f t="shared" si="21"/>
        <v>0.99223249999999996</v>
      </c>
      <c r="M60" s="93">
        <v>0</v>
      </c>
      <c r="N60" s="93">
        <v>0</v>
      </c>
      <c r="O60" s="230">
        <f t="shared" si="2"/>
        <v>100</v>
      </c>
      <c r="P60" s="231">
        <f t="shared" si="3"/>
        <v>19000</v>
      </c>
      <c r="Q60" s="232">
        <f>ROUNDUP(HLOOKUP(IF(CEILING(L60,0.5)&lt;1,1,CEILING(L60,0.5)),'배송비 조회'!A$32:AY$36,2,0),-2)</f>
        <v>8000</v>
      </c>
      <c r="R60" s="232">
        <v>0</v>
      </c>
      <c r="S60" s="231">
        <f t="shared" si="90"/>
        <v>10800</v>
      </c>
      <c r="T60" s="231">
        <f t="shared" si="64"/>
        <v>18900</v>
      </c>
      <c r="U60" s="233">
        <f t="shared" si="6"/>
        <v>37800</v>
      </c>
      <c r="V60" s="233">
        <f t="shared" si="7"/>
        <v>45900</v>
      </c>
      <c r="W60" s="234">
        <v>0</v>
      </c>
      <c r="X60" s="234">
        <f t="shared" si="8"/>
        <v>1436.3999999999999</v>
      </c>
      <c r="Y60" s="234">
        <f t="shared" si="9"/>
        <v>756</v>
      </c>
      <c r="Z60" s="234">
        <f t="shared" si="10"/>
        <v>4590</v>
      </c>
      <c r="AA60" s="234">
        <f t="shared" si="11"/>
        <v>35607.599999999999</v>
      </c>
      <c r="AB60" s="234">
        <f t="shared" si="12"/>
        <v>41310</v>
      </c>
      <c r="AC60" s="234">
        <f t="shared" si="13"/>
        <v>356.07599999999996</v>
      </c>
      <c r="AD60" s="101">
        <f t="shared" si="14"/>
        <v>8251.5239999999994</v>
      </c>
      <c r="AE60" s="101">
        <f t="shared" si="15"/>
        <v>13953.924000000001</v>
      </c>
      <c r="AF60" s="235">
        <f t="shared" ref="AF60:AG60" si="92">AD60/U60</f>
        <v>0.21829428571428569</v>
      </c>
      <c r="AG60" s="235">
        <f t="shared" si="92"/>
        <v>0.30400705882352941</v>
      </c>
      <c r="AH60" s="103"/>
      <c r="AI60" s="104"/>
      <c r="AJ60" s="17"/>
      <c r="AK60" s="17"/>
      <c r="AL60" s="17"/>
      <c r="AM60" s="17"/>
      <c r="AN60" s="17"/>
      <c r="AO60" s="17"/>
      <c r="AP60" s="17"/>
      <c r="AQ60" s="17"/>
      <c r="AR60" s="17"/>
      <c r="AS60" s="17"/>
      <c r="AT60" s="17"/>
      <c r="AU60" s="17"/>
    </row>
    <row r="61" spans="1:47" ht="13.2">
      <c r="A61" s="301" t="str">
        <f>HYPERLINK("https://smartstore.naver.com/brickstore2019/products/4737415766","4737415766")</f>
        <v>4737415766</v>
      </c>
      <c r="B61" s="361"/>
      <c r="C61" s="307" t="s">
        <v>243</v>
      </c>
      <c r="D61" s="307"/>
      <c r="E61" s="307"/>
      <c r="F61" s="91" t="s">
        <v>244</v>
      </c>
      <c r="G61" s="237" t="str">
        <f t="shared" ref="G61:G62" si="93">HYPERLINK("https://item.taobao.com/item.htm?id=584625928827&amp;spm=2013.1.20141002.6.43f85cfafg7rfg&amp;main_itemid=603950580402&amp;go_item_id=584625928827&amp;scm=1007.10009.99063.&amp;pvid=3c8efdc9-7f61-492e-8a04-01534c342931","A")</f>
        <v>A</v>
      </c>
      <c r="H61" s="93"/>
      <c r="I61" s="93">
        <v>100</v>
      </c>
      <c r="J61" s="228">
        <f t="shared" si="1"/>
        <v>2.1875</v>
      </c>
      <c r="K61" s="228">
        <v>35</v>
      </c>
      <c r="L61" s="228">
        <f t="shared" si="21"/>
        <v>0.99223249999999996</v>
      </c>
      <c r="M61" s="93">
        <v>0</v>
      </c>
      <c r="N61" s="93">
        <v>0</v>
      </c>
      <c r="O61" s="230">
        <f t="shared" si="2"/>
        <v>100</v>
      </c>
      <c r="P61" s="231">
        <f t="shared" si="3"/>
        <v>19000</v>
      </c>
      <c r="Q61" s="232">
        <f>ROUNDUP(HLOOKUP(IF(CEILING(L61,0.5)&lt;1,1,CEILING(L61,0.5)),'배송비 조회'!A$32:AY$36,2,0),-2)</f>
        <v>8000</v>
      </c>
      <c r="R61" s="232">
        <v>0</v>
      </c>
      <c r="S61" s="231">
        <f t="shared" si="90"/>
        <v>10800</v>
      </c>
      <c r="T61" s="231">
        <f t="shared" si="64"/>
        <v>18900</v>
      </c>
      <c r="U61" s="233">
        <f t="shared" si="6"/>
        <v>37800</v>
      </c>
      <c r="V61" s="233">
        <f t="shared" si="7"/>
        <v>45900</v>
      </c>
      <c r="W61" s="234">
        <v>0</v>
      </c>
      <c r="X61" s="234">
        <f t="shared" si="8"/>
        <v>1436.3999999999999</v>
      </c>
      <c r="Y61" s="234">
        <f t="shared" si="9"/>
        <v>756</v>
      </c>
      <c r="Z61" s="234">
        <f t="shared" si="10"/>
        <v>4590</v>
      </c>
      <c r="AA61" s="234">
        <f t="shared" si="11"/>
        <v>35607.599999999999</v>
      </c>
      <c r="AB61" s="234">
        <f t="shared" si="12"/>
        <v>41310</v>
      </c>
      <c r="AC61" s="234">
        <f t="shared" si="13"/>
        <v>356.07599999999996</v>
      </c>
      <c r="AD61" s="101">
        <f t="shared" si="14"/>
        <v>8251.5239999999994</v>
      </c>
      <c r="AE61" s="101">
        <f t="shared" si="15"/>
        <v>13953.924000000001</v>
      </c>
      <c r="AF61" s="235">
        <f t="shared" ref="AF61:AG61" si="94">AD61/U61</f>
        <v>0.21829428571428569</v>
      </c>
      <c r="AG61" s="235">
        <f t="shared" si="94"/>
        <v>0.30400705882352941</v>
      </c>
      <c r="AH61" s="103">
        <f>U61-8000</f>
        <v>29800</v>
      </c>
      <c r="AI61" s="104"/>
      <c r="AJ61" s="17"/>
      <c r="AK61" s="17"/>
      <c r="AL61" s="17"/>
      <c r="AM61" s="17"/>
      <c r="AN61" s="17"/>
      <c r="AO61" s="17"/>
      <c r="AP61" s="17"/>
      <c r="AQ61" s="17"/>
      <c r="AR61" s="17"/>
      <c r="AS61" s="17"/>
      <c r="AT61" s="17"/>
      <c r="AU61" s="17"/>
    </row>
    <row r="62" spans="1:47" ht="13.2">
      <c r="A62" s="302"/>
      <c r="B62" s="302"/>
      <c r="C62" s="302"/>
      <c r="D62" s="302"/>
      <c r="E62" s="302"/>
      <c r="F62" s="91" t="s">
        <v>174</v>
      </c>
      <c r="G62" s="237" t="str">
        <f t="shared" si="93"/>
        <v>A</v>
      </c>
      <c r="H62" s="93"/>
      <c r="I62" s="93">
        <v>100</v>
      </c>
      <c r="J62" s="228">
        <f t="shared" si="1"/>
        <v>2.1875</v>
      </c>
      <c r="K62" s="228">
        <v>35</v>
      </c>
      <c r="L62" s="228">
        <f t="shared" si="21"/>
        <v>0.99223249999999996</v>
      </c>
      <c r="M62" s="93">
        <v>0</v>
      </c>
      <c r="N62" s="93">
        <v>0</v>
      </c>
      <c r="O62" s="230">
        <f t="shared" si="2"/>
        <v>100</v>
      </c>
      <c r="P62" s="231">
        <f t="shared" si="3"/>
        <v>19000</v>
      </c>
      <c r="Q62" s="232">
        <f>ROUNDUP(HLOOKUP(IF(CEILING(L62,0.5)&lt;1,1,CEILING(L62,0.5)),'배송비 조회'!A$32:AY$36,2,0),-2)</f>
        <v>8000</v>
      </c>
      <c r="R62" s="232">
        <v>0</v>
      </c>
      <c r="S62" s="231">
        <f t="shared" si="90"/>
        <v>10800</v>
      </c>
      <c r="T62" s="231">
        <f t="shared" si="64"/>
        <v>18900</v>
      </c>
      <c r="U62" s="233">
        <f t="shared" si="6"/>
        <v>37800</v>
      </c>
      <c r="V62" s="233">
        <f t="shared" si="7"/>
        <v>45900</v>
      </c>
      <c r="W62" s="234">
        <v>0</v>
      </c>
      <c r="X62" s="234">
        <f t="shared" si="8"/>
        <v>1436.3999999999999</v>
      </c>
      <c r="Y62" s="234">
        <f t="shared" si="9"/>
        <v>756</v>
      </c>
      <c r="Z62" s="234">
        <f t="shared" si="10"/>
        <v>4590</v>
      </c>
      <c r="AA62" s="234">
        <f t="shared" si="11"/>
        <v>35607.599999999999</v>
      </c>
      <c r="AB62" s="234">
        <f t="shared" si="12"/>
        <v>41310</v>
      </c>
      <c r="AC62" s="234">
        <f t="shared" si="13"/>
        <v>356.07599999999996</v>
      </c>
      <c r="AD62" s="101">
        <f t="shared" si="14"/>
        <v>8251.5239999999994</v>
      </c>
      <c r="AE62" s="101">
        <f t="shared" si="15"/>
        <v>13953.924000000001</v>
      </c>
      <c r="AF62" s="235">
        <f t="shared" ref="AF62:AG62" si="95">AD62/U62</f>
        <v>0.21829428571428569</v>
      </c>
      <c r="AG62" s="235">
        <f t="shared" si="95"/>
        <v>0.30400705882352941</v>
      </c>
      <c r="AH62" s="103"/>
      <c r="AI62" s="104"/>
      <c r="AJ62" s="17"/>
      <c r="AK62" s="17"/>
      <c r="AL62" s="17"/>
      <c r="AM62" s="17"/>
      <c r="AN62" s="17"/>
      <c r="AO62" s="17"/>
      <c r="AP62" s="17"/>
      <c r="AQ62" s="17"/>
      <c r="AR62" s="17"/>
      <c r="AS62" s="17"/>
      <c r="AT62" s="17"/>
      <c r="AU62" s="17"/>
    </row>
    <row r="63" spans="1:47" ht="13.2">
      <c r="A63" s="301" t="str">
        <f>HYPERLINK("https://smartstore.naver.com/brickstore2019/products/4747829269","4747829269")</f>
        <v>4747829269</v>
      </c>
      <c r="B63" s="361"/>
      <c r="C63" s="114" t="s">
        <v>246</v>
      </c>
      <c r="D63" s="114"/>
      <c r="E63" s="114"/>
      <c r="F63" s="91"/>
      <c r="G63" s="237" t="str">
        <f>HYPERLINK("https://detail.tmall.com/item.htm?spm=a230r.1.999.7.1942523cw4bJAw&amp;id=587924915555&amp;ns=1","A")</f>
        <v>A</v>
      </c>
      <c r="H63" s="93"/>
      <c r="I63" s="93">
        <v>10</v>
      </c>
      <c r="J63" s="228">
        <f t="shared" si="1"/>
        <v>2.1875</v>
      </c>
      <c r="K63" s="228">
        <v>35</v>
      </c>
      <c r="L63" s="228">
        <f t="shared" si="21"/>
        <v>0.99223249999999996</v>
      </c>
      <c r="M63" s="93">
        <v>0</v>
      </c>
      <c r="N63" s="93">
        <v>0</v>
      </c>
      <c r="O63" s="230">
        <f t="shared" si="2"/>
        <v>10</v>
      </c>
      <c r="P63" s="231">
        <f t="shared" si="3"/>
        <v>1900</v>
      </c>
      <c r="Q63" s="232">
        <f>ROUNDUP(HLOOKUP(IF(CEILING(L63,0.5)&lt;1,1,CEILING(L63,0.5)),'배송비 조회'!A$32:AY$36,2,0),-2)</f>
        <v>8000</v>
      </c>
      <c r="R63" s="232">
        <v>0</v>
      </c>
      <c r="S63" s="231">
        <f>ROUND((P63+Q63)*0.7,-2)</f>
        <v>6900</v>
      </c>
      <c r="T63" s="231">
        <f t="shared" si="64"/>
        <v>6900</v>
      </c>
      <c r="U63" s="233">
        <f t="shared" si="6"/>
        <v>16800</v>
      </c>
      <c r="V63" s="233">
        <f t="shared" si="7"/>
        <v>16800</v>
      </c>
      <c r="W63" s="234">
        <v>0</v>
      </c>
      <c r="X63" s="234">
        <f t="shared" si="8"/>
        <v>638.4</v>
      </c>
      <c r="Y63" s="234">
        <f t="shared" si="9"/>
        <v>336</v>
      </c>
      <c r="Z63" s="234">
        <f t="shared" si="10"/>
        <v>1680</v>
      </c>
      <c r="AA63" s="234">
        <f t="shared" si="11"/>
        <v>15825.6</v>
      </c>
      <c r="AB63" s="234">
        <f t="shared" si="12"/>
        <v>15120</v>
      </c>
      <c r="AC63" s="234">
        <f t="shared" si="13"/>
        <v>158.256</v>
      </c>
      <c r="AD63" s="101">
        <f t="shared" si="14"/>
        <v>5767.344000000001</v>
      </c>
      <c r="AE63" s="101">
        <f t="shared" si="15"/>
        <v>5061.7439999999997</v>
      </c>
      <c r="AF63" s="235">
        <f t="shared" ref="AF63:AG63" si="96">AD63/U63</f>
        <v>0.34329428571428577</v>
      </c>
      <c r="AG63" s="235">
        <f t="shared" si="96"/>
        <v>0.30129428571428568</v>
      </c>
      <c r="AH63" s="103"/>
      <c r="AI63" s="104"/>
      <c r="AJ63" s="17"/>
      <c r="AK63" s="17"/>
      <c r="AL63" s="17"/>
      <c r="AM63" s="17"/>
      <c r="AN63" s="17"/>
      <c r="AO63" s="17"/>
      <c r="AP63" s="17"/>
      <c r="AQ63" s="17"/>
      <c r="AR63" s="17"/>
      <c r="AS63" s="17"/>
      <c r="AT63" s="17"/>
      <c r="AU63" s="17"/>
    </row>
    <row r="64" spans="1:47" ht="13.2">
      <c r="A64" s="302"/>
      <c r="B64" s="302"/>
      <c r="C64" s="307" t="s">
        <v>249</v>
      </c>
      <c r="D64" s="307"/>
      <c r="E64" s="307"/>
      <c r="F64" s="91" t="s">
        <v>250</v>
      </c>
      <c r="G64" s="237" t="str">
        <f t="shared" ref="G64:G84" si="97">HYPERLINK("https://item.taobao.com/item.htm?spm=a230r.1.14.6.5de04ec9hfcUuI&amp;id=575366647404&amp;ns=1&amp;abbucket=12#detail","T")</f>
        <v>T</v>
      </c>
      <c r="H64" s="93"/>
      <c r="I64" s="93">
        <v>369</v>
      </c>
      <c r="J64" s="228">
        <v>2</v>
      </c>
      <c r="K64" s="228">
        <v>35</v>
      </c>
      <c r="L64" s="228">
        <f t="shared" si="21"/>
        <v>0.90718399999999999</v>
      </c>
      <c r="M64" s="93">
        <v>0</v>
      </c>
      <c r="N64" s="93">
        <v>0</v>
      </c>
      <c r="O64" s="230">
        <f t="shared" si="2"/>
        <v>369</v>
      </c>
      <c r="P64" s="231">
        <f t="shared" si="3"/>
        <v>70110</v>
      </c>
      <c r="Q64" s="232">
        <f>ROUNDUP(HLOOKUP(IF(CEILING(L64,0.5)&lt;1,1,CEILING(L64,0.5)),'배송비 조회'!A$32:AY$36,2,0),-2)</f>
        <v>8000</v>
      </c>
      <c r="R64" s="232">
        <v>0</v>
      </c>
      <c r="S64" s="231">
        <f t="shared" ref="S64:S84" si="98">ROUND((P64+Q64)*0.2,-2)</f>
        <v>15600</v>
      </c>
      <c r="T64" s="231">
        <f t="shared" ref="T64:T84" si="99">ROUND((P64+Q64)*0.4,-2)</f>
        <v>31200</v>
      </c>
      <c r="U64" s="233">
        <f t="shared" si="6"/>
        <v>93700</v>
      </c>
      <c r="V64" s="233">
        <f t="shared" si="7"/>
        <v>109300</v>
      </c>
      <c r="W64" s="234">
        <v>0</v>
      </c>
      <c r="X64" s="234">
        <f t="shared" si="8"/>
        <v>3560.6</v>
      </c>
      <c r="Y64" s="234">
        <f t="shared" si="9"/>
        <v>1874</v>
      </c>
      <c r="Z64" s="234">
        <f t="shared" si="10"/>
        <v>10930</v>
      </c>
      <c r="AA64" s="234">
        <f t="shared" si="11"/>
        <v>88265.4</v>
      </c>
      <c r="AB64" s="234">
        <f t="shared" si="12"/>
        <v>98370</v>
      </c>
      <c r="AC64" s="234">
        <f t="shared" si="13"/>
        <v>882.654</v>
      </c>
      <c r="AD64" s="101">
        <f t="shared" si="14"/>
        <v>9272.7459999999955</v>
      </c>
      <c r="AE64" s="101">
        <f t="shared" si="15"/>
        <v>19377.346000000001</v>
      </c>
      <c r="AF64" s="235">
        <f t="shared" ref="AF64:AG64" si="100">AD64/U64</f>
        <v>9.8962070437566649E-2</v>
      </c>
      <c r="AG64" s="235">
        <f t="shared" si="100"/>
        <v>0.17728587374199453</v>
      </c>
      <c r="AH64" s="103">
        <f t="shared" ref="AH64:AH84" si="101">U64-15000</f>
        <v>78700</v>
      </c>
      <c r="AI64" s="122" t="s">
        <v>252</v>
      </c>
      <c r="AJ64" s="17"/>
      <c r="AK64" s="17"/>
      <c r="AL64" s="17"/>
      <c r="AM64" s="17"/>
      <c r="AN64" s="17"/>
      <c r="AO64" s="17"/>
      <c r="AP64" s="17"/>
      <c r="AQ64" s="17"/>
      <c r="AR64" s="17"/>
      <c r="AS64" s="17"/>
      <c r="AT64" s="17"/>
      <c r="AU64" s="17"/>
    </row>
    <row r="65" spans="1:47" ht="13.2">
      <c r="A65" s="302"/>
      <c r="B65" s="302"/>
      <c r="C65" s="302"/>
      <c r="D65" s="302"/>
      <c r="E65" s="302"/>
      <c r="F65" s="91" t="s">
        <v>253</v>
      </c>
      <c r="G65" s="237" t="str">
        <f t="shared" si="97"/>
        <v>T</v>
      </c>
      <c r="H65" s="93"/>
      <c r="I65" s="93">
        <v>369</v>
      </c>
      <c r="J65" s="228">
        <v>2</v>
      </c>
      <c r="K65" s="228">
        <f t="shared" ref="K65:K84" si="102">IF(J65&gt;0,J65*16,)</f>
        <v>32</v>
      </c>
      <c r="L65" s="228">
        <f t="shared" si="21"/>
        <v>0.90718399999999999</v>
      </c>
      <c r="M65" s="93">
        <v>0</v>
      </c>
      <c r="N65" s="93">
        <v>0</v>
      </c>
      <c r="O65" s="230">
        <f t="shared" si="2"/>
        <v>369</v>
      </c>
      <c r="P65" s="231">
        <f t="shared" si="3"/>
        <v>70110</v>
      </c>
      <c r="Q65" s="232">
        <f>ROUNDUP(HLOOKUP(IF(CEILING(L65,0.5)&lt;1,1,CEILING(L65,0.5)),'배송비 조회'!A$32:AY$36,2,0),-2)</f>
        <v>8000</v>
      </c>
      <c r="R65" s="232">
        <v>0</v>
      </c>
      <c r="S65" s="231">
        <f t="shared" si="98"/>
        <v>15600</v>
      </c>
      <c r="T65" s="231">
        <f t="shared" si="99"/>
        <v>31200</v>
      </c>
      <c r="U65" s="233">
        <f t="shared" si="6"/>
        <v>93700</v>
      </c>
      <c r="V65" s="233">
        <f t="shared" si="7"/>
        <v>109300</v>
      </c>
      <c r="W65" s="234">
        <v>0</v>
      </c>
      <c r="X65" s="234">
        <f t="shared" si="8"/>
        <v>3560.6</v>
      </c>
      <c r="Y65" s="234">
        <f t="shared" si="9"/>
        <v>1874</v>
      </c>
      <c r="Z65" s="234">
        <f t="shared" si="10"/>
        <v>10930</v>
      </c>
      <c r="AA65" s="234">
        <f t="shared" si="11"/>
        <v>88265.4</v>
      </c>
      <c r="AB65" s="234">
        <f t="shared" si="12"/>
        <v>98370</v>
      </c>
      <c r="AC65" s="234">
        <f t="shared" si="13"/>
        <v>882.654</v>
      </c>
      <c r="AD65" s="101">
        <f t="shared" si="14"/>
        <v>9272.7459999999955</v>
      </c>
      <c r="AE65" s="101">
        <f t="shared" si="15"/>
        <v>19377.346000000001</v>
      </c>
      <c r="AF65" s="235">
        <f t="shared" ref="AF65:AG65" si="103">AD65/U65</f>
        <v>9.8962070437566649E-2</v>
      </c>
      <c r="AG65" s="235">
        <f t="shared" si="103"/>
        <v>0.17728587374199453</v>
      </c>
      <c r="AH65" s="103">
        <f t="shared" si="101"/>
        <v>78700</v>
      </c>
      <c r="AI65" s="104"/>
      <c r="AJ65" s="17"/>
      <c r="AK65" s="17"/>
      <c r="AL65" s="17"/>
      <c r="AM65" s="17"/>
      <c r="AN65" s="17"/>
      <c r="AO65" s="17"/>
      <c r="AP65" s="17"/>
      <c r="AQ65" s="17"/>
      <c r="AR65" s="17"/>
      <c r="AS65" s="17"/>
      <c r="AT65" s="17"/>
      <c r="AU65" s="17"/>
    </row>
    <row r="66" spans="1:47" ht="13.2">
      <c r="A66" s="302"/>
      <c r="B66" s="302"/>
      <c r="C66" s="302"/>
      <c r="D66" s="302"/>
      <c r="E66" s="302"/>
      <c r="F66" s="91" t="s">
        <v>254</v>
      </c>
      <c r="G66" s="237" t="str">
        <f t="shared" si="97"/>
        <v>T</v>
      </c>
      <c r="H66" s="93"/>
      <c r="I66" s="93">
        <v>369</v>
      </c>
      <c r="J66" s="228">
        <v>2</v>
      </c>
      <c r="K66" s="228">
        <f t="shared" si="102"/>
        <v>32</v>
      </c>
      <c r="L66" s="228">
        <f t="shared" si="21"/>
        <v>0.90718399999999999</v>
      </c>
      <c r="M66" s="93">
        <v>0</v>
      </c>
      <c r="N66" s="93">
        <v>0</v>
      </c>
      <c r="O66" s="230">
        <f t="shared" si="2"/>
        <v>369</v>
      </c>
      <c r="P66" s="231">
        <f t="shared" si="3"/>
        <v>70110</v>
      </c>
      <c r="Q66" s="232">
        <f>ROUNDUP(HLOOKUP(IF(CEILING(L66,0.5)&lt;1,1,CEILING(L66,0.5)),'배송비 조회'!A$32:AY$36,2,0),-2)</f>
        <v>8000</v>
      </c>
      <c r="R66" s="232">
        <v>0</v>
      </c>
      <c r="S66" s="231">
        <f t="shared" si="98"/>
        <v>15600</v>
      </c>
      <c r="T66" s="231">
        <f t="shared" si="99"/>
        <v>31200</v>
      </c>
      <c r="U66" s="233">
        <f t="shared" si="6"/>
        <v>93700</v>
      </c>
      <c r="V66" s="233">
        <f t="shared" si="7"/>
        <v>109300</v>
      </c>
      <c r="W66" s="234">
        <v>0</v>
      </c>
      <c r="X66" s="234">
        <f t="shared" si="8"/>
        <v>3560.6</v>
      </c>
      <c r="Y66" s="234">
        <f t="shared" si="9"/>
        <v>1874</v>
      </c>
      <c r="Z66" s="234">
        <f t="shared" si="10"/>
        <v>10930</v>
      </c>
      <c r="AA66" s="234">
        <f t="shared" si="11"/>
        <v>88265.4</v>
      </c>
      <c r="AB66" s="234">
        <f t="shared" si="12"/>
        <v>98370</v>
      </c>
      <c r="AC66" s="234">
        <f t="shared" si="13"/>
        <v>882.654</v>
      </c>
      <c r="AD66" s="101">
        <f t="shared" si="14"/>
        <v>9272.7459999999955</v>
      </c>
      <c r="AE66" s="101">
        <f t="shared" si="15"/>
        <v>19377.346000000001</v>
      </c>
      <c r="AF66" s="235">
        <f t="shared" ref="AF66:AG66" si="104">AD66/U66</f>
        <v>9.8962070437566649E-2</v>
      </c>
      <c r="AG66" s="235">
        <f t="shared" si="104"/>
        <v>0.17728587374199453</v>
      </c>
      <c r="AH66" s="103">
        <f t="shared" si="101"/>
        <v>78700</v>
      </c>
      <c r="AI66" s="104"/>
      <c r="AJ66" s="17"/>
      <c r="AK66" s="17"/>
      <c r="AL66" s="17"/>
      <c r="AM66" s="17"/>
      <c r="AN66" s="17"/>
      <c r="AO66" s="17"/>
      <c r="AP66" s="17"/>
      <c r="AQ66" s="17"/>
      <c r="AR66" s="17"/>
      <c r="AS66" s="17"/>
      <c r="AT66" s="17"/>
      <c r="AU66" s="17"/>
    </row>
    <row r="67" spans="1:47" ht="13.2">
      <c r="A67" s="302"/>
      <c r="B67" s="302"/>
      <c r="C67" s="302"/>
      <c r="D67" s="302"/>
      <c r="E67" s="302"/>
      <c r="F67" s="91" t="s">
        <v>257</v>
      </c>
      <c r="G67" s="237" t="str">
        <f t="shared" si="97"/>
        <v>T</v>
      </c>
      <c r="H67" s="93"/>
      <c r="I67" s="93">
        <v>369</v>
      </c>
      <c r="J67" s="228">
        <v>2</v>
      </c>
      <c r="K67" s="228">
        <f t="shared" si="102"/>
        <v>32</v>
      </c>
      <c r="L67" s="228">
        <f t="shared" si="21"/>
        <v>0.90718399999999999</v>
      </c>
      <c r="M67" s="93">
        <v>0</v>
      </c>
      <c r="N67" s="93">
        <v>0</v>
      </c>
      <c r="O67" s="230">
        <f t="shared" si="2"/>
        <v>369</v>
      </c>
      <c r="P67" s="231">
        <f t="shared" si="3"/>
        <v>70110</v>
      </c>
      <c r="Q67" s="232">
        <f>ROUNDUP(HLOOKUP(IF(CEILING(L67,0.5)&lt;1,1,CEILING(L67,0.5)),'배송비 조회'!A$32:AY$36,2,0),-2)</f>
        <v>8000</v>
      </c>
      <c r="R67" s="232">
        <v>0</v>
      </c>
      <c r="S67" s="231">
        <f t="shared" si="98"/>
        <v>15600</v>
      </c>
      <c r="T67" s="231">
        <f t="shared" si="99"/>
        <v>31200</v>
      </c>
      <c r="U67" s="233">
        <f t="shared" si="6"/>
        <v>93700</v>
      </c>
      <c r="V67" s="233">
        <f t="shared" si="7"/>
        <v>109300</v>
      </c>
      <c r="W67" s="234">
        <v>0</v>
      </c>
      <c r="X67" s="234">
        <f t="shared" si="8"/>
        <v>3560.6</v>
      </c>
      <c r="Y67" s="234">
        <f t="shared" si="9"/>
        <v>1874</v>
      </c>
      <c r="Z67" s="234">
        <f t="shared" si="10"/>
        <v>10930</v>
      </c>
      <c r="AA67" s="234">
        <f t="shared" si="11"/>
        <v>88265.4</v>
      </c>
      <c r="AB67" s="234">
        <f t="shared" si="12"/>
        <v>98370</v>
      </c>
      <c r="AC67" s="234">
        <f t="shared" si="13"/>
        <v>882.654</v>
      </c>
      <c r="AD67" s="101">
        <f t="shared" si="14"/>
        <v>9272.7459999999955</v>
      </c>
      <c r="AE67" s="101">
        <f t="shared" si="15"/>
        <v>19377.346000000001</v>
      </c>
      <c r="AF67" s="235">
        <f t="shared" ref="AF67:AG67" si="105">AD67/U67</f>
        <v>9.8962070437566649E-2</v>
      </c>
      <c r="AG67" s="235">
        <f t="shared" si="105"/>
        <v>0.17728587374199453</v>
      </c>
      <c r="AH67" s="103">
        <f t="shared" si="101"/>
        <v>78700</v>
      </c>
      <c r="AI67" s="104"/>
      <c r="AJ67" s="17"/>
      <c r="AK67" s="17"/>
      <c r="AL67" s="17"/>
      <c r="AM67" s="17"/>
      <c r="AN67" s="17"/>
      <c r="AO67" s="17"/>
      <c r="AP67" s="17"/>
      <c r="AQ67" s="17"/>
      <c r="AR67" s="17"/>
      <c r="AS67" s="17"/>
      <c r="AT67" s="17"/>
      <c r="AU67" s="17"/>
    </row>
    <row r="68" spans="1:47" ht="13.2">
      <c r="A68" s="302"/>
      <c r="B68" s="302"/>
      <c r="C68" s="302"/>
      <c r="D68" s="302"/>
      <c r="E68" s="302"/>
      <c r="F68" s="91" t="s">
        <v>258</v>
      </c>
      <c r="G68" s="237" t="str">
        <f t="shared" si="97"/>
        <v>T</v>
      </c>
      <c r="H68" s="93"/>
      <c r="I68" s="93">
        <v>369</v>
      </c>
      <c r="J68" s="228">
        <v>2</v>
      </c>
      <c r="K68" s="228">
        <f t="shared" si="102"/>
        <v>32</v>
      </c>
      <c r="L68" s="228">
        <f t="shared" si="21"/>
        <v>0.90718399999999999</v>
      </c>
      <c r="M68" s="93">
        <v>0</v>
      </c>
      <c r="N68" s="93">
        <v>0</v>
      </c>
      <c r="O68" s="230">
        <f t="shared" si="2"/>
        <v>369</v>
      </c>
      <c r="P68" s="231">
        <f t="shared" si="3"/>
        <v>70110</v>
      </c>
      <c r="Q68" s="232">
        <f>ROUNDUP(HLOOKUP(IF(CEILING(L68,0.5)&lt;1,1,CEILING(L68,0.5)),'배송비 조회'!A$32:AY$36,2,0),-2)</f>
        <v>8000</v>
      </c>
      <c r="R68" s="232">
        <v>0</v>
      </c>
      <c r="S68" s="231">
        <f t="shared" si="98"/>
        <v>15600</v>
      </c>
      <c r="T68" s="231">
        <f t="shared" si="99"/>
        <v>31200</v>
      </c>
      <c r="U68" s="233">
        <f t="shared" si="6"/>
        <v>93700</v>
      </c>
      <c r="V68" s="233">
        <f t="shared" si="7"/>
        <v>109300</v>
      </c>
      <c r="W68" s="234">
        <v>0</v>
      </c>
      <c r="X68" s="234">
        <f t="shared" si="8"/>
        <v>3560.6</v>
      </c>
      <c r="Y68" s="234">
        <f t="shared" si="9"/>
        <v>1874</v>
      </c>
      <c r="Z68" s="234">
        <f t="shared" si="10"/>
        <v>10930</v>
      </c>
      <c r="AA68" s="234">
        <f t="shared" si="11"/>
        <v>88265.4</v>
      </c>
      <c r="AB68" s="234">
        <f t="shared" si="12"/>
        <v>98370</v>
      </c>
      <c r="AC68" s="234">
        <f t="shared" si="13"/>
        <v>882.654</v>
      </c>
      <c r="AD68" s="101">
        <f t="shared" si="14"/>
        <v>9272.7459999999955</v>
      </c>
      <c r="AE68" s="101">
        <f t="shared" si="15"/>
        <v>19377.346000000001</v>
      </c>
      <c r="AF68" s="235">
        <f t="shared" ref="AF68:AG68" si="106">AD68/U68</f>
        <v>9.8962070437566649E-2</v>
      </c>
      <c r="AG68" s="235">
        <f t="shared" si="106"/>
        <v>0.17728587374199453</v>
      </c>
      <c r="AH68" s="103">
        <f t="shared" si="101"/>
        <v>78700</v>
      </c>
      <c r="AI68" s="104"/>
      <c r="AJ68" s="17"/>
      <c r="AK68" s="17"/>
      <c r="AL68" s="17"/>
      <c r="AM68" s="17"/>
      <c r="AN68" s="17"/>
      <c r="AO68" s="17"/>
      <c r="AP68" s="17"/>
      <c r="AQ68" s="17"/>
      <c r="AR68" s="17"/>
      <c r="AS68" s="17"/>
      <c r="AT68" s="17"/>
      <c r="AU68" s="17"/>
    </row>
    <row r="69" spans="1:47" ht="13.2">
      <c r="A69" s="302"/>
      <c r="B69" s="302"/>
      <c r="C69" s="302"/>
      <c r="D69" s="302"/>
      <c r="E69" s="302"/>
      <c r="F69" s="91" t="s">
        <v>259</v>
      </c>
      <c r="G69" s="237" t="str">
        <f t="shared" si="97"/>
        <v>T</v>
      </c>
      <c r="H69" s="93"/>
      <c r="I69" s="93">
        <v>369</v>
      </c>
      <c r="J69" s="228">
        <v>2</v>
      </c>
      <c r="K69" s="228">
        <f t="shared" si="102"/>
        <v>32</v>
      </c>
      <c r="L69" s="228">
        <f t="shared" si="21"/>
        <v>0.90718399999999999</v>
      </c>
      <c r="M69" s="93">
        <v>0</v>
      </c>
      <c r="N69" s="93">
        <v>0</v>
      </c>
      <c r="O69" s="230">
        <f t="shared" si="2"/>
        <v>369</v>
      </c>
      <c r="P69" s="231">
        <f t="shared" si="3"/>
        <v>70110</v>
      </c>
      <c r="Q69" s="232">
        <f>ROUNDUP(HLOOKUP(IF(CEILING(L69,0.5)&lt;1,1,CEILING(L69,0.5)),'배송비 조회'!A$32:AY$36,2,0),-2)</f>
        <v>8000</v>
      </c>
      <c r="R69" s="232">
        <v>0</v>
      </c>
      <c r="S69" s="231">
        <f t="shared" si="98"/>
        <v>15600</v>
      </c>
      <c r="T69" s="231">
        <f t="shared" si="99"/>
        <v>31200</v>
      </c>
      <c r="U69" s="233">
        <f t="shared" si="6"/>
        <v>93700</v>
      </c>
      <c r="V69" s="233">
        <f t="shared" si="7"/>
        <v>109300</v>
      </c>
      <c r="W69" s="234">
        <v>0</v>
      </c>
      <c r="X69" s="234">
        <f t="shared" si="8"/>
        <v>3560.6</v>
      </c>
      <c r="Y69" s="234">
        <f t="shared" si="9"/>
        <v>1874</v>
      </c>
      <c r="Z69" s="234">
        <f t="shared" si="10"/>
        <v>10930</v>
      </c>
      <c r="AA69" s="234">
        <f t="shared" si="11"/>
        <v>88265.4</v>
      </c>
      <c r="AB69" s="234">
        <f t="shared" si="12"/>
        <v>98370</v>
      </c>
      <c r="AC69" s="234">
        <f t="shared" si="13"/>
        <v>882.654</v>
      </c>
      <c r="AD69" s="101">
        <f t="shared" si="14"/>
        <v>9272.7459999999955</v>
      </c>
      <c r="AE69" s="101">
        <f t="shared" si="15"/>
        <v>19377.346000000001</v>
      </c>
      <c r="AF69" s="235">
        <f t="shared" ref="AF69:AG69" si="107">AD69/U69</f>
        <v>9.8962070437566649E-2</v>
      </c>
      <c r="AG69" s="235">
        <f t="shared" si="107"/>
        <v>0.17728587374199453</v>
      </c>
      <c r="AH69" s="103">
        <f t="shared" si="101"/>
        <v>78700</v>
      </c>
      <c r="AI69" s="104"/>
      <c r="AJ69" s="17"/>
      <c r="AK69" s="17"/>
      <c r="AL69" s="17"/>
      <c r="AM69" s="17"/>
      <c r="AN69" s="17"/>
      <c r="AO69" s="17"/>
      <c r="AP69" s="17"/>
      <c r="AQ69" s="17"/>
      <c r="AR69" s="17"/>
      <c r="AS69" s="17"/>
      <c r="AT69" s="17"/>
      <c r="AU69" s="17"/>
    </row>
    <row r="70" spans="1:47" ht="13.2">
      <c r="A70" s="302"/>
      <c r="B70" s="302"/>
      <c r="C70" s="302"/>
      <c r="D70" s="302"/>
      <c r="E70" s="302"/>
      <c r="F70" s="91" t="s">
        <v>262</v>
      </c>
      <c r="G70" s="237" t="str">
        <f t="shared" si="97"/>
        <v>T</v>
      </c>
      <c r="H70" s="93"/>
      <c r="I70" s="93">
        <v>399</v>
      </c>
      <c r="J70" s="228">
        <v>2</v>
      </c>
      <c r="K70" s="228">
        <f t="shared" si="102"/>
        <v>32</v>
      </c>
      <c r="L70" s="228">
        <f t="shared" si="21"/>
        <v>0.90718399999999999</v>
      </c>
      <c r="M70" s="93">
        <v>0</v>
      </c>
      <c r="N70" s="93">
        <v>0</v>
      </c>
      <c r="O70" s="230">
        <f t="shared" si="2"/>
        <v>399</v>
      </c>
      <c r="P70" s="231">
        <f t="shared" si="3"/>
        <v>75810</v>
      </c>
      <c r="Q70" s="232">
        <f>ROUNDUP(HLOOKUP(IF(CEILING(L70,0.5)&lt;1,1,CEILING(L70,0.5)),'배송비 조회'!A$32:AY$36,2,0),-2)</f>
        <v>8000</v>
      </c>
      <c r="R70" s="232">
        <v>0</v>
      </c>
      <c r="S70" s="231">
        <f t="shared" si="98"/>
        <v>16800</v>
      </c>
      <c r="T70" s="231">
        <f t="shared" si="99"/>
        <v>33500</v>
      </c>
      <c r="U70" s="233">
        <f t="shared" si="6"/>
        <v>100600</v>
      </c>
      <c r="V70" s="233">
        <f t="shared" si="7"/>
        <v>117300</v>
      </c>
      <c r="W70" s="234">
        <v>0</v>
      </c>
      <c r="X70" s="234">
        <f t="shared" si="8"/>
        <v>3822.7999999999997</v>
      </c>
      <c r="Y70" s="234">
        <f t="shared" si="9"/>
        <v>2012</v>
      </c>
      <c r="Z70" s="234">
        <f t="shared" si="10"/>
        <v>11730</v>
      </c>
      <c r="AA70" s="234">
        <f t="shared" si="11"/>
        <v>94765.2</v>
      </c>
      <c r="AB70" s="234">
        <f t="shared" si="12"/>
        <v>105570</v>
      </c>
      <c r="AC70" s="234">
        <f t="shared" si="13"/>
        <v>947.65200000000004</v>
      </c>
      <c r="AD70" s="101">
        <f t="shared" si="14"/>
        <v>10007.547999999995</v>
      </c>
      <c r="AE70" s="101">
        <f t="shared" si="15"/>
        <v>20812.347999999998</v>
      </c>
      <c r="AF70" s="235">
        <f t="shared" ref="AF70:AG70" si="108">AD70/U70</f>
        <v>9.9478608349900549E-2</v>
      </c>
      <c r="AG70" s="235">
        <f t="shared" si="108"/>
        <v>0.17742837169650466</v>
      </c>
      <c r="AH70" s="103">
        <f t="shared" si="101"/>
        <v>85600</v>
      </c>
      <c r="AI70" s="104"/>
      <c r="AJ70" s="17"/>
      <c r="AK70" s="17"/>
      <c r="AL70" s="17"/>
      <c r="AM70" s="17"/>
      <c r="AN70" s="17"/>
      <c r="AO70" s="17"/>
      <c r="AP70" s="17"/>
      <c r="AQ70" s="17"/>
      <c r="AR70" s="17"/>
      <c r="AS70" s="17"/>
      <c r="AT70" s="17"/>
      <c r="AU70" s="17"/>
    </row>
    <row r="71" spans="1:47" ht="13.2">
      <c r="A71" s="302"/>
      <c r="B71" s="302"/>
      <c r="C71" s="302"/>
      <c r="D71" s="302"/>
      <c r="E71" s="302"/>
      <c r="F71" s="91" t="s">
        <v>263</v>
      </c>
      <c r="G71" s="237" t="str">
        <f t="shared" si="97"/>
        <v>T</v>
      </c>
      <c r="H71" s="93"/>
      <c r="I71" s="93">
        <v>399</v>
      </c>
      <c r="J71" s="228">
        <v>2</v>
      </c>
      <c r="K71" s="228">
        <f t="shared" si="102"/>
        <v>32</v>
      </c>
      <c r="L71" s="228">
        <f t="shared" si="21"/>
        <v>0.90718399999999999</v>
      </c>
      <c r="M71" s="93">
        <v>0</v>
      </c>
      <c r="N71" s="93">
        <v>0</v>
      </c>
      <c r="O71" s="230">
        <f t="shared" si="2"/>
        <v>399</v>
      </c>
      <c r="P71" s="231">
        <f t="shared" si="3"/>
        <v>75810</v>
      </c>
      <c r="Q71" s="232">
        <f>ROUNDUP(HLOOKUP(IF(CEILING(L71,0.5)&lt;1,1,CEILING(L71,0.5)),'배송비 조회'!A$32:AY$36,2,0),-2)</f>
        <v>8000</v>
      </c>
      <c r="R71" s="232">
        <v>0</v>
      </c>
      <c r="S71" s="231">
        <f t="shared" si="98"/>
        <v>16800</v>
      </c>
      <c r="T71" s="231">
        <f t="shared" si="99"/>
        <v>33500</v>
      </c>
      <c r="U71" s="233">
        <f t="shared" si="6"/>
        <v>100600</v>
      </c>
      <c r="V71" s="233">
        <f t="shared" si="7"/>
        <v>117300</v>
      </c>
      <c r="W71" s="234">
        <v>0</v>
      </c>
      <c r="X71" s="234">
        <f t="shared" si="8"/>
        <v>3822.7999999999997</v>
      </c>
      <c r="Y71" s="234">
        <f t="shared" si="9"/>
        <v>2012</v>
      </c>
      <c r="Z71" s="234">
        <f t="shared" si="10"/>
        <v>11730</v>
      </c>
      <c r="AA71" s="234">
        <f t="shared" si="11"/>
        <v>94765.2</v>
      </c>
      <c r="AB71" s="234">
        <f t="shared" si="12"/>
        <v>105570</v>
      </c>
      <c r="AC71" s="234">
        <f t="shared" si="13"/>
        <v>947.65200000000004</v>
      </c>
      <c r="AD71" s="101">
        <f t="shared" si="14"/>
        <v>10007.547999999995</v>
      </c>
      <c r="AE71" s="101">
        <f t="shared" si="15"/>
        <v>20812.347999999998</v>
      </c>
      <c r="AF71" s="235">
        <f t="shared" ref="AF71:AG71" si="109">AD71/U71</f>
        <v>9.9478608349900549E-2</v>
      </c>
      <c r="AG71" s="235">
        <f t="shared" si="109"/>
        <v>0.17742837169650466</v>
      </c>
      <c r="AH71" s="103">
        <f t="shared" si="101"/>
        <v>85600</v>
      </c>
      <c r="AI71" s="104"/>
      <c r="AJ71" s="17"/>
      <c r="AK71" s="17"/>
      <c r="AL71" s="17"/>
      <c r="AM71" s="17"/>
      <c r="AN71" s="17"/>
      <c r="AO71" s="17"/>
      <c r="AP71" s="17"/>
      <c r="AQ71" s="17"/>
      <c r="AR71" s="17"/>
      <c r="AS71" s="17"/>
      <c r="AT71" s="17"/>
      <c r="AU71" s="17"/>
    </row>
    <row r="72" spans="1:47" ht="13.2">
      <c r="A72" s="302"/>
      <c r="B72" s="302"/>
      <c r="C72" s="302"/>
      <c r="D72" s="302"/>
      <c r="E72" s="302"/>
      <c r="F72" s="130" t="s">
        <v>266</v>
      </c>
      <c r="G72" s="237" t="str">
        <f t="shared" si="97"/>
        <v>T</v>
      </c>
      <c r="H72" s="93"/>
      <c r="I72" s="93">
        <v>399</v>
      </c>
      <c r="J72" s="228">
        <v>2</v>
      </c>
      <c r="K72" s="228">
        <f t="shared" si="102"/>
        <v>32</v>
      </c>
      <c r="L72" s="228">
        <f t="shared" si="21"/>
        <v>0.90718399999999999</v>
      </c>
      <c r="M72" s="93">
        <v>0</v>
      </c>
      <c r="N72" s="93">
        <v>0</v>
      </c>
      <c r="O72" s="230">
        <f t="shared" si="2"/>
        <v>399</v>
      </c>
      <c r="P72" s="231">
        <f t="shared" si="3"/>
        <v>75810</v>
      </c>
      <c r="Q72" s="232">
        <f>ROUNDUP(HLOOKUP(IF(CEILING(L72,0.5)&lt;1,1,CEILING(L72,0.5)),'배송비 조회'!A$32:AY$36,2,0),-2)</f>
        <v>8000</v>
      </c>
      <c r="R72" s="232">
        <v>0</v>
      </c>
      <c r="S72" s="231">
        <f t="shared" si="98"/>
        <v>16800</v>
      </c>
      <c r="T72" s="231">
        <f t="shared" si="99"/>
        <v>33500</v>
      </c>
      <c r="U72" s="233">
        <f t="shared" si="6"/>
        <v>100600</v>
      </c>
      <c r="V72" s="233">
        <f t="shared" si="7"/>
        <v>117300</v>
      </c>
      <c r="W72" s="234">
        <v>0</v>
      </c>
      <c r="X72" s="234">
        <f t="shared" si="8"/>
        <v>3822.7999999999997</v>
      </c>
      <c r="Y72" s="234">
        <f t="shared" si="9"/>
        <v>2012</v>
      </c>
      <c r="Z72" s="234">
        <f t="shared" si="10"/>
        <v>11730</v>
      </c>
      <c r="AA72" s="234">
        <f t="shared" si="11"/>
        <v>94765.2</v>
      </c>
      <c r="AB72" s="234">
        <f t="shared" si="12"/>
        <v>105570</v>
      </c>
      <c r="AC72" s="234">
        <f t="shared" si="13"/>
        <v>947.65200000000004</v>
      </c>
      <c r="AD72" s="101">
        <f t="shared" si="14"/>
        <v>10007.547999999995</v>
      </c>
      <c r="AE72" s="101">
        <f t="shared" si="15"/>
        <v>20812.347999999998</v>
      </c>
      <c r="AF72" s="235">
        <f t="shared" ref="AF72:AG72" si="110">AD72/U72</f>
        <v>9.9478608349900549E-2</v>
      </c>
      <c r="AG72" s="235">
        <f t="shared" si="110"/>
        <v>0.17742837169650466</v>
      </c>
      <c r="AH72" s="103">
        <f t="shared" si="101"/>
        <v>85600</v>
      </c>
      <c r="AI72" s="104"/>
      <c r="AJ72" s="17"/>
      <c r="AK72" s="17"/>
      <c r="AL72" s="17"/>
      <c r="AM72" s="17"/>
      <c r="AN72" s="17"/>
      <c r="AO72" s="17"/>
      <c r="AP72" s="17"/>
      <c r="AQ72" s="17"/>
      <c r="AR72" s="17"/>
      <c r="AS72" s="17"/>
      <c r="AT72" s="17"/>
      <c r="AU72" s="17"/>
    </row>
    <row r="73" spans="1:47" ht="13.2">
      <c r="A73" s="302"/>
      <c r="B73" s="302"/>
      <c r="C73" s="302"/>
      <c r="D73" s="302"/>
      <c r="E73" s="302"/>
      <c r="F73" s="91" t="s">
        <v>267</v>
      </c>
      <c r="G73" s="237" t="str">
        <f t="shared" si="97"/>
        <v>T</v>
      </c>
      <c r="H73" s="93"/>
      <c r="I73" s="93">
        <v>399</v>
      </c>
      <c r="J73" s="228">
        <v>2</v>
      </c>
      <c r="K73" s="228">
        <f t="shared" si="102"/>
        <v>32</v>
      </c>
      <c r="L73" s="228">
        <f t="shared" si="21"/>
        <v>0.90718399999999999</v>
      </c>
      <c r="M73" s="93">
        <v>0</v>
      </c>
      <c r="N73" s="93">
        <v>0</v>
      </c>
      <c r="O73" s="230">
        <f t="shared" si="2"/>
        <v>399</v>
      </c>
      <c r="P73" s="231">
        <f t="shared" si="3"/>
        <v>75810</v>
      </c>
      <c r="Q73" s="232">
        <f>ROUNDUP(HLOOKUP(IF(CEILING(L73,0.5)&lt;1,1,CEILING(L73,0.5)),'배송비 조회'!A$32:AY$36,2,0),-2)</f>
        <v>8000</v>
      </c>
      <c r="R73" s="232">
        <v>0</v>
      </c>
      <c r="S73" s="231">
        <f t="shared" si="98"/>
        <v>16800</v>
      </c>
      <c r="T73" s="231">
        <f t="shared" si="99"/>
        <v>33500</v>
      </c>
      <c r="U73" s="233">
        <f t="shared" si="6"/>
        <v>100600</v>
      </c>
      <c r="V73" s="233">
        <f t="shared" si="7"/>
        <v>117300</v>
      </c>
      <c r="W73" s="234">
        <v>0</v>
      </c>
      <c r="X73" s="234">
        <f t="shared" si="8"/>
        <v>3822.7999999999997</v>
      </c>
      <c r="Y73" s="234">
        <f t="shared" si="9"/>
        <v>2012</v>
      </c>
      <c r="Z73" s="234">
        <f t="shared" si="10"/>
        <v>11730</v>
      </c>
      <c r="AA73" s="234">
        <f t="shared" si="11"/>
        <v>94765.2</v>
      </c>
      <c r="AB73" s="234">
        <f t="shared" si="12"/>
        <v>105570</v>
      </c>
      <c r="AC73" s="234">
        <f t="shared" si="13"/>
        <v>947.65200000000004</v>
      </c>
      <c r="AD73" s="101">
        <f t="shared" si="14"/>
        <v>10007.547999999995</v>
      </c>
      <c r="AE73" s="101">
        <f t="shared" si="15"/>
        <v>20812.347999999998</v>
      </c>
      <c r="AF73" s="235">
        <f t="shared" ref="AF73:AG73" si="111">AD73/U73</f>
        <v>9.9478608349900549E-2</v>
      </c>
      <c r="AG73" s="235">
        <f t="shared" si="111"/>
        <v>0.17742837169650466</v>
      </c>
      <c r="AH73" s="103">
        <f t="shared" si="101"/>
        <v>85600</v>
      </c>
      <c r="AI73" s="104"/>
      <c r="AJ73" s="17"/>
      <c r="AK73" s="17"/>
      <c r="AL73" s="17"/>
      <c r="AM73" s="17"/>
      <c r="AN73" s="17"/>
      <c r="AO73" s="17"/>
      <c r="AP73" s="17"/>
      <c r="AQ73" s="17"/>
      <c r="AR73" s="17"/>
      <c r="AS73" s="17"/>
      <c r="AT73" s="17"/>
      <c r="AU73" s="17"/>
    </row>
    <row r="74" spans="1:47" ht="13.2">
      <c r="A74" s="302"/>
      <c r="B74" s="302"/>
      <c r="C74" s="302"/>
      <c r="D74" s="302"/>
      <c r="E74" s="302"/>
      <c r="F74" s="91" t="s">
        <v>268</v>
      </c>
      <c r="G74" s="237" t="str">
        <f t="shared" si="97"/>
        <v>T</v>
      </c>
      <c r="H74" s="93"/>
      <c r="I74" s="93">
        <v>399</v>
      </c>
      <c r="J74" s="228">
        <v>2</v>
      </c>
      <c r="K74" s="228">
        <f t="shared" si="102"/>
        <v>32</v>
      </c>
      <c r="L74" s="228">
        <f t="shared" si="21"/>
        <v>0.90718399999999999</v>
      </c>
      <c r="M74" s="93">
        <v>0</v>
      </c>
      <c r="N74" s="93">
        <v>0</v>
      </c>
      <c r="O74" s="230">
        <f t="shared" si="2"/>
        <v>399</v>
      </c>
      <c r="P74" s="231">
        <f t="shared" si="3"/>
        <v>75810</v>
      </c>
      <c r="Q74" s="232">
        <f>ROUNDUP(HLOOKUP(IF(CEILING(L74,0.5)&lt;1,1,CEILING(L74,0.5)),'배송비 조회'!A$32:AY$36,2,0),-2)</f>
        <v>8000</v>
      </c>
      <c r="R74" s="232">
        <v>0</v>
      </c>
      <c r="S74" s="231">
        <f t="shared" si="98"/>
        <v>16800</v>
      </c>
      <c r="T74" s="231">
        <f t="shared" si="99"/>
        <v>33500</v>
      </c>
      <c r="U74" s="233">
        <f t="shared" si="6"/>
        <v>100600</v>
      </c>
      <c r="V74" s="233">
        <f t="shared" si="7"/>
        <v>117300</v>
      </c>
      <c r="W74" s="234">
        <v>0</v>
      </c>
      <c r="X74" s="234">
        <f t="shared" si="8"/>
        <v>3822.7999999999997</v>
      </c>
      <c r="Y74" s="234">
        <f t="shared" si="9"/>
        <v>2012</v>
      </c>
      <c r="Z74" s="234">
        <f t="shared" si="10"/>
        <v>11730</v>
      </c>
      <c r="AA74" s="234">
        <f t="shared" si="11"/>
        <v>94765.2</v>
      </c>
      <c r="AB74" s="234">
        <f t="shared" si="12"/>
        <v>105570</v>
      </c>
      <c r="AC74" s="234">
        <f t="shared" si="13"/>
        <v>947.65200000000004</v>
      </c>
      <c r="AD74" s="101">
        <f t="shared" si="14"/>
        <v>10007.547999999995</v>
      </c>
      <c r="AE74" s="101">
        <f t="shared" si="15"/>
        <v>20812.347999999998</v>
      </c>
      <c r="AF74" s="235">
        <f t="shared" ref="AF74:AG74" si="112">AD74/U74</f>
        <v>9.9478608349900549E-2</v>
      </c>
      <c r="AG74" s="235">
        <f t="shared" si="112"/>
        <v>0.17742837169650466</v>
      </c>
      <c r="AH74" s="103">
        <f t="shared" si="101"/>
        <v>85600</v>
      </c>
      <c r="AI74" s="104"/>
      <c r="AJ74" s="17"/>
      <c r="AK74" s="17"/>
      <c r="AL74" s="17"/>
      <c r="AM74" s="17"/>
      <c r="AN74" s="17"/>
      <c r="AO74" s="17"/>
      <c r="AP74" s="17"/>
      <c r="AQ74" s="17"/>
      <c r="AR74" s="17"/>
      <c r="AS74" s="17"/>
      <c r="AT74" s="17"/>
      <c r="AU74" s="17"/>
    </row>
    <row r="75" spans="1:47" ht="13.2">
      <c r="A75" s="302"/>
      <c r="B75" s="302"/>
      <c r="C75" s="302"/>
      <c r="D75" s="302"/>
      <c r="E75" s="302"/>
      <c r="F75" s="91" t="s">
        <v>271</v>
      </c>
      <c r="G75" s="237" t="str">
        <f t="shared" si="97"/>
        <v>T</v>
      </c>
      <c r="H75" s="93"/>
      <c r="I75" s="93">
        <v>399</v>
      </c>
      <c r="J75" s="228">
        <v>2</v>
      </c>
      <c r="K75" s="228">
        <f t="shared" si="102"/>
        <v>32</v>
      </c>
      <c r="L75" s="228">
        <f t="shared" si="21"/>
        <v>0.90718399999999999</v>
      </c>
      <c r="M75" s="93">
        <v>0</v>
      </c>
      <c r="N75" s="93">
        <v>0</v>
      </c>
      <c r="O75" s="230">
        <f t="shared" si="2"/>
        <v>399</v>
      </c>
      <c r="P75" s="231">
        <f t="shared" si="3"/>
        <v>75810</v>
      </c>
      <c r="Q75" s="232">
        <f>ROUNDUP(HLOOKUP(IF(CEILING(L75,0.5)&lt;1,1,CEILING(L75,0.5)),'배송비 조회'!A$32:AY$36,2,0),-2)</f>
        <v>8000</v>
      </c>
      <c r="R75" s="232">
        <v>0</v>
      </c>
      <c r="S75" s="231">
        <f t="shared" si="98"/>
        <v>16800</v>
      </c>
      <c r="T75" s="231">
        <f t="shared" si="99"/>
        <v>33500</v>
      </c>
      <c r="U75" s="233">
        <f t="shared" si="6"/>
        <v>100600</v>
      </c>
      <c r="V75" s="233">
        <f t="shared" si="7"/>
        <v>117300</v>
      </c>
      <c r="W75" s="234">
        <v>0</v>
      </c>
      <c r="X75" s="234">
        <f t="shared" si="8"/>
        <v>3822.7999999999997</v>
      </c>
      <c r="Y75" s="234">
        <f t="shared" si="9"/>
        <v>2012</v>
      </c>
      <c r="Z75" s="234">
        <f t="shared" si="10"/>
        <v>11730</v>
      </c>
      <c r="AA75" s="234">
        <f t="shared" si="11"/>
        <v>94765.2</v>
      </c>
      <c r="AB75" s="234">
        <f t="shared" si="12"/>
        <v>105570</v>
      </c>
      <c r="AC75" s="234">
        <f t="shared" si="13"/>
        <v>947.65200000000004</v>
      </c>
      <c r="AD75" s="101">
        <f t="shared" si="14"/>
        <v>10007.547999999995</v>
      </c>
      <c r="AE75" s="101">
        <f t="shared" si="15"/>
        <v>20812.347999999998</v>
      </c>
      <c r="AF75" s="235">
        <f t="shared" ref="AF75:AG75" si="113">AD75/U75</f>
        <v>9.9478608349900549E-2</v>
      </c>
      <c r="AG75" s="235">
        <f t="shared" si="113"/>
        <v>0.17742837169650466</v>
      </c>
      <c r="AH75" s="103">
        <f t="shared" si="101"/>
        <v>85600</v>
      </c>
      <c r="AI75" s="104"/>
      <c r="AJ75" s="17"/>
      <c r="AK75" s="17"/>
      <c r="AL75" s="17"/>
      <c r="AM75" s="17"/>
      <c r="AN75" s="17"/>
      <c r="AO75" s="17"/>
      <c r="AP75" s="17"/>
      <c r="AQ75" s="17"/>
      <c r="AR75" s="17"/>
      <c r="AS75" s="17"/>
      <c r="AT75" s="17"/>
      <c r="AU75" s="17"/>
    </row>
    <row r="76" spans="1:47" ht="13.2">
      <c r="A76" s="302"/>
      <c r="B76" s="302"/>
      <c r="C76" s="302"/>
      <c r="D76" s="302"/>
      <c r="E76" s="302"/>
      <c r="F76" s="91" t="s">
        <v>272</v>
      </c>
      <c r="G76" s="237" t="str">
        <f t="shared" si="97"/>
        <v>T</v>
      </c>
      <c r="H76" s="93"/>
      <c r="I76" s="93">
        <v>399</v>
      </c>
      <c r="J76" s="228">
        <v>2</v>
      </c>
      <c r="K76" s="228">
        <f t="shared" si="102"/>
        <v>32</v>
      </c>
      <c r="L76" s="228">
        <f t="shared" si="21"/>
        <v>0.90718399999999999</v>
      </c>
      <c r="M76" s="93">
        <v>0</v>
      </c>
      <c r="N76" s="93">
        <v>0</v>
      </c>
      <c r="O76" s="230">
        <f t="shared" si="2"/>
        <v>399</v>
      </c>
      <c r="P76" s="231">
        <f t="shared" si="3"/>
        <v>75810</v>
      </c>
      <c r="Q76" s="232">
        <f>ROUNDUP(HLOOKUP(IF(CEILING(L76,0.5)&lt;1,1,CEILING(L76,0.5)),'배송비 조회'!A$32:AY$36,2,0),-2)</f>
        <v>8000</v>
      </c>
      <c r="R76" s="232">
        <v>0</v>
      </c>
      <c r="S76" s="231">
        <f t="shared" si="98"/>
        <v>16800</v>
      </c>
      <c r="T76" s="231">
        <f t="shared" si="99"/>
        <v>33500</v>
      </c>
      <c r="U76" s="233">
        <f t="shared" si="6"/>
        <v>100600</v>
      </c>
      <c r="V76" s="233">
        <f t="shared" si="7"/>
        <v>117300</v>
      </c>
      <c r="W76" s="234">
        <v>0</v>
      </c>
      <c r="X76" s="234">
        <f t="shared" si="8"/>
        <v>3822.7999999999997</v>
      </c>
      <c r="Y76" s="234">
        <f t="shared" si="9"/>
        <v>2012</v>
      </c>
      <c r="Z76" s="234">
        <f t="shared" si="10"/>
        <v>11730</v>
      </c>
      <c r="AA76" s="234">
        <f t="shared" si="11"/>
        <v>94765.2</v>
      </c>
      <c r="AB76" s="234">
        <f t="shared" si="12"/>
        <v>105570</v>
      </c>
      <c r="AC76" s="234">
        <f t="shared" si="13"/>
        <v>947.65200000000004</v>
      </c>
      <c r="AD76" s="101">
        <f t="shared" si="14"/>
        <v>10007.547999999995</v>
      </c>
      <c r="AE76" s="101">
        <f t="shared" si="15"/>
        <v>20812.347999999998</v>
      </c>
      <c r="AF76" s="235">
        <f t="shared" ref="AF76:AG76" si="114">AD76/U76</f>
        <v>9.9478608349900549E-2</v>
      </c>
      <c r="AG76" s="235">
        <f t="shared" si="114"/>
        <v>0.17742837169650466</v>
      </c>
      <c r="AH76" s="103">
        <f t="shared" si="101"/>
        <v>85600</v>
      </c>
      <c r="AI76" s="104"/>
      <c r="AJ76" s="17"/>
      <c r="AK76" s="17"/>
      <c r="AL76" s="17"/>
      <c r="AM76" s="17"/>
      <c r="AN76" s="17"/>
      <c r="AO76" s="17"/>
      <c r="AP76" s="17"/>
      <c r="AQ76" s="17"/>
      <c r="AR76" s="17"/>
      <c r="AS76" s="17"/>
      <c r="AT76" s="17"/>
      <c r="AU76" s="17"/>
    </row>
    <row r="77" spans="1:47" ht="13.2">
      <c r="A77" s="302"/>
      <c r="B77" s="302"/>
      <c r="C77" s="302"/>
      <c r="D77" s="302"/>
      <c r="E77" s="302"/>
      <c r="F77" s="130" t="s">
        <v>273</v>
      </c>
      <c r="G77" s="237" t="str">
        <f t="shared" si="97"/>
        <v>T</v>
      </c>
      <c r="H77" s="93"/>
      <c r="I77" s="93">
        <v>499</v>
      </c>
      <c r="J77" s="228">
        <v>2</v>
      </c>
      <c r="K77" s="228">
        <f t="shared" si="102"/>
        <v>32</v>
      </c>
      <c r="L77" s="228">
        <f t="shared" si="21"/>
        <v>0.90718399999999999</v>
      </c>
      <c r="M77" s="93">
        <v>0</v>
      </c>
      <c r="N77" s="93">
        <v>0</v>
      </c>
      <c r="O77" s="230">
        <f t="shared" si="2"/>
        <v>499</v>
      </c>
      <c r="P77" s="231">
        <f t="shared" si="3"/>
        <v>94810</v>
      </c>
      <c r="Q77" s="232">
        <f>ROUNDUP(HLOOKUP(IF(CEILING(L77,0.5)&lt;1,1,CEILING(L77,0.5)),'배송비 조회'!A$32:AY$36,2,0),-2)</f>
        <v>8000</v>
      </c>
      <c r="R77" s="232">
        <v>0</v>
      </c>
      <c r="S77" s="231">
        <f t="shared" si="98"/>
        <v>20600</v>
      </c>
      <c r="T77" s="231">
        <f t="shared" si="99"/>
        <v>41100</v>
      </c>
      <c r="U77" s="233">
        <f t="shared" si="6"/>
        <v>123400</v>
      </c>
      <c r="V77" s="233">
        <f t="shared" si="7"/>
        <v>143900</v>
      </c>
      <c r="W77" s="234">
        <v>0</v>
      </c>
      <c r="X77" s="234">
        <f t="shared" si="8"/>
        <v>4689.2</v>
      </c>
      <c r="Y77" s="234">
        <f t="shared" si="9"/>
        <v>2468</v>
      </c>
      <c r="Z77" s="234">
        <f t="shared" si="10"/>
        <v>14390</v>
      </c>
      <c r="AA77" s="234">
        <f t="shared" si="11"/>
        <v>116242.8</v>
      </c>
      <c r="AB77" s="234">
        <f t="shared" si="12"/>
        <v>129510</v>
      </c>
      <c r="AC77" s="234">
        <f t="shared" si="13"/>
        <v>1162.4280000000001</v>
      </c>
      <c r="AD77" s="101">
        <f t="shared" si="14"/>
        <v>12270.372000000003</v>
      </c>
      <c r="AE77" s="101">
        <f t="shared" si="15"/>
        <v>25537.572</v>
      </c>
      <c r="AF77" s="235">
        <f t="shared" ref="AF77:AG77" si="115">AD77/U77</f>
        <v>9.9435753646677491E-2</v>
      </c>
      <c r="AG77" s="235">
        <f t="shared" si="115"/>
        <v>0.17746749131341208</v>
      </c>
      <c r="AH77" s="103">
        <f t="shared" si="101"/>
        <v>108400</v>
      </c>
      <c r="AI77" s="104"/>
      <c r="AJ77" s="17"/>
      <c r="AK77" s="17"/>
      <c r="AL77" s="17"/>
      <c r="AM77" s="17"/>
      <c r="AN77" s="17"/>
      <c r="AO77" s="17"/>
      <c r="AP77" s="17"/>
      <c r="AQ77" s="17"/>
      <c r="AR77" s="17"/>
      <c r="AS77" s="17"/>
      <c r="AT77" s="17"/>
      <c r="AU77" s="17"/>
    </row>
    <row r="78" spans="1:47" ht="13.2">
      <c r="A78" s="302"/>
      <c r="B78" s="302"/>
      <c r="C78" s="302"/>
      <c r="D78" s="302"/>
      <c r="E78" s="302"/>
      <c r="F78" s="130" t="s">
        <v>275</v>
      </c>
      <c r="G78" s="237" t="str">
        <f t="shared" si="97"/>
        <v>T</v>
      </c>
      <c r="H78" s="93"/>
      <c r="I78" s="93">
        <v>499</v>
      </c>
      <c r="J78" s="228">
        <v>2</v>
      </c>
      <c r="K78" s="228">
        <f t="shared" si="102"/>
        <v>32</v>
      </c>
      <c r="L78" s="228">
        <f t="shared" si="21"/>
        <v>0.90718399999999999</v>
      </c>
      <c r="M78" s="93">
        <v>0</v>
      </c>
      <c r="N78" s="93">
        <v>0</v>
      </c>
      <c r="O78" s="230">
        <f t="shared" si="2"/>
        <v>499</v>
      </c>
      <c r="P78" s="231">
        <f t="shared" si="3"/>
        <v>94810</v>
      </c>
      <c r="Q78" s="232">
        <f>ROUNDUP(HLOOKUP(IF(CEILING(L78,0.5)&lt;1,1,CEILING(L78,0.5)),'배송비 조회'!A$32:AY$36,2,0),-2)</f>
        <v>8000</v>
      </c>
      <c r="R78" s="232">
        <v>0</v>
      </c>
      <c r="S78" s="231">
        <f t="shared" si="98"/>
        <v>20600</v>
      </c>
      <c r="T78" s="231">
        <f t="shared" si="99"/>
        <v>41100</v>
      </c>
      <c r="U78" s="233">
        <f t="shared" si="6"/>
        <v>123400</v>
      </c>
      <c r="V78" s="233">
        <f t="shared" si="7"/>
        <v>143900</v>
      </c>
      <c r="W78" s="234">
        <v>0</v>
      </c>
      <c r="X78" s="234">
        <f t="shared" si="8"/>
        <v>4689.2</v>
      </c>
      <c r="Y78" s="234">
        <f t="shared" si="9"/>
        <v>2468</v>
      </c>
      <c r="Z78" s="234">
        <f t="shared" si="10"/>
        <v>14390</v>
      </c>
      <c r="AA78" s="234">
        <f t="shared" si="11"/>
        <v>116242.8</v>
      </c>
      <c r="AB78" s="234">
        <f t="shared" si="12"/>
        <v>129510</v>
      </c>
      <c r="AC78" s="234">
        <f t="shared" si="13"/>
        <v>1162.4280000000001</v>
      </c>
      <c r="AD78" s="101">
        <f t="shared" si="14"/>
        <v>12270.372000000003</v>
      </c>
      <c r="AE78" s="101">
        <f t="shared" si="15"/>
        <v>25537.572</v>
      </c>
      <c r="AF78" s="235">
        <f t="shared" ref="AF78:AG78" si="116">AD78/U78</f>
        <v>9.9435753646677491E-2</v>
      </c>
      <c r="AG78" s="235">
        <f t="shared" si="116"/>
        <v>0.17746749131341208</v>
      </c>
      <c r="AH78" s="103">
        <f t="shared" si="101"/>
        <v>108400</v>
      </c>
      <c r="AI78" s="103">
        <f>AH78-AH67</f>
        <v>29700</v>
      </c>
      <c r="AJ78" s="17"/>
      <c r="AK78" s="17"/>
      <c r="AL78" s="17"/>
      <c r="AM78" s="17"/>
      <c r="AN78" s="17"/>
      <c r="AO78" s="17"/>
      <c r="AP78" s="17"/>
      <c r="AQ78" s="17"/>
      <c r="AR78" s="17"/>
      <c r="AS78" s="17"/>
      <c r="AT78" s="17"/>
      <c r="AU78" s="17"/>
    </row>
    <row r="79" spans="1:47" ht="13.2">
      <c r="A79" s="302"/>
      <c r="B79" s="302"/>
      <c r="C79" s="302"/>
      <c r="D79" s="302"/>
      <c r="E79" s="302"/>
      <c r="F79" s="91" t="s">
        <v>276</v>
      </c>
      <c r="G79" s="237" t="str">
        <f t="shared" si="97"/>
        <v>T</v>
      </c>
      <c r="H79" s="93"/>
      <c r="I79" s="93">
        <v>499</v>
      </c>
      <c r="J79" s="228">
        <v>2</v>
      </c>
      <c r="K79" s="228">
        <f t="shared" si="102"/>
        <v>32</v>
      </c>
      <c r="L79" s="228">
        <f t="shared" si="21"/>
        <v>0.90718399999999999</v>
      </c>
      <c r="M79" s="93">
        <v>0</v>
      </c>
      <c r="N79" s="93">
        <v>0</v>
      </c>
      <c r="O79" s="230">
        <f t="shared" si="2"/>
        <v>499</v>
      </c>
      <c r="P79" s="231">
        <f t="shared" si="3"/>
        <v>94810</v>
      </c>
      <c r="Q79" s="232">
        <f>ROUNDUP(HLOOKUP(IF(CEILING(L79,0.5)&lt;1,1,CEILING(L79,0.5)),'배송비 조회'!A$32:AY$36,2,0),-2)</f>
        <v>8000</v>
      </c>
      <c r="R79" s="232">
        <v>0</v>
      </c>
      <c r="S79" s="231">
        <f t="shared" si="98"/>
        <v>20600</v>
      </c>
      <c r="T79" s="231">
        <f t="shared" si="99"/>
        <v>41100</v>
      </c>
      <c r="U79" s="233">
        <f t="shared" si="6"/>
        <v>123400</v>
      </c>
      <c r="V79" s="233">
        <f t="shared" si="7"/>
        <v>143900</v>
      </c>
      <c r="W79" s="234">
        <v>0</v>
      </c>
      <c r="X79" s="234">
        <f t="shared" si="8"/>
        <v>4689.2</v>
      </c>
      <c r="Y79" s="234">
        <f t="shared" si="9"/>
        <v>2468</v>
      </c>
      <c r="Z79" s="234">
        <f t="shared" si="10"/>
        <v>14390</v>
      </c>
      <c r="AA79" s="234">
        <f t="shared" si="11"/>
        <v>116242.8</v>
      </c>
      <c r="AB79" s="234">
        <f t="shared" si="12"/>
        <v>129510</v>
      </c>
      <c r="AC79" s="234">
        <f t="shared" si="13"/>
        <v>1162.4280000000001</v>
      </c>
      <c r="AD79" s="101">
        <f t="shared" si="14"/>
        <v>12270.372000000003</v>
      </c>
      <c r="AE79" s="101">
        <f t="shared" si="15"/>
        <v>25537.572</v>
      </c>
      <c r="AF79" s="235">
        <f t="shared" ref="AF79:AG79" si="117">AD79/U79</f>
        <v>9.9435753646677491E-2</v>
      </c>
      <c r="AG79" s="235">
        <f t="shared" si="117"/>
        <v>0.17746749131341208</v>
      </c>
      <c r="AH79" s="103">
        <f t="shared" si="101"/>
        <v>108400</v>
      </c>
      <c r="AI79" s="104"/>
      <c r="AJ79" s="17"/>
      <c r="AK79" s="17"/>
      <c r="AL79" s="17"/>
      <c r="AM79" s="17"/>
      <c r="AN79" s="17"/>
      <c r="AO79" s="17"/>
      <c r="AP79" s="17"/>
      <c r="AQ79" s="17"/>
      <c r="AR79" s="17"/>
      <c r="AS79" s="17"/>
      <c r="AT79" s="17"/>
      <c r="AU79" s="17"/>
    </row>
    <row r="80" spans="1:47" ht="13.2">
      <c r="A80" s="302"/>
      <c r="B80" s="302"/>
      <c r="C80" s="302"/>
      <c r="D80" s="302"/>
      <c r="E80" s="302"/>
      <c r="F80" s="91" t="s">
        <v>278</v>
      </c>
      <c r="G80" s="237" t="str">
        <f t="shared" si="97"/>
        <v>T</v>
      </c>
      <c r="H80" s="93"/>
      <c r="I80" s="93">
        <v>499</v>
      </c>
      <c r="J80" s="228">
        <v>2</v>
      </c>
      <c r="K80" s="228">
        <f t="shared" si="102"/>
        <v>32</v>
      </c>
      <c r="L80" s="228">
        <f t="shared" si="21"/>
        <v>0.90718399999999999</v>
      </c>
      <c r="M80" s="93">
        <v>0</v>
      </c>
      <c r="N80" s="93">
        <v>0</v>
      </c>
      <c r="O80" s="230">
        <f t="shared" si="2"/>
        <v>499</v>
      </c>
      <c r="P80" s="231">
        <f t="shared" si="3"/>
        <v>94810</v>
      </c>
      <c r="Q80" s="232">
        <f>ROUNDUP(HLOOKUP(IF(CEILING(L80,0.5)&lt;1,1,CEILING(L80,0.5)),'배송비 조회'!A$32:AY$36,2,0),-2)</f>
        <v>8000</v>
      </c>
      <c r="R80" s="232">
        <v>0</v>
      </c>
      <c r="S80" s="231">
        <f t="shared" si="98"/>
        <v>20600</v>
      </c>
      <c r="T80" s="231">
        <f t="shared" si="99"/>
        <v>41100</v>
      </c>
      <c r="U80" s="233">
        <f t="shared" si="6"/>
        <v>123400</v>
      </c>
      <c r="V80" s="233">
        <f t="shared" si="7"/>
        <v>143900</v>
      </c>
      <c r="W80" s="234">
        <v>0</v>
      </c>
      <c r="X80" s="234">
        <f t="shared" si="8"/>
        <v>4689.2</v>
      </c>
      <c r="Y80" s="234">
        <f t="shared" si="9"/>
        <v>2468</v>
      </c>
      <c r="Z80" s="234">
        <f t="shared" si="10"/>
        <v>14390</v>
      </c>
      <c r="AA80" s="234">
        <f t="shared" si="11"/>
        <v>116242.8</v>
      </c>
      <c r="AB80" s="234">
        <f t="shared" si="12"/>
        <v>129510</v>
      </c>
      <c r="AC80" s="234">
        <f t="shared" si="13"/>
        <v>1162.4280000000001</v>
      </c>
      <c r="AD80" s="101">
        <f t="shared" si="14"/>
        <v>12270.372000000003</v>
      </c>
      <c r="AE80" s="101">
        <f t="shared" si="15"/>
        <v>25537.572</v>
      </c>
      <c r="AF80" s="235">
        <f t="shared" ref="AF80:AG80" si="118">AD80/U80</f>
        <v>9.9435753646677491E-2</v>
      </c>
      <c r="AG80" s="235">
        <f t="shared" si="118"/>
        <v>0.17746749131341208</v>
      </c>
      <c r="AH80" s="103">
        <f t="shared" si="101"/>
        <v>108400</v>
      </c>
      <c r="AI80" s="104"/>
      <c r="AJ80" s="17"/>
      <c r="AK80" s="17"/>
      <c r="AL80" s="17"/>
      <c r="AM80" s="17"/>
      <c r="AN80" s="17"/>
      <c r="AO80" s="17"/>
      <c r="AP80" s="17"/>
      <c r="AQ80" s="17"/>
      <c r="AR80" s="17"/>
      <c r="AS80" s="17"/>
      <c r="AT80" s="17"/>
      <c r="AU80" s="17"/>
    </row>
    <row r="81" spans="1:47" ht="13.2">
      <c r="A81" s="302"/>
      <c r="B81" s="302"/>
      <c r="C81" s="302"/>
      <c r="D81" s="302"/>
      <c r="E81" s="302"/>
      <c r="F81" s="91" t="s">
        <v>279</v>
      </c>
      <c r="G81" s="237" t="str">
        <f t="shared" si="97"/>
        <v>T</v>
      </c>
      <c r="H81" s="93"/>
      <c r="I81" s="93">
        <v>499</v>
      </c>
      <c r="J81" s="228">
        <v>2</v>
      </c>
      <c r="K81" s="228">
        <f t="shared" si="102"/>
        <v>32</v>
      </c>
      <c r="L81" s="228">
        <f t="shared" si="21"/>
        <v>0.90718399999999999</v>
      </c>
      <c r="M81" s="93">
        <v>0</v>
      </c>
      <c r="N81" s="93">
        <v>0</v>
      </c>
      <c r="O81" s="230">
        <f t="shared" si="2"/>
        <v>499</v>
      </c>
      <c r="P81" s="231">
        <f t="shared" si="3"/>
        <v>94810</v>
      </c>
      <c r="Q81" s="232">
        <f>ROUNDUP(HLOOKUP(IF(CEILING(L81,0.5)&lt;1,1,CEILING(L81,0.5)),'배송비 조회'!A$32:AY$36,2,0),-2)</f>
        <v>8000</v>
      </c>
      <c r="R81" s="232">
        <v>0</v>
      </c>
      <c r="S81" s="231">
        <f t="shared" si="98"/>
        <v>20600</v>
      </c>
      <c r="T81" s="231">
        <f t="shared" si="99"/>
        <v>41100</v>
      </c>
      <c r="U81" s="233">
        <f t="shared" si="6"/>
        <v>123400</v>
      </c>
      <c r="V81" s="233">
        <f t="shared" si="7"/>
        <v>143900</v>
      </c>
      <c r="W81" s="234">
        <v>0</v>
      </c>
      <c r="X81" s="234">
        <f t="shared" si="8"/>
        <v>4689.2</v>
      </c>
      <c r="Y81" s="234">
        <f t="shared" si="9"/>
        <v>2468</v>
      </c>
      <c r="Z81" s="234">
        <f t="shared" si="10"/>
        <v>14390</v>
      </c>
      <c r="AA81" s="234">
        <f t="shared" si="11"/>
        <v>116242.8</v>
      </c>
      <c r="AB81" s="234">
        <f t="shared" si="12"/>
        <v>129510</v>
      </c>
      <c r="AC81" s="234">
        <f t="shared" si="13"/>
        <v>1162.4280000000001</v>
      </c>
      <c r="AD81" s="101">
        <f t="shared" si="14"/>
        <v>12270.372000000003</v>
      </c>
      <c r="AE81" s="101">
        <f t="shared" si="15"/>
        <v>25537.572</v>
      </c>
      <c r="AF81" s="235">
        <f t="shared" ref="AF81:AG81" si="119">AD81/U81</f>
        <v>9.9435753646677491E-2</v>
      </c>
      <c r="AG81" s="235">
        <f t="shared" si="119"/>
        <v>0.17746749131341208</v>
      </c>
      <c r="AH81" s="103">
        <f t="shared" si="101"/>
        <v>108400</v>
      </c>
      <c r="AI81" s="104"/>
      <c r="AJ81" s="17"/>
      <c r="AK81" s="17"/>
      <c r="AL81" s="17"/>
      <c r="AM81" s="17"/>
      <c r="AN81" s="17"/>
      <c r="AO81" s="17"/>
      <c r="AP81" s="17"/>
      <c r="AQ81" s="17"/>
      <c r="AR81" s="17"/>
      <c r="AS81" s="17"/>
      <c r="AT81" s="17"/>
      <c r="AU81" s="17"/>
    </row>
    <row r="82" spans="1:47" ht="13.2">
      <c r="A82" s="302"/>
      <c r="B82" s="302"/>
      <c r="C82" s="302"/>
      <c r="D82" s="302"/>
      <c r="E82" s="302"/>
      <c r="F82" s="91" t="s">
        <v>282</v>
      </c>
      <c r="G82" s="237" t="str">
        <f t="shared" si="97"/>
        <v>T</v>
      </c>
      <c r="H82" s="93"/>
      <c r="I82" s="93">
        <v>499</v>
      </c>
      <c r="J82" s="228">
        <v>2</v>
      </c>
      <c r="K82" s="228">
        <f t="shared" si="102"/>
        <v>32</v>
      </c>
      <c r="L82" s="228">
        <f t="shared" si="21"/>
        <v>0.90718399999999999</v>
      </c>
      <c r="M82" s="93">
        <v>0</v>
      </c>
      <c r="N82" s="93">
        <v>0</v>
      </c>
      <c r="O82" s="230">
        <f t="shared" si="2"/>
        <v>499</v>
      </c>
      <c r="P82" s="231">
        <f t="shared" si="3"/>
        <v>94810</v>
      </c>
      <c r="Q82" s="232">
        <f>ROUNDUP(HLOOKUP(IF(CEILING(L82,0.5)&lt;1,1,CEILING(L82,0.5)),'배송비 조회'!A$32:AY$36,2,0),-2)</f>
        <v>8000</v>
      </c>
      <c r="R82" s="232">
        <v>0</v>
      </c>
      <c r="S82" s="231">
        <f t="shared" si="98"/>
        <v>20600</v>
      </c>
      <c r="T82" s="231">
        <f t="shared" si="99"/>
        <v>41100</v>
      </c>
      <c r="U82" s="233">
        <f t="shared" si="6"/>
        <v>123400</v>
      </c>
      <c r="V82" s="233">
        <f t="shared" si="7"/>
        <v>143900</v>
      </c>
      <c r="W82" s="234">
        <v>0</v>
      </c>
      <c r="X82" s="234">
        <f t="shared" si="8"/>
        <v>4689.2</v>
      </c>
      <c r="Y82" s="234">
        <f t="shared" si="9"/>
        <v>2468</v>
      </c>
      <c r="Z82" s="234">
        <f t="shared" si="10"/>
        <v>14390</v>
      </c>
      <c r="AA82" s="234">
        <f t="shared" si="11"/>
        <v>116242.8</v>
      </c>
      <c r="AB82" s="234">
        <f t="shared" si="12"/>
        <v>129510</v>
      </c>
      <c r="AC82" s="234">
        <f t="shared" si="13"/>
        <v>1162.4280000000001</v>
      </c>
      <c r="AD82" s="101">
        <f t="shared" si="14"/>
        <v>12270.372000000003</v>
      </c>
      <c r="AE82" s="101">
        <f t="shared" si="15"/>
        <v>25537.572</v>
      </c>
      <c r="AF82" s="235">
        <f t="shared" ref="AF82:AG82" si="120">AD82/U82</f>
        <v>9.9435753646677491E-2</v>
      </c>
      <c r="AG82" s="235">
        <f t="shared" si="120"/>
        <v>0.17746749131341208</v>
      </c>
      <c r="AH82" s="103">
        <f t="shared" si="101"/>
        <v>108400</v>
      </c>
      <c r="AI82" s="104"/>
      <c r="AJ82" s="17"/>
      <c r="AK82" s="17"/>
      <c r="AL82" s="17"/>
      <c r="AM82" s="17"/>
      <c r="AN82" s="17"/>
      <c r="AO82" s="17"/>
      <c r="AP82" s="17"/>
      <c r="AQ82" s="17"/>
      <c r="AR82" s="17"/>
      <c r="AS82" s="17"/>
      <c r="AT82" s="17"/>
      <c r="AU82" s="17"/>
    </row>
    <row r="83" spans="1:47" ht="13.2">
      <c r="A83" s="302"/>
      <c r="B83" s="302"/>
      <c r="C83" s="302"/>
      <c r="D83" s="302"/>
      <c r="E83" s="302"/>
      <c r="F83" s="91" t="s">
        <v>283</v>
      </c>
      <c r="G83" s="237" t="str">
        <f t="shared" si="97"/>
        <v>T</v>
      </c>
      <c r="H83" s="93"/>
      <c r="I83" s="93">
        <v>499</v>
      </c>
      <c r="J83" s="228">
        <v>2</v>
      </c>
      <c r="K83" s="228">
        <f t="shared" si="102"/>
        <v>32</v>
      </c>
      <c r="L83" s="228">
        <f t="shared" si="21"/>
        <v>0.90718399999999999</v>
      </c>
      <c r="M83" s="93">
        <v>0</v>
      </c>
      <c r="N83" s="93">
        <v>0</v>
      </c>
      <c r="O83" s="230">
        <f t="shared" si="2"/>
        <v>499</v>
      </c>
      <c r="P83" s="231">
        <f t="shared" si="3"/>
        <v>94810</v>
      </c>
      <c r="Q83" s="232">
        <f>ROUNDUP(HLOOKUP(IF(CEILING(L83,0.5)&lt;1,1,CEILING(L83,0.5)),'배송비 조회'!A$32:AY$36,2,0),-2)</f>
        <v>8000</v>
      </c>
      <c r="R83" s="232">
        <v>0</v>
      </c>
      <c r="S83" s="231">
        <f t="shared" si="98"/>
        <v>20600</v>
      </c>
      <c r="T83" s="231">
        <f t="shared" si="99"/>
        <v>41100</v>
      </c>
      <c r="U83" s="233">
        <f t="shared" si="6"/>
        <v>123400</v>
      </c>
      <c r="V83" s="233">
        <f t="shared" si="7"/>
        <v>143900</v>
      </c>
      <c r="W83" s="234">
        <v>0</v>
      </c>
      <c r="X83" s="234">
        <f t="shared" si="8"/>
        <v>4689.2</v>
      </c>
      <c r="Y83" s="234">
        <f t="shared" si="9"/>
        <v>2468</v>
      </c>
      <c r="Z83" s="234">
        <f t="shared" si="10"/>
        <v>14390</v>
      </c>
      <c r="AA83" s="234">
        <f t="shared" si="11"/>
        <v>116242.8</v>
      </c>
      <c r="AB83" s="234">
        <f t="shared" si="12"/>
        <v>129510</v>
      </c>
      <c r="AC83" s="234">
        <f t="shared" si="13"/>
        <v>1162.4280000000001</v>
      </c>
      <c r="AD83" s="101">
        <f t="shared" si="14"/>
        <v>12270.372000000003</v>
      </c>
      <c r="AE83" s="101">
        <f t="shared" si="15"/>
        <v>25537.572</v>
      </c>
      <c r="AF83" s="235">
        <f t="shared" ref="AF83:AG83" si="121">AD83/U83</f>
        <v>9.9435753646677491E-2</v>
      </c>
      <c r="AG83" s="235">
        <f t="shared" si="121"/>
        <v>0.17746749131341208</v>
      </c>
      <c r="AH83" s="103">
        <f t="shared" si="101"/>
        <v>108400</v>
      </c>
      <c r="AI83" s="104"/>
      <c r="AJ83" s="17"/>
      <c r="AK83" s="17"/>
      <c r="AL83" s="17"/>
      <c r="AM83" s="17"/>
      <c r="AN83" s="17"/>
      <c r="AO83" s="17"/>
      <c r="AP83" s="17"/>
      <c r="AQ83" s="17"/>
      <c r="AR83" s="17"/>
      <c r="AS83" s="17"/>
      <c r="AT83" s="17"/>
      <c r="AU83" s="17"/>
    </row>
    <row r="84" spans="1:47" ht="13.2">
      <c r="A84" s="302"/>
      <c r="B84" s="302"/>
      <c r="C84" s="302"/>
      <c r="D84" s="302"/>
      <c r="E84" s="302"/>
      <c r="F84" s="91" t="s">
        <v>287</v>
      </c>
      <c r="G84" s="237" t="str">
        <f t="shared" si="97"/>
        <v>T</v>
      </c>
      <c r="H84" s="93"/>
      <c r="I84" s="93">
        <v>499</v>
      </c>
      <c r="J84" s="228">
        <v>2</v>
      </c>
      <c r="K84" s="228">
        <f t="shared" si="102"/>
        <v>32</v>
      </c>
      <c r="L84" s="228">
        <f t="shared" si="21"/>
        <v>0.90718399999999999</v>
      </c>
      <c r="M84" s="93">
        <v>0</v>
      </c>
      <c r="N84" s="93">
        <v>0</v>
      </c>
      <c r="O84" s="230">
        <f t="shared" si="2"/>
        <v>499</v>
      </c>
      <c r="P84" s="231">
        <f t="shared" si="3"/>
        <v>94810</v>
      </c>
      <c r="Q84" s="232">
        <f>ROUNDUP(HLOOKUP(IF(CEILING(L84,0.5)&lt;1,1,CEILING(L84,0.5)),'배송비 조회'!A$32:AY$36,2,0),-2)</f>
        <v>8000</v>
      </c>
      <c r="R84" s="232">
        <v>0</v>
      </c>
      <c r="S84" s="231">
        <f t="shared" si="98"/>
        <v>20600</v>
      </c>
      <c r="T84" s="231">
        <f t="shared" si="99"/>
        <v>41100</v>
      </c>
      <c r="U84" s="233">
        <f t="shared" si="6"/>
        <v>123400</v>
      </c>
      <c r="V84" s="233">
        <f t="shared" si="7"/>
        <v>143900</v>
      </c>
      <c r="W84" s="234">
        <v>0</v>
      </c>
      <c r="X84" s="234">
        <f t="shared" si="8"/>
        <v>4689.2</v>
      </c>
      <c r="Y84" s="234">
        <f t="shared" si="9"/>
        <v>2468</v>
      </c>
      <c r="Z84" s="234">
        <f t="shared" si="10"/>
        <v>14390</v>
      </c>
      <c r="AA84" s="234">
        <f t="shared" si="11"/>
        <v>116242.8</v>
      </c>
      <c r="AB84" s="234">
        <f t="shared" si="12"/>
        <v>129510</v>
      </c>
      <c r="AC84" s="234">
        <f t="shared" si="13"/>
        <v>1162.4280000000001</v>
      </c>
      <c r="AD84" s="101">
        <f t="shared" si="14"/>
        <v>12270.372000000003</v>
      </c>
      <c r="AE84" s="101">
        <f t="shared" si="15"/>
        <v>25537.572</v>
      </c>
      <c r="AF84" s="235">
        <f t="shared" ref="AF84:AG84" si="122">AD84/U84</f>
        <v>9.9435753646677491E-2</v>
      </c>
      <c r="AG84" s="235">
        <f t="shared" si="122"/>
        <v>0.17746749131341208</v>
      </c>
      <c r="AH84" s="103">
        <f t="shared" si="101"/>
        <v>108400</v>
      </c>
      <c r="AI84" s="104"/>
      <c r="AJ84" s="17"/>
      <c r="AK84" s="17"/>
      <c r="AL84" s="17"/>
      <c r="AM84" s="17"/>
      <c r="AN84" s="17"/>
      <c r="AO84" s="17"/>
      <c r="AP84" s="17"/>
      <c r="AQ84" s="17"/>
      <c r="AR84" s="17"/>
      <c r="AS84" s="17"/>
      <c r="AT84" s="17"/>
      <c r="AU84" s="17"/>
    </row>
    <row r="85" spans="1:47" ht="13.2">
      <c r="A85" s="301" t="str">
        <f>HYPERLINK("https://smartstore.naver.com/brickstore2019/products/4747725729","4747725729")</f>
        <v>4747725729</v>
      </c>
      <c r="B85" s="361"/>
      <c r="C85" s="307" t="s">
        <v>288</v>
      </c>
      <c r="D85" s="307"/>
      <c r="E85" s="307"/>
      <c r="F85" s="91" t="s">
        <v>64</v>
      </c>
      <c r="G85" s="237" t="str">
        <f>HYPERLINK("https://detail.tmall.com/item.htm?spm=a230r.1.999.1.158b523cqpkkYm&amp;id=602238836074&amp;ns=1&amp;skuId=4221106873637","A")</f>
        <v>A</v>
      </c>
      <c r="H85" s="93"/>
      <c r="I85" s="93">
        <v>119</v>
      </c>
      <c r="J85" s="228">
        <f t="shared" ref="J85:J95" si="123">IF(K85&gt;0,K85*0.0625,)</f>
        <v>2.1875</v>
      </c>
      <c r="K85" s="228">
        <v>35</v>
      </c>
      <c r="L85" s="228">
        <f t="shared" si="21"/>
        <v>0.99223249999999996</v>
      </c>
      <c r="M85" s="93">
        <v>0</v>
      </c>
      <c r="N85" s="93">
        <v>0</v>
      </c>
      <c r="O85" s="230">
        <f t="shared" si="2"/>
        <v>119</v>
      </c>
      <c r="P85" s="231">
        <f t="shared" si="3"/>
        <v>22610</v>
      </c>
      <c r="Q85" s="232">
        <f>ROUNDUP(HLOOKUP(IF(CEILING(L85,0.5)&lt;1,1,CEILING(L85,0.5)),'배송비 조회'!A$32:AY$36,2,0),-2)</f>
        <v>8000</v>
      </c>
      <c r="R85" s="232">
        <v>0</v>
      </c>
      <c r="S85" s="231">
        <f t="shared" ref="S85:S86" si="124">ROUND((P85+Q85)*0.4,-2)</f>
        <v>12200</v>
      </c>
      <c r="T85" s="231">
        <f t="shared" ref="T85:T133" si="125">ROUND((P85+Q85)*0.7,-2)</f>
        <v>21400</v>
      </c>
      <c r="U85" s="233">
        <f t="shared" si="6"/>
        <v>42800</v>
      </c>
      <c r="V85" s="233">
        <f t="shared" si="7"/>
        <v>52000</v>
      </c>
      <c r="W85" s="234">
        <v>0</v>
      </c>
      <c r="X85" s="234">
        <f t="shared" si="8"/>
        <v>1626.3999999999999</v>
      </c>
      <c r="Y85" s="234">
        <f t="shared" si="9"/>
        <v>856</v>
      </c>
      <c r="Z85" s="234">
        <f t="shared" si="10"/>
        <v>5200</v>
      </c>
      <c r="AA85" s="234">
        <f t="shared" si="11"/>
        <v>40317.599999999999</v>
      </c>
      <c r="AB85" s="234">
        <f t="shared" si="12"/>
        <v>46800</v>
      </c>
      <c r="AC85" s="234">
        <f t="shared" si="13"/>
        <v>403.17599999999999</v>
      </c>
      <c r="AD85" s="101">
        <f t="shared" si="14"/>
        <v>9304.4239999999991</v>
      </c>
      <c r="AE85" s="101">
        <f t="shared" si="15"/>
        <v>15786.824000000001</v>
      </c>
      <c r="AF85" s="235">
        <f t="shared" ref="AF85:AG85" si="126">AD85/U85</f>
        <v>0.2173930841121495</v>
      </c>
      <c r="AG85" s="235">
        <f t="shared" si="126"/>
        <v>0.30359276923076922</v>
      </c>
      <c r="AH85" s="103"/>
      <c r="AI85" s="104"/>
      <c r="AJ85" s="17"/>
      <c r="AK85" s="17"/>
      <c r="AL85" s="17"/>
      <c r="AM85" s="17"/>
      <c r="AN85" s="17"/>
      <c r="AO85" s="17"/>
      <c r="AP85" s="17"/>
      <c r="AQ85" s="17"/>
      <c r="AR85" s="17"/>
      <c r="AS85" s="17"/>
      <c r="AT85" s="17"/>
      <c r="AU85" s="17"/>
    </row>
    <row r="86" spans="1:47" ht="13.2">
      <c r="A86" s="302"/>
      <c r="B86" s="302"/>
      <c r="C86" s="302"/>
      <c r="D86" s="302"/>
      <c r="E86" s="302"/>
      <c r="F86" s="91" t="s">
        <v>144</v>
      </c>
      <c r="G86" s="237" t="str">
        <f>HYPERLINK("https://detail.tmall.com/item.htm?spm=a230r.1.999.1.158b523cqpkkYm&amp;id=602238836074&amp;ns=1&amp;skuId=4221106873638","A")</f>
        <v>A</v>
      </c>
      <c r="H86" s="93"/>
      <c r="I86" s="93">
        <v>119</v>
      </c>
      <c r="J86" s="228">
        <f t="shared" si="123"/>
        <v>2.1875</v>
      </c>
      <c r="K86" s="228">
        <v>35</v>
      </c>
      <c r="L86" s="228">
        <f t="shared" si="21"/>
        <v>0.99223249999999996</v>
      </c>
      <c r="M86" s="93">
        <v>0</v>
      </c>
      <c r="N86" s="93">
        <v>0</v>
      </c>
      <c r="O86" s="230">
        <f t="shared" si="2"/>
        <v>119</v>
      </c>
      <c r="P86" s="231">
        <f t="shared" si="3"/>
        <v>22610</v>
      </c>
      <c r="Q86" s="232">
        <f>ROUNDUP(HLOOKUP(IF(CEILING(L86,0.5)&lt;1,1,CEILING(L86,0.5)),'배송비 조회'!A$32:AY$36,2,0),-2)</f>
        <v>8000</v>
      </c>
      <c r="R86" s="232">
        <v>0</v>
      </c>
      <c r="S86" s="231">
        <f t="shared" si="124"/>
        <v>12200</v>
      </c>
      <c r="T86" s="231">
        <f t="shared" si="125"/>
        <v>21400</v>
      </c>
      <c r="U86" s="233">
        <f t="shared" si="6"/>
        <v>42800</v>
      </c>
      <c r="V86" s="233">
        <f t="shared" si="7"/>
        <v>52000</v>
      </c>
      <c r="W86" s="234">
        <v>0</v>
      </c>
      <c r="X86" s="234">
        <f t="shared" si="8"/>
        <v>1626.3999999999999</v>
      </c>
      <c r="Y86" s="234">
        <f t="shared" si="9"/>
        <v>856</v>
      </c>
      <c r="Z86" s="234">
        <f t="shared" si="10"/>
        <v>5200</v>
      </c>
      <c r="AA86" s="234">
        <f t="shared" si="11"/>
        <v>40317.599999999999</v>
      </c>
      <c r="AB86" s="234">
        <f t="shared" si="12"/>
        <v>46800</v>
      </c>
      <c r="AC86" s="234">
        <f t="shared" si="13"/>
        <v>403.17599999999999</v>
      </c>
      <c r="AD86" s="101">
        <f t="shared" si="14"/>
        <v>9304.4239999999991</v>
      </c>
      <c r="AE86" s="101">
        <f t="shared" si="15"/>
        <v>15786.824000000001</v>
      </c>
      <c r="AF86" s="235">
        <f t="shared" ref="AF86:AG86" si="127">AD86/U86</f>
        <v>0.2173930841121495</v>
      </c>
      <c r="AG86" s="235">
        <f t="shared" si="127"/>
        <v>0.30359276923076922</v>
      </c>
      <c r="AH86" s="103"/>
      <c r="AI86" s="104"/>
      <c r="AJ86" s="17"/>
      <c r="AK86" s="17"/>
      <c r="AL86" s="17"/>
      <c r="AM86" s="17"/>
      <c r="AN86" s="17"/>
      <c r="AO86" s="17"/>
      <c r="AP86" s="17"/>
      <c r="AQ86" s="17"/>
      <c r="AR86" s="17"/>
      <c r="AS86" s="17"/>
      <c r="AT86" s="17"/>
      <c r="AU86" s="17"/>
    </row>
    <row r="87" spans="1:47" ht="13.2">
      <c r="A87" s="89" t="str">
        <f>HYPERLINK("https://smartstore.naver.com/brickstore2019/products/4747745113","4747745113")</f>
        <v>4747745113</v>
      </c>
      <c r="B87" s="113"/>
      <c r="C87" s="114" t="s">
        <v>290</v>
      </c>
      <c r="D87" s="114"/>
      <c r="E87" s="114"/>
      <c r="F87" s="91"/>
      <c r="G87" s="237" t="str">
        <f>HYPERLINK("https://detail.tmall.com/item.htm?spm=a230r.1.14.198.be414867dJvqIK&amp;id=565528421026&amp;ns=1&amp;abbucket=7&amp;skuId=3582543800529","A")</f>
        <v>A</v>
      </c>
      <c r="H87" s="93"/>
      <c r="I87" s="93">
        <v>221</v>
      </c>
      <c r="J87" s="228">
        <f t="shared" si="123"/>
        <v>2.1875</v>
      </c>
      <c r="K87" s="228">
        <v>35</v>
      </c>
      <c r="L87" s="228">
        <f t="shared" si="21"/>
        <v>0.99223249999999996</v>
      </c>
      <c r="M87" s="93">
        <v>0</v>
      </c>
      <c r="N87" s="93">
        <v>0</v>
      </c>
      <c r="O87" s="230">
        <f t="shared" si="2"/>
        <v>221</v>
      </c>
      <c r="P87" s="231">
        <f t="shared" si="3"/>
        <v>41990</v>
      </c>
      <c r="Q87" s="232">
        <f>ROUNDUP(HLOOKUP(IF(CEILING(L87,0.5)&lt;1,1,CEILING(L87,0.5)),'배송비 조회'!A$32:AY$36,2,0),-2)</f>
        <v>8000</v>
      </c>
      <c r="R87" s="232">
        <v>0</v>
      </c>
      <c r="S87" s="231">
        <f>ROUND((P87+Q87)*0.3,-2)</f>
        <v>15000</v>
      </c>
      <c r="T87" s="231">
        <f t="shared" si="125"/>
        <v>35000</v>
      </c>
      <c r="U87" s="233">
        <f t="shared" si="6"/>
        <v>65000</v>
      </c>
      <c r="V87" s="233">
        <f t="shared" si="7"/>
        <v>85000</v>
      </c>
      <c r="W87" s="234">
        <v>0</v>
      </c>
      <c r="X87" s="234">
        <f t="shared" si="8"/>
        <v>2470</v>
      </c>
      <c r="Y87" s="234">
        <f t="shared" si="9"/>
        <v>1300</v>
      </c>
      <c r="Z87" s="234">
        <f t="shared" si="10"/>
        <v>8500</v>
      </c>
      <c r="AA87" s="234">
        <f t="shared" si="11"/>
        <v>61230</v>
      </c>
      <c r="AB87" s="234">
        <f t="shared" si="12"/>
        <v>76500</v>
      </c>
      <c r="AC87" s="234">
        <f t="shared" si="13"/>
        <v>612.30000000000007</v>
      </c>
      <c r="AD87" s="101">
        <f t="shared" si="14"/>
        <v>10627.7</v>
      </c>
      <c r="AE87" s="101">
        <f t="shared" si="15"/>
        <v>25897.7</v>
      </c>
      <c r="AF87" s="235">
        <f t="shared" ref="AF87:AG87" si="128">AD87/U87</f>
        <v>0.16350307692307695</v>
      </c>
      <c r="AG87" s="235">
        <f t="shared" si="128"/>
        <v>0.30467882352941178</v>
      </c>
      <c r="AH87" s="103"/>
      <c r="AI87" s="104"/>
      <c r="AJ87" s="17"/>
      <c r="AK87" s="17"/>
      <c r="AL87" s="17"/>
      <c r="AM87" s="17"/>
      <c r="AN87" s="17"/>
      <c r="AO87" s="17"/>
      <c r="AP87" s="17"/>
      <c r="AQ87" s="17"/>
      <c r="AR87" s="17"/>
      <c r="AS87" s="17"/>
      <c r="AT87" s="17"/>
      <c r="AU87" s="17"/>
    </row>
    <row r="88" spans="1:47" ht="13.2">
      <c r="A88" s="301" t="str">
        <f>HYPERLINK("https://smartstore.naver.com/brickstore2019/products/4747775797","4747775797")</f>
        <v>4747775797</v>
      </c>
      <c r="B88" s="361"/>
      <c r="C88" s="307" t="s">
        <v>293</v>
      </c>
      <c r="D88" s="307"/>
      <c r="E88" s="307"/>
      <c r="F88" s="91" t="s">
        <v>294</v>
      </c>
      <c r="G88" s="237" t="str">
        <f>HYPERLINK("https://detail.tmall.com/item.htm?spm=a230r.1.14.13.4a584437Aw8IpS&amp;id=555194213379&amp;cm_id=140105335569ed55e27b&amp;abbucket=7&amp;skuId=3425366469237","A")</f>
        <v>A</v>
      </c>
      <c r="H88" s="93"/>
      <c r="I88" s="93">
        <v>20</v>
      </c>
      <c r="J88" s="228">
        <f t="shared" si="123"/>
        <v>2.1875</v>
      </c>
      <c r="K88" s="228">
        <v>35</v>
      </c>
      <c r="L88" s="228">
        <f t="shared" si="21"/>
        <v>0.99223249999999996</v>
      </c>
      <c r="M88" s="93">
        <v>0</v>
      </c>
      <c r="N88" s="93">
        <v>0</v>
      </c>
      <c r="O88" s="230">
        <f t="shared" si="2"/>
        <v>20</v>
      </c>
      <c r="P88" s="231">
        <f t="shared" si="3"/>
        <v>3800</v>
      </c>
      <c r="Q88" s="232">
        <f>ROUNDUP(HLOOKUP(IF(CEILING(L88,0.5)&lt;1,1,CEILING(L88,0.5)),'배송비 조회'!A$32:AY$36,2,0),-2)</f>
        <v>8000</v>
      </c>
      <c r="R88" s="232">
        <v>0</v>
      </c>
      <c r="S88" s="231">
        <f t="shared" ref="S88:S90" si="129">ROUND((P88+Q88)*0.5,-2)</f>
        <v>5900</v>
      </c>
      <c r="T88" s="231">
        <f t="shared" si="125"/>
        <v>8300</v>
      </c>
      <c r="U88" s="233">
        <f t="shared" si="6"/>
        <v>17700</v>
      </c>
      <c r="V88" s="233">
        <f t="shared" si="7"/>
        <v>20100</v>
      </c>
      <c r="W88" s="234">
        <v>0</v>
      </c>
      <c r="X88" s="234">
        <f t="shared" si="8"/>
        <v>672.6</v>
      </c>
      <c r="Y88" s="234">
        <f t="shared" si="9"/>
        <v>354</v>
      </c>
      <c r="Z88" s="234">
        <f t="shared" si="10"/>
        <v>2010</v>
      </c>
      <c r="AA88" s="234">
        <f t="shared" si="11"/>
        <v>16673.400000000001</v>
      </c>
      <c r="AB88" s="234">
        <f t="shared" si="12"/>
        <v>18090</v>
      </c>
      <c r="AC88" s="234">
        <f t="shared" si="13"/>
        <v>166.73400000000001</v>
      </c>
      <c r="AD88" s="101">
        <f t="shared" si="14"/>
        <v>4706.6660000000011</v>
      </c>
      <c r="AE88" s="101">
        <f t="shared" si="15"/>
        <v>6123.2659999999996</v>
      </c>
      <c r="AF88" s="235">
        <f t="shared" ref="AF88:AG88" si="130">AD88/U88</f>
        <v>0.26591333333333339</v>
      </c>
      <c r="AG88" s="235">
        <f t="shared" si="130"/>
        <v>0.30464009950248755</v>
      </c>
      <c r="AH88" s="103"/>
      <c r="AI88" s="104"/>
      <c r="AJ88" s="17"/>
      <c r="AK88" s="17"/>
      <c r="AL88" s="17"/>
      <c r="AM88" s="17"/>
      <c r="AN88" s="17"/>
      <c r="AO88" s="17"/>
      <c r="AP88" s="17"/>
      <c r="AQ88" s="17"/>
      <c r="AR88" s="17"/>
      <c r="AS88" s="17"/>
      <c r="AT88" s="17"/>
      <c r="AU88" s="17"/>
    </row>
    <row r="89" spans="1:47" ht="13.2">
      <c r="A89" s="302"/>
      <c r="B89" s="302"/>
      <c r="C89" s="302"/>
      <c r="D89" s="302"/>
      <c r="E89" s="302"/>
      <c r="F89" s="91" t="s">
        <v>295</v>
      </c>
      <c r="G89" s="237" t="str">
        <f>HYPERLINK("https://detail.tmall.com/item.htm?spm=a230r.1.14.13.4a584437Aw8IpS&amp;id=555194213379&amp;cm_id=140105335569ed55e27b&amp;abbucket=7&amp;skuId=3425366469240","A")</f>
        <v>A</v>
      </c>
      <c r="H89" s="93"/>
      <c r="I89" s="93">
        <v>20</v>
      </c>
      <c r="J89" s="228">
        <f t="shared" si="123"/>
        <v>2.1875</v>
      </c>
      <c r="K89" s="228">
        <v>35</v>
      </c>
      <c r="L89" s="228">
        <f t="shared" si="21"/>
        <v>0.99223249999999996</v>
      </c>
      <c r="M89" s="93">
        <v>0</v>
      </c>
      <c r="N89" s="93">
        <v>0</v>
      </c>
      <c r="O89" s="230">
        <f t="shared" si="2"/>
        <v>20</v>
      </c>
      <c r="P89" s="231">
        <f t="shared" si="3"/>
        <v>3800</v>
      </c>
      <c r="Q89" s="232">
        <f>ROUNDUP(HLOOKUP(IF(CEILING(L89,0.5)&lt;1,1,CEILING(L89,0.5)),'배송비 조회'!A$32:AY$36,2,0),-2)</f>
        <v>8000</v>
      </c>
      <c r="R89" s="232">
        <v>0</v>
      </c>
      <c r="S89" s="231">
        <f t="shared" si="129"/>
        <v>5900</v>
      </c>
      <c r="T89" s="231">
        <f t="shared" si="125"/>
        <v>8300</v>
      </c>
      <c r="U89" s="233">
        <f t="shared" si="6"/>
        <v>17700</v>
      </c>
      <c r="V89" s="233">
        <f t="shared" si="7"/>
        <v>20100</v>
      </c>
      <c r="W89" s="234">
        <v>0</v>
      </c>
      <c r="X89" s="234">
        <f t="shared" si="8"/>
        <v>672.6</v>
      </c>
      <c r="Y89" s="234">
        <f t="shared" si="9"/>
        <v>354</v>
      </c>
      <c r="Z89" s="234">
        <f t="shared" si="10"/>
        <v>2010</v>
      </c>
      <c r="AA89" s="234">
        <f t="shared" si="11"/>
        <v>16673.400000000001</v>
      </c>
      <c r="AB89" s="234">
        <f t="shared" si="12"/>
        <v>18090</v>
      </c>
      <c r="AC89" s="234">
        <f t="shared" si="13"/>
        <v>166.73400000000001</v>
      </c>
      <c r="AD89" s="101">
        <f t="shared" si="14"/>
        <v>4706.6660000000011</v>
      </c>
      <c r="AE89" s="101">
        <f t="shared" si="15"/>
        <v>6123.2659999999996</v>
      </c>
      <c r="AF89" s="235">
        <f t="shared" ref="AF89:AG89" si="131">AD89/U89</f>
        <v>0.26591333333333339</v>
      </c>
      <c r="AG89" s="235">
        <f t="shared" si="131"/>
        <v>0.30464009950248755</v>
      </c>
      <c r="AH89" s="103"/>
      <c r="AI89" s="104"/>
      <c r="AJ89" s="17"/>
      <c r="AK89" s="17"/>
      <c r="AL89" s="17"/>
      <c r="AM89" s="17"/>
      <c r="AN89" s="17"/>
      <c r="AO89" s="17"/>
      <c r="AP89" s="17"/>
      <c r="AQ89" s="17"/>
      <c r="AR89" s="17"/>
      <c r="AS89" s="17"/>
      <c r="AT89" s="17"/>
      <c r="AU89" s="17"/>
    </row>
    <row r="90" spans="1:47" ht="13.2">
      <c r="A90" s="302"/>
      <c r="B90" s="302"/>
      <c r="C90" s="302"/>
      <c r="D90" s="302"/>
      <c r="E90" s="302"/>
      <c r="F90" s="91" t="s">
        <v>296</v>
      </c>
      <c r="G90" s="237" t="str">
        <f>HYPERLINK("https://detail.tmall.com/item.htm?spm=a230r.1.14.13.4a584437Aw8IpS&amp;id=555194213379&amp;cm_id=140105335569ed55e27b&amp;abbucket=7&amp;skuId=3425366469246","A")</f>
        <v>A</v>
      </c>
      <c r="H90" s="93"/>
      <c r="I90" s="93">
        <v>20</v>
      </c>
      <c r="J90" s="228">
        <f t="shared" si="123"/>
        <v>2.1875</v>
      </c>
      <c r="K90" s="228">
        <v>35</v>
      </c>
      <c r="L90" s="228">
        <f t="shared" si="21"/>
        <v>0.99223249999999996</v>
      </c>
      <c r="M90" s="93">
        <v>0</v>
      </c>
      <c r="N90" s="93">
        <v>0</v>
      </c>
      <c r="O90" s="230">
        <f t="shared" si="2"/>
        <v>20</v>
      </c>
      <c r="P90" s="231">
        <f t="shared" si="3"/>
        <v>3800</v>
      </c>
      <c r="Q90" s="232">
        <f>ROUNDUP(HLOOKUP(IF(CEILING(L90,0.5)&lt;1,1,CEILING(L90,0.5)),'배송비 조회'!A$32:AY$36,2,0),-2)</f>
        <v>8000</v>
      </c>
      <c r="R90" s="232">
        <v>0</v>
      </c>
      <c r="S90" s="231">
        <f t="shared" si="129"/>
        <v>5900</v>
      </c>
      <c r="T90" s="231">
        <f t="shared" si="125"/>
        <v>8300</v>
      </c>
      <c r="U90" s="233">
        <f t="shared" si="6"/>
        <v>17700</v>
      </c>
      <c r="V90" s="233">
        <f t="shared" si="7"/>
        <v>20100</v>
      </c>
      <c r="W90" s="234">
        <v>0</v>
      </c>
      <c r="X90" s="234">
        <f t="shared" si="8"/>
        <v>672.6</v>
      </c>
      <c r="Y90" s="234">
        <f t="shared" si="9"/>
        <v>354</v>
      </c>
      <c r="Z90" s="234">
        <f t="shared" si="10"/>
        <v>2010</v>
      </c>
      <c r="AA90" s="234">
        <f t="shared" si="11"/>
        <v>16673.400000000001</v>
      </c>
      <c r="AB90" s="234">
        <f t="shared" si="12"/>
        <v>18090</v>
      </c>
      <c r="AC90" s="234">
        <f t="shared" si="13"/>
        <v>166.73400000000001</v>
      </c>
      <c r="AD90" s="101">
        <f t="shared" si="14"/>
        <v>4706.6660000000011</v>
      </c>
      <c r="AE90" s="101">
        <f t="shared" si="15"/>
        <v>6123.2659999999996</v>
      </c>
      <c r="AF90" s="235">
        <f t="shared" ref="AF90:AG90" si="132">AD90/U90</f>
        <v>0.26591333333333339</v>
      </c>
      <c r="AG90" s="235">
        <f t="shared" si="132"/>
        <v>0.30464009950248755</v>
      </c>
      <c r="AH90" s="103"/>
      <c r="AI90" s="104"/>
      <c r="AJ90" s="17"/>
      <c r="AK90" s="17"/>
      <c r="AL90" s="17"/>
      <c r="AM90" s="17"/>
      <c r="AN90" s="17"/>
      <c r="AO90" s="17"/>
      <c r="AP90" s="17"/>
      <c r="AQ90" s="17"/>
      <c r="AR90" s="17"/>
      <c r="AS90" s="17"/>
      <c r="AT90" s="17"/>
      <c r="AU90" s="17"/>
    </row>
    <row r="91" spans="1:47" ht="13.2">
      <c r="A91" s="105" t="str">
        <f>HYPERLINK("https://smartstore.naver.com/brickstore2019/products/4748922979","4748922979")</f>
        <v>4748922979</v>
      </c>
      <c r="B91" s="106"/>
      <c r="C91" s="107" t="s">
        <v>299</v>
      </c>
      <c r="D91" s="107"/>
      <c r="E91" s="107"/>
      <c r="F91" s="108"/>
      <c r="G91" s="241" t="str">
        <f>HYPERLINK("https://item.taobao.com/item.htm?spm=a230r.1.14.297.574b663bkrSHgk&amp;id=530860491677&amp;ns=1&amp;abbucket=12#detail","A")</f>
        <v>A</v>
      </c>
      <c r="H91" s="110"/>
      <c r="I91" s="110">
        <v>19</v>
      </c>
      <c r="J91" s="228">
        <f t="shared" si="123"/>
        <v>0.7</v>
      </c>
      <c r="K91" s="228">
        <v>11.2</v>
      </c>
      <c r="L91" s="228">
        <f t="shared" si="21"/>
        <v>0.31751439999999997</v>
      </c>
      <c r="M91" s="93">
        <v>0</v>
      </c>
      <c r="N91" s="93">
        <v>0</v>
      </c>
      <c r="O91" s="230">
        <f t="shared" si="2"/>
        <v>19</v>
      </c>
      <c r="P91" s="231">
        <f t="shared" si="3"/>
        <v>3610</v>
      </c>
      <c r="Q91" s="232">
        <f>ROUNDUP(HLOOKUP(IF(CEILING(L91,0.5)&lt;1,1,CEILING(L91,0.5)),'배송비 조회'!A$32:AY$36,2,0),-2)</f>
        <v>8000</v>
      </c>
      <c r="R91" s="232">
        <v>0</v>
      </c>
      <c r="S91" s="231">
        <f>ROUND((P91+Q91)*0.3,-2)</f>
        <v>3500</v>
      </c>
      <c r="T91" s="231">
        <f t="shared" si="125"/>
        <v>8100</v>
      </c>
      <c r="U91" s="233">
        <f t="shared" si="6"/>
        <v>15100</v>
      </c>
      <c r="V91" s="233">
        <f t="shared" si="7"/>
        <v>19700</v>
      </c>
      <c r="W91" s="234">
        <v>0</v>
      </c>
      <c r="X91" s="234">
        <f t="shared" si="8"/>
        <v>573.79999999999995</v>
      </c>
      <c r="Y91" s="234">
        <f t="shared" si="9"/>
        <v>302</v>
      </c>
      <c r="Z91" s="234">
        <f t="shared" si="10"/>
        <v>1970</v>
      </c>
      <c r="AA91" s="234">
        <f t="shared" si="11"/>
        <v>14224.2</v>
      </c>
      <c r="AB91" s="234">
        <f t="shared" si="12"/>
        <v>17730</v>
      </c>
      <c r="AC91" s="234">
        <f t="shared" si="13"/>
        <v>142.24200000000002</v>
      </c>
      <c r="AD91" s="101">
        <f t="shared" si="14"/>
        <v>2471.9580000000005</v>
      </c>
      <c r="AE91" s="101">
        <f t="shared" si="15"/>
        <v>5977.7579999999998</v>
      </c>
      <c r="AF91" s="235">
        <f t="shared" ref="AF91:AG91" si="133">AD91/U91</f>
        <v>0.16370582781456958</v>
      </c>
      <c r="AG91" s="235">
        <f t="shared" si="133"/>
        <v>0.30343949238578677</v>
      </c>
      <c r="AH91" s="103"/>
      <c r="AI91" s="104"/>
      <c r="AJ91" s="17"/>
      <c r="AK91" s="17"/>
      <c r="AL91" s="17"/>
      <c r="AM91" s="17"/>
      <c r="AN91" s="17"/>
      <c r="AO91" s="17"/>
      <c r="AP91" s="17"/>
      <c r="AQ91" s="17"/>
      <c r="AR91" s="17"/>
      <c r="AS91" s="17"/>
      <c r="AT91" s="17"/>
      <c r="AU91" s="17"/>
    </row>
    <row r="92" spans="1:47" ht="13.2">
      <c r="A92" s="89" t="str">
        <f>HYPERLINK("https://smartstore.naver.com/brickstore2019/products/4749091691","4749091691")</f>
        <v>4749091691</v>
      </c>
      <c r="B92" s="113"/>
      <c r="C92" s="114" t="s">
        <v>302</v>
      </c>
      <c r="D92" s="114"/>
      <c r="E92" s="114"/>
      <c r="F92" s="91"/>
      <c r="G92" s="237" t="str">
        <f>HYPERLINK("https://detail.tmall.com/item.htm?spm=a230r.1.14.321.7fd92f2bZeVDRU&amp;id=554494779519&amp;ns=1&amp;abbucket=7&amp;skuId=3414874005076","A")</f>
        <v>A</v>
      </c>
      <c r="H92" s="93"/>
      <c r="I92" s="93">
        <v>70</v>
      </c>
      <c r="J92" s="228">
        <f t="shared" si="123"/>
        <v>2.1875</v>
      </c>
      <c r="K92" s="228">
        <v>35</v>
      </c>
      <c r="L92" s="228">
        <f t="shared" si="21"/>
        <v>0.99223249999999996</v>
      </c>
      <c r="M92" s="93">
        <v>0</v>
      </c>
      <c r="N92" s="93">
        <v>0</v>
      </c>
      <c r="O92" s="230">
        <f t="shared" si="2"/>
        <v>70</v>
      </c>
      <c r="P92" s="231">
        <f t="shared" si="3"/>
        <v>13300</v>
      </c>
      <c r="Q92" s="232">
        <f>ROUNDUP(HLOOKUP(IF(CEILING(L92,0.5)&lt;1,1,CEILING(L92,0.5)),'배송비 조회'!A$32:AY$36,2,0),-2)</f>
        <v>8000</v>
      </c>
      <c r="R92" s="232">
        <v>0</v>
      </c>
      <c r="S92" s="231">
        <f>ROUND((P92+Q92)*0.4,-2)</f>
        <v>8500</v>
      </c>
      <c r="T92" s="231">
        <f t="shared" si="125"/>
        <v>14900</v>
      </c>
      <c r="U92" s="233">
        <f t="shared" si="6"/>
        <v>29800</v>
      </c>
      <c r="V92" s="233">
        <f t="shared" si="7"/>
        <v>36200</v>
      </c>
      <c r="W92" s="234">
        <v>0</v>
      </c>
      <c r="X92" s="234">
        <f t="shared" si="8"/>
        <v>1132.3999999999999</v>
      </c>
      <c r="Y92" s="234">
        <f t="shared" si="9"/>
        <v>596</v>
      </c>
      <c r="Z92" s="234">
        <f t="shared" si="10"/>
        <v>3620</v>
      </c>
      <c r="AA92" s="234">
        <f t="shared" si="11"/>
        <v>28071.599999999999</v>
      </c>
      <c r="AB92" s="234">
        <f t="shared" si="12"/>
        <v>32580</v>
      </c>
      <c r="AC92" s="234">
        <f t="shared" si="13"/>
        <v>280.71600000000001</v>
      </c>
      <c r="AD92" s="101">
        <f t="shared" si="14"/>
        <v>6490.8839999999982</v>
      </c>
      <c r="AE92" s="101">
        <f t="shared" si="15"/>
        <v>10999.284</v>
      </c>
      <c r="AF92" s="235">
        <f t="shared" ref="AF92:AG92" si="134">AD92/U92</f>
        <v>0.217814899328859</v>
      </c>
      <c r="AG92" s="235">
        <f t="shared" si="134"/>
        <v>0.30384762430939227</v>
      </c>
      <c r="AH92" s="103"/>
      <c r="AI92" s="104"/>
      <c r="AJ92" s="17"/>
      <c r="AK92" s="17"/>
      <c r="AL92" s="17"/>
      <c r="AM92" s="17"/>
      <c r="AN92" s="17"/>
      <c r="AO92" s="17"/>
      <c r="AP92" s="17"/>
      <c r="AQ92" s="17"/>
      <c r="AR92" s="17"/>
      <c r="AS92" s="17"/>
      <c r="AT92" s="17"/>
      <c r="AU92" s="17"/>
    </row>
    <row r="93" spans="1:47" ht="13.2">
      <c r="A93" s="301" t="str">
        <f>HYPERLINK("https://smartstore.naver.com/brickstore2019/products/4749141072","4749141072")</f>
        <v>4749141072</v>
      </c>
      <c r="B93" s="361"/>
      <c r="C93" s="307" t="s">
        <v>303</v>
      </c>
      <c r="D93" s="307"/>
      <c r="E93" s="307"/>
      <c r="F93" s="91" t="s">
        <v>305</v>
      </c>
      <c r="G93" s="237" t="str">
        <f>HYPERLINK("https://detail.tmall.com/item.htm?spm=a230r.1.999.24.dd41523cC8uEs9&amp;id=553554172095&amp;ns=1&amp;skuId=4033349090907","A")</f>
        <v>A</v>
      </c>
      <c r="H93" s="93"/>
      <c r="I93" s="93">
        <v>17</v>
      </c>
      <c r="J93" s="228">
        <f t="shared" si="123"/>
        <v>2.1875</v>
      </c>
      <c r="K93" s="228">
        <v>35</v>
      </c>
      <c r="L93" s="228">
        <f t="shared" si="21"/>
        <v>0.99223249999999996</v>
      </c>
      <c r="M93" s="93">
        <v>0</v>
      </c>
      <c r="N93" s="93">
        <v>0</v>
      </c>
      <c r="O93" s="230">
        <f t="shared" si="2"/>
        <v>17</v>
      </c>
      <c r="P93" s="231">
        <f t="shared" si="3"/>
        <v>3230</v>
      </c>
      <c r="Q93" s="232">
        <f>ROUNDUP(HLOOKUP(IF(CEILING(L93,0.5)&lt;1,1,CEILING(L93,0.5)),'배송비 조회'!A$32:AY$36,2,0),-2)</f>
        <v>8000</v>
      </c>
      <c r="R93" s="232">
        <v>0</v>
      </c>
      <c r="S93" s="231">
        <f t="shared" ref="S93:S95" si="135">ROUND((P93+Q93)*0.6,-2)</f>
        <v>6700</v>
      </c>
      <c r="T93" s="231">
        <f t="shared" si="125"/>
        <v>7900</v>
      </c>
      <c r="U93" s="233">
        <f t="shared" si="6"/>
        <v>17900</v>
      </c>
      <c r="V93" s="233">
        <f t="shared" si="7"/>
        <v>19100</v>
      </c>
      <c r="W93" s="234">
        <v>0</v>
      </c>
      <c r="X93" s="234">
        <f t="shared" si="8"/>
        <v>680.19999999999993</v>
      </c>
      <c r="Y93" s="234">
        <f t="shared" si="9"/>
        <v>358</v>
      </c>
      <c r="Z93" s="234">
        <f t="shared" si="10"/>
        <v>1910</v>
      </c>
      <c r="AA93" s="234">
        <f t="shared" si="11"/>
        <v>16861.8</v>
      </c>
      <c r="AB93" s="234">
        <f t="shared" si="12"/>
        <v>17190</v>
      </c>
      <c r="AC93" s="234">
        <f t="shared" si="13"/>
        <v>168.61799999999999</v>
      </c>
      <c r="AD93" s="101">
        <f t="shared" si="14"/>
        <v>5463.1819999999989</v>
      </c>
      <c r="AE93" s="101">
        <f t="shared" si="15"/>
        <v>5791.3819999999996</v>
      </c>
      <c r="AF93" s="235">
        <f t="shared" ref="AF93:AG93" si="136">AD93/U93</f>
        <v>0.30520569832402228</v>
      </c>
      <c r="AG93" s="235">
        <f t="shared" si="136"/>
        <v>0.30321371727748692</v>
      </c>
      <c r="AH93" s="103"/>
      <c r="AI93" s="104"/>
      <c r="AJ93" s="17"/>
      <c r="AK93" s="17"/>
      <c r="AL93" s="17"/>
      <c r="AM93" s="17"/>
      <c r="AN93" s="17"/>
      <c r="AO93" s="17"/>
      <c r="AP93" s="17"/>
      <c r="AQ93" s="17"/>
      <c r="AR93" s="17"/>
      <c r="AS93" s="17"/>
      <c r="AT93" s="17"/>
      <c r="AU93" s="17"/>
    </row>
    <row r="94" spans="1:47" ht="13.2">
      <c r="A94" s="302"/>
      <c r="B94" s="302"/>
      <c r="C94" s="302"/>
      <c r="D94" s="302"/>
      <c r="E94" s="302"/>
      <c r="F94" s="91" t="s">
        <v>307</v>
      </c>
      <c r="G94" s="237" t="str">
        <f>HYPERLINK("https://detail.tmall.com/item.htm?spm=a230r.1.999.24.dd41523cC8uEs9&amp;id=553554172095&amp;ns=1&amp;skuId=4033349090909","A")</f>
        <v>A</v>
      </c>
      <c r="H94" s="93"/>
      <c r="I94" s="93">
        <v>20</v>
      </c>
      <c r="J94" s="228">
        <f t="shared" si="123"/>
        <v>2.1875</v>
      </c>
      <c r="K94" s="228">
        <v>35</v>
      </c>
      <c r="L94" s="228">
        <f t="shared" si="21"/>
        <v>0.99223249999999996</v>
      </c>
      <c r="M94" s="93">
        <v>0</v>
      </c>
      <c r="N94" s="93">
        <v>0</v>
      </c>
      <c r="O94" s="230">
        <f t="shared" si="2"/>
        <v>20</v>
      </c>
      <c r="P94" s="231">
        <f t="shared" si="3"/>
        <v>3800</v>
      </c>
      <c r="Q94" s="232">
        <f>ROUNDUP(HLOOKUP(IF(CEILING(L94,0.5)&lt;1,1,CEILING(L94,0.5)),'배송비 조회'!A$32:AY$36,2,0),-2)</f>
        <v>8000</v>
      </c>
      <c r="R94" s="232">
        <v>0</v>
      </c>
      <c r="S94" s="231">
        <f t="shared" si="135"/>
        <v>7100</v>
      </c>
      <c r="T94" s="231">
        <f t="shared" si="125"/>
        <v>8300</v>
      </c>
      <c r="U94" s="233">
        <f t="shared" si="6"/>
        <v>18900</v>
      </c>
      <c r="V94" s="233">
        <f t="shared" si="7"/>
        <v>20100</v>
      </c>
      <c r="W94" s="234">
        <v>0</v>
      </c>
      <c r="X94" s="234">
        <f t="shared" si="8"/>
        <v>718.19999999999993</v>
      </c>
      <c r="Y94" s="234">
        <f t="shared" si="9"/>
        <v>378</v>
      </c>
      <c r="Z94" s="234">
        <f t="shared" si="10"/>
        <v>2010</v>
      </c>
      <c r="AA94" s="234">
        <f t="shared" si="11"/>
        <v>17803.8</v>
      </c>
      <c r="AB94" s="234">
        <f t="shared" si="12"/>
        <v>18090</v>
      </c>
      <c r="AC94" s="234">
        <f t="shared" si="13"/>
        <v>178.03799999999998</v>
      </c>
      <c r="AD94" s="101">
        <f t="shared" si="14"/>
        <v>5825.7619999999988</v>
      </c>
      <c r="AE94" s="101">
        <f t="shared" si="15"/>
        <v>6111.9620000000004</v>
      </c>
      <c r="AF94" s="235">
        <f t="shared" ref="AF94:AG94" si="137">AD94/U94</f>
        <v>0.30824137566137561</v>
      </c>
      <c r="AG94" s="235">
        <f t="shared" si="137"/>
        <v>0.30407771144278611</v>
      </c>
      <c r="AH94" s="103"/>
      <c r="AI94" s="104"/>
      <c r="AJ94" s="17"/>
      <c r="AK94" s="17"/>
      <c r="AL94" s="17"/>
      <c r="AM94" s="17"/>
      <c r="AN94" s="17"/>
      <c r="AO94" s="17"/>
      <c r="AP94" s="17"/>
      <c r="AQ94" s="17"/>
      <c r="AR94" s="17"/>
      <c r="AS94" s="17"/>
      <c r="AT94" s="17"/>
      <c r="AU94" s="17"/>
    </row>
    <row r="95" spans="1:47" ht="13.2">
      <c r="A95" s="89" t="str">
        <f>HYPERLINK("https://smartstore.naver.com/brickstore2019/products/4750320346","4750320346")</f>
        <v>4750320346</v>
      </c>
      <c r="B95" s="113"/>
      <c r="C95" s="114" t="s">
        <v>308</v>
      </c>
      <c r="D95" s="114"/>
      <c r="E95" s="114"/>
      <c r="F95" s="91"/>
      <c r="G95" s="237" t="str">
        <f>HYPERLINK("https://item.taobao.com/item.htm?spm=a230r.1.998.41.4d72523cSIjVIG&amp;scm=1007.11224.62891.0&amp;id=17081082139&amp;pvid=85f91824-d2ff-4658-833b-5723447f2c57","A")</f>
        <v>A</v>
      </c>
      <c r="H95" s="93"/>
      <c r="I95" s="93">
        <v>11</v>
      </c>
      <c r="J95" s="228">
        <f t="shared" si="123"/>
        <v>2.1875</v>
      </c>
      <c r="K95" s="228">
        <v>35</v>
      </c>
      <c r="L95" s="228">
        <f t="shared" si="21"/>
        <v>0.99223249999999996</v>
      </c>
      <c r="M95" s="93">
        <v>0</v>
      </c>
      <c r="N95" s="93">
        <v>0</v>
      </c>
      <c r="O95" s="230">
        <f t="shared" si="2"/>
        <v>11</v>
      </c>
      <c r="P95" s="231">
        <f t="shared" si="3"/>
        <v>2090</v>
      </c>
      <c r="Q95" s="232">
        <f>ROUNDUP(HLOOKUP(IF(CEILING(L95,0.5)&lt;1,1,CEILING(L95,0.5)),'배송비 조회'!A$32:AY$36,2,0),-2)</f>
        <v>8000</v>
      </c>
      <c r="R95" s="232">
        <v>0</v>
      </c>
      <c r="S95" s="231">
        <f t="shared" si="135"/>
        <v>6100</v>
      </c>
      <c r="T95" s="231">
        <f t="shared" si="125"/>
        <v>7100</v>
      </c>
      <c r="U95" s="233">
        <f t="shared" si="6"/>
        <v>16200</v>
      </c>
      <c r="V95" s="233">
        <f t="shared" si="7"/>
        <v>17200</v>
      </c>
      <c r="W95" s="234">
        <v>0</v>
      </c>
      <c r="X95" s="234">
        <f t="shared" si="8"/>
        <v>615.6</v>
      </c>
      <c r="Y95" s="234">
        <f t="shared" si="9"/>
        <v>324</v>
      </c>
      <c r="Z95" s="234">
        <f t="shared" si="10"/>
        <v>1720</v>
      </c>
      <c r="AA95" s="234">
        <f t="shared" si="11"/>
        <v>15260.4</v>
      </c>
      <c r="AB95" s="234">
        <f t="shared" si="12"/>
        <v>15480</v>
      </c>
      <c r="AC95" s="234">
        <f t="shared" si="13"/>
        <v>152.60400000000001</v>
      </c>
      <c r="AD95" s="101">
        <f t="shared" si="14"/>
        <v>5017.7960000000003</v>
      </c>
      <c r="AE95" s="101">
        <f t="shared" si="15"/>
        <v>5237.3959999999997</v>
      </c>
      <c r="AF95" s="235">
        <f t="shared" ref="AF95:AG95" si="138">AD95/U95</f>
        <v>0.30974049382716051</v>
      </c>
      <c r="AG95" s="235">
        <f t="shared" si="138"/>
        <v>0.30449976744186047</v>
      </c>
      <c r="AH95" s="118">
        <v>8000</v>
      </c>
      <c r="AI95" s="103">
        <f>U95-8000</f>
        <v>8200</v>
      </c>
      <c r="AJ95" s="17"/>
      <c r="AK95" s="17"/>
      <c r="AL95" s="17"/>
      <c r="AM95" s="17"/>
      <c r="AN95" s="17"/>
      <c r="AO95" s="17"/>
      <c r="AP95" s="17"/>
      <c r="AQ95" s="17"/>
      <c r="AR95" s="17"/>
      <c r="AS95" s="17"/>
      <c r="AT95" s="17"/>
      <c r="AU95" s="17"/>
    </row>
    <row r="96" spans="1:47" ht="13.2">
      <c r="A96" s="163" t="str">
        <f>HYPERLINK("https://smartstore.naver.com/brickstore2019/products/4751331375","4751331375")</f>
        <v>4751331375</v>
      </c>
      <c r="B96" s="164"/>
      <c r="C96" s="165" t="s">
        <v>311</v>
      </c>
      <c r="D96" s="165"/>
      <c r="E96" s="165"/>
      <c r="F96" s="242" t="s">
        <v>312</v>
      </c>
      <c r="G96" s="237" t="s">
        <v>145</v>
      </c>
      <c r="H96" s="93"/>
      <c r="I96" s="93">
        <v>653</v>
      </c>
      <c r="J96" s="228">
        <v>1.54</v>
      </c>
      <c r="K96" s="228">
        <f>IF(J96&gt;0,J96*16,)</f>
        <v>24.64</v>
      </c>
      <c r="L96" s="228">
        <f t="shared" si="21"/>
        <v>0.69853167999999999</v>
      </c>
      <c r="M96" s="93">
        <v>0</v>
      </c>
      <c r="N96" s="93">
        <v>0</v>
      </c>
      <c r="O96" s="230">
        <f t="shared" si="2"/>
        <v>653</v>
      </c>
      <c r="P96" s="231">
        <f t="shared" si="3"/>
        <v>124070</v>
      </c>
      <c r="Q96" s="232">
        <f>ROUNDUP(HLOOKUP(IF(CEILING(L96,0.5)&lt;1,1,CEILING(L96,0.5)),'배송비 조회'!A$32:AY$36,2,0),-2)</f>
        <v>8000</v>
      </c>
      <c r="R96" s="232">
        <v>0</v>
      </c>
      <c r="S96" s="231">
        <f>ROUND((P96+Q96)*0.2,-2)</f>
        <v>26400</v>
      </c>
      <c r="T96" s="231">
        <f t="shared" si="125"/>
        <v>92400</v>
      </c>
      <c r="U96" s="233">
        <v>155900</v>
      </c>
      <c r="V96" s="233">
        <f t="shared" si="7"/>
        <v>224500</v>
      </c>
      <c r="W96" s="234">
        <v>0</v>
      </c>
      <c r="X96" s="234">
        <f t="shared" si="8"/>
        <v>5924.2</v>
      </c>
      <c r="Y96" s="234">
        <f t="shared" si="9"/>
        <v>3118</v>
      </c>
      <c r="Z96" s="234">
        <f t="shared" si="10"/>
        <v>22450</v>
      </c>
      <c r="AA96" s="234">
        <f t="shared" si="11"/>
        <v>146857.79999999999</v>
      </c>
      <c r="AB96" s="234">
        <f t="shared" si="12"/>
        <v>202050</v>
      </c>
      <c r="AC96" s="234">
        <f t="shared" si="13"/>
        <v>1468.578</v>
      </c>
      <c r="AD96" s="101">
        <f t="shared" si="14"/>
        <v>13319.221999999987</v>
      </c>
      <c r="AE96" s="101">
        <f t="shared" si="15"/>
        <v>68511.422000000006</v>
      </c>
      <c r="AF96" s="235">
        <f t="shared" ref="AF96:AG96" si="139">AD96/U96</f>
        <v>8.5434393842206455E-2</v>
      </c>
      <c r="AG96" s="235">
        <f t="shared" si="139"/>
        <v>0.30517337193763922</v>
      </c>
      <c r="AH96" s="118">
        <f>U96-8000</f>
        <v>147900</v>
      </c>
      <c r="AI96" s="104"/>
      <c r="AJ96" s="17"/>
      <c r="AK96" s="17"/>
      <c r="AL96" s="17"/>
      <c r="AM96" s="17"/>
      <c r="AN96" s="17"/>
      <c r="AO96" s="17"/>
      <c r="AP96" s="17"/>
      <c r="AQ96" s="17"/>
      <c r="AR96" s="17"/>
      <c r="AS96" s="17"/>
      <c r="AT96" s="17"/>
      <c r="AU96" s="17"/>
    </row>
    <row r="97" spans="1:47" ht="13.2">
      <c r="A97" s="301" t="str">
        <f>HYPERLINK("https://smartstore.naver.com/brickstore2019/products/4754037695","4754037695")</f>
        <v>4754037695</v>
      </c>
      <c r="B97" s="113"/>
      <c r="C97" s="307" t="s">
        <v>316</v>
      </c>
      <c r="D97" s="114"/>
      <c r="E97" s="114"/>
      <c r="F97" s="91" t="s">
        <v>144</v>
      </c>
      <c r="G97" s="237" t="str">
        <f>HYPERLINK("https://detail.tmall.com/item.htm?spm=a230r.1.999.1.633e523cmeX8ZD&amp;id=573684004683&amp;ns=1&amp;skuId=3748135376633","A")</f>
        <v>A</v>
      </c>
      <c r="H97" s="93"/>
      <c r="I97" s="93">
        <v>80</v>
      </c>
      <c r="J97" s="228">
        <f t="shared" ref="J97:J100" si="140">IF(K97&gt;0,K97*0.0625,)</f>
        <v>6.25</v>
      </c>
      <c r="K97" s="228">
        <v>100</v>
      </c>
      <c r="L97" s="228">
        <f t="shared" si="21"/>
        <v>2.8349500000000001</v>
      </c>
      <c r="M97" s="93">
        <v>0</v>
      </c>
      <c r="N97" s="93">
        <v>0</v>
      </c>
      <c r="O97" s="230">
        <f t="shared" si="2"/>
        <v>80</v>
      </c>
      <c r="P97" s="231">
        <f t="shared" si="3"/>
        <v>15200</v>
      </c>
      <c r="Q97" s="232">
        <f>ROUNDUP(HLOOKUP(IF(CEILING(L97,0.5)&lt;1,1,CEILING(L97,0.5)),'배송비 조회'!A$32:AY$36,2,0),-2)</f>
        <v>11200</v>
      </c>
      <c r="R97" s="232">
        <v>0</v>
      </c>
      <c r="S97" s="231">
        <f t="shared" ref="S97:S100" si="141">ROUND((P97+Q97)*0.6,-2)</f>
        <v>15800</v>
      </c>
      <c r="T97" s="231">
        <f t="shared" si="125"/>
        <v>18500</v>
      </c>
      <c r="U97" s="233">
        <f t="shared" ref="U97:U1009" si="142">ROUND(SUM(P97+Q97+R97+S97), -2)</f>
        <v>42200</v>
      </c>
      <c r="V97" s="233">
        <f t="shared" si="7"/>
        <v>44900</v>
      </c>
      <c r="W97" s="234">
        <v>0</v>
      </c>
      <c r="X97" s="234">
        <f t="shared" si="8"/>
        <v>1603.6</v>
      </c>
      <c r="Y97" s="234">
        <f t="shared" si="9"/>
        <v>844</v>
      </c>
      <c r="Z97" s="234">
        <f t="shared" si="10"/>
        <v>4490</v>
      </c>
      <c r="AA97" s="234">
        <f t="shared" si="11"/>
        <v>39752.400000000001</v>
      </c>
      <c r="AB97" s="234">
        <f t="shared" si="12"/>
        <v>40410</v>
      </c>
      <c r="AC97" s="234">
        <f t="shared" si="13"/>
        <v>397.524</v>
      </c>
      <c r="AD97" s="101">
        <f t="shared" si="14"/>
        <v>12954.876</v>
      </c>
      <c r="AE97" s="101">
        <f t="shared" si="15"/>
        <v>13612.476000000001</v>
      </c>
      <c r="AF97" s="235">
        <f t="shared" ref="AF97:AG97" si="143">AD97/U97</f>
        <v>0.30698758293838863</v>
      </c>
      <c r="AG97" s="235">
        <f t="shared" si="143"/>
        <v>0.30317318485523387</v>
      </c>
      <c r="AH97" s="103"/>
      <c r="AI97" s="104"/>
      <c r="AJ97" s="17"/>
      <c r="AK97" s="17"/>
      <c r="AL97" s="17"/>
      <c r="AM97" s="17"/>
      <c r="AN97" s="17"/>
      <c r="AO97" s="17"/>
      <c r="AP97" s="17"/>
      <c r="AQ97" s="17"/>
      <c r="AR97" s="17"/>
      <c r="AS97" s="17"/>
      <c r="AT97" s="17"/>
      <c r="AU97" s="17"/>
    </row>
    <row r="98" spans="1:47" ht="13.2">
      <c r="A98" s="302"/>
      <c r="B98" s="113"/>
      <c r="C98" s="302"/>
      <c r="D98" s="114"/>
      <c r="E98" s="114"/>
      <c r="F98" s="91" t="s">
        <v>318</v>
      </c>
      <c r="G98" s="237" t="str">
        <f>HYPERLINK("https://detail.tmall.com/item.htm?spm=a230r.1.999.1.633e523cmeX8ZD&amp;id=573684004683&amp;ns=1&amp;skuId=3748135376634","A")</f>
        <v>A</v>
      </c>
      <c r="H98" s="93"/>
      <c r="I98" s="93">
        <v>90</v>
      </c>
      <c r="J98" s="228">
        <f t="shared" si="140"/>
        <v>6.25</v>
      </c>
      <c r="K98" s="228">
        <v>100</v>
      </c>
      <c r="L98" s="228">
        <f t="shared" si="21"/>
        <v>2.8349500000000001</v>
      </c>
      <c r="M98" s="93">
        <v>0</v>
      </c>
      <c r="N98" s="93">
        <v>0</v>
      </c>
      <c r="O98" s="230">
        <f t="shared" si="2"/>
        <v>90</v>
      </c>
      <c r="P98" s="231">
        <f t="shared" si="3"/>
        <v>17100</v>
      </c>
      <c r="Q98" s="232">
        <f>ROUNDUP(HLOOKUP(IF(CEILING(L98,0.5)&lt;1,1,CEILING(L98,0.5)),'배송비 조회'!A$32:AY$36,2,0),-2)</f>
        <v>11200</v>
      </c>
      <c r="R98" s="232">
        <v>0</v>
      </c>
      <c r="S98" s="231">
        <f t="shared" si="141"/>
        <v>17000</v>
      </c>
      <c r="T98" s="231">
        <f t="shared" si="125"/>
        <v>19800</v>
      </c>
      <c r="U98" s="233">
        <f t="shared" si="142"/>
        <v>45300</v>
      </c>
      <c r="V98" s="233">
        <f t="shared" si="7"/>
        <v>48100</v>
      </c>
      <c r="W98" s="234">
        <v>0</v>
      </c>
      <c r="X98" s="234">
        <f t="shared" si="8"/>
        <v>1721.3999999999999</v>
      </c>
      <c r="Y98" s="234">
        <f t="shared" si="9"/>
        <v>906</v>
      </c>
      <c r="Z98" s="234">
        <f t="shared" si="10"/>
        <v>4810</v>
      </c>
      <c r="AA98" s="234">
        <f t="shared" si="11"/>
        <v>42672.6</v>
      </c>
      <c r="AB98" s="234">
        <f t="shared" si="12"/>
        <v>43290</v>
      </c>
      <c r="AC98" s="234">
        <f t="shared" si="13"/>
        <v>426.726</v>
      </c>
      <c r="AD98" s="101">
        <f t="shared" si="14"/>
        <v>13945.874</v>
      </c>
      <c r="AE98" s="101">
        <f t="shared" si="15"/>
        <v>14563.273999999999</v>
      </c>
      <c r="AF98" s="235">
        <f t="shared" ref="AF98:AG98" si="144">AD98/U98</f>
        <v>0.30785593818984547</v>
      </c>
      <c r="AG98" s="235">
        <f t="shared" si="144"/>
        <v>0.30277076923076923</v>
      </c>
      <c r="AH98" s="103"/>
      <c r="AI98" s="104"/>
      <c r="AJ98" s="17"/>
      <c r="AK98" s="17"/>
      <c r="AL98" s="17"/>
      <c r="AM98" s="17"/>
      <c r="AN98" s="17"/>
      <c r="AO98" s="17"/>
      <c r="AP98" s="17"/>
      <c r="AQ98" s="17"/>
      <c r="AR98" s="17"/>
      <c r="AS98" s="17"/>
      <c r="AT98" s="17"/>
      <c r="AU98" s="17"/>
    </row>
    <row r="99" spans="1:47" ht="13.2">
      <c r="A99" s="302"/>
      <c r="B99" s="113"/>
      <c r="C99" s="302"/>
      <c r="D99" s="114"/>
      <c r="E99" s="114"/>
      <c r="F99" s="91" t="s">
        <v>71</v>
      </c>
      <c r="G99" s="237" t="str">
        <f>HYPERLINK("https://detail.tmall.com/item.htm?spm=a230r.1.999.1.633e523cmeX8ZD&amp;id=573684004683&amp;ns=1&amp;skuId=3748135376635","A")</f>
        <v>A</v>
      </c>
      <c r="H99" s="93"/>
      <c r="I99" s="93">
        <v>80</v>
      </c>
      <c r="J99" s="228">
        <f t="shared" si="140"/>
        <v>6.25</v>
      </c>
      <c r="K99" s="228">
        <v>100</v>
      </c>
      <c r="L99" s="228">
        <f t="shared" si="21"/>
        <v>2.8349500000000001</v>
      </c>
      <c r="M99" s="93">
        <v>0</v>
      </c>
      <c r="N99" s="93">
        <v>0</v>
      </c>
      <c r="O99" s="230">
        <f t="shared" si="2"/>
        <v>80</v>
      </c>
      <c r="P99" s="231">
        <f t="shared" si="3"/>
        <v>15200</v>
      </c>
      <c r="Q99" s="232">
        <f>ROUNDUP(HLOOKUP(IF(CEILING(L99,0.5)&lt;1,1,CEILING(L99,0.5)),'배송비 조회'!A$32:AY$36,2,0),-2)</f>
        <v>11200</v>
      </c>
      <c r="R99" s="232">
        <v>0</v>
      </c>
      <c r="S99" s="231">
        <f t="shared" si="141"/>
        <v>15800</v>
      </c>
      <c r="T99" s="231">
        <f t="shared" si="125"/>
        <v>18500</v>
      </c>
      <c r="U99" s="233">
        <f t="shared" si="142"/>
        <v>42200</v>
      </c>
      <c r="V99" s="233">
        <f t="shared" si="7"/>
        <v>44900</v>
      </c>
      <c r="W99" s="234">
        <v>0</v>
      </c>
      <c r="X99" s="234">
        <f t="shared" si="8"/>
        <v>1603.6</v>
      </c>
      <c r="Y99" s="234">
        <f t="shared" si="9"/>
        <v>844</v>
      </c>
      <c r="Z99" s="234">
        <f t="shared" si="10"/>
        <v>4490</v>
      </c>
      <c r="AA99" s="234">
        <f t="shared" si="11"/>
        <v>39752.400000000001</v>
      </c>
      <c r="AB99" s="234">
        <f t="shared" si="12"/>
        <v>40410</v>
      </c>
      <c r="AC99" s="234">
        <f t="shared" si="13"/>
        <v>397.524</v>
      </c>
      <c r="AD99" s="101">
        <f t="shared" si="14"/>
        <v>12954.876</v>
      </c>
      <c r="AE99" s="101">
        <f t="shared" si="15"/>
        <v>13612.476000000001</v>
      </c>
      <c r="AF99" s="235">
        <f t="shared" ref="AF99:AG99" si="145">AD99/U99</f>
        <v>0.30698758293838863</v>
      </c>
      <c r="AG99" s="235">
        <f t="shared" si="145"/>
        <v>0.30317318485523387</v>
      </c>
      <c r="AH99" s="103"/>
      <c r="AI99" s="104"/>
      <c r="AJ99" s="17"/>
      <c r="AK99" s="17"/>
      <c r="AL99" s="17"/>
      <c r="AM99" s="17"/>
      <c r="AN99" s="17"/>
      <c r="AO99" s="17"/>
      <c r="AP99" s="17"/>
      <c r="AQ99" s="17"/>
      <c r="AR99" s="17"/>
      <c r="AS99" s="17"/>
      <c r="AT99" s="17"/>
      <c r="AU99" s="17"/>
    </row>
    <row r="100" spans="1:47" ht="13.2">
      <c r="A100" s="302"/>
      <c r="B100" s="113"/>
      <c r="C100" s="302"/>
      <c r="D100" s="114"/>
      <c r="E100" s="114"/>
      <c r="F100" s="91" t="s">
        <v>320</v>
      </c>
      <c r="G100" s="237" t="str">
        <f>HYPERLINK("https://detail.tmall.com/item.htm?spm=a230r.1.999.1.633e523cmeX8ZD&amp;id=573684004683&amp;ns=1&amp;skuId=3748135376636","A")</f>
        <v>A</v>
      </c>
      <c r="H100" s="93"/>
      <c r="I100" s="93">
        <v>90</v>
      </c>
      <c r="J100" s="228">
        <f t="shared" si="140"/>
        <v>6.25</v>
      </c>
      <c r="K100" s="228">
        <v>100</v>
      </c>
      <c r="L100" s="228">
        <f t="shared" si="21"/>
        <v>2.8349500000000001</v>
      </c>
      <c r="M100" s="93">
        <v>0</v>
      </c>
      <c r="N100" s="93">
        <v>0</v>
      </c>
      <c r="O100" s="230">
        <f t="shared" si="2"/>
        <v>90</v>
      </c>
      <c r="P100" s="231">
        <f t="shared" si="3"/>
        <v>17100</v>
      </c>
      <c r="Q100" s="232">
        <f>ROUNDUP(HLOOKUP(IF(CEILING(L100,0.5)&lt;1,1,CEILING(L100,0.5)),'배송비 조회'!A$32:AY$36,2,0),-2)</f>
        <v>11200</v>
      </c>
      <c r="R100" s="232">
        <v>0</v>
      </c>
      <c r="S100" s="231">
        <f t="shared" si="141"/>
        <v>17000</v>
      </c>
      <c r="T100" s="231">
        <f t="shared" si="125"/>
        <v>19800</v>
      </c>
      <c r="U100" s="233">
        <f t="shared" si="142"/>
        <v>45300</v>
      </c>
      <c r="V100" s="233">
        <f t="shared" si="7"/>
        <v>48100</v>
      </c>
      <c r="W100" s="234">
        <v>0</v>
      </c>
      <c r="X100" s="234">
        <f t="shared" si="8"/>
        <v>1721.3999999999999</v>
      </c>
      <c r="Y100" s="234">
        <f t="shared" si="9"/>
        <v>906</v>
      </c>
      <c r="Z100" s="234">
        <f t="shared" si="10"/>
        <v>4810</v>
      </c>
      <c r="AA100" s="234">
        <f t="shared" si="11"/>
        <v>42672.6</v>
      </c>
      <c r="AB100" s="234">
        <f t="shared" si="12"/>
        <v>43290</v>
      </c>
      <c r="AC100" s="234">
        <f t="shared" si="13"/>
        <v>426.726</v>
      </c>
      <c r="AD100" s="101">
        <f t="shared" si="14"/>
        <v>13945.874</v>
      </c>
      <c r="AE100" s="101">
        <f t="shared" si="15"/>
        <v>14563.273999999999</v>
      </c>
      <c r="AF100" s="235">
        <f t="shared" ref="AF100:AG100" si="146">AD100/U100</f>
        <v>0.30785593818984547</v>
      </c>
      <c r="AG100" s="235">
        <f t="shared" si="146"/>
        <v>0.30277076923076923</v>
      </c>
      <c r="AH100" s="103"/>
      <c r="AI100" s="104"/>
      <c r="AJ100" s="17"/>
      <c r="AK100" s="17"/>
      <c r="AL100" s="17"/>
      <c r="AM100" s="17"/>
      <c r="AN100" s="17"/>
      <c r="AO100" s="17"/>
      <c r="AP100" s="17"/>
      <c r="AQ100" s="17"/>
      <c r="AR100" s="17"/>
      <c r="AS100" s="17"/>
      <c r="AT100" s="17"/>
      <c r="AU100" s="17"/>
    </row>
    <row r="101" spans="1:47" ht="13.2">
      <c r="A101" s="303" t="str">
        <f>HYPERLINK("https://smartstore.naver.com/brickstore2019/products/4756499204","4756499204")</f>
        <v>4756499204</v>
      </c>
      <c r="B101" s="361"/>
      <c r="C101" s="304" t="s">
        <v>323</v>
      </c>
      <c r="D101" s="304"/>
      <c r="E101" s="304"/>
      <c r="F101" s="123" t="s">
        <v>324</v>
      </c>
      <c r="G101" s="301" t="str">
        <f>HYPERLINK("https://detail.tmall.com/item.htm?spm=a230r.1.999.113.4d4c523cVqLIDR&amp;id=599538363886&amp;ns=1&amp;skuId=4352228335831","T")</f>
        <v>T</v>
      </c>
      <c r="H101" s="125"/>
      <c r="I101" s="125">
        <v>19</v>
      </c>
      <c r="J101" s="82">
        <f t="shared" ref="J101:J1009" si="147">IF(K101&gt;0,K101*0.0625,IF(L101&gt;0,L101*2.204623,))</f>
        <v>4.4092452499999997</v>
      </c>
      <c r="K101" s="82">
        <f t="shared" ref="K101:K124" si="148">IF(L101&gt;0,L101*35.273962,IF(J101&gt;0,J101*16,))</f>
        <v>70.547923999999995</v>
      </c>
      <c r="L101" s="82">
        <v>2</v>
      </c>
      <c r="M101" s="93">
        <v>0</v>
      </c>
      <c r="N101" s="93">
        <v>0</v>
      </c>
      <c r="O101" s="230">
        <f t="shared" si="2"/>
        <v>19</v>
      </c>
      <c r="P101" s="231">
        <f t="shared" si="3"/>
        <v>3610</v>
      </c>
      <c r="Q101" s="232">
        <f>ROUNDUP(HLOOKUP(IF(CEILING(L101,0.5)&lt;1,1,CEILING(L101,0.5)),'배송비 조회'!A$32:AY$36,2,0),-2)</f>
        <v>9600</v>
      </c>
      <c r="R101" s="232">
        <v>0</v>
      </c>
      <c r="S101" s="231">
        <f>ROUND((P101+Q101)*0.5,-2)</f>
        <v>6600</v>
      </c>
      <c r="T101" s="231">
        <f t="shared" si="125"/>
        <v>9200</v>
      </c>
      <c r="U101" s="233">
        <f t="shared" si="142"/>
        <v>19800</v>
      </c>
      <c r="V101" s="233">
        <f t="shared" si="7"/>
        <v>22400</v>
      </c>
      <c r="W101" s="234">
        <v>0</v>
      </c>
      <c r="X101" s="234">
        <f t="shared" si="8"/>
        <v>752.4</v>
      </c>
      <c r="Y101" s="234">
        <f t="shared" si="9"/>
        <v>396</v>
      </c>
      <c r="Z101" s="234">
        <f t="shared" si="10"/>
        <v>2240</v>
      </c>
      <c r="AA101" s="234">
        <f t="shared" si="11"/>
        <v>18651.599999999999</v>
      </c>
      <c r="AB101" s="234">
        <f t="shared" si="12"/>
        <v>20160</v>
      </c>
      <c r="AC101" s="234">
        <f t="shared" si="13"/>
        <v>186.51599999999999</v>
      </c>
      <c r="AD101" s="101">
        <f t="shared" si="14"/>
        <v>5255.0839999999989</v>
      </c>
      <c r="AE101" s="101">
        <f t="shared" si="15"/>
        <v>6763.4840000000004</v>
      </c>
      <c r="AF101" s="235">
        <f t="shared" ref="AF101:AG101" si="149">AD101/U101</f>
        <v>0.26540828282828277</v>
      </c>
      <c r="AG101" s="235">
        <f t="shared" si="149"/>
        <v>0.30194124999999999</v>
      </c>
      <c r="AH101" s="212">
        <f t="shared" ref="AH101:AH124" si="150">U101-$U$113</f>
        <v>-4800</v>
      </c>
      <c r="AI101" s="213"/>
      <c r="AJ101" s="4"/>
      <c r="AK101" s="4"/>
      <c r="AL101" s="4"/>
      <c r="AM101" s="4"/>
      <c r="AN101" s="4"/>
      <c r="AO101" s="4"/>
      <c r="AP101" s="4"/>
      <c r="AQ101" s="4"/>
      <c r="AR101" s="4"/>
      <c r="AS101" s="4"/>
      <c r="AT101" s="4"/>
      <c r="AU101" s="4"/>
    </row>
    <row r="102" spans="1:47" ht="13.2">
      <c r="A102" s="302"/>
      <c r="B102" s="302"/>
      <c r="C102" s="302"/>
      <c r="D102" s="302"/>
      <c r="E102" s="302"/>
      <c r="F102" s="123" t="s">
        <v>327</v>
      </c>
      <c r="G102" s="302"/>
      <c r="H102" s="125"/>
      <c r="I102" s="125">
        <v>35</v>
      </c>
      <c r="J102" s="82">
        <f t="shared" si="147"/>
        <v>4.4092452499999997</v>
      </c>
      <c r="K102" s="82">
        <f t="shared" si="148"/>
        <v>70.547923999999995</v>
      </c>
      <c r="L102" s="82">
        <v>2</v>
      </c>
      <c r="M102" s="93">
        <v>0</v>
      </c>
      <c r="N102" s="93">
        <v>0</v>
      </c>
      <c r="O102" s="230">
        <f t="shared" si="2"/>
        <v>35</v>
      </c>
      <c r="P102" s="231">
        <f t="shared" si="3"/>
        <v>6650</v>
      </c>
      <c r="Q102" s="232">
        <f>ROUNDUP(HLOOKUP(IF(CEILING(L102,0.5)&lt;1,1,CEILING(L102,0.5)),'배송비 조회'!A$32:AY$36,2,0),-2)</f>
        <v>9600</v>
      </c>
      <c r="R102" s="232">
        <v>0</v>
      </c>
      <c r="S102" s="231">
        <f t="shared" ref="S102:S124" si="151">ROUND((P102+Q102)*0.3,-2)</f>
        <v>4900</v>
      </c>
      <c r="T102" s="231">
        <f t="shared" si="125"/>
        <v>11400</v>
      </c>
      <c r="U102" s="233">
        <f t="shared" si="142"/>
        <v>21200</v>
      </c>
      <c r="V102" s="233">
        <f t="shared" si="7"/>
        <v>27700</v>
      </c>
      <c r="W102" s="234">
        <v>0</v>
      </c>
      <c r="X102" s="234">
        <f t="shared" si="8"/>
        <v>805.6</v>
      </c>
      <c r="Y102" s="234">
        <f t="shared" si="9"/>
        <v>424</v>
      </c>
      <c r="Z102" s="234">
        <f t="shared" si="10"/>
        <v>2770</v>
      </c>
      <c r="AA102" s="234">
        <f t="shared" si="11"/>
        <v>19970.400000000001</v>
      </c>
      <c r="AB102" s="234">
        <f t="shared" si="12"/>
        <v>24930</v>
      </c>
      <c r="AC102" s="234">
        <f t="shared" si="13"/>
        <v>199.70400000000001</v>
      </c>
      <c r="AD102" s="101">
        <f t="shared" si="14"/>
        <v>3520.6960000000017</v>
      </c>
      <c r="AE102" s="101">
        <f t="shared" si="15"/>
        <v>8480.2960000000003</v>
      </c>
      <c r="AF102" s="235">
        <f t="shared" ref="AF102:AG102" si="152">AD102/U102</f>
        <v>0.16607056603773593</v>
      </c>
      <c r="AG102" s="235">
        <f t="shared" si="152"/>
        <v>0.30614787003610111</v>
      </c>
      <c r="AH102" s="212">
        <f t="shared" si="150"/>
        <v>-3400</v>
      </c>
      <c r="AI102" s="213"/>
      <c r="AJ102" s="4"/>
      <c r="AK102" s="4"/>
      <c r="AL102" s="4"/>
      <c r="AM102" s="4"/>
      <c r="AN102" s="4"/>
      <c r="AO102" s="4"/>
      <c r="AP102" s="4"/>
      <c r="AQ102" s="4"/>
      <c r="AR102" s="4"/>
      <c r="AS102" s="4"/>
      <c r="AT102" s="4"/>
      <c r="AU102" s="4"/>
    </row>
    <row r="103" spans="1:47" ht="13.2">
      <c r="A103" s="302"/>
      <c r="B103" s="302"/>
      <c r="C103" s="302"/>
      <c r="D103" s="302"/>
      <c r="E103" s="302"/>
      <c r="F103" s="123" t="s">
        <v>328</v>
      </c>
      <c r="G103" s="302"/>
      <c r="H103" s="125"/>
      <c r="I103" s="125">
        <v>55</v>
      </c>
      <c r="J103" s="82">
        <f t="shared" si="147"/>
        <v>4.4092452499999997</v>
      </c>
      <c r="K103" s="82">
        <f t="shared" si="148"/>
        <v>70.547923999999995</v>
      </c>
      <c r="L103" s="82">
        <v>2</v>
      </c>
      <c r="M103" s="93">
        <v>0</v>
      </c>
      <c r="N103" s="93">
        <v>0</v>
      </c>
      <c r="O103" s="230">
        <f t="shared" si="2"/>
        <v>55</v>
      </c>
      <c r="P103" s="231">
        <f t="shared" si="3"/>
        <v>10450</v>
      </c>
      <c r="Q103" s="232">
        <f>ROUNDUP(HLOOKUP(IF(CEILING(L103,0.5)&lt;1,1,CEILING(L103,0.5)),'배송비 조회'!A$32:AY$36,2,0),-2)</f>
        <v>9600</v>
      </c>
      <c r="R103" s="232">
        <v>0</v>
      </c>
      <c r="S103" s="231">
        <f t="shared" si="151"/>
        <v>6000</v>
      </c>
      <c r="T103" s="231">
        <f t="shared" si="125"/>
        <v>14000</v>
      </c>
      <c r="U103" s="233">
        <f t="shared" si="142"/>
        <v>26100</v>
      </c>
      <c r="V103" s="233">
        <f t="shared" si="7"/>
        <v>34100</v>
      </c>
      <c r="W103" s="234">
        <v>0</v>
      </c>
      <c r="X103" s="234">
        <f t="shared" si="8"/>
        <v>991.8</v>
      </c>
      <c r="Y103" s="234">
        <f t="shared" si="9"/>
        <v>522</v>
      </c>
      <c r="Z103" s="234">
        <f t="shared" si="10"/>
        <v>3410</v>
      </c>
      <c r="AA103" s="234">
        <f t="shared" si="11"/>
        <v>24586.2</v>
      </c>
      <c r="AB103" s="234">
        <f t="shared" si="12"/>
        <v>30690</v>
      </c>
      <c r="AC103" s="234">
        <f t="shared" si="13"/>
        <v>245.86200000000002</v>
      </c>
      <c r="AD103" s="101">
        <f t="shared" si="14"/>
        <v>4290.3380000000016</v>
      </c>
      <c r="AE103" s="101">
        <f t="shared" si="15"/>
        <v>10394.138000000001</v>
      </c>
      <c r="AF103" s="235">
        <f t="shared" ref="AF103:AG103" si="153">AD103/U103</f>
        <v>0.16438076628352496</v>
      </c>
      <c r="AG103" s="235">
        <f t="shared" si="153"/>
        <v>0.304813431085044</v>
      </c>
      <c r="AH103" s="212">
        <f t="shared" si="150"/>
        <v>1500</v>
      </c>
      <c r="AI103" s="213"/>
      <c r="AJ103" s="4"/>
      <c r="AK103" s="4"/>
      <c r="AL103" s="4"/>
      <c r="AM103" s="4"/>
      <c r="AN103" s="4"/>
      <c r="AO103" s="4"/>
      <c r="AP103" s="4"/>
      <c r="AQ103" s="4"/>
      <c r="AR103" s="4"/>
      <c r="AS103" s="4"/>
      <c r="AT103" s="4"/>
      <c r="AU103" s="4"/>
    </row>
    <row r="104" spans="1:47" ht="13.2">
      <c r="A104" s="302"/>
      <c r="B104" s="302"/>
      <c r="C104" s="302"/>
      <c r="D104" s="302"/>
      <c r="E104" s="302"/>
      <c r="F104" s="123" t="s">
        <v>329</v>
      </c>
      <c r="G104" s="302"/>
      <c r="H104" s="125"/>
      <c r="I104" s="125">
        <v>69</v>
      </c>
      <c r="J104" s="82">
        <f t="shared" si="147"/>
        <v>4.4092452499999997</v>
      </c>
      <c r="K104" s="82">
        <f t="shared" si="148"/>
        <v>70.547923999999995</v>
      </c>
      <c r="L104" s="82">
        <v>2</v>
      </c>
      <c r="M104" s="93">
        <v>0</v>
      </c>
      <c r="N104" s="93">
        <v>0</v>
      </c>
      <c r="O104" s="230">
        <f t="shared" si="2"/>
        <v>69</v>
      </c>
      <c r="P104" s="231">
        <f t="shared" si="3"/>
        <v>13110</v>
      </c>
      <c r="Q104" s="232">
        <f>ROUNDUP(HLOOKUP(IF(CEILING(L104,0.5)&lt;1,1,CEILING(L104,0.5)),'배송비 조회'!A$32:AY$36,2,0),-2)</f>
        <v>9600</v>
      </c>
      <c r="R104" s="232">
        <v>0</v>
      </c>
      <c r="S104" s="231">
        <f t="shared" si="151"/>
        <v>6800</v>
      </c>
      <c r="T104" s="231">
        <f t="shared" si="125"/>
        <v>15900</v>
      </c>
      <c r="U104" s="233">
        <f t="shared" si="142"/>
        <v>29500</v>
      </c>
      <c r="V104" s="233">
        <f t="shared" si="7"/>
        <v>38600</v>
      </c>
      <c r="W104" s="234">
        <v>0</v>
      </c>
      <c r="X104" s="234">
        <f t="shared" si="8"/>
        <v>1121</v>
      </c>
      <c r="Y104" s="234">
        <f t="shared" si="9"/>
        <v>590</v>
      </c>
      <c r="Z104" s="234">
        <f t="shared" si="10"/>
        <v>3860</v>
      </c>
      <c r="AA104" s="234">
        <f t="shared" si="11"/>
        <v>27789</v>
      </c>
      <c r="AB104" s="234">
        <f t="shared" si="12"/>
        <v>34740</v>
      </c>
      <c r="AC104" s="234">
        <f t="shared" si="13"/>
        <v>277.89</v>
      </c>
      <c r="AD104" s="101">
        <f t="shared" si="14"/>
        <v>4801.1100000000006</v>
      </c>
      <c r="AE104" s="101">
        <f t="shared" si="15"/>
        <v>11752.11</v>
      </c>
      <c r="AF104" s="235">
        <f t="shared" ref="AF104:AG104" si="154">AD104/U104</f>
        <v>0.16274949152542376</v>
      </c>
      <c r="AG104" s="235">
        <f t="shared" si="154"/>
        <v>0.30445880829015548</v>
      </c>
      <c r="AH104" s="212">
        <f t="shared" si="150"/>
        <v>4900</v>
      </c>
      <c r="AI104" s="213"/>
      <c r="AJ104" s="4"/>
      <c r="AK104" s="4"/>
      <c r="AL104" s="4"/>
      <c r="AM104" s="4"/>
      <c r="AN104" s="4"/>
      <c r="AO104" s="4"/>
      <c r="AP104" s="4"/>
      <c r="AQ104" s="4"/>
      <c r="AR104" s="4"/>
      <c r="AS104" s="4"/>
      <c r="AT104" s="4"/>
      <c r="AU104" s="4"/>
    </row>
    <row r="105" spans="1:47" ht="13.2">
      <c r="A105" s="302"/>
      <c r="B105" s="302"/>
      <c r="C105" s="302"/>
      <c r="D105" s="302"/>
      <c r="E105" s="302"/>
      <c r="F105" s="123" t="s">
        <v>332</v>
      </c>
      <c r="G105" s="302"/>
      <c r="H105" s="125"/>
      <c r="I105" s="125">
        <v>89</v>
      </c>
      <c r="J105" s="82">
        <f t="shared" si="147"/>
        <v>4.4092452499999997</v>
      </c>
      <c r="K105" s="82">
        <f t="shared" si="148"/>
        <v>70.547923999999995</v>
      </c>
      <c r="L105" s="82">
        <v>2</v>
      </c>
      <c r="M105" s="93">
        <v>0</v>
      </c>
      <c r="N105" s="93">
        <v>0</v>
      </c>
      <c r="O105" s="230">
        <f t="shared" si="2"/>
        <v>89</v>
      </c>
      <c r="P105" s="231">
        <f t="shared" si="3"/>
        <v>16910</v>
      </c>
      <c r="Q105" s="232">
        <f>ROUNDUP(HLOOKUP(IF(CEILING(L105,0.5)&lt;1,1,CEILING(L105,0.5)),'배송비 조회'!A$32:AY$36,2,0),-2)</f>
        <v>9600</v>
      </c>
      <c r="R105" s="232">
        <v>0</v>
      </c>
      <c r="S105" s="231">
        <f t="shared" si="151"/>
        <v>8000</v>
      </c>
      <c r="T105" s="231">
        <f t="shared" si="125"/>
        <v>18600</v>
      </c>
      <c r="U105" s="233">
        <f t="shared" si="142"/>
        <v>34500</v>
      </c>
      <c r="V105" s="233">
        <f t="shared" si="7"/>
        <v>45100</v>
      </c>
      <c r="W105" s="234">
        <v>0</v>
      </c>
      <c r="X105" s="234">
        <f t="shared" si="8"/>
        <v>1311</v>
      </c>
      <c r="Y105" s="234">
        <f t="shared" si="9"/>
        <v>690</v>
      </c>
      <c r="Z105" s="234">
        <f t="shared" si="10"/>
        <v>4510</v>
      </c>
      <c r="AA105" s="234">
        <f t="shared" si="11"/>
        <v>32499</v>
      </c>
      <c r="AB105" s="234">
        <f t="shared" si="12"/>
        <v>40590</v>
      </c>
      <c r="AC105" s="234">
        <f t="shared" si="13"/>
        <v>324.99</v>
      </c>
      <c r="AD105" s="101">
        <f t="shared" si="14"/>
        <v>5664.01</v>
      </c>
      <c r="AE105" s="101">
        <f t="shared" si="15"/>
        <v>13755.01</v>
      </c>
      <c r="AF105" s="235">
        <f t="shared" ref="AF105:AG105" si="155">AD105/U105</f>
        <v>0.16417420289855073</v>
      </c>
      <c r="AG105" s="235">
        <f t="shared" si="155"/>
        <v>0.30498913525498894</v>
      </c>
      <c r="AH105" s="212">
        <f t="shared" si="150"/>
        <v>9900</v>
      </c>
      <c r="AI105" s="213"/>
      <c r="AJ105" s="4"/>
      <c r="AK105" s="4"/>
      <c r="AL105" s="4"/>
      <c r="AM105" s="4"/>
      <c r="AN105" s="4"/>
      <c r="AO105" s="4"/>
      <c r="AP105" s="4"/>
      <c r="AQ105" s="4"/>
      <c r="AR105" s="4"/>
      <c r="AS105" s="4"/>
      <c r="AT105" s="4"/>
      <c r="AU105" s="4"/>
    </row>
    <row r="106" spans="1:47" ht="13.2">
      <c r="A106" s="302"/>
      <c r="B106" s="302"/>
      <c r="C106" s="302"/>
      <c r="D106" s="302"/>
      <c r="E106" s="302"/>
      <c r="F106" s="123" t="s">
        <v>333</v>
      </c>
      <c r="G106" s="302"/>
      <c r="H106" s="125"/>
      <c r="I106" s="125">
        <v>45</v>
      </c>
      <c r="J106" s="82">
        <f t="shared" si="147"/>
        <v>4.4092452499999997</v>
      </c>
      <c r="K106" s="82">
        <f t="shared" si="148"/>
        <v>70.547923999999995</v>
      </c>
      <c r="L106" s="82">
        <v>2</v>
      </c>
      <c r="M106" s="93">
        <v>0</v>
      </c>
      <c r="N106" s="93">
        <v>0</v>
      </c>
      <c r="O106" s="230">
        <f t="shared" si="2"/>
        <v>45</v>
      </c>
      <c r="P106" s="231">
        <f t="shared" si="3"/>
        <v>8550</v>
      </c>
      <c r="Q106" s="232">
        <f>ROUNDUP(HLOOKUP(IF(CEILING(L106,0.5)&lt;1,1,CEILING(L106,0.5)),'배송비 조회'!A$32:AY$36,2,0),-2)</f>
        <v>9600</v>
      </c>
      <c r="R106" s="232">
        <v>0</v>
      </c>
      <c r="S106" s="231">
        <f t="shared" si="151"/>
        <v>5400</v>
      </c>
      <c r="T106" s="231">
        <f t="shared" si="125"/>
        <v>12700</v>
      </c>
      <c r="U106" s="233">
        <f t="shared" si="142"/>
        <v>23600</v>
      </c>
      <c r="V106" s="233">
        <f t="shared" si="7"/>
        <v>30900</v>
      </c>
      <c r="W106" s="234">
        <v>0</v>
      </c>
      <c r="X106" s="234">
        <f t="shared" si="8"/>
        <v>896.8</v>
      </c>
      <c r="Y106" s="234">
        <f t="shared" si="9"/>
        <v>472</v>
      </c>
      <c r="Z106" s="234">
        <f t="shared" si="10"/>
        <v>3090</v>
      </c>
      <c r="AA106" s="234">
        <f t="shared" si="11"/>
        <v>22231.200000000001</v>
      </c>
      <c r="AB106" s="234">
        <f t="shared" si="12"/>
        <v>27810</v>
      </c>
      <c r="AC106" s="234">
        <f t="shared" si="13"/>
        <v>222.31200000000001</v>
      </c>
      <c r="AD106" s="101">
        <f t="shared" si="14"/>
        <v>3858.8880000000008</v>
      </c>
      <c r="AE106" s="101">
        <f t="shared" si="15"/>
        <v>9437.6880000000001</v>
      </c>
      <c r="AF106" s="235">
        <f t="shared" ref="AF106:AG106" si="156">AD106/U106</f>
        <v>0.16351220338983055</v>
      </c>
      <c r="AG106" s="235">
        <f t="shared" si="156"/>
        <v>0.30542679611650486</v>
      </c>
      <c r="AH106" s="212">
        <f t="shared" si="150"/>
        <v>-1000</v>
      </c>
      <c r="AI106" s="213"/>
      <c r="AJ106" s="4"/>
      <c r="AK106" s="4"/>
      <c r="AL106" s="4"/>
      <c r="AM106" s="4"/>
      <c r="AN106" s="4"/>
      <c r="AO106" s="4"/>
      <c r="AP106" s="4"/>
      <c r="AQ106" s="4"/>
      <c r="AR106" s="4"/>
      <c r="AS106" s="4"/>
      <c r="AT106" s="4"/>
      <c r="AU106" s="4"/>
    </row>
    <row r="107" spans="1:47" ht="13.2">
      <c r="A107" s="302"/>
      <c r="B107" s="302"/>
      <c r="C107" s="302"/>
      <c r="D107" s="302"/>
      <c r="E107" s="302"/>
      <c r="F107" s="123" t="s">
        <v>334</v>
      </c>
      <c r="G107" s="302"/>
      <c r="H107" s="125"/>
      <c r="I107" s="125">
        <v>55</v>
      </c>
      <c r="J107" s="82">
        <f t="shared" si="147"/>
        <v>4.4092452499999997</v>
      </c>
      <c r="K107" s="82">
        <f t="shared" si="148"/>
        <v>70.547923999999995</v>
      </c>
      <c r="L107" s="82">
        <v>2</v>
      </c>
      <c r="M107" s="93">
        <v>0</v>
      </c>
      <c r="N107" s="93">
        <v>0</v>
      </c>
      <c r="O107" s="230">
        <f t="shared" si="2"/>
        <v>55</v>
      </c>
      <c r="P107" s="231">
        <f t="shared" si="3"/>
        <v>10450</v>
      </c>
      <c r="Q107" s="232">
        <f>ROUNDUP(HLOOKUP(IF(CEILING(L107,0.5)&lt;1,1,CEILING(L107,0.5)),'배송비 조회'!A$32:AY$36,2,0),-2)</f>
        <v>9600</v>
      </c>
      <c r="R107" s="232">
        <v>0</v>
      </c>
      <c r="S107" s="231">
        <f t="shared" si="151"/>
        <v>6000</v>
      </c>
      <c r="T107" s="231">
        <f t="shared" si="125"/>
        <v>14000</v>
      </c>
      <c r="U107" s="233">
        <f t="shared" si="142"/>
        <v>26100</v>
      </c>
      <c r="V107" s="233">
        <f t="shared" si="7"/>
        <v>34100</v>
      </c>
      <c r="W107" s="234">
        <v>0</v>
      </c>
      <c r="X107" s="234">
        <f t="shared" si="8"/>
        <v>991.8</v>
      </c>
      <c r="Y107" s="234">
        <f t="shared" si="9"/>
        <v>522</v>
      </c>
      <c r="Z107" s="234">
        <f t="shared" si="10"/>
        <v>3410</v>
      </c>
      <c r="AA107" s="234">
        <f t="shared" si="11"/>
        <v>24586.2</v>
      </c>
      <c r="AB107" s="234">
        <f t="shared" si="12"/>
        <v>30690</v>
      </c>
      <c r="AC107" s="234">
        <f t="shared" si="13"/>
        <v>245.86200000000002</v>
      </c>
      <c r="AD107" s="101">
        <f t="shared" si="14"/>
        <v>4290.3380000000016</v>
      </c>
      <c r="AE107" s="101">
        <f t="shared" si="15"/>
        <v>10394.138000000001</v>
      </c>
      <c r="AF107" s="235">
        <f t="shared" ref="AF107:AG107" si="157">AD107/U107</f>
        <v>0.16438076628352496</v>
      </c>
      <c r="AG107" s="235">
        <f t="shared" si="157"/>
        <v>0.304813431085044</v>
      </c>
      <c r="AH107" s="212">
        <f t="shared" si="150"/>
        <v>1500</v>
      </c>
      <c r="AI107" s="213"/>
      <c r="AJ107" s="4"/>
      <c r="AK107" s="4"/>
      <c r="AL107" s="4"/>
      <c r="AM107" s="4"/>
      <c r="AN107" s="4"/>
      <c r="AO107" s="4"/>
      <c r="AP107" s="4"/>
      <c r="AQ107" s="4"/>
      <c r="AR107" s="4"/>
      <c r="AS107" s="4"/>
      <c r="AT107" s="4"/>
      <c r="AU107" s="4"/>
    </row>
    <row r="108" spans="1:47" ht="13.2">
      <c r="A108" s="302"/>
      <c r="B108" s="302"/>
      <c r="C108" s="302"/>
      <c r="D108" s="302"/>
      <c r="E108" s="302"/>
      <c r="F108" s="123" t="s">
        <v>335</v>
      </c>
      <c r="G108" s="302"/>
      <c r="H108" s="125"/>
      <c r="I108" s="125">
        <v>65</v>
      </c>
      <c r="J108" s="82">
        <f t="shared" si="147"/>
        <v>4.4092452499999997</v>
      </c>
      <c r="K108" s="82">
        <f t="shared" si="148"/>
        <v>70.547923999999995</v>
      </c>
      <c r="L108" s="82">
        <v>2</v>
      </c>
      <c r="M108" s="93">
        <v>0</v>
      </c>
      <c r="N108" s="93">
        <v>0</v>
      </c>
      <c r="O108" s="230">
        <f t="shared" si="2"/>
        <v>65</v>
      </c>
      <c r="P108" s="231">
        <f t="shared" si="3"/>
        <v>12350</v>
      </c>
      <c r="Q108" s="232">
        <f>ROUNDUP(HLOOKUP(IF(CEILING(L108,0.5)&lt;1,1,CEILING(L108,0.5)),'배송비 조회'!A$32:AY$36,2,0),-2)</f>
        <v>9600</v>
      </c>
      <c r="R108" s="232">
        <v>0</v>
      </c>
      <c r="S108" s="231">
        <f t="shared" si="151"/>
        <v>6600</v>
      </c>
      <c r="T108" s="231">
        <f t="shared" si="125"/>
        <v>15400</v>
      </c>
      <c r="U108" s="233">
        <f t="shared" si="142"/>
        <v>28600</v>
      </c>
      <c r="V108" s="233">
        <f t="shared" si="7"/>
        <v>37400</v>
      </c>
      <c r="W108" s="234">
        <v>0</v>
      </c>
      <c r="X108" s="234">
        <f t="shared" si="8"/>
        <v>1086.8</v>
      </c>
      <c r="Y108" s="234">
        <f t="shared" si="9"/>
        <v>572</v>
      </c>
      <c r="Z108" s="234">
        <f t="shared" si="10"/>
        <v>3740</v>
      </c>
      <c r="AA108" s="234">
        <f t="shared" si="11"/>
        <v>26941.200000000001</v>
      </c>
      <c r="AB108" s="234">
        <f t="shared" si="12"/>
        <v>33660</v>
      </c>
      <c r="AC108" s="234">
        <f t="shared" si="13"/>
        <v>269.41200000000003</v>
      </c>
      <c r="AD108" s="101">
        <f t="shared" si="14"/>
        <v>4721.7880000000005</v>
      </c>
      <c r="AE108" s="101">
        <f t="shared" si="15"/>
        <v>11440.588</v>
      </c>
      <c r="AF108" s="235">
        <f t="shared" ref="AF108:AG108" si="158">AD108/U108</f>
        <v>0.16509748251748255</v>
      </c>
      <c r="AG108" s="235">
        <f t="shared" si="158"/>
        <v>0.30589807486631015</v>
      </c>
      <c r="AH108" s="212">
        <f t="shared" si="150"/>
        <v>4000</v>
      </c>
      <c r="AI108" s="213"/>
      <c r="AJ108" s="4"/>
      <c r="AK108" s="4"/>
      <c r="AL108" s="4"/>
      <c r="AM108" s="4"/>
      <c r="AN108" s="4"/>
      <c r="AO108" s="4"/>
      <c r="AP108" s="4"/>
      <c r="AQ108" s="4"/>
      <c r="AR108" s="4"/>
      <c r="AS108" s="4"/>
      <c r="AT108" s="4"/>
      <c r="AU108" s="4"/>
    </row>
    <row r="109" spans="1:47" ht="13.2">
      <c r="A109" s="302"/>
      <c r="B109" s="302"/>
      <c r="C109" s="302"/>
      <c r="D109" s="302"/>
      <c r="E109" s="302"/>
      <c r="F109" s="123" t="s">
        <v>338</v>
      </c>
      <c r="G109" s="302"/>
      <c r="H109" s="125"/>
      <c r="I109" s="125">
        <v>39</v>
      </c>
      <c r="J109" s="82">
        <f t="shared" si="147"/>
        <v>4.4092452499999997</v>
      </c>
      <c r="K109" s="82">
        <f t="shared" si="148"/>
        <v>70.547923999999995</v>
      </c>
      <c r="L109" s="82">
        <v>2</v>
      </c>
      <c r="M109" s="93">
        <v>0</v>
      </c>
      <c r="N109" s="93">
        <v>0</v>
      </c>
      <c r="O109" s="230">
        <f t="shared" si="2"/>
        <v>39</v>
      </c>
      <c r="P109" s="231">
        <f t="shared" si="3"/>
        <v>7410</v>
      </c>
      <c r="Q109" s="232">
        <f>ROUNDUP(HLOOKUP(IF(CEILING(L109,0.5)&lt;1,1,CEILING(L109,0.5)),'배송비 조회'!A$32:AY$36,2,0),-2)</f>
        <v>9600</v>
      </c>
      <c r="R109" s="232">
        <v>0</v>
      </c>
      <c r="S109" s="231">
        <f t="shared" si="151"/>
        <v>5100</v>
      </c>
      <c r="T109" s="231">
        <f t="shared" si="125"/>
        <v>11900</v>
      </c>
      <c r="U109" s="233">
        <f t="shared" si="142"/>
        <v>22100</v>
      </c>
      <c r="V109" s="233">
        <f t="shared" si="7"/>
        <v>28900</v>
      </c>
      <c r="W109" s="234">
        <v>0</v>
      </c>
      <c r="X109" s="234">
        <f t="shared" si="8"/>
        <v>839.8</v>
      </c>
      <c r="Y109" s="234">
        <f t="shared" si="9"/>
        <v>442</v>
      </c>
      <c r="Z109" s="234">
        <f t="shared" si="10"/>
        <v>2890</v>
      </c>
      <c r="AA109" s="234">
        <f t="shared" si="11"/>
        <v>20818.2</v>
      </c>
      <c r="AB109" s="234">
        <f t="shared" si="12"/>
        <v>26010</v>
      </c>
      <c r="AC109" s="234">
        <f t="shared" si="13"/>
        <v>208.18200000000002</v>
      </c>
      <c r="AD109" s="101">
        <f t="shared" si="14"/>
        <v>3600.018</v>
      </c>
      <c r="AE109" s="101">
        <f t="shared" si="15"/>
        <v>8791.8179999999993</v>
      </c>
      <c r="AF109" s="235">
        <f t="shared" ref="AF109:AG109" si="159">AD109/U109</f>
        <v>0.16289674208144797</v>
      </c>
      <c r="AG109" s="235">
        <f t="shared" si="159"/>
        <v>0.30421515570934254</v>
      </c>
      <c r="AH109" s="212">
        <f t="shared" si="150"/>
        <v>-2500</v>
      </c>
      <c r="AI109" s="213"/>
      <c r="AJ109" s="4"/>
      <c r="AK109" s="4"/>
      <c r="AL109" s="4"/>
      <c r="AM109" s="4"/>
      <c r="AN109" s="4"/>
      <c r="AO109" s="4"/>
      <c r="AP109" s="4"/>
      <c r="AQ109" s="4"/>
      <c r="AR109" s="4"/>
      <c r="AS109" s="4"/>
      <c r="AT109" s="4"/>
      <c r="AU109" s="4"/>
    </row>
    <row r="110" spans="1:47" ht="13.2">
      <c r="A110" s="302"/>
      <c r="B110" s="302"/>
      <c r="C110" s="302"/>
      <c r="D110" s="302"/>
      <c r="E110" s="302"/>
      <c r="F110" s="123" t="s">
        <v>339</v>
      </c>
      <c r="G110" s="302"/>
      <c r="H110" s="125"/>
      <c r="I110" s="125">
        <v>59</v>
      </c>
      <c r="J110" s="82">
        <f t="shared" si="147"/>
        <v>4.4092452499999997</v>
      </c>
      <c r="K110" s="82">
        <f t="shared" si="148"/>
        <v>70.547923999999995</v>
      </c>
      <c r="L110" s="82">
        <v>2</v>
      </c>
      <c r="M110" s="93">
        <v>0</v>
      </c>
      <c r="N110" s="93">
        <v>0</v>
      </c>
      <c r="O110" s="230">
        <f t="shared" si="2"/>
        <v>59</v>
      </c>
      <c r="P110" s="231">
        <f t="shared" si="3"/>
        <v>11210</v>
      </c>
      <c r="Q110" s="232">
        <f>ROUNDUP(HLOOKUP(IF(CEILING(L110,0.5)&lt;1,1,CEILING(L110,0.5)),'배송비 조회'!A$32:AY$36,2,0),-2)</f>
        <v>9600</v>
      </c>
      <c r="R110" s="232">
        <v>0</v>
      </c>
      <c r="S110" s="231">
        <f t="shared" si="151"/>
        <v>6200</v>
      </c>
      <c r="T110" s="231">
        <f t="shared" si="125"/>
        <v>14600</v>
      </c>
      <c r="U110" s="233">
        <f t="shared" si="142"/>
        <v>27000</v>
      </c>
      <c r="V110" s="233">
        <f t="shared" si="7"/>
        <v>35400</v>
      </c>
      <c r="W110" s="234">
        <v>0</v>
      </c>
      <c r="X110" s="234">
        <f t="shared" si="8"/>
        <v>1026</v>
      </c>
      <c r="Y110" s="234">
        <f t="shared" si="9"/>
        <v>540</v>
      </c>
      <c r="Z110" s="234">
        <f t="shared" si="10"/>
        <v>3540</v>
      </c>
      <c r="AA110" s="234">
        <f t="shared" si="11"/>
        <v>25434</v>
      </c>
      <c r="AB110" s="234">
        <f t="shared" si="12"/>
        <v>31860</v>
      </c>
      <c r="AC110" s="234">
        <f t="shared" si="13"/>
        <v>254.34</v>
      </c>
      <c r="AD110" s="101">
        <f t="shared" si="14"/>
        <v>4369.66</v>
      </c>
      <c r="AE110" s="101">
        <f t="shared" si="15"/>
        <v>10795.66</v>
      </c>
      <c r="AF110" s="235">
        <f t="shared" ref="AF110:AG110" si="160">AD110/U110</f>
        <v>0.16183925925925927</v>
      </c>
      <c r="AG110" s="235">
        <f t="shared" si="160"/>
        <v>0.30496214689265538</v>
      </c>
      <c r="AH110" s="212">
        <f t="shared" si="150"/>
        <v>2400</v>
      </c>
      <c r="AI110" s="213"/>
      <c r="AJ110" s="4"/>
      <c r="AK110" s="4"/>
      <c r="AL110" s="4"/>
      <c r="AM110" s="4"/>
      <c r="AN110" s="4"/>
      <c r="AO110" s="4"/>
      <c r="AP110" s="4"/>
      <c r="AQ110" s="4"/>
      <c r="AR110" s="4"/>
      <c r="AS110" s="4"/>
      <c r="AT110" s="4"/>
      <c r="AU110" s="4"/>
    </row>
    <row r="111" spans="1:47" ht="13.2">
      <c r="A111" s="302"/>
      <c r="B111" s="302"/>
      <c r="C111" s="302"/>
      <c r="D111" s="302"/>
      <c r="E111" s="302"/>
      <c r="F111" s="123" t="s">
        <v>340</v>
      </c>
      <c r="G111" s="302"/>
      <c r="H111" s="125"/>
      <c r="I111" s="125">
        <v>79</v>
      </c>
      <c r="J111" s="82">
        <f t="shared" si="147"/>
        <v>4.4092452499999997</v>
      </c>
      <c r="K111" s="82">
        <f t="shared" si="148"/>
        <v>70.547923999999995</v>
      </c>
      <c r="L111" s="82">
        <v>2</v>
      </c>
      <c r="M111" s="93">
        <v>0</v>
      </c>
      <c r="N111" s="93">
        <v>0</v>
      </c>
      <c r="O111" s="230">
        <f t="shared" si="2"/>
        <v>79</v>
      </c>
      <c r="P111" s="231">
        <f t="shared" si="3"/>
        <v>15010</v>
      </c>
      <c r="Q111" s="232">
        <f>ROUNDUP(HLOOKUP(IF(CEILING(L111,0.5)&lt;1,1,CEILING(L111,0.5)),'배송비 조회'!A$32:AY$36,2,0),-2)</f>
        <v>9600</v>
      </c>
      <c r="R111" s="232">
        <v>0</v>
      </c>
      <c r="S111" s="231">
        <f t="shared" si="151"/>
        <v>7400</v>
      </c>
      <c r="T111" s="231">
        <f t="shared" si="125"/>
        <v>17200</v>
      </c>
      <c r="U111" s="233">
        <f t="shared" si="142"/>
        <v>32000</v>
      </c>
      <c r="V111" s="233">
        <f t="shared" si="7"/>
        <v>41800</v>
      </c>
      <c r="W111" s="234">
        <v>0</v>
      </c>
      <c r="X111" s="234">
        <f t="shared" si="8"/>
        <v>1216</v>
      </c>
      <c r="Y111" s="234">
        <f t="shared" si="9"/>
        <v>640</v>
      </c>
      <c r="Z111" s="234">
        <f t="shared" si="10"/>
        <v>4180</v>
      </c>
      <c r="AA111" s="234">
        <f t="shared" si="11"/>
        <v>30144</v>
      </c>
      <c r="AB111" s="234">
        <f t="shared" si="12"/>
        <v>37620</v>
      </c>
      <c r="AC111" s="234">
        <f t="shared" si="13"/>
        <v>301.44</v>
      </c>
      <c r="AD111" s="101">
        <f t="shared" si="14"/>
        <v>5232.5599999999995</v>
      </c>
      <c r="AE111" s="101">
        <f t="shared" si="15"/>
        <v>12708.56</v>
      </c>
      <c r="AF111" s="235">
        <f t="shared" ref="AF111:AG111" si="161">AD111/U111</f>
        <v>0.16351749999999998</v>
      </c>
      <c r="AG111" s="235">
        <f t="shared" si="161"/>
        <v>0.30403253588516743</v>
      </c>
      <c r="AH111" s="212">
        <f t="shared" si="150"/>
        <v>7400</v>
      </c>
      <c r="AI111" s="213"/>
      <c r="AJ111" s="4"/>
      <c r="AK111" s="4"/>
      <c r="AL111" s="4"/>
      <c r="AM111" s="4"/>
      <c r="AN111" s="4"/>
      <c r="AO111" s="4"/>
      <c r="AP111" s="4"/>
      <c r="AQ111" s="4"/>
      <c r="AR111" s="4"/>
      <c r="AS111" s="4"/>
      <c r="AT111" s="4"/>
      <c r="AU111" s="4"/>
    </row>
    <row r="112" spans="1:47" ht="13.2">
      <c r="A112" s="302"/>
      <c r="B112" s="302"/>
      <c r="C112" s="302"/>
      <c r="D112" s="302"/>
      <c r="E112" s="302"/>
      <c r="F112" s="123" t="s">
        <v>345</v>
      </c>
      <c r="G112" s="302"/>
      <c r="H112" s="125"/>
      <c r="I112" s="125">
        <v>99</v>
      </c>
      <c r="J112" s="82">
        <f t="shared" si="147"/>
        <v>4.4092452499999997</v>
      </c>
      <c r="K112" s="82">
        <f t="shared" si="148"/>
        <v>70.547923999999995</v>
      </c>
      <c r="L112" s="82">
        <v>2</v>
      </c>
      <c r="M112" s="93">
        <v>0</v>
      </c>
      <c r="N112" s="93">
        <v>0</v>
      </c>
      <c r="O112" s="230">
        <f t="shared" si="2"/>
        <v>99</v>
      </c>
      <c r="P112" s="231">
        <f t="shared" si="3"/>
        <v>18810</v>
      </c>
      <c r="Q112" s="232">
        <f>ROUNDUP(HLOOKUP(IF(CEILING(L112,0.5)&lt;1,1,CEILING(L112,0.5)),'배송비 조회'!A$32:AY$36,2,0),-2)</f>
        <v>9600</v>
      </c>
      <c r="R112" s="232">
        <v>0</v>
      </c>
      <c r="S112" s="231">
        <f t="shared" si="151"/>
        <v>8500</v>
      </c>
      <c r="T112" s="231">
        <f t="shared" si="125"/>
        <v>19900</v>
      </c>
      <c r="U112" s="233">
        <f t="shared" si="142"/>
        <v>36900</v>
      </c>
      <c r="V112" s="233">
        <f t="shared" si="7"/>
        <v>48300</v>
      </c>
      <c r="W112" s="234">
        <v>0</v>
      </c>
      <c r="X112" s="234">
        <f t="shared" si="8"/>
        <v>1402.2</v>
      </c>
      <c r="Y112" s="234">
        <f t="shared" si="9"/>
        <v>738</v>
      </c>
      <c r="Z112" s="234">
        <f t="shared" si="10"/>
        <v>4830</v>
      </c>
      <c r="AA112" s="234">
        <f t="shared" si="11"/>
        <v>34759.800000000003</v>
      </c>
      <c r="AB112" s="234">
        <f t="shared" si="12"/>
        <v>43470</v>
      </c>
      <c r="AC112" s="234">
        <f t="shared" si="13"/>
        <v>347.59800000000001</v>
      </c>
      <c r="AD112" s="101">
        <f t="shared" si="14"/>
        <v>6002.202000000003</v>
      </c>
      <c r="AE112" s="101">
        <f t="shared" si="15"/>
        <v>14712.402</v>
      </c>
      <c r="AF112" s="235">
        <f t="shared" ref="AF112:AG112" si="162">AD112/U112</f>
        <v>0.1626613008130082</v>
      </c>
      <c r="AG112" s="235">
        <f t="shared" si="162"/>
        <v>0.30460459627329195</v>
      </c>
      <c r="AH112" s="212">
        <f t="shared" si="150"/>
        <v>12300</v>
      </c>
      <c r="AI112" s="213"/>
      <c r="AJ112" s="4"/>
      <c r="AK112" s="4"/>
      <c r="AL112" s="4"/>
      <c r="AM112" s="4"/>
      <c r="AN112" s="4"/>
      <c r="AO112" s="4"/>
      <c r="AP112" s="4"/>
      <c r="AQ112" s="4"/>
      <c r="AR112" s="4"/>
      <c r="AS112" s="4"/>
      <c r="AT112" s="4"/>
      <c r="AU112" s="4"/>
    </row>
    <row r="113" spans="1:47" ht="13.2">
      <c r="A113" s="302"/>
      <c r="B113" s="302"/>
      <c r="C113" s="302"/>
      <c r="D113" s="302"/>
      <c r="E113" s="302"/>
      <c r="F113" s="123" t="s">
        <v>346</v>
      </c>
      <c r="G113" s="302"/>
      <c r="H113" s="125"/>
      <c r="I113" s="125">
        <v>49</v>
      </c>
      <c r="J113" s="82">
        <f t="shared" si="147"/>
        <v>4.4092452499999997</v>
      </c>
      <c r="K113" s="82">
        <f t="shared" si="148"/>
        <v>70.547923999999995</v>
      </c>
      <c r="L113" s="82">
        <v>2</v>
      </c>
      <c r="M113" s="93">
        <v>0</v>
      </c>
      <c r="N113" s="93">
        <v>0</v>
      </c>
      <c r="O113" s="230">
        <f t="shared" si="2"/>
        <v>49</v>
      </c>
      <c r="P113" s="231">
        <f t="shared" si="3"/>
        <v>9310</v>
      </c>
      <c r="Q113" s="232">
        <f>ROUNDUP(HLOOKUP(IF(CEILING(L113,0.5)&lt;1,1,CEILING(L113,0.5)),'배송비 조회'!A$32:AY$36,2,0),-2)</f>
        <v>9600</v>
      </c>
      <c r="R113" s="232">
        <v>0</v>
      </c>
      <c r="S113" s="231">
        <f t="shared" si="151"/>
        <v>5700</v>
      </c>
      <c r="T113" s="231">
        <f t="shared" si="125"/>
        <v>13200</v>
      </c>
      <c r="U113" s="233">
        <f t="shared" si="142"/>
        <v>24600</v>
      </c>
      <c r="V113" s="233">
        <f t="shared" si="7"/>
        <v>32100</v>
      </c>
      <c r="W113" s="234">
        <v>0</v>
      </c>
      <c r="X113" s="234">
        <f t="shared" si="8"/>
        <v>934.8</v>
      </c>
      <c r="Y113" s="234">
        <f t="shared" si="9"/>
        <v>492</v>
      </c>
      <c r="Z113" s="234">
        <f t="shared" si="10"/>
        <v>3210</v>
      </c>
      <c r="AA113" s="234">
        <f t="shared" si="11"/>
        <v>23173.200000000001</v>
      </c>
      <c r="AB113" s="234">
        <f t="shared" si="12"/>
        <v>28890</v>
      </c>
      <c r="AC113" s="234">
        <f t="shared" si="13"/>
        <v>231.732</v>
      </c>
      <c r="AD113" s="101">
        <f t="shared" si="14"/>
        <v>4031.4680000000008</v>
      </c>
      <c r="AE113" s="101">
        <f t="shared" si="15"/>
        <v>9748.268</v>
      </c>
      <c r="AF113" s="235">
        <f t="shared" ref="AF113:AG113" si="163">AD113/U113</f>
        <v>0.16388081300813012</v>
      </c>
      <c r="AG113" s="235">
        <f t="shared" si="163"/>
        <v>0.30368436137071653</v>
      </c>
      <c r="AH113" s="212">
        <f t="shared" si="150"/>
        <v>0</v>
      </c>
      <c r="AI113" s="213"/>
      <c r="AJ113" s="4"/>
      <c r="AK113" s="4"/>
      <c r="AL113" s="4"/>
      <c r="AM113" s="4"/>
      <c r="AN113" s="4"/>
      <c r="AO113" s="4"/>
      <c r="AP113" s="4"/>
      <c r="AQ113" s="4"/>
      <c r="AR113" s="4"/>
      <c r="AS113" s="4"/>
      <c r="AT113" s="4"/>
      <c r="AU113" s="4"/>
    </row>
    <row r="114" spans="1:47" ht="13.2">
      <c r="A114" s="302"/>
      <c r="B114" s="302"/>
      <c r="C114" s="302"/>
      <c r="D114" s="302"/>
      <c r="E114" s="302"/>
      <c r="F114" s="123" t="s">
        <v>349</v>
      </c>
      <c r="G114" s="302"/>
      <c r="H114" s="125"/>
      <c r="I114" s="125">
        <v>59</v>
      </c>
      <c r="J114" s="82">
        <f t="shared" si="147"/>
        <v>4.4092452499999997</v>
      </c>
      <c r="K114" s="82">
        <f t="shared" si="148"/>
        <v>70.547923999999995</v>
      </c>
      <c r="L114" s="82">
        <v>2</v>
      </c>
      <c r="M114" s="93">
        <v>0</v>
      </c>
      <c r="N114" s="93">
        <v>0</v>
      </c>
      <c r="O114" s="230">
        <f t="shared" si="2"/>
        <v>59</v>
      </c>
      <c r="P114" s="231">
        <f t="shared" si="3"/>
        <v>11210</v>
      </c>
      <c r="Q114" s="232">
        <f>ROUNDUP(HLOOKUP(IF(CEILING(L114,0.5)&lt;1,1,CEILING(L114,0.5)),'배송비 조회'!A$32:AY$36,2,0),-2)</f>
        <v>9600</v>
      </c>
      <c r="R114" s="232">
        <v>0</v>
      </c>
      <c r="S114" s="231">
        <f t="shared" si="151"/>
        <v>6200</v>
      </c>
      <c r="T114" s="231">
        <f t="shared" si="125"/>
        <v>14600</v>
      </c>
      <c r="U114" s="233">
        <f t="shared" si="142"/>
        <v>27000</v>
      </c>
      <c r="V114" s="233">
        <f t="shared" si="7"/>
        <v>35400</v>
      </c>
      <c r="W114" s="234">
        <v>0</v>
      </c>
      <c r="X114" s="234">
        <f t="shared" si="8"/>
        <v>1026</v>
      </c>
      <c r="Y114" s="234">
        <f t="shared" si="9"/>
        <v>540</v>
      </c>
      <c r="Z114" s="234">
        <f t="shared" si="10"/>
        <v>3540</v>
      </c>
      <c r="AA114" s="234">
        <f t="shared" si="11"/>
        <v>25434</v>
      </c>
      <c r="AB114" s="234">
        <f t="shared" si="12"/>
        <v>31860</v>
      </c>
      <c r="AC114" s="234">
        <f t="shared" si="13"/>
        <v>254.34</v>
      </c>
      <c r="AD114" s="101">
        <f t="shared" si="14"/>
        <v>4369.66</v>
      </c>
      <c r="AE114" s="101">
        <f t="shared" si="15"/>
        <v>10795.66</v>
      </c>
      <c r="AF114" s="235">
        <f t="shared" ref="AF114:AG114" si="164">AD114/U114</f>
        <v>0.16183925925925927</v>
      </c>
      <c r="AG114" s="235">
        <f t="shared" si="164"/>
        <v>0.30496214689265538</v>
      </c>
      <c r="AH114" s="212">
        <f t="shared" si="150"/>
        <v>2400</v>
      </c>
      <c r="AI114" s="213"/>
      <c r="AJ114" s="4"/>
      <c r="AK114" s="4"/>
      <c r="AL114" s="4"/>
      <c r="AM114" s="4"/>
      <c r="AN114" s="4"/>
      <c r="AO114" s="4"/>
      <c r="AP114" s="4"/>
      <c r="AQ114" s="4"/>
      <c r="AR114" s="4"/>
      <c r="AS114" s="4"/>
      <c r="AT114" s="4"/>
      <c r="AU114" s="4"/>
    </row>
    <row r="115" spans="1:47" ht="13.2">
      <c r="A115" s="302"/>
      <c r="B115" s="302"/>
      <c r="C115" s="302"/>
      <c r="D115" s="302"/>
      <c r="E115" s="302"/>
      <c r="F115" s="123" t="s">
        <v>350</v>
      </c>
      <c r="G115" s="302"/>
      <c r="H115" s="125"/>
      <c r="I115" s="125">
        <v>69</v>
      </c>
      <c r="J115" s="82">
        <f t="shared" si="147"/>
        <v>4.4092452499999997</v>
      </c>
      <c r="K115" s="82">
        <f t="shared" si="148"/>
        <v>70.547923999999995</v>
      </c>
      <c r="L115" s="82">
        <v>2</v>
      </c>
      <c r="M115" s="93">
        <v>0</v>
      </c>
      <c r="N115" s="93">
        <v>0</v>
      </c>
      <c r="O115" s="230">
        <f t="shared" si="2"/>
        <v>69</v>
      </c>
      <c r="P115" s="231">
        <f t="shared" si="3"/>
        <v>13110</v>
      </c>
      <c r="Q115" s="232">
        <f>ROUNDUP(HLOOKUP(IF(CEILING(L115,0.5)&lt;1,1,CEILING(L115,0.5)),'배송비 조회'!A$32:AY$36,2,0),-2)</f>
        <v>9600</v>
      </c>
      <c r="R115" s="232">
        <v>0</v>
      </c>
      <c r="S115" s="231">
        <f t="shared" si="151"/>
        <v>6800</v>
      </c>
      <c r="T115" s="231">
        <f t="shared" si="125"/>
        <v>15900</v>
      </c>
      <c r="U115" s="233">
        <f t="shared" si="142"/>
        <v>29500</v>
      </c>
      <c r="V115" s="233">
        <f t="shared" si="7"/>
        <v>38600</v>
      </c>
      <c r="W115" s="234">
        <v>0</v>
      </c>
      <c r="X115" s="234">
        <f t="shared" si="8"/>
        <v>1121</v>
      </c>
      <c r="Y115" s="234">
        <f t="shared" si="9"/>
        <v>590</v>
      </c>
      <c r="Z115" s="234">
        <f t="shared" si="10"/>
        <v>3860</v>
      </c>
      <c r="AA115" s="234">
        <f t="shared" si="11"/>
        <v>27789</v>
      </c>
      <c r="AB115" s="234">
        <f t="shared" si="12"/>
        <v>34740</v>
      </c>
      <c r="AC115" s="234">
        <f t="shared" si="13"/>
        <v>277.89</v>
      </c>
      <c r="AD115" s="101">
        <f t="shared" si="14"/>
        <v>4801.1100000000006</v>
      </c>
      <c r="AE115" s="101">
        <f t="shared" si="15"/>
        <v>11752.11</v>
      </c>
      <c r="AF115" s="235">
        <f t="shared" ref="AF115:AG115" si="165">AD115/U115</f>
        <v>0.16274949152542376</v>
      </c>
      <c r="AG115" s="235">
        <f t="shared" si="165"/>
        <v>0.30445880829015548</v>
      </c>
      <c r="AH115" s="212">
        <f t="shared" si="150"/>
        <v>4900</v>
      </c>
      <c r="AI115" s="213"/>
      <c r="AJ115" s="4"/>
      <c r="AK115" s="4"/>
      <c r="AL115" s="4"/>
      <c r="AM115" s="4"/>
      <c r="AN115" s="4"/>
      <c r="AO115" s="4"/>
      <c r="AP115" s="4"/>
      <c r="AQ115" s="4"/>
      <c r="AR115" s="4"/>
      <c r="AS115" s="4"/>
      <c r="AT115" s="4"/>
      <c r="AU115" s="4"/>
    </row>
    <row r="116" spans="1:47" ht="13.2">
      <c r="A116" s="302"/>
      <c r="B116" s="302"/>
      <c r="C116" s="302"/>
      <c r="D116" s="302"/>
      <c r="E116" s="302"/>
      <c r="F116" s="123" t="s">
        <v>352</v>
      </c>
      <c r="G116" s="302"/>
      <c r="H116" s="125"/>
      <c r="I116" s="125">
        <v>55</v>
      </c>
      <c r="J116" s="82">
        <f t="shared" si="147"/>
        <v>4.4092452499999997</v>
      </c>
      <c r="K116" s="82">
        <f t="shared" si="148"/>
        <v>70.547923999999995</v>
      </c>
      <c r="L116" s="82">
        <v>2</v>
      </c>
      <c r="M116" s="93">
        <v>0</v>
      </c>
      <c r="N116" s="93">
        <v>0</v>
      </c>
      <c r="O116" s="230">
        <f t="shared" si="2"/>
        <v>55</v>
      </c>
      <c r="P116" s="231">
        <f t="shared" si="3"/>
        <v>10450</v>
      </c>
      <c r="Q116" s="232">
        <f>ROUNDUP(HLOOKUP(IF(CEILING(L116,0.5)&lt;1,1,CEILING(L116,0.5)),'배송비 조회'!A$32:AY$36,2,0),-2)</f>
        <v>9600</v>
      </c>
      <c r="R116" s="232">
        <v>0</v>
      </c>
      <c r="S116" s="231">
        <f t="shared" si="151"/>
        <v>6000</v>
      </c>
      <c r="T116" s="231">
        <f t="shared" si="125"/>
        <v>14000</v>
      </c>
      <c r="U116" s="233">
        <f t="shared" si="142"/>
        <v>26100</v>
      </c>
      <c r="V116" s="233">
        <f t="shared" si="7"/>
        <v>34100</v>
      </c>
      <c r="W116" s="234">
        <v>0</v>
      </c>
      <c r="X116" s="234">
        <f t="shared" si="8"/>
        <v>991.8</v>
      </c>
      <c r="Y116" s="234">
        <f t="shared" si="9"/>
        <v>522</v>
      </c>
      <c r="Z116" s="234">
        <f t="shared" si="10"/>
        <v>3410</v>
      </c>
      <c r="AA116" s="234">
        <f t="shared" si="11"/>
        <v>24586.2</v>
      </c>
      <c r="AB116" s="234">
        <f t="shared" si="12"/>
        <v>30690</v>
      </c>
      <c r="AC116" s="234">
        <f t="shared" si="13"/>
        <v>245.86200000000002</v>
      </c>
      <c r="AD116" s="101">
        <f t="shared" si="14"/>
        <v>4290.3380000000016</v>
      </c>
      <c r="AE116" s="101">
        <f t="shared" si="15"/>
        <v>10394.138000000001</v>
      </c>
      <c r="AF116" s="235">
        <f t="shared" ref="AF116:AG116" si="166">AD116/U116</f>
        <v>0.16438076628352496</v>
      </c>
      <c r="AG116" s="235">
        <f t="shared" si="166"/>
        <v>0.304813431085044</v>
      </c>
      <c r="AH116" s="212">
        <f t="shared" si="150"/>
        <v>1500</v>
      </c>
      <c r="AI116" s="213"/>
      <c r="AJ116" s="4"/>
      <c r="AK116" s="4"/>
      <c r="AL116" s="4"/>
      <c r="AM116" s="4"/>
      <c r="AN116" s="4"/>
      <c r="AO116" s="4"/>
      <c r="AP116" s="4"/>
      <c r="AQ116" s="4"/>
      <c r="AR116" s="4"/>
      <c r="AS116" s="4"/>
      <c r="AT116" s="4"/>
      <c r="AU116" s="4"/>
    </row>
    <row r="117" spans="1:47" ht="13.2">
      <c r="A117" s="302"/>
      <c r="B117" s="302"/>
      <c r="C117" s="302"/>
      <c r="D117" s="302"/>
      <c r="E117" s="302"/>
      <c r="F117" s="123" t="s">
        <v>353</v>
      </c>
      <c r="G117" s="302"/>
      <c r="H117" s="125"/>
      <c r="I117" s="125">
        <v>69</v>
      </c>
      <c r="J117" s="82">
        <f t="shared" si="147"/>
        <v>4.4092452499999997</v>
      </c>
      <c r="K117" s="82">
        <f t="shared" si="148"/>
        <v>70.547923999999995</v>
      </c>
      <c r="L117" s="82">
        <v>2</v>
      </c>
      <c r="M117" s="93">
        <v>0</v>
      </c>
      <c r="N117" s="93">
        <v>0</v>
      </c>
      <c r="O117" s="230">
        <f t="shared" si="2"/>
        <v>69</v>
      </c>
      <c r="P117" s="231">
        <f t="shared" si="3"/>
        <v>13110</v>
      </c>
      <c r="Q117" s="232">
        <f>ROUNDUP(HLOOKUP(IF(CEILING(L117,0.5)&lt;1,1,CEILING(L117,0.5)),'배송비 조회'!A$32:AY$36,2,0),-2)</f>
        <v>9600</v>
      </c>
      <c r="R117" s="232">
        <v>0</v>
      </c>
      <c r="S117" s="231">
        <f t="shared" si="151"/>
        <v>6800</v>
      </c>
      <c r="T117" s="231">
        <f t="shared" si="125"/>
        <v>15900</v>
      </c>
      <c r="U117" s="233">
        <f t="shared" si="142"/>
        <v>29500</v>
      </c>
      <c r="V117" s="233">
        <f t="shared" si="7"/>
        <v>38600</v>
      </c>
      <c r="W117" s="234">
        <v>0</v>
      </c>
      <c r="X117" s="234">
        <f t="shared" si="8"/>
        <v>1121</v>
      </c>
      <c r="Y117" s="234">
        <f t="shared" si="9"/>
        <v>590</v>
      </c>
      <c r="Z117" s="234">
        <f t="shared" si="10"/>
        <v>3860</v>
      </c>
      <c r="AA117" s="234">
        <f t="shared" si="11"/>
        <v>27789</v>
      </c>
      <c r="AB117" s="234">
        <f t="shared" si="12"/>
        <v>34740</v>
      </c>
      <c r="AC117" s="234">
        <f t="shared" si="13"/>
        <v>277.89</v>
      </c>
      <c r="AD117" s="101">
        <f t="shared" si="14"/>
        <v>4801.1100000000006</v>
      </c>
      <c r="AE117" s="101">
        <f t="shared" si="15"/>
        <v>11752.11</v>
      </c>
      <c r="AF117" s="235">
        <f t="shared" ref="AF117:AG117" si="167">AD117/U117</f>
        <v>0.16274949152542376</v>
      </c>
      <c r="AG117" s="235">
        <f t="shared" si="167"/>
        <v>0.30445880829015548</v>
      </c>
      <c r="AH117" s="212">
        <f t="shared" si="150"/>
        <v>4900</v>
      </c>
      <c r="AI117" s="213"/>
      <c r="AJ117" s="4"/>
      <c r="AK117" s="4"/>
      <c r="AL117" s="4"/>
      <c r="AM117" s="4"/>
      <c r="AN117" s="4"/>
      <c r="AO117" s="4"/>
      <c r="AP117" s="4"/>
      <c r="AQ117" s="4"/>
      <c r="AR117" s="4"/>
      <c r="AS117" s="4"/>
      <c r="AT117" s="4"/>
      <c r="AU117" s="4"/>
    </row>
    <row r="118" spans="1:47" ht="13.2">
      <c r="A118" s="302"/>
      <c r="B118" s="302"/>
      <c r="C118" s="302"/>
      <c r="D118" s="302"/>
      <c r="E118" s="302"/>
      <c r="F118" s="123" t="s">
        <v>355</v>
      </c>
      <c r="G118" s="302"/>
      <c r="H118" s="125"/>
      <c r="I118" s="125">
        <v>89</v>
      </c>
      <c r="J118" s="82">
        <f t="shared" si="147"/>
        <v>4.4092452499999997</v>
      </c>
      <c r="K118" s="82">
        <f t="shared" si="148"/>
        <v>70.547923999999995</v>
      </c>
      <c r="L118" s="82">
        <v>2</v>
      </c>
      <c r="M118" s="93">
        <v>0</v>
      </c>
      <c r="N118" s="93">
        <v>0</v>
      </c>
      <c r="O118" s="230">
        <f t="shared" si="2"/>
        <v>89</v>
      </c>
      <c r="P118" s="231">
        <f t="shared" si="3"/>
        <v>16910</v>
      </c>
      <c r="Q118" s="232">
        <f>ROUNDUP(HLOOKUP(IF(CEILING(L118,0.5)&lt;1,1,CEILING(L118,0.5)),'배송비 조회'!A$32:AY$36,2,0),-2)</f>
        <v>9600</v>
      </c>
      <c r="R118" s="232">
        <v>0</v>
      </c>
      <c r="S118" s="231">
        <f t="shared" si="151"/>
        <v>8000</v>
      </c>
      <c r="T118" s="231">
        <f t="shared" si="125"/>
        <v>18600</v>
      </c>
      <c r="U118" s="233">
        <f t="shared" si="142"/>
        <v>34500</v>
      </c>
      <c r="V118" s="233">
        <f t="shared" si="7"/>
        <v>45100</v>
      </c>
      <c r="W118" s="234">
        <v>0</v>
      </c>
      <c r="X118" s="234">
        <f t="shared" si="8"/>
        <v>1311</v>
      </c>
      <c r="Y118" s="234">
        <f t="shared" si="9"/>
        <v>690</v>
      </c>
      <c r="Z118" s="234">
        <f t="shared" si="10"/>
        <v>4510</v>
      </c>
      <c r="AA118" s="234">
        <f t="shared" si="11"/>
        <v>32499</v>
      </c>
      <c r="AB118" s="234">
        <f t="shared" si="12"/>
        <v>40590</v>
      </c>
      <c r="AC118" s="234">
        <f t="shared" si="13"/>
        <v>324.99</v>
      </c>
      <c r="AD118" s="101">
        <f t="shared" si="14"/>
        <v>5664.01</v>
      </c>
      <c r="AE118" s="101">
        <f t="shared" si="15"/>
        <v>13755.01</v>
      </c>
      <c r="AF118" s="235">
        <f t="shared" ref="AF118:AG118" si="168">AD118/U118</f>
        <v>0.16417420289855073</v>
      </c>
      <c r="AG118" s="235">
        <f t="shared" si="168"/>
        <v>0.30498913525498894</v>
      </c>
      <c r="AH118" s="212">
        <f t="shared" si="150"/>
        <v>9900</v>
      </c>
      <c r="AI118" s="213"/>
      <c r="AJ118" s="4"/>
      <c r="AK118" s="4"/>
      <c r="AL118" s="4"/>
      <c r="AM118" s="4"/>
      <c r="AN118" s="4"/>
      <c r="AO118" s="4"/>
      <c r="AP118" s="4"/>
      <c r="AQ118" s="4"/>
      <c r="AR118" s="4"/>
      <c r="AS118" s="4"/>
      <c r="AT118" s="4"/>
      <c r="AU118" s="4"/>
    </row>
    <row r="119" spans="1:47" ht="13.2">
      <c r="A119" s="302"/>
      <c r="B119" s="302"/>
      <c r="C119" s="302"/>
      <c r="D119" s="302"/>
      <c r="E119" s="302"/>
      <c r="F119" s="123" t="s">
        <v>357</v>
      </c>
      <c r="G119" s="302"/>
      <c r="H119" s="125"/>
      <c r="I119" s="125">
        <v>59</v>
      </c>
      <c r="J119" s="82">
        <f t="shared" si="147"/>
        <v>4.4092452499999997</v>
      </c>
      <c r="K119" s="82">
        <f t="shared" si="148"/>
        <v>70.547923999999995</v>
      </c>
      <c r="L119" s="82">
        <v>2</v>
      </c>
      <c r="M119" s="93">
        <v>0</v>
      </c>
      <c r="N119" s="93">
        <v>0</v>
      </c>
      <c r="O119" s="230">
        <f t="shared" si="2"/>
        <v>59</v>
      </c>
      <c r="P119" s="231">
        <f t="shared" si="3"/>
        <v>11210</v>
      </c>
      <c r="Q119" s="232">
        <f>ROUNDUP(HLOOKUP(IF(CEILING(L119,0.5)&lt;1,1,CEILING(L119,0.5)),'배송비 조회'!A$32:AY$36,2,0),-2)</f>
        <v>9600</v>
      </c>
      <c r="R119" s="232">
        <v>0</v>
      </c>
      <c r="S119" s="231">
        <f t="shared" si="151"/>
        <v>6200</v>
      </c>
      <c r="T119" s="231">
        <f t="shared" si="125"/>
        <v>14600</v>
      </c>
      <c r="U119" s="233">
        <f t="shared" si="142"/>
        <v>27000</v>
      </c>
      <c r="V119" s="233">
        <f t="shared" si="7"/>
        <v>35400</v>
      </c>
      <c r="W119" s="234">
        <v>0</v>
      </c>
      <c r="X119" s="234">
        <f t="shared" si="8"/>
        <v>1026</v>
      </c>
      <c r="Y119" s="234">
        <f t="shared" si="9"/>
        <v>540</v>
      </c>
      <c r="Z119" s="234">
        <f t="shared" si="10"/>
        <v>3540</v>
      </c>
      <c r="AA119" s="234">
        <f t="shared" si="11"/>
        <v>25434</v>
      </c>
      <c r="AB119" s="234">
        <f t="shared" si="12"/>
        <v>31860</v>
      </c>
      <c r="AC119" s="234">
        <f t="shared" si="13"/>
        <v>254.34</v>
      </c>
      <c r="AD119" s="101">
        <f t="shared" si="14"/>
        <v>4369.66</v>
      </c>
      <c r="AE119" s="101">
        <f t="shared" si="15"/>
        <v>10795.66</v>
      </c>
      <c r="AF119" s="235">
        <f t="shared" ref="AF119:AG119" si="169">AD119/U119</f>
        <v>0.16183925925925927</v>
      </c>
      <c r="AG119" s="235">
        <f t="shared" si="169"/>
        <v>0.30496214689265538</v>
      </c>
      <c r="AH119" s="212">
        <f t="shared" si="150"/>
        <v>2400</v>
      </c>
      <c r="AI119" s="213"/>
      <c r="AJ119" s="4"/>
      <c r="AK119" s="4"/>
      <c r="AL119" s="4"/>
      <c r="AM119" s="4"/>
      <c r="AN119" s="4"/>
      <c r="AO119" s="4"/>
      <c r="AP119" s="4"/>
      <c r="AQ119" s="4"/>
      <c r="AR119" s="4"/>
      <c r="AS119" s="4"/>
      <c r="AT119" s="4"/>
      <c r="AU119" s="4"/>
    </row>
    <row r="120" spans="1:47" ht="13.2">
      <c r="A120" s="302"/>
      <c r="B120" s="302"/>
      <c r="C120" s="302"/>
      <c r="D120" s="302"/>
      <c r="E120" s="302"/>
      <c r="F120" s="123" t="s">
        <v>358</v>
      </c>
      <c r="G120" s="302"/>
      <c r="H120" s="125"/>
      <c r="I120" s="125">
        <v>79</v>
      </c>
      <c r="J120" s="82">
        <f t="shared" si="147"/>
        <v>4.4092452499999997</v>
      </c>
      <c r="K120" s="82">
        <f t="shared" si="148"/>
        <v>70.547923999999995</v>
      </c>
      <c r="L120" s="82">
        <v>2</v>
      </c>
      <c r="M120" s="93">
        <v>0</v>
      </c>
      <c r="N120" s="93">
        <v>0</v>
      </c>
      <c r="O120" s="230">
        <f t="shared" si="2"/>
        <v>79</v>
      </c>
      <c r="P120" s="231">
        <f t="shared" si="3"/>
        <v>15010</v>
      </c>
      <c r="Q120" s="232">
        <f>ROUNDUP(HLOOKUP(IF(CEILING(L120,0.5)&lt;1,1,CEILING(L120,0.5)),'배송비 조회'!A$32:AY$36,2,0),-2)</f>
        <v>9600</v>
      </c>
      <c r="R120" s="232">
        <v>0</v>
      </c>
      <c r="S120" s="231">
        <f t="shared" si="151"/>
        <v>7400</v>
      </c>
      <c r="T120" s="231">
        <f t="shared" si="125"/>
        <v>17200</v>
      </c>
      <c r="U120" s="233">
        <f t="shared" si="142"/>
        <v>32000</v>
      </c>
      <c r="V120" s="233">
        <f t="shared" si="7"/>
        <v>41800</v>
      </c>
      <c r="W120" s="234">
        <v>0</v>
      </c>
      <c r="X120" s="234">
        <f t="shared" si="8"/>
        <v>1216</v>
      </c>
      <c r="Y120" s="234">
        <f t="shared" si="9"/>
        <v>640</v>
      </c>
      <c r="Z120" s="234">
        <f t="shared" si="10"/>
        <v>4180</v>
      </c>
      <c r="AA120" s="234">
        <f t="shared" si="11"/>
        <v>30144</v>
      </c>
      <c r="AB120" s="234">
        <f t="shared" si="12"/>
        <v>37620</v>
      </c>
      <c r="AC120" s="234">
        <f t="shared" si="13"/>
        <v>301.44</v>
      </c>
      <c r="AD120" s="101">
        <f t="shared" si="14"/>
        <v>5232.5599999999995</v>
      </c>
      <c r="AE120" s="101">
        <f t="shared" si="15"/>
        <v>12708.56</v>
      </c>
      <c r="AF120" s="235">
        <f t="shared" ref="AF120:AG120" si="170">AD120/U120</f>
        <v>0.16351749999999998</v>
      </c>
      <c r="AG120" s="235">
        <f t="shared" si="170"/>
        <v>0.30403253588516743</v>
      </c>
      <c r="AH120" s="212">
        <f t="shared" si="150"/>
        <v>7400</v>
      </c>
      <c r="AI120" s="213"/>
      <c r="AJ120" s="4"/>
      <c r="AK120" s="4"/>
      <c r="AL120" s="4"/>
      <c r="AM120" s="4"/>
      <c r="AN120" s="4"/>
      <c r="AO120" s="4"/>
      <c r="AP120" s="4"/>
      <c r="AQ120" s="4"/>
      <c r="AR120" s="4"/>
      <c r="AS120" s="4"/>
      <c r="AT120" s="4"/>
      <c r="AU120" s="4"/>
    </row>
    <row r="121" spans="1:47" ht="13.2">
      <c r="A121" s="302"/>
      <c r="B121" s="302"/>
      <c r="C121" s="302"/>
      <c r="D121" s="302"/>
      <c r="E121" s="302"/>
      <c r="F121" s="123" t="s">
        <v>361</v>
      </c>
      <c r="G121" s="302"/>
      <c r="H121" s="125"/>
      <c r="I121" s="125">
        <v>99</v>
      </c>
      <c r="J121" s="82">
        <f t="shared" si="147"/>
        <v>4.4092452499999997</v>
      </c>
      <c r="K121" s="82">
        <f t="shared" si="148"/>
        <v>70.547923999999995</v>
      </c>
      <c r="L121" s="82">
        <v>2</v>
      </c>
      <c r="M121" s="93">
        <v>0</v>
      </c>
      <c r="N121" s="93">
        <v>0</v>
      </c>
      <c r="O121" s="230">
        <f t="shared" si="2"/>
        <v>99</v>
      </c>
      <c r="P121" s="231">
        <f t="shared" si="3"/>
        <v>18810</v>
      </c>
      <c r="Q121" s="232">
        <f>ROUNDUP(HLOOKUP(IF(CEILING(L121,0.5)&lt;1,1,CEILING(L121,0.5)),'배송비 조회'!A$32:AY$36,2,0),-2)</f>
        <v>9600</v>
      </c>
      <c r="R121" s="232">
        <v>0</v>
      </c>
      <c r="S121" s="231">
        <f t="shared" si="151"/>
        <v>8500</v>
      </c>
      <c r="T121" s="231">
        <f t="shared" si="125"/>
        <v>19900</v>
      </c>
      <c r="U121" s="233">
        <f t="shared" si="142"/>
        <v>36900</v>
      </c>
      <c r="V121" s="233">
        <f t="shared" si="7"/>
        <v>48300</v>
      </c>
      <c r="W121" s="234">
        <v>0</v>
      </c>
      <c r="X121" s="234">
        <f t="shared" si="8"/>
        <v>1402.2</v>
      </c>
      <c r="Y121" s="234">
        <f t="shared" si="9"/>
        <v>738</v>
      </c>
      <c r="Z121" s="234">
        <f t="shared" si="10"/>
        <v>4830</v>
      </c>
      <c r="AA121" s="234">
        <f t="shared" si="11"/>
        <v>34759.800000000003</v>
      </c>
      <c r="AB121" s="234">
        <f t="shared" si="12"/>
        <v>43470</v>
      </c>
      <c r="AC121" s="234">
        <f t="shared" si="13"/>
        <v>347.59800000000001</v>
      </c>
      <c r="AD121" s="101">
        <f t="shared" si="14"/>
        <v>6002.202000000003</v>
      </c>
      <c r="AE121" s="101">
        <f t="shared" si="15"/>
        <v>14712.402</v>
      </c>
      <c r="AF121" s="235">
        <f t="shared" ref="AF121:AG121" si="171">AD121/U121</f>
        <v>0.1626613008130082</v>
      </c>
      <c r="AG121" s="235">
        <f t="shared" si="171"/>
        <v>0.30460459627329195</v>
      </c>
      <c r="AH121" s="212">
        <f t="shared" si="150"/>
        <v>12300</v>
      </c>
      <c r="AI121" s="213"/>
      <c r="AJ121" s="4"/>
      <c r="AK121" s="4"/>
      <c r="AL121" s="4"/>
      <c r="AM121" s="4"/>
      <c r="AN121" s="4"/>
      <c r="AO121" s="4"/>
      <c r="AP121" s="4"/>
      <c r="AQ121" s="4"/>
      <c r="AR121" s="4"/>
      <c r="AS121" s="4"/>
      <c r="AT121" s="4"/>
      <c r="AU121" s="4"/>
    </row>
    <row r="122" spans="1:47" ht="13.2">
      <c r="A122" s="302"/>
      <c r="B122" s="302"/>
      <c r="C122" s="302"/>
      <c r="D122" s="302"/>
      <c r="E122" s="302"/>
      <c r="F122" s="123" t="s">
        <v>362</v>
      </c>
      <c r="G122" s="302"/>
      <c r="H122" s="125"/>
      <c r="I122" s="125">
        <v>49</v>
      </c>
      <c r="J122" s="82">
        <f t="shared" si="147"/>
        <v>4.4092452499999997</v>
      </c>
      <c r="K122" s="82">
        <f t="shared" si="148"/>
        <v>70.547923999999995</v>
      </c>
      <c r="L122" s="82">
        <v>2</v>
      </c>
      <c r="M122" s="93">
        <v>0</v>
      </c>
      <c r="N122" s="93">
        <v>0</v>
      </c>
      <c r="O122" s="230">
        <f t="shared" si="2"/>
        <v>49</v>
      </c>
      <c r="P122" s="231">
        <f t="shared" si="3"/>
        <v>9310</v>
      </c>
      <c r="Q122" s="232">
        <f>ROUNDUP(HLOOKUP(IF(CEILING(L122,0.5)&lt;1,1,CEILING(L122,0.5)),'배송비 조회'!A$32:AY$36,2,0),-2)</f>
        <v>9600</v>
      </c>
      <c r="R122" s="232">
        <v>0</v>
      </c>
      <c r="S122" s="231">
        <f t="shared" si="151"/>
        <v>5700</v>
      </c>
      <c r="T122" s="231">
        <f t="shared" si="125"/>
        <v>13200</v>
      </c>
      <c r="U122" s="233">
        <f t="shared" si="142"/>
        <v>24600</v>
      </c>
      <c r="V122" s="233">
        <f t="shared" si="7"/>
        <v>32100</v>
      </c>
      <c r="W122" s="234">
        <v>0</v>
      </c>
      <c r="X122" s="234">
        <f t="shared" si="8"/>
        <v>934.8</v>
      </c>
      <c r="Y122" s="234">
        <f t="shared" si="9"/>
        <v>492</v>
      </c>
      <c r="Z122" s="234">
        <f t="shared" si="10"/>
        <v>3210</v>
      </c>
      <c r="AA122" s="234">
        <f t="shared" si="11"/>
        <v>23173.200000000001</v>
      </c>
      <c r="AB122" s="234">
        <f t="shared" si="12"/>
        <v>28890</v>
      </c>
      <c r="AC122" s="234">
        <f t="shared" si="13"/>
        <v>231.732</v>
      </c>
      <c r="AD122" s="101">
        <f t="shared" si="14"/>
        <v>4031.4680000000008</v>
      </c>
      <c r="AE122" s="101">
        <f t="shared" si="15"/>
        <v>9748.268</v>
      </c>
      <c r="AF122" s="235">
        <f t="shared" ref="AF122:AG122" si="172">AD122/U122</f>
        <v>0.16388081300813012</v>
      </c>
      <c r="AG122" s="235">
        <f t="shared" si="172"/>
        <v>0.30368436137071653</v>
      </c>
      <c r="AH122" s="212">
        <f t="shared" si="150"/>
        <v>0</v>
      </c>
      <c r="AI122" s="213"/>
      <c r="AJ122" s="4"/>
      <c r="AK122" s="4"/>
      <c r="AL122" s="4"/>
      <c r="AM122" s="4"/>
      <c r="AN122" s="4"/>
      <c r="AO122" s="4"/>
      <c r="AP122" s="4"/>
      <c r="AQ122" s="4"/>
      <c r="AR122" s="4"/>
      <c r="AS122" s="4"/>
      <c r="AT122" s="4"/>
      <c r="AU122" s="4"/>
    </row>
    <row r="123" spans="1:47" ht="13.2">
      <c r="A123" s="302"/>
      <c r="B123" s="302"/>
      <c r="C123" s="302"/>
      <c r="D123" s="302"/>
      <c r="E123" s="302"/>
      <c r="F123" s="123" t="s">
        <v>364</v>
      </c>
      <c r="G123" s="302"/>
      <c r="H123" s="125"/>
      <c r="I123" s="125">
        <v>59</v>
      </c>
      <c r="J123" s="82">
        <f t="shared" si="147"/>
        <v>4.4092452499999997</v>
      </c>
      <c r="K123" s="82">
        <f t="shared" si="148"/>
        <v>70.547923999999995</v>
      </c>
      <c r="L123" s="82">
        <v>2</v>
      </c>
      <c r="M123" s="93">
        <v>0</v>
      </c>
      <c r="N123" s="93">
        <v>0</v>
      </c>
      <c r="O123" s="230">
        <f t="shared" si="2"/>
        <v>59</v>
      </c>
      <c r="P123" s="231">
        <f t="shared" si="3"/>
        <v>11210</v>
      </c>
      <c r="Q123" s="232">
        <f>ROUNDUP(HLOOKUP(IF(CEILING(L123,0.5)&lt;1,1,CEILING(L123,0.5)),'배송비 조회'!A$32:AY$36,2,0),-2)</f>
        <v>9600</v>
      </c>
      <c r="R123" s="232">
        <v>0</v>
      </c>
      <c r="S123" s="231">
        <f t="shared" si="151"/>
        <v>6200</v>
      </c>
      <c r="T123" s="231">
        <f t="shared" si="125"/>
        <v>14600</v>
      </c>
      <c r="U123" s="233">
        <f t="shared" si="142"/>
        <v>27000</v>
      </c>
      <c r="V123" s="233">
        <f t="shared" si="7"/>
        <v>35400</v>
      </c>
      <c r="W123" s="234">
        <v>0</v>
      </c>
      <c r="X123" s="234">
        <f t="shared" si="8"/>
        <v>1026</v>
      </c>
      <c r="Y123" s="234">
        <f t="shared" si="9"/>
        <v>540</v>
      </c>
      <c r="Z123" s="234">
        <f t="shared" si="10"/>
        <v>3540</v>
      </c>
      <c r="AA123" s="234">
        <f t="shared" si="11"/>
        <v>25434</v>
      </c>
      <c r="AB123" s="234">
        <f t="shared" si="12"/>
        <v>31860</v>
      </c>
      <c r="AC123" s="234">
        <f t="shared" si="13"/>
        <v>254.34</v>
      </c>
      <c r="AD123" s="101">
        <f t="shared" si="14"/>
        <v>4369.66</v>
      </c>
      <c r="AE123" s="101">
        <f t="shared" si="15"/>
        <v>10795.66</v>
      </c>
      <c r="AF123" s="235">
        <f t="shared" ref="AF123:AG123" si="173">AD123/U123</f>
        <v>0.16183925925925927</v>
      </c>
      <c r="AG123" s="235">
        <f t="shared" si="173"/>
        <v>0.30496214689265538</v>
      </c>
      <c r="AH123" s="212">
        <f t="shared" si="150"/>
        <v>2400</v>
      </c>
      <c r="AI123" s="213"/>
      <c r="AJ123" s="4"/>
      <c r="AK123" s="4"/>
      <c r="AL123" s="4"/>
      <c r="AM123" s="4"/>
      <c r="AN123" s="4"/>
      <c r="AO123" s="4"/>
      <c r="AP123" s="4"/>
      <c r="AQ123" s="4"/>
      <c r="AR123" s="4"/>
      <c r="AS123" s="4"/>
      <c r="AT123" s="4"/>
      <c r="AU123" s="4"/>
    </row>
    <row r="124" spans="1:47" ht="13.2">
      <c r="A124" s="302"/>
      <c r="B124" s="302"/>
      <c r="C124" s="302"/>
      <c r="D124" s="302"/>
      <c r="E124" s="302"/>
      <c r="F124" s="123" t="s">
        <v>367</v>
      </c>
      <c r="G124" s="302"/>
      <c r="H124" s="125"/>
      <c r="I124" s="125">
        <v>69</v>
      </c>
      <c r="J124" s="82">
        <f t="shared" si="147"/>
        <v>4.4092452499999997</v>
      </c>
      <c r="K124" s="82">
        <f t="shared" si="148"/>
        <v>70.547923999999995</v>
      </c>
      <c r="L124" s="82">
        <v>2</v>
      </c>
      <c r="M124" s="93">
        <v>0</v>
      </c>
      <c r="N124" s="93">
        <v>0</v>
      </c>
      <c r="O124" s="230">
        <f t="shared" si="2"/>
        <v>69</v>
      </c>
      <c r="P124" s="231">
        <f t="shared" si="3"/>
        <v>13110</v>
      </c>
      <c r="Q124" s="232">
        <f>ROUNDUP(HLOOKUP(IF(CEILING(L124,0.5)&lt;1,1,CEILING(L124,0.5)),'배송비 조회'!A$32:AY$36,2,0),-2)</f>
        <v>9600</v>
      </c>
      <c r="R124" s="232">
        <v>0</v>
      </c>
      <c r="S124" s="231">
        <f t="shared" si="151"/>
        <v>6800</v>
      </c>
      <c r="T124" s="231">
        <f t="shared" si="125"/>
        <v>15900</v>
      </c>
      <c r="U124" s="233">
        <f t="shared" si="142"/>
        <v>29500</v>
      </c>
      <c r="V124" s="233">
        <f t="shared" si="7"/>
        <v>38600</v>
      </c>
      <c r="W124" s="234">
        <v>0</v>
      </c>
      <c r="X124" s="234">
        <f t="shared" si="8"/>
        <v>1121</v>
      </c>
      <c r="Y124" s="234">
        <f t="shared" si="9"/>
        <v>590</v>
      </c>
      <c r="Z124" s="234">
        <f t="shared" si="10"/>
        <v>3860</v>
      </c>
      <c r="AA124" s="234">
        <f t="shared" si="11"/>
        <v>27789</v>
      </c>
      <c r="AB124" s="234">
        <f t="shared" si="12"/>
        <v>34740</v>
      </c>
      <c r="AC124" s="234">
        <f t="shared" si="13"/>
        <v>277.89</v>
      </c>
      <c r="AD124" s="101">
        <f t="shared" si="14"/>
        <v>4801.1100000000006</v>
      </c>
      <c r="AE124" s="101">
        <f t="shared" si="15"/>
        <v>11752.11</v>
      </c>
      <c r="AF124" s="235">
        <f t="shared" ref="AF124:AG124" si="174">AD124/U124</f>
        <v>0.16274949152542376</v>
      </c>
      <c r="AG124" s="235">
        <f t="shared" si="174"/>
        <v>0.30445880829015548</v>
      </c>
      <c r="AH124" s="212">
        <f t="shared" si="150"/>
        <v>4900</v>
      </c>
      <c r="AI124" s="213"/>
      <c r="AJ124" s="4"/>
      <c r="AK124" s="4"/>
      <c r="AL124" s="4"/>
      <c r="AM124" s="4"/>
      <c r="AN124" s="4"/>
      <c r="AO124" s="4"/>
      <c r="AP124" s="4"/>
      <c r="AQ124" s="4"/>
      <c r="AR124" s="4"/>
      <c r="AS124" s="4"/>
      <c r="AT124" s="4"/>
      <c r="AU124" s="4"/>
    </row>
    <row r="125" spans="1:47" ht="13.2">
      <c r="A125" s="350" t="str">
        <f>HYPERLINK("https://smartstore.naver.com/brickstore2019/products/4757699446","4757699446")</f>
        <v>4757699446</v>
      </c>
      <c r="B125" s="113"/>
      <c r="C125" s="304" t="s">
        <v>369</v>
      </c>
      <c r="D125" s="304"/>
      <c r="E125" s="117"/>
      <c r="F125" s="123" t="s">
        <v>144</v>
      </c>
      <c r="G125" s="237" t="str">
        <f>HYPERLINK("https://detail.tmall.com/item.htm?spm=a220l.1.0.0.48977f33jIu2b8&amp;id=597555025129&amp;skuId=4330986303173","A")</f>
        <v>A</v>
      </c>
      <c r="H125" s="125"/>
      <c r="I125" s="125">
        <v>20</v>
      </c>
      <c r="J125" s="82">
        <f t="shared" si="147"/>
        <v>7.5</v>
      </c>
      <c r="K125" s="82">
        <v>120</v>
      </c>
      <c r="L125" s="82">
        <f t="shared" ref="L125:L133" si="175">IF(J125&gt;0,J125*0.453592,IF(K125&gt;0,K125*0.02835,))</f>
        <v>3.4019399999999997</v>
      </c>
      <c r="M125" s="125">
        <v>0</v>
      </c>
      <c r="N125" s="125">
        <v>0</v>
      </c>
      <c r="O125" s="230">
        <f t="shared" si="2"/>
        <v>20</v>
      </c>
      <c r="P125" s="231">
        <f t="shared" si="3"/>
        <v>3800</v>
      </c>
      <c r="Q125" s="232">
        <f>ROUNDUP(HLOOKUP(IF(CEILING(L125,0.5)&lt;1,1,CEILING(L125,0.5)),'배송비 조회'!A$32:AY$36,2,0),-2)</f>
        <v>12000</v>
      </c>
      <c r="R125" s="232">
        <v>0</v>
      </c>
      <c r="S125" s="231">
        <f t="shared" ref="S125:S126" si="176">ROUND((P125+Q125)*0.6,-2)</f>
        <v>9500</v>
      </c>
      <c r="T125" s="231">
        <f t="shared" si="125"/>
        <v>11100</v>
      </c>
      <c r="U125" s="233">
        <f t="shared" si="142"/>
        <v>25300</v>
      </c>
      <c r="V125" s="233">
        <f t="shared" si="7"/>
        <v>26900</v>
      </c>
      <c r="W125" s="234">
        <v>0</v>
      </c>
      <c r="X125" s="234">
        <f t="shared" si="8"/>
        <v>961.4</v>
      </c>
      <c r="Y125" s="234">
        <f t="shared" si="9"/>
        <v>506</v>
      </c>
      <c r="Z125" s="234">
        <f t="shared" si="10"/>
        <v>2690</v>
      </c>
      <c r="AA125" s="234">
        <f t="shared" si="11"/>
        <v>23832.6</v>
      </c>
      <c r="AB125" s="234">
        <f t="shared" si="12"/>
        <v>24210</v>
      </c>
      <c r="AC125" s="234">
        <f t="shared" si="13"/>
        <v>238.32599999999999</v>
      </c>
      <c r="AD125" s="101">
        <f t="shared" si="14"/>
        <v>7794.2739999999976</v>
      </c>
      <c r="AE125" s="101">
        <f t="shared" si="15"/>
        <v>8171.674</v>
      </c>
      <c r="AF125" s="235">
        <f t="shared" ref="AF125:AG125" si="177">AD125/U125</f>
        <v>0.30807407114624497</v>
      </c>
      <c r="AG125" s="235">
        <f t="shared" si="177"/>
        <v>0.30377970260223047</v>
      </c>
      <c r="AH125" s="215">
        <v>10000</v>
      </c>
      <c r="AI125" s="212">
        <f t="shared" ref="AI125:AI127" si="178">U125-AH125</f>
        <v>15300</v>
      </c>
      <c r="AJ125" s="4"/>
      <c r="AK125" s="4"/>
      <c r="AL125" s="4"/>
      <c r="AM125" s="4"/>
      <c r="AN125" s="4"/>
      <c r="AO125" s="4"/>
      <c r="AP125" s="4"/>
      <c r="AQ125" s="4"/>
      <c r="AR125" s="4"/>
      <c r="AS125" s="4"/>
      <c r="AT125" s="4"/>
      <c r="AU125" s="4"/>
    </row>
    <row r="126" spans="1:47" ht="13.2">
      <c r="A126" s="302"/>
      <c r="B126" s="113"/>
      <c r="C126" s="302"/>
      <c r="D126" s="302"/>
      <c r="E126" s="117"/>
      <c r="F126" s="123" t="s">
        <v>71</v>
      </c>
      <c r="G126" s="237" t="str">
        <f>HYPERLINK("https://detail.tmall.com/item.htm?spm=a220l.1.0.0.48977f33jIu2b8&amp;id=597555025129&amp;skuId=4330986303174","A")</f>
        <v>A</v>
      </c>
      <c r="H126" s="125"/>
      <c r="I126" s="125">
        <v>20</v>
      </c>
      <c r="J126" s="82">
        <f t="shared" si="147"/>
        <v>7.5</v>
      </c>
      <c r="K126" s="82">
        <v>120</v>
      </c>
      <c r="L126" s="82">
        <f t="shared" si="175"/>
        <v>3.4019399999999997</v>
      </c>
      <c r="M126" s="125">
        <v>0</v>
      </c>
      <c r="N126" s="125">
        <v>0</v>
      </c>
      <c r="O126" s="230">
        <f t="shared" si="2"/>
        <v>20</v>
      </c>
      <c r="P126" s="231">
        <f t="shared" si="3"/>
        <v>3800</v>
      </c>
      <c r="Q126" s="232">
        <f>ROUNDUP(HLOOKUP(IF(CEILING(L126,0.5)&lt;1,1,CEILING(L126,0.5)),'배송비 조회'!A$32:AY$36,2,0),-2)</f>
        <v>12000</v>
      </c>
      <c r="R126" s="232">
        <v>0</v>
      </c>
      <c r="S126" s="231">
        <f t="shared" si="176"/>
        <v>9500</v>
      </c>
      <c r="T126" s="231">
        <f t="shared" si="125"/>
        <v>11100</v>
      </c>
      <c r="U126" s="233">
        <f t="shared" si="142"/>
        <v>25300</v>
      </c>
      <c r="V126" s="233">
        <f t="shared" si="7"/>
        <v>26900</v>
      </c>
      <c r="W126" s="234">
        <v>0</v>
      </c>
      <c r="X126" s="234">
        <f t="shared" si="8"/>
        <v>961.4</v>
      </c>
      <c r="Y126" s="234">
        <f t="shared" si="9"/>
        <v>506</v>
      </c>
      <c r="Z126" s="234">
        <f t="shared" si="10"/>
        <v>2690</v>
      </c>
      <c r="AA126" s="234">
        <f t="shared" si="11"/>
        <v>23832.6</v>
      </c>
      <c r="AB126" s="234">
        <f t="shared" si="12"/>
        <v>24210</v>
      </c>
      <c r="AC126" s="234">
        <f t="shared" si="13"/>
        <v>238.32599999999999</v>
      </c>
      <c r="AD126" s="101">
        <f t="shared" si="14"/>
        <v>7794.2739999999976</v>
      </c>
      <c r="AE126" s="101">
        <f t="shared" si="15"/>
        <v>8171.674</v>
      </c>
      <c r="AF126" s="235">
        <f t="shared" ref="AF126:AG126" si="179">AD126/U126</f>
        <v>0.30807407114624497</v>
      </c>
      <c r="AG126" s="235">
        <f t="shared" si="179"/>
        <v>0.30377970260223047</v>
      </c>
      <c r="AH126" s="215">
        <v>10000</v>
      </c>
      <c r="AI126" s="212">
        <f t="shared" si="178"/>
        <v>15300</v>
      </c>
      <c r="AJ126" s="4"/>
      <c r="AK126" s="4"/>
      <c r="AL126" s="4"/>
      <c r="AM126" s="4"/>
      <c r="AN126" s="4"/>
      <c r="AO126" s="4"/>
      <c r="AP126" s="4"/>
      <c r="AQ126" s="4"/>
      <c r="AR126" s="4"/>
      <c r="AS126" s="4"/>
      <c r="AT126" s="4"/>
      <c r="AU126" s="4"/>
    </row>
    <row r="127" spans="1:47" ht="13.2">
      <c r="A127" s="163" t="str">
        <f>HYPERLINK("https://smartstore.naver.com/brickstore2019/products/4758864126","4758864126")</f>
        <v>4758864126</v>
      </c>
      <c r="B127" s="113"/>
      <c r="C127" s="117" t="s">
        <v>375</v>
      </c>
      <c r="D127" s="117"/>
      <c r="E127" s="117"/>
      <c r="F127" s="123"/>
      <c r="G127" s="237" t="str">
        <f>HYPERLINK("https://item.taobao.com/item.htm?spm=a230r.1.999.128.5368523cnzM2VL&amp;id=555674700494&amp;ns=1#detail","A")</f>
        <v>A</v>
      </c>
      <c r="H127" s="125"/>
      <c r="I127" s="125">
        <v>52</v>
      </c>
      <c r="J127" s="82">
        <f t="shared" si="147"/>
        <v>2.1875</v>
      </c>
      <c r="K127" s="82">
        <v>35</v>
      </c>
      <c r="L127" s="82">
        <f t="shared" si="175"/>
        <v>0.99223249999999996</v>
      </c>
      <c r="M127" s="125">
        <v>0</v>
      </c>
      <c r="N127" s="125">
        <v>0</v>
      </c>
      <c r="O127" s="230">
        <f t="shared" si="2"/>
        <v>52</v>
      </c>
      <c r="P127" s="231">
        <f t="shared" si="3"/>
        <v>9880</v>
      </c>
      <c r="Q127" s="232">
        <f>ROUNDUP(HLOOKUP(IF(CEILING(L127,0.5)&lt;1,1,CEILING(L127,0.5)),'배송비 조회'!A$32:AY$36,2,0),-2)</f>
        <v>8000</v>
      </c>
      <c r="R127" s="232">
        <v>0</v>
      </c>
      <c r="S127" s="231">
        <f>ROUND((P127+Q127)*0.4,-2)</f>
        <v>7200</v>
      </c>
      <c r="T127" s="231">
        <f t="shared" si="125"/>
        <v>12500</v>
      </c>
      <c r="U127" s="233">
        <f t="shared" si="142"/>
        <v>25100</v>
      </c>
      <c r="V127" s="233">
        <f t="shared" si="7"/>
        <v>30400</v>
      </c>
      <c r="W127" s="234">
        <v>0</v>
      </c>
      <c r="X127" s="234">
        <f t="shared" si="8"/>
        <v>953.8</v>
      </c>
      <c r="Y127" s="234">
        <f t="shared" si="9"/>
        <v>502</v>
      </c>
      <c r="Z127" s="234">
        <f t="shared" si="10"/>
        <v>3040</v>
      </c>
      <c r="AA127" s="234">
        <f t="shared" si="11"/>
        <v>23644.2</v>
      </c>
      <c r="AB127" s="234">
        <f t="shared" si="12"/>
        <v>27360</v>
      </c>
      <c r="AC127" s="234">
        <f t="shared" si="13"/>
        <v>236.44200000000001</v>
      </c>
      <c r="AD127" s="101">
        <f t="shared" si="14"/>
        <v>5527.7580000000016</v>
      </c>
      <c r="AE127" s="101">
        <f t="shared" si="15"/>
        <v>9243.5580000000009</v>
      </c>
      <c r="AF127" s="235">
        <f t="shared" ref="AF127:AG127" si="180">AD127/U127</f>
        <v>0.22022940239043831</v>
      </c>
      <c r="AG127" s="235">
        <f t="shared" si="180"/>
        <v>0.30406440789473688</v>
      </c>
      <c r="AH127" s="215">
        <v>10000</v>
      </c>
      <c r="AI127" s="212">
        <f t="shared" si="178"/>
        <v>15100</v>
      </c>
      <c r="AJ127" s="4"/>
      <c r="AK127" s="4"/>
      <c r="AL127" s="4"/>
      <c r="AM127" s="4"/>
      <c r="AN127" s="4"/>
      <c r="AO127" s="4"/>
      <c r="AP127" s="4"/>
      <c r="AQ127" s="4"/>
      <c r="AR127" s="4"/>
      <c r="AS127" s="4"/>
      <c r="AT127" s="4"/>
      <c r="AU127" s="4"/>
    </row>
    <row r="128" spans="1:47" ht="13.2">
      <c r="A128" s="303" t="str">
        <f>HYPERLINK("https://smartstore.naver.com/brickstore2019/products/4761146189","4761146189")</f>
        <v>4761146189</v>
      </c>
      <c r="B128" s="113"/>
      <c r="C128" s="304" t="s">
        <v>379</v>
      </c>
      <c r="D128" s="304"/>
      <c r="E128" s="117"/>
      <c r="F128" s="187" t="s">
        <v>380</v>
      </c>
      <c r="G128" s="243" t="str">
        <f t="shared" ref="G128:G131" si="181">HYPERLINK("https://item.taobao.com/item.htm?spm=2013.1.20160405.7.30189463wCR9pG&amp;scm=1007.13066.127283.0&amp;id=573291531092","A")</f>
        <v>A</v>
      </c>
      <c r="H128" s="125"/>
      <c r="I128" s="125">
        <v>17</v>
      </c>
      <c r="J128" s="82">
        <f t="shared" si="147"/>
        <v>2.1875</v>
      </c>
      <c r="K128" s="82">
        <v>35</v>
      </c>
      <c r="L128" s="82">
        <f t="shared" si="175"/>
        <v>0.99223249999999996</v>
      </c>
      <c r="M128" s="125">
        <v>0</v>
      </c>
      <c r="N128" s="125">
        <v>0</v>
      </c>
      <c r="O128" s="230">
        <f t="shared" si="2"/>
        <v>17</v>
      </c>
      <c r="P128" s="231">
        <f t="shared" si="3"/>
        <v>3230</v>
      </c>
      <c r="Q128" s="232">
        <f>ROUNDUP(HLOOKUP(IF(CEILING(L128,0.5)&lt;1,1,CEILING(L128,0.5)),'배송비 조회'!A$32:AY$36,2,0),-2)</f>
        <v>8000</v>
      </c>
      <c r="R128" s="232">
        <v>0</v>
      </c>
      <c r="S128" s="231">
        <f t="shared" ref="S128:S133" si="182">ROUND((P128+Q128)*0.5,-2)</f>
        <v>5600</v>
      </c>
      <c r="T128" s="231">
        <f t="shared" si="125"/>
        <v>7900</v>
      </c>
      <c r="U128" s="233">
        <f t="shared" si="142"/>
        <v>16800</v>
      </c>
      <c r="V128" s="233">
        <f t="shared" si="7"/>
        <v>19100</v>
      </c>
      <c r="W128" s="234">
        <v>0</v>
      </c>
      <c r="X128" s="234">
        <f t="shared" si="8"/>
        <v>638.4</v>
      </c>
      <c r="Y128" s="234">
        <f t="shared" si="9"/>
        <v>336</v>
      </c>
      <c r="Z128" s="234">
        <f t="shared" si="10"/>
        <v>1910</v>
      </c>
      <c r="AA128" s="234">
        <f t="shared" si="11"/>
        <v>15825.6</v>
      </c>
      <c r="AB128" s="234">
        <f t="shared" si="12"/>
        <v>17190</v>
      </c>
      <c r="AC128" s="234">
        <f t="shared" si="13"/>
        <v>158.256</v>
      </c>
      <c r="AD128" s="101">
        <f t="shared" si="14"/>
        <v>4437.344000000001</v>
      </c>
      <c r="AE128" s="101">
        <f t="shared" si="15"/>
        <v>5801.7439999999997</v>
      </c>
      <c r="AF128" s="235">
        <f t="shared" ref="AF128:AG128" si="183">AD128/U128</f>
        <v>0.26412761904761911</v>
      </c>
      <c r="AG128" s="235">
        <f t="shared" si="183"/>
        <v>0.30375623036649213</v>
      </c>
      <c r="AH128" s="212"/>
      <c r="AI128" s="213"/>
      <c r="AJ128" s="4"/>
      <c r="AK128" s="4"/>
      <c r="AL128" s="4"/>
      <c r="AM128" s="4"/>
      <c r="AN128" s="4"/>
      <c r="AO128" s="4"/>
      <c r="AP128" s="4"/>
      <c r="AQ128" s="4"/>
      <c r="AR128" s="4"/>
      <c r="AS128" s="4"/>
      <c r="AT128" s="4"/>
      <c r="AU128" s="4"/>
    </row>
    <row r="129" spans="1:47" ht="13.2">
      <c r="A129" s="302"/>
      <c r="B129" s="113"/>
      <c r="C129" s="302"/>
      <c r="D129" s="302"/>
      <c r="E129" s="117"/>
      <c r="F129" s="123" t="s">
        <v>383</v>
      </c>
      <c r="G129" s="237" t="str">
        <f t="shared" si="181"/>
        <v>A</v>
      </c>
      <c r="H129" s="125"/>
      <c r="I129" s="125">
        <v>51</v>
      </c>
      <c r="J129" s="203">
        <f t="shared" si="147"/>
        <v>2.1875</v>
      </c>
      <c r="K129" s="203">
        <v>35</v>
      </c>
      <c r="L129" s="203">
        <f t="shared" si="175"/>
        <v>0.99223249999999996</v>
      </c>
      <c r="M129" s="125">
        <v>0</v>
      </c>
      <c r="N129" s="125">
        <v>0</v>
      </c>
      <c r="O129" s="230">
        <f t="shared" si="2"/>
        <v>51</v>
      </c>
      <c r="P129" s="231">
        <f t="shared" si="3"/>
        <v>9690</v>
      </c>
      <c r="Q129" s="232">
        <f>ROUNDUP(HLOOKUP(IF(CEILING(L129,0.5)&lt;1,1,CEILING(L129,0.5)),'배송비 조회'!A$32:AY$36,2,0),-2)</f>
        <v>8000</v>
      </c>
      <c r="R129" s="232">
        <v>0</v>
      </c>
      <c r="S129" s="231">
        <f t="shared" si="182"/>
        <v>8800</v>
      </c>
      <c r="T129" s="231">
        <f t="shared" si="125"/>
        <v>12400</v>
      </c>
      <c r="U129" s="233">
        <f t="shared" si="142"/>
        <v>26500</v>
      </c>
      <c r="V129" s="233">
        <f t="shared" si="7"/>
        <v>30100</v>
      </c>
      <c r="W129" s="234">
        <v>0</v>
      </c>
      <c r="X129" s="234">
        <f t="shared" si="8"/>
        <v>1007</v>
      </c>
      <c r="Y129" s="234">
        <f t="shared" si="9"/>
        <v>530</v>
      </c>
      <c r="Z129" s="234">
        <f t="shared" si="10"/>
        <v>3010</v>
      </c>
      <c r="AA129" s="234">
        <f t="shared" si="11"/>
        <v>24963</v>
      </c>
      <c r="AB129" s="234">
        <f t="shared" si="12"/>
        <v>27090</v>
      </c>
      <c r="AC129" s="234">
        <f t="shared" si="13"/>
        <v>249.63</v>
      </c>
      <c r="AD129" s="101">
        <f t="shared" si="14"/>
        <v>7023.3700000000008</v>
      </c>
      <c r="AE129" s="101">
        <f t="shared" si="15"/>
        <v>9150.3700000000008</v>
      </c>
      <c r="AF129" s="235">
        <f t="shared" ref="AF129:AG129" si="184">AD129/U129</f>
        <v>0.26503283018867929</v>
      </c>
      <c r="AG129" s="235">
        <f t="shared" si="184"/>
        <v>0.30399900332225915</v>
      </c>
      <c r="AH129" s="212"/>
      <c r="AI129" s="213"/>
      <c r="AJ129" s="4"/>
      <c r="AK129" s="4"/>
      <c r="AL129" s="4"/>
      <c r="AM129" s="4"/>
      <c r="AN129" s="4"/>
      <c r="AO129" s="4"/>
      <c r="AP129" s="4"/>
      <c r="AQ129" s="4"/>
      <c r="AR129" s="4"/>
      <c r="AS129" s="4"/>
      <c r="AT129" s="4"/>
      <c r="AU129" s="4"/>
    </row>
    <row r="130" spans="1:47" ht="13.2">
      <c r="A130" s="302"/>
      <c r="B130" s="113"/>
      <c r="C130" s="302"/>
      <c r="D130" s="302"/>
      <c r="E130" s="117"/>
      <c r="F130" s="187" t="s">
        <v>387</v>
      </c>
      <c r="G130" s="243" t="str">
        <f t="shared" si="181"/>
        <v>A</v>
      </c>
      <c r="H130" s="125"/>
      <c r="I130" s="125">
        <v>18</v>
      </c>
      <c r="J130" s="203">
        <f t="shared" si="147"/>
        <v>2.1875</v>
      </c>
      <c r="K130" s="203">
        <v>35</v>
      </c>
      <c r="L130" s="203">
        <f t="shared" si="175"/>
        <v>0.99223249999999996</v>
      </c>
      <c r="M130" s="125">
        <v>0</v>
      </c>
      <c r="N130" s="125">
        <v>0</v>
      </c>
      <c r="O130" s="230">
        <f t="shared" si="2"/>
        <v>18</v>
      </c>
      <c r="P130" s="231">
        <f t="shared" si="3"/>
        <v>3420</v>
      </c>
      <c r="Q130" s="232">
        <f>ROUNDUP(HLOOKUP(IF(CEILING(L130,0.5)&lt;1,1,CEILING(L130,0.5)),'배송비 조회'!A$32:AY$36,2,0),-2)</f>
        <v>8000</v>
      </c>
      <c r="R130" s="232">
        <v>0</v>
      </c>
      <c r="S130" s="231">
        <f t="shared" si="182"/>
        <v>5700</v>
      </c>
      <c r="T130" s="231">
        <f t="shared" si="125"/>
        <v>8000</v>
      </c>
      <c r="U130" s="233">
        <f t="shared" si="142"/>
        <v>17100</v>
      </c>
      <c r="V130" s="233">
        <f t="shared" si="7"/>
        <v>19400</v>
      </c>
      <c r="W130" s="234">
        <v>0</v>
      </c>
      <c r="X130" s="234">
        <f t="shared" si="8"/>
        <v>649.79999999999995</v>
      </c>
      <c r="Y130" s="234">
        <f t="shared" si="9"/>
        <v>342</v>
      </c>
      <c r="Z130" s="234">
        <f t="shared" si="10"/>
        <v>1940</v>
      </c>
      <c r="AA130" s="234">
        <f t="shared" si="11"/>
        <v>16108.2</v>
      </c>
      <c r="AB130" s="234">
        <f t="shared" si="12"/>
        <v>17460</v>
      </c>
      <c r="AC130" s="234">
        <f t="shared" si="13"/>
        <v>161.08200000000002</v>
      </c>
      <c r="AD130" s="101">
        <f t="shared" si="14"/>
        <v>4527.1180000000004</v>
      </c>
      <c r="AE130" s="101">
        <f t="shared" si="15"/>
        <v>5878.9179999999997</v>
      </c>
      <c r="AF130" s="235">
        <f t="shared" ref="AF130:AG130" si="185">AD130/U130</f>
        <v>0.26474374269005851</v>
      </c>
      <c r="AG130" s="235">
        <f t="shared" si="185"/>
        <v>0.30303701030927832</v>
      </c>
      <c r="AH130" s="212"/>
      <c r="AI130" s="213"/>
      <c r="AJ130" s="4"/>
      <c r="AK130" s="4"/>
      <c r="AL130" s="4"/>
      <c r="AM130" s="4"/>
      <c r="AN130" s="4"/>
      <c r="AO130" s="4"/>
      <c r="AP130" s="4"/>
      <c r="AQ130" s="4"/>
      <c r="AR130" s="4"/>
      <c r="AS130" s="4"/>
      <c r="AT130" s="4"/>
      <c r="AU130" s="4"/>
    </row>
    <row r="131" spans="1:47" ht="13.2">
      <c r="A131" s="302"/>
      <c r="B131" s="113"/>
      <c r="C131" s="302"/>
      <c r="D131" s="302"/>
      <c r="E131" s="117"/>
      <c r="F131" s="123" t="s">
        <v>389</v>
      </c>
      <c r="G131" s="237" t="str">
        <f t="shared" si="181"/>
        <v>A</v>
      </c>
      <c r="H131" s="125"/>
      <c r="I131" s="125">
        <v>61</v>
      </c>
      <c r="J131" s="203">
        <f t="shared" si="147"/>
        <v>2.1875</v>
      </c>
      <c r="K131" s="203">
        <v>35</v>
      </c>
      <c r="L131" s="203">
        <f t="shared" si="175"/>
        <v>0.99223249999999996</v>
      </c>
      <c r="M131" s="125">
        <v>0</v>
      </c>
      <c r="N131" s="125">
        <v>0</v>
      </c>
      <c r="O131" s="230">
        <f t="shared" si="2"/>
        <v>61</v>
      </c>
      <c r="P131" s="231">
        <f t="shared" si="3"/>
        <v>11590</v>
      </c>
      <c r="Q131" s="232">
        <f>ROUNDUP(HLOOKUP(IF(CEILING(L131,0.5)&lt;1,1,CEILING(L131,0.5)),'배송비 조회'!A$32:AY$36,2,0),-2)</f>
        <v>8000</v>
      </c>
      <c r="R131" s="232">
        <v>0</v>
      </c>
      <c r="S131" s="231">
        <f t="shared" si="182"/>
        <v>9800</v>
      </c>
      <c r="T131" s="231">
        <f t="shared" si="125"/>
        <v>13700</v>
      </c>
      <c r="U131" s="233">
        <f t="shared" si="142"/>
        <v>29400</v>
      </c>
      <c r="V131" s="233">
        <f t="shared" si="7"/>
        <v>33300</v>
      </c>
      <c r="W131" s="234">
        <v>0</v>
      </c>
      <c r="X131" s="234">
        <f t="shared" si="8"/>
        <v>1117.2</v>
      </c>
      <c r="Y131" s="234">
        <f t="shared" si="9"/>
        <v>588</v>
      </c>
      <c r="Z131" s="234">
        <f t="shared" si="10"/>
        <v>3330</v>
      </c>
      <c r="AA131" s="234">
        <f t="shared" si="11"/>
        <v>27694.799999999999</v>
      </c>
      <c r="AB131" s="234">
        <f t="shared" si="12"/>
        <v>29970</v>
      </c>
      <c r="AC131" s="234">
        <f t="shared" si="13"/>
        <v>276.94799999999998</v>
      </c>
      <c r="AD131" s="101">
        <f t="shared" si="14"/>
        <v>7827.851999999999</v>
      </c>
      <c r="AE131" s="101">
        <f t="shared" si="15"/>
        <v>10103.052</v>
      </c>
      <c r="AF131" s="235">
        <f t="shared" ref="AF131:AG131" si="186">AD131/U131</f>
        <v>0.26625346938775507</v>
      </c>
      <c r="AG131" s="235">
        <f t="shared" si="186"/>
        <v>0.30339495495495494</v>
      </c>
      <c r="AH131" s="212"/>
      <c r="AI131" s="213"/>
      <c r="AJ131" s="4"/>
      <c r="AK131" s="4"/>
      <c r="AL131" s="4"/>
      <c r="AM131" s="4"/>
      <c r="AN131" s="4"/>
      <c r="AO131" s="4"/>
      <c r="AP131" s="4"/>
      <c r="AQ131" s="4"/>
      <c r="AR131" s="4"/>
      <c r="AS131" s="4"/>
      <c r="AT131" s="4"/>
      <c r="AU131" s="4"/>
    </row>
    <row r="132" spans="1:47" ht="13.2">
      <c r="A132" s="350" t="str">
        <f>HYPERLINK("https://smartstore.naver.com/brickstore2019/products/4762179225","4762179225")</f>
        <v>4762179225</v>
      </c>
      <c r="B132" s="113"/>
      <c r="C132" s="304" t="s">
        <v>393</v>
      </c>
      <c r="D132" s="304"/>
      <c r="E132" s="117"/>
      <c r="F132" s="123" t="s">
        <v>394</v>
      </c>
      <c r="G132" s="237" t="str">
        <f t="shared" ref="G132:G133" si="187">HYPERLINK("https://item.taobao.com/item.htm?spm=a230r.1.999.1.9b6d523cd2IGi5&amp;id=590743813901&amp;ns=1#detail","A")</f>
        <v>A</v>
      </c>
      <c r="H132" s="125"/>
      <c r="I132" s="125">
        <v>82</v>
      </c>
      <c r="J132" s="203">
        <f t="shared" si="147"/>
        <v>2.1875</v>
      </c>
      <c r="K132" s="203">
        <v>35</v>
      </c>
      <c r="L132" s="203">
        <f t="shared" si="175"/>
        <v>0.99223249999999996</v>
      </c>
      <c r="M132" s="125">
        <v>0</v>
      </c>
      <c r="N132" s="125">
        <v>0</v>
      </c>
      <c r="O132" s="230">
        <f t="shared" si="2"/>
        <v>82</v>
      </c>
      <c r="P132" s="231">
        <f t="shared" si="3"/>
        <v>15580</v>
      </c>
      <c r="Q132" s="232">
        <f>ROUNDUP(HLOOKUP(IF(CEILING(L132,0.5)&lt;1,1,CEILING(L132,0.5)),'배송비 조회'!A$32:AY$36,2,0),-2)</f>
        <v>8000</v>
      </c>
      <c r="R132" s="232">
        <v>0</v>
      </c>
      <c r="S132" s="231">
        <f t="shared" si="182"/>
        <v>11800</v>
      </c>
      <c r="T132" s="231">
        <f t="shared" si="125"/>
        <v>16500</v>
      </c>
      <c r="U132" s="233">
        <f t="shared" si="142"/>
        <v>35400</v>
      </c>
      <c r="V132" s="233">
        <f t="shared" si="7"/>
        <v>40100</v>
      </c>
      <c r="W132" s="234">
        <v>0</v>
      </c>
      <c r="X132" s="234">
        <f t="shared" si="8"/>
        <v>1345.2</v>
      </c>
      <c r="Y132" s="234">
        <f t="shared" si="9"/>
        <v>708</v>
      </c>
      <c r="Z132" s="234">
        <f t="shared" si="10"/>
        <v>4010</v>
      </c>
      <c r="AA132" s="234">
        <f t="shared" si="11"/>
        <v>33346.800000000003</v>
      </c>
      <c r="AB132" s="234">
        <f t="shared" si="12"/>
        <v>36090</v>
      </c>
      <c r="AC132" s="234">
        <f t="shared" si="13"/>
        <v>333.46800000000002</v>
      </c>
      <c r="AD132" s="101">
        <f t="shared" si="14"/>
        <v>9433.3320000000022</v>
      </c>
      <c r="AE132" s="101">
        <f t="shared" si="15"/>
        <v>12176.531999999999</v>
      </c>
      <c r="AF132" s="235">
        <f t="shared" ref="AF132:AG132" si="188">AD132/U132</f>
        <v>0.26647830508474585</v>
      </c>
      <c r="AG132" s="235">
        <f t="shared" si="188"/>
        <v>0.30365416458852867</v>
      </c>
      <c r="AH132" s="215">
        <v>8000</v>
      </c>
      <c r="AI132" s="212">
        <f t="shared" ref="AI132:AI133" si="189">U132-AH132</f>
        <v>27400</v>
      </c>
      <c r="AJ132" s="4"/>
      <c r="AK132" s="4"/>
      <c r="AL132" s="4"/>
      <c r="AM132" s="4"/>
      <c r="AN132" s="4"/>
      <c r="AO132" s="4"/>
      <c r="AP132" s="4"/>
      <c r="AQ132" s="4"/>
      <c r="AR132" s="4"/>
      <c r="AS132" s="4"/>
      <c r="AT132" s="4"/>
      <c r="AU132" s="4"/>
    </row>
    <row r="133" spans="1:47" ht="13.2">
      <c r="A133" s="302"/>
      <c r="B133" s="113"/>
      <c r="C133" s="302"/>
      <c r="D133" s="302"/>
      <c r="E133" s="117"/>
      <c r="F133" s="123" t="s">
        <v>395</v>
      </c>
      <c r="G133" s="237" t="str">
        <f t="shared" si="187"/>
        <v>A</v>
      </c>
      <c r="H133" s="125"/>
      <c r="I133" s="125">
        <v>96</v>
      </c>
      <c r="J133" s="82">
        <f t="shared" si="147"/>
        <v>2.1875</v>
      </c>
      <c r="K133" s="82">
        <v>35</v>
      </c>
      <c r="L133" s="82">
        <f t="shared" si="175"/>
        <v>0.99223249999999996</v>
      </c>
      <c r="M133" s="125">
        <v>0</v>
      </c>
      <c r="N133" s="125">
        <v>0</v>
      </c>
      <c r="O133" s="230">
        <f t="shared" si="2"/>
        <v>96</v>
      </c>
      <c r="P133" s="231">
        <f t="shared" si="3"/>
        <v>18240</v>
      </c>
      <c r="Q133" s="232">
        <f>ROUNDUP(HLOOKUP(IF(CEILING(L133,0.5)&lt;1,1,CEILING(L133,0.5)),'배송비 조회'!A$32:AY$36,2,0),-2)</f>
        <v>8000</v>
      </c>
      <c r="R133" s="232">
        <v>0</v>
      </c>
      <c r="S133" s="231">
        <f t="shared" si="182"/>
        <v>13100</v>
      </c>
      <c r="T133" s="231">
        <f t="shared" si="125"/>
        <v>18400</v>
      </c>
      <c r="U133" s="233">
        <f t="shared" si="142"/>
        <v>39300</v>
      </c>
      <c r="V133" s="233">
        <f t="shared" si="7"/>
        <v>44600</v>
      </c>
      <c r="W133" s="234">
        <v>0</v>
      </c>
      <c r="X133" s="234">
        <f t="shared" si="8"/>
        <v>1493.3999999999999</v>
      </c>
      <c r="Y133" s="234">
        <f t="shared" si="9"/>
        <v>786</v>
      </c>
      <c r="Z133" s="234">
        <f t="shared" si="10"/>
        <v>4460</v>
      </c>
      <c r="AA133" s="234">
        <f t="shared" si="11"/>
        <v>37020.6</v>
      </c>
      <c r="AB133" s="234">
        <f t="shared" si="12"/>
        <v>40140</v>
      </c>
      <c r="AC133" s="234">
        <f t="shared" si="13"/>
        <v>370.20600000000002</v>
      </c>
      <c r="AD133" s="101">
        <f t="shared" si="14"/>
        <v>10410.394</v>
      </c>
      <c r="AE133" s="101">
        <f t="shared" si="15"/>
        <v>13529.794</v>
      </c>
      <c r="AF133" s="235">
        <f t="shared" ref="AF133:AG133" si="190">AD133/U133</f>
        <v>0.26489552162849872</v>
      </c>
      <c r="AG133" s="235">
        <f t="shared" si="190"/>
        <v>0.30335860986547086</v>
      </c>
      <c r="AH133" s="215">
        <v>8000</v>
      </c>
      <c r="AI133" s="212">
        <f t="shared" si="189"/>
        <v>31300</v>
      </c>
      <c r="AJ133" s="4"/>
      <c r="AK133" s="4"/>
      <c r="AL133" s="4"/>
      <c r="AM133" s="4"/>
      <c r="AN133" s="4"/>
      <c r="AO133" s="4"/>
      <c r="AP133" s="4"/>
      <c r="AQ133" s="4"/>
      <c r="AR133" s="4"/>
      <c r="AS133" s="4"/>
      <c r="AT133" s="4"/>
      <c r="AU133" s="4"/>
    </row>
    <row r="134" spans="1:47" ht="13.2">
      <c r="A134" s="350" t="str">
        <f>HYPERLINK("https://smartstore.naver.com/brickstore2019/products/4762210986","4762210986")</f>
        <v>4762210986</v>
      </c>
      <c r="B134" s="361"/>
      <c r="C134" s="307" t="s">
        <v>396</v>
      </c>
      <c r="D134" s="304"/>
      <c r="E134" s="304"/>
      <c r="F134" s="123" t="s">
        <v>144</v>
      </c>
      <c r="G134" s="237" t="str">
        <f t="shared" ref="G134:G137" si="191">HYPERLINK("https://item.taobao.com/item.htm?spm=a230r.1.999.38.2d67523c6OlzIG&amp;id=574999743437&amp;ns=1#detail","A")</f>
        <v>A</v>
      </c>
      <c r="H134" s="125"/>
      <c r="I134" s="125">
        <v>872.34</v>
      </c>
      <c r="J134" s="82">
        <f t="shared" si="147"/>
        <v>4.4092452499999997</v>
      </c>
      <c r="K134" s="82">
        <f t="shared" ref="K134:K137" si="192">IF(L134&gt;0,L134*35.273962,IF(J134&gt;0,J134*16,))</f>
        <v>70.547923999999995</v>
      </c>
      <c r="L134" s="82">
        <v>2</v>
      </c>
      <c r="M134" s="125"/>
      <c r="N134" s="125"/>
      <c r="O134" s="230">
        <f t="shared" si="2"/>
        <v>872.34</v>
      </c>
      <c r="P134" s="231">
        <f t="shared" si="3"/>
        <v>165744.6</v>
      </c>
      <c r="Q134" s="232">
        <f>ROUNDUP(HLOOKUP(IF(CEILING(L134,0.5)&lt;1,1,CEILING(L134,0.5)),'배송비 조회'!A$32:AY$36,2,0),-2)</f>
        <v>9600</v>
      </c>
      <c r="R134" s="232">
        <v>0</v>
      </c>
      <c r="S134" s="231">
        <f t="shared" ref="S134:S137" si="193">ROUND((P134+Q134)*0.15,-2)</f>
        <v>26300</v>
      </c>
      <c r="T134" s="231">
        <f t="shared" ref="T134:T137" si="194">ROUND((P134+Q134)*0.4,-2)</f>
        <v>70100</v>
      </c>
      <c r="U134" s="233">
        <f t="shared" si="142"/>
        <v>201600</v>
      </c>
      <c r="V134" s="233">
        <f t="shared" si="7"/>
        <v>245400</v>
      </c>
      <c r="W134" s="234">
        <v>0</v>
      </c>
      <c r="X134" s="234">
        <f t="shared" si="8"/>
        <v>7660.8</v>
      </c>
      <c r="Y134" s="234">
        <f t="shared" si="9"/>
        <v>4032</v>
      </c>
      <c r="Z134" s="234">
        <f t="shared" si="10"/>
        <v>24540</v>
      </c>
      <c r="AA134" s="234">
        <f t="shared" si="11"/>
        <v>189907.20000000001</v>
      </c>
      <c r="AB134" s="234">
        <f t="shared" si="12"/>
        <v>220860</v>
      </c>
      <c r="AC134" s="234">
        <f t="shared" si="13"/>
        <v>1899.0720000000001</v>
      </c>
      <c r="AD134" s="101">
        <f t="shared" si="14"/>
        <v>12663.528000000006</v>
      </c>
      <c r="AE134" s="101">
        <f t="shared" si="15"/>
        <v>43616.327999999994</v>
      </c>
      <c r="AF134" s="235">
        <f t="shared" ref="AF134:AG134" si="195">AD134/U134</f>
        <v>6.2815119047619078E-2</v>
      </c>
      <c r="AG134" s="235">
        <f t="shared" si="195"/>
        <v>0.17773564792176036</v>
      </c>
      <c r="AH134" s="212">
        <f>U134-25000</f>
        <v>176600</v>
      </c>
      <c r="AI134" s="213"/>
      <c r="AJ134" s="4"/>
      <c r="AK134" s="4"/>
      <c r="AL134" s="4"/>
      <c r="AM134" s="4"/>
      <c r="AN134" s="4"/>
      <c r="AO134" s="4"/>
      <c r="AP134" s="4"/>
      <c r="AQ134" s="4"/>
      <c r="AR134" s="4"/>
      <c r="AS134" s="4"/>
      <c r="AT134" s="4"/>
      <c r="AU134" s="4"/>
    </row>
    <row r="135" spans="1:47" ht="13.2">
      <c r="A135" s="302"/>
      <c r="B135" s="302"/>
      <c r="C135" s="302"/>
      <c r="D135" s="302"/>
      <c r="E135" s="302"/>
      <c r="F135" s="123" t="s">
        <v>239</v>
      </c>
      <c r="G135" s="237" t="str">
        <f t="shared" si="191"/>
        <v>A</v>
      </c>
      <c r="H135" s="125"/>
      <c r="I135" s="125">
        <v>872.34</v>
      </c>
      <c r="J135" s="82">
        <f t="shared" si="147"/>
        <v>4.4092452499999997</v>
      </c>
      <c r="K135" s="82">
        <f t="shared" si="192"/>
        <v>70.547923999999995</v>
      </c>
      <c r="L135" s="82">
        <v>2</v>
      </c>
      <c r="M135" s="125"/>
      <c r="N135" s="125"/>
      <c r="O135" s="230">
        <f t="shared" si="2"/>
        <v>872.34</v>
      </c>
      <c r="P135" s="231">
        <f t="shared" si="3"/>
        <v>165744.6</v>
      </c>
      <c r="Q135" s="232">
        <f>ROUNDUP(HLOOKUP(IF(CEILING(L135,0.5)&lt;1,1,CEILING(L135,0.5)),'배송비 조회'!A$32:AY$36,2,0),-2)</f>
        <v>9600</v>
      </c>
      <c r="R135" s="232">
        <v>0</v>
      </c>
      <c r="S135" s="231">
        <f t="shared" si="193"/>
        <v>26300</v>
      </c>
      <c r="T135" s="231">
        <f t="shared" si="194"/>
        <v>70100</v>
      </c>
      <c r="U135" s="233">
        <f t="shared" si="142"/>
        <v>201600</v>
      </c>
      <c r="V135" s="233">
        <f t="shared" si="7"/>
        <v>245400</v>
      </c>
      <c r="W135" s="234">
        <v>0</v>
      </c>
      <c r="X135" s="234">
        <f t="shared" si="8"/>
        <v>7660.8</v>
      </c>
      <c r="Y135" s="234">
        <f t="shared" si="9"/>
        <v>4032</v>
      </c>
      <c r="Z135" s="234">
        <f t="shared" si="10"/>
        <v>24540</v>
      </c>
      <c r="AA135" s="234">
        <f t="shared" si="11"/>
        <v>189907.20000000001</v>
      </c>
      <c r="AB135" s="234">
        <f t="shared" si="12"/>
        <v>220860</v>
      </c>
      <c r="AC135" s="234">
        <f t="shared" si="13"/>
        <v>1899.0720000000001</v>
      </c>
      <c r="AD135" s="101">
        <f t="shared" si="14"/>
        <v>12663.528000000006</v>
      </c>
      <c r="AE135" s="101">
        <f t="shared" si="15"/>
        <v>43616.327999999994</v>
      </c>
      <c r="AF135" s="235">
        <f t="shared" ref="AF135:AG135" si="196">AD135/U135</f>
        <v>6.2815119047619078E-2</v>
      </c>
      <c r="AG135" s="235">
        <f t="shared" si="196"/>
        <v>0.17773564792176036</v>
      </c>
      <c r="AH135" s="212"/>
      <c r="AI135" s="213"/>
      <c r="AJ135" s="4"/>
      <c r="AK135" s="4"/>
      <c r="AL135" s="4"/>
      <c r="AM135" s="4"/>
      <c r="AN135" s="4"/>
      <c r="AO135" s="4"/>
      <c r="AP135" s="4"/>
      <c r="AQ135" s="4"/>
      <c r="AR135" s="4"/>
      <c r="AS135" s="4"/>
      <c r="AT135" s="4"/>
      <c r="AU135" s="4"/>
    </row>
    <row r="136" spans="1:47" ht="13.2">
      <c r="A136" s="302"/>
      <c r="B136" s="302"/>
      <c r="C136" s="302"/>
      <c r="D136" s="302"/>
      <c r="E136" s="302"/>
      <c r="F136" s="123" t="s">
        <v>401</v>
      </c>
      <c r="G136" s="237" t="str">
        <f t="shared" si="191"/>
        <v>A</v>
      </c>
      <c r="H136" s="125"/>
      <c r="I136" s="125">
        <v>872.34</v>
      </c>
      <c r="J136" s="82">
        <f t="shared" si="147"/>
        <v>4.4092452499999997</v>
      </c>
      <c r="K136" s="82">
        <f t="shared" si="192"/>
        <v>70.547923999999995</v>
      </c>
      <c r="L136" s="82">
        <v>2</v>
      </c>
      <c r="M136" s="125"/>
      <c r="N136" s="125"/>
      <c r="O136" s="230">
        <f t="shared" si="2"/>
        <v>872.34</v>
      </c>
      <c r="P136" s="231">
        <f t="shared" si="3"/>
        <v>165744.6</v>
      </c>
      <c r="Q136" s="232">
        <f>ROUNDUP(HLOOKUP(IF(CEILING(L136,0.5)&lt;1,1,CEILING(L136,0.5)),'배송비 조회'!A$32:AY$36,2,0),-2)</f>
        <v>9600</v>
      </c>
      <c r="R136" s="232">
        <v>0</v>
      </c>
      <c r="S136" s="231">
        <f t="shared" si="193"/>
        <v>26300</v>
      </c>
      <c r="T136" s="231">
        <f t="shared" si="194"/>
        <v>70100</v>
      </c>
      <c r="U136" s="233">
        <f t="shared" si="142"/>
        <v>201600</v>
      </c>
      <c r="V136" s="233">
        <f t="shared" si="7"/>
        <v>245400</v>
      </c>
      <c r="W136" s="234">
        <v>0</v>
      </c>
      <c r="X136" s="234">
        <f t="shared" si="8"/>
        <v>7660.8</v>
      </c>
      <c r="Y136" s="234">
        <f t="shared" si="9"/>
        <v>4032</v>
      </c>
      <c r="Z136" s="234">
        <f t="shared" si="10"/>
        <v>24540</v>
      </c>
      <c r="AA136" s="234">
        <f t="shared" si="11"/>
        <v>189907.20000000001</v>
      </c>
      <c r="AB136" s="234">
        <f t="shared" si="12"/>
        <v>220860</v>
      </c>
      <c r="AC136" s="234">
        <f t="shared" si="13"/>
        <v>1899.0720000000001</v>
      </c>
      <c r="AD136" s="101">
        <f t="shared" si="14"/>
        <v>12663.528000000006</v>
      </c>
      <c r="AE136" s="101">
        <f t="shared" si="15"/>
        <v>43616.327999999994</v>
      </c>
      <c r="AF136" s="235">
        <f t="shared" ref="AF136:AG136" si="197">AD136/U136</f>
        <v>6.2815119047619078E-2</v>
      </c>
      <c r="AG136" s="235">
        <f t="shared" si="197"/>
        <v>0.17773564792176036</v>
      </c>
      <c r="AH136" s="212"/>
      <c r="AI136" s="213"/>
      <c r="AJ136" s="4"/>
      <c r="AK136" s="4"/>
      <c r="AL136" s="4"/>
      <c r="AM136" s="4"/>
      <c r="AN136" s="4"/>
      <c r="AO136" s="4"/>
      <c r="AP136" s="4"/>
      <c r="AQ136" s="4"/>
      <c r="AR136" s="4"/>
      <c r="AS136" s="4"/>
      <c r="AT136" s="4"/>
      <c r="AU136" s="4"/>
    </row>
    <row r="137" spans="1:47" ht="13.2">
      <c r="A137" s="302"/>
      <c r="B137" s="302"/>
      <c r="C137" s="302"/>
      <c r="D137" s="302"/>
      <c r="E137" s="302"/>
      <c r="F137" s="123" t="s">
        <v>402</v>
      </c>
      <c r="G137" s="237" t="str">
        <f t="shared" si="191"/>
        <v>A</v>
      </c>
      <c r="H137" s="125"/>
      <c r="I137" s="125">
        <v>872.34</v>
      </c>
      <c r="J137" s="82">
        <f t="shared" si="147"/>
        <v>4.4092452499999997</v>
      </c>
      <c r="K137" s="82">
        <f t="shared" si="192"/>
        <v>70.547923999999995</v>
      </c>
      <c r="L137" s="82">
        <v>2</v>
      </c>
      <c r="M137" s="125"/>
      <c r="N137" s="125"/>
      <c r="O137" s="230">
        <f t="shared" si="2"/>
        <v>872.34</v>
      </c>
      <c r="P137" s="231">
        <f t="shared" si="3"/>
        <v>165744.6</v>
      </c>
      <c r="Q137" s="232">
        <f>ROUNDUP(HLOOKUP(IF(CEILING(L137,0.5)&lt;1,1,CEILING(L137,0.5)),'배송비 조회'!A$32:AY$36,2,0),-2)</f>
        <v>9600</v>
      </c>
      <c r="R137" s="232">
        <v>0</v>
      </c>
      <c r="S137" s="231">
        <f t="shared" si="193"/>
        <v>26300</v>
      </c>
      <c r="T137" s="231">
        <f t="shared" si="194"/>
        <v>70100</v>
      </c>
      <c r="U137" s="233">
        <f t="shared" si="142"/>
        <v>201600</v>
      </c>
      <c r="V137" s="233">
        <f t="shared" si="7"/>
        <v>245400</v>
      </c>
      <c r="W137" s="234">
        <v>0</v>
      </c>
      <c r="X137" s="234">
        <f t="shared" si="8"/>
        <v>7660.8</v>
      </c>
      <c r="Y137" s="234">
        <f t="shared" si="9"/>
        <v>4032</v>
      </c>
      <c r="Z137" s="234">
        <f t="shared" si="10"/>
        <v>24540</v>
      </c>
      <c r="AA137" s="234">
        <f t="shared" si="11"/>
        <v>189907.20000000001</v>
      </c>
      <c r="AB137" s="234">
        <f t="shared" si="12"/>
        <v>220860</v>
      </c>
      <c r="AC137" s="234">
        <f t="shared" si="13"/>
        <v>1899.0720000000001</v>
      </c>
      <c r="AD137" s="101">
        <f t="shared" si="14"/>
        <v>12663.528000000006</v>
      </c>
      <c r="AE137" s="101">
        <f t="shared" si="15"/>
        <v>43616.327999999994</v>
      </c>
      <c r="AF137" s="235">
        <f t="shared" ref="AF137:AG137" si="198">AD137/U137</f>
        <v>6.2815119047619078E-2</v>
      </c>
      <c r="AG137" s="235">
        <f t="shared" si="198"/>
        <v>0.17773564792176036</v>
      </c>
      <c r="AH137" s="212"/>
      <c r="AI137" s="213"/>
      <c r="AJ137" s="4"/>
      <c r="AK137" s="4"/>
      <c r="AL137" s="4"/>
      <c r="AM137" s="4"/>
      <c r="AN137" s="4"/>
      <c r="AO137" s="4"/>
      <c r="AP137" s="4"/>
      <c r="AQ137" s="4"/>
      <c r="AR137" s="4"/>
      <c r="AS137" s="4"/>
      <c r="AT137" s="4"/>
      <c r="AU137" s="4"/>
    </row>
    <row r="138" spans="1:47" ht="13.2">
      <c r="A138" s="163" t="str">
        <f>HYPERLINK("https://smartstore.naver.com/brickstore2019/products/4749026802","4749026802")</f>
        <v>4749026802</v>
      </c>
      <c r="B138" s="120"/>
      <c r="C138" s="117" t="s">
        <v>404</v>
      </c>
      <c r="D138" s="117"/>
      <c r="E138" s="117"/>
      <c r="F138" s="123"/>
      <c r="G138" s="124" t="str">
        <f>HYPERLINK("https://item.taobao.com/item.htm?spm=a230r.1.14.86.715e7a524fghF8&amp;id=42751683623&amp;ns=1&amp;abbucket=13#detail","T")</f>
        <v>T</v>
      </c>
      <c r="H138" s="125"/>
      <c r="I138" s="125">
        <v>70</v>
      </c>
      <c r="J138" s="82">
        <f t="shared" si="147"/>
        <v>2.1875</v>
      </c>
      <c r="K138" s="82">
        <v>35</v>
      </c>
      <c r="L138" s="82">
        <f t="shared" ref="L138:L1009" si="199">IF(J138&gt;0,J138*0.453592,IF(K138&gt;0,K138*0.02835,))</f>
        <v>0.99223249999999996</v>
      </c>
      <c r="M138" s="125">
        <v>0</v>
      </c>
      <c r="N138" s="125">
        <v>0</v>
      </c>
      <c r="O138" s="230">
        <f t="shared" si="2"/>
        <v>70</v>
      </c>
      <c r="P138" s="231">
        <f t="shared" si="3"/>
        <v>13300</v>
      </c>
      <c r="Q138" s="232">
        <f>ROUNDUP(HLOOKUP(IF(CEILING(L138,0.5)&lt;1,1,CEILING(L138,0.5)),'배송비 조회'!A$32:AY$36,2,0),-2)</f>
        <v>8000</v>
      </c>
      <c r="R138" s="232">
        <v>0</v>
      </c>
      <c r="S138" s="231">
        <f>ROUND((P138+Q138)*0.32,-2)</f>
        <v>6800</v>
      </c>
      <c r="T138" s="231">
        <f t="shared" ref="T138:T1009" si="200">ROUND((P138+Q138)*0.7,-2)</f>
        <v>14900</v>
      </c>
      <c r="U138" s="233">
        <f t="shared" si="142"/>
        <v>28100</v>
      </c>
      <c r="V138" s="233">
        <f t="shared" si="7"/>
        <v>36200</v>
      </c>
      <c r="W138" s="234">
        <v>0</v>
      </c>
      <c r="X138" s="234">
        <f t="shared" si="8"/>
        <v>1067.8</v>
      </c>
      <c r="Y138" s="234">
        <f t="shared" si="9"/>
        <v>562</v>
      </c>
      <c r="Z138" s="234">
        <f t="shared" si="10"/>
        <v>3620</v>
      </c>
      <c r="AA138" s="234">
        <f t="shared" si="11"/>
        <v>26470.2</v>
      </c>
      <c r="AB138" s="234">
        <f t="shared" si="12"/>
        <v>32580</v>
      </c>
      <c r="AC138" s="234">
        <f t="shared" si="13"/>
        <v>264.702</v>
      </c>
      <c r="AD138" s="101">
        <f t="shared" si="14"/>
        <v>4905.4980000000014</v>
      </c>
      <c r="AE138" s="101">
        <f t="shared" si="15"/>
        <v>11015.298000000001</v>
      </c>
      <c r="AF138" s="235">
        <f t="shared" ref="AF138:AG138" si="201">AD138/U138</f>
        <v>0.17457288256227763</v>
      </c>
      <c r="AG138" s="235">
        <f t="shared" si="201"/>
        <v>0.30429</v>
      </c>
      <c r="AH138" s="215">
        <v>10000</v>
      </c>
      <c r="AI138" s="212">
        <f t="shared" ref="AI138:AI179" si="202">U138-AH138</f>
        <v>18100</v>
      </c>
      <c r="AJ138" s="4"/>
      <c r="AK138" s="4"/>
      <c r="AL138" s="4"/>
      <c r="AM138" s="4"/>
      <c r="AN138" s="4"/>
      <c r="AO138" s="4"/>
      <c r="AP138" s="4"/>
      <c r="AQ138" s="4"/>
      <c r="AR138" s="4"/>
      <c r="AS138" s="4"/>
      <c r="AT138" s="4"/>
      <c r="AU138" s="4"/>
    </row>
    <row r="139" spans="1:47" ht="13.2">
      <c r="A139" s="350" t="str">
        <f>HYPERLINK("https://smartstore.naver.com/brickstore2019/products/4763555885","4763555885")</f>
        <v>4763555885</v>
      </c>
      <c r="B139" s="113"/>
      <c r="C139" s="304" t="s">
        <v>405</v>
      </c>
      <c r="D139" s="117"/>
      <c r="E139" s="117"/>
      <c r="F139" s="123" t="s">
        <v>406</v>
      </c>
      <c r="G139" s="237" t="str">
        <f>HYPERLINK("https://detail.tmall.com/item.htm?spm=a230r.1.14.20.1fe449ecnz9iCf&amp;id=604357934536&amp;ns=1&amp;abbucket=7&amp;skuId=4404521139055","A")</f>
        <v>A</v>
      </c>
      <c r="H139" s="125"/>
      <c r="I139" s="125">
        <v>300</v>
      </c>
      <c r="J139" s="82">
        <f t="shared" si="147"/>
        <v>2.1875</v>
      </c>
      <c r="K139" s="82">
        <v>35</v>
      </c>
      <c r="L139" s="82">
        <f t="shared" si="199"/>
        <v>0.99223249999999996</v>
      </c>
      <c r="M139" s="125">
        <v>0</v>
      </c>
      <c r="N139" s="125">
        <v>0</v>
      </c>
      <c r="O139" s="230">
        <f t="shared" si="2"/>
        <v>300</v>
      </c>
      <c r="P139" s="231">
        <f t="shared" si="3"/>
        <v>57000</v>
      </c>
      <c r="Q139" s="232">
        <f>ROUNDUP(HLOOKUP(IF(CEILING(L139,0.5)&lt;1,1,CEILING(L139,0.5)),'배송비 조회'!A$32:AY$36,2,0),-2)</f>
        <v>8000</v>
      </c>
      <c r="R139" s="232">
        <v>0</v>
      </c>
      <c r="S139" s="231">
        <f t="shared" ref="S139:S141" si="203">ROUND((P139+Q139)*0.2,-2)</f>
        <v>13000</v>
      </c>
      <c r="T139" s="231">
        <f t="shared" si="200"/>
        <v>45500</v>
      </c>
      <c r="U139" s="233">
        <f t="shared" si="142"/>
        <v>78000</v>
      </c>
      <c r="V139" s="233">
        <f t="shared" si="7"/>
        <v>110500</v>
      </c>
      <c r="W139" s="234">
        <v>0</v>
      </c>
      <c r="X139" s="234">
        <f t="shared" si="8"/>
        <v>2964</v>
      </c>
      <c r="Y139" s="234">
        <f t="shared" si="9"/>
        <v>1560</v>
      </c>
      <c r="Z139" s="234">
        <f t="shared" si="10"/>
        <v>11050</v>
      </c>
      <c r="AA139" s="234">
        <f t="shared" si="11"/>
        <v>73476</v>
      </c>
      <c r="AB139" s="234">
        <f t="shared" si="12"/>
        <v>99450</v>
      </c>
      <c r="AC139" s="234">
        <f t="shared" si="13"/>
        <v>734.76</v>
      </c>
      <c r="AD139" s="101">
        <f t="shared" si="14"/>
        <v>7741.24</v>
      </c>
      <c r="AE139" s="101">
        <f t="shared" si="15"/>
        <v>33715.24</v>
      </c>
      <c r="AF139" s="235">
        <f t="shared" ref="AF139:AG139" si="204">AD139/U139</f>
        <v>9.9246666666666664E-2</v>
      </c>
      <c r="AG139" s="235">
        <f t="shared" si="204"/>
        <v>0.30511529411764704</v>
      </c>
      <c r="AH139" s="215">
        <v>15000</v>
      </c>
      <c r="AI139" s="212">
        <f t="shared" si="202"/>
        <v>63000</v>
      </c>
      <c r="AJ139" s="4"/>
      <c r="AK139" s="4"/>
      <c r="AL139" s="4"/>
      <c r="AM139" s="4"/>
      <c r="AN139" s="4"/>
      <c r="AO139" s="4"/>
      <c r="AP139" s="4"/>
      <c r="AQ139" s="4"/>
      <c r="AR139" s="4"/>
      <c r="AS139" s="4"/>
      <c r="AT139" s="4"/>
      <c r="AU139" s="4"/>
    </row>
    <row r="140" spans="1:47" ht="13.2">
      <c r="A140" s="302"/>
      <c r="B140" s="113"/>
      <c r="C140" s="302"/>
      <c r="D140" s="117"/>
      <c r="E140" s="117"/>
      <c r="F140" s="123" t="s">
        <v>409</v>
      </c>
      <c r="G140" s="237" t="str">
        <f>HYPERLINK("https://detail.tmall.com/item.htm?spm=a230r.1.14.20.1fe449ecnz9iCf&amp;id=604357934536&amp;ns=1&amp;abbucket=7&amp;skuId=4404521139056","A")</f>
        <v>A</v>
      </c>
      <c r="H140" s="125"/>
      <c r="I140" s="125">
        <v>350</v>
      </c>
      <c r="J140" s="82">
        <f t="shared" si="147"/>
        <v>2.1875</v>
      </c>
      <c r="K140" s="82">
        <v>35</v>
      </c>
      <c r="L140" s="82">
        <f t="shared" si="199"/>
        <v>0.99223249999999996</v>
      </c>
      <c r="M140" s="125">
        <v>0</v>
      </c>
      <c r="N140" s="125">
        <v>0</v>
      </c>
      <c r="O140" s="230">
        <f t="shared" si="2"/>
        <v>350</v>
      </c>
      <c r="P140" s="231">
        <f t="shared" si="3"/>
        <v>66500</v>
      </c>
      <c r="Q140" s="232">
        <f>ROUNDUP(HLOOKUP(IF(CEILING(L140,0.5)&lt;1,1,CEILING(L140,0.5)),'배송비 조회'!A$32:AY$36,2,0),-2)</f>
        <v>8000</v>
      </c>
      <c r="R140" s="232">
        <v>0</v>
      </c>
      <c r="S140" s="231">
        <f t="shared" si="203"/>
        <v>14900</v>
      </c>
      <c r="T140" s="231">
        <f t="shared" si="200"/>
        <v>52200</v>
      </c>
      <c r="U140" s="233">
        <f t="shared" si="142"/>
        <v>89400</v>
      </c>
      <c r="V140" s="233">
        <f t="shared" si="7"/>
        <v>126700</v>
      </c>
      <c r="W140" s="234">
        <v>0</v>
      </c>
      <c r="X140" s="234">
        <f t="shared" si="8"/>
        <v>3397.2</v>
      </c>
      <c r="Y140" s="234">
        <f t="shared" si="9"/>
        <v>1788</v>
      </c>
      <c r="Z140" s="234">
        <f t="shared" si="10"/>
        <v>12670</v>
      </c>
      <c r="AA140" s="234">
        <f t="shared" si="11"/>
        <v>84214.8</v>
      </c>
      <c r="AB140" s="234">
        <f t="shared" si="12"/>
        <v>114030</v>
      </c>
      <c r="AC140" s="234">
        <f t="shared" si="13"/>
        <v>842.14800000000002</v>
      </c>
      <c r="AD140" s="101">
        <f t="shared" si="14"/>
        <v>8872.6520000000019</v>
      </c>
      <c r="AE140" s="101">
        <f t="shared" si="15"/>
        <v>38687.851999999999</v>
      </c>
      <c r="AF140" s="235">
        <f t="shared" ref="AF140:AG140" si="205">AD140/U140</f>
        <v>9.9246666666666691E-2</v>
      </c>
      <c r="AG140" s="235">
        <f t="shared" si="205"/>
        <v>0.3053500552486188</v>
      </c>
      <c r="AH140" s="215">
        <v>15000</v>
      </c>
      <c r="AI140" s="212">
        <f t="shared" si="202"/>
        <v>74400</v>
      </c>
      <c r="AJ140" s="16">
        <f>AI140-AI139</f>
        <v>11400</v>
      </c>
      <c r="AK140" s="4"/>
      <c r="AL140" s="4"/>
      <c r="AM140" s="4"/>
      <c r="AN140" s="4"/>
      <c r="AO140" s="4"/>
      <c r="AP140" s="4"/>
      <c r="AQ140" s="4"/>
      <c r="AR140" s="4"/>
      <c r="AS140" s="4"/>
      <c r="AT140" s="4"/>
      <c r="AU140" s="4"/>
    </row>
    <row r="141" spans="1:47" ht="13.2">
      <c r="A141" s="350" t="str">
        <f>HYPERLINK("https://smartstore.naver.com/brickstore2019/products/4764764662","4764764662")</f>
        <v>4764764662</v>
      </c>
      <c r="B141" s="113"/>
      <c r="C141" s="304" t="s">
        <v>413</v>
      </c>
      <c r="D141" s="117"/>
      <c r="E141" s="117"/>
      <c r="F141" s="123" t="s">
        <v>414</v>
      </c>
      <c r="G141" s="237" t="str">
        <f t="shared" ref="G141:G145" si="206">HYPERLINK("https://item.taobao.com/item.htm?spm=a230r.1.999.1.66f4523cDscmoV&amp;id=566303899120&amp;ns=1#detail","A")</f>
        <v>A</v>
      </c>
      <c r="H141" s="125"/>
      <c r="I141" s="125">
        <v>240</v>
      </c>
      <c r="J141" s="82">
        <f t="shared" si="147"/>
        <v>2.1875</v>
      </c>
      <c r="K141" s="82">
        <v>35</v>
      </c>
      <c r="L141" s="82">
        <f t="shared" si="199"/>
        <v>0.99223249999999996</v>
      </c>
      <c r="M141" s="125">
        <v>0</v>
      </c>
      <c r="N141" s="125">
        <v>0</v>
      </c>
      <c r="O141" s="230">
        <f t="shared" si="2"/>
        <v>240</v>
      </c>
      <c r="P141" s="231">
        <f t="shared" si="3"/>
        <v>45600</v>
      </c>
      <c r="Q141" s="232">
        <f>ROUNDUP(HLOOKUP(IF(CEILING(L141,0.5)&lt;1,1,CEILING(L141,0.5)),'배송비 조회'!A$32:AY$36,2,0),-2)</f>
        <v>8000</v>
      </c>
      <c r="R141" s="232">
        <v>0</v>
      </c>
      <c r="S141" s="231">
        <f t="shared" si="203"/>
        <v>10700</v>
      </c>
      <c r="T141" s="231">
        <f t="shared" si="200"/>
        <v>37500</v>
      </c>
      <c r="U141" s="233">
        <f t="shared" si="142"/>
        <v>64300</v>
      </c>
      <c r="V141" s="233">
        <f t="shared" si="7"/>
        <v>91100</v>
      </c>
      <c r="W141" s="234">
        <v>0</v>
      </c>
      <c r="X141" s="234">
        <f t="shared" si="8"/>
        <v>2443.4</v>
      </c>
      <c r="Y141" s="234">
        <f t="shared" si="9"/>
        <v>1286</v>
      </c>
      <c r="Z141" s="234">
        <f t="shared" si="10"/>
        <v>9110</v>
      </c>
      <c r="AA141" s="234">
        <f t="shared" si="11"/>
        <v>60570.6</v>
      </c>
      <c r="AB141" s="234">
        <f t="shared" si="12"/>
        <v>81990</v>
      </c>
      <c r="AC141" s="234">
        <f t="shared" si="13"/>
        <v>605.70600000000002</v>
      </c>
      <c r="AD141" s="101">
        <f t="shared" si="14"/>
        <v>6364.8939999999984</v>
      </c>
      <c r="AE141" s="101">
        <f t="shared" si="15"/>
        <v>27784.294000000002</v>
      </c>
      <c r="AF141" s="235">
        <f t="shared" ref="AF141:AG141" si="207">AD141/U141</f>
        <v>9.8987465007776027E-2</v>
      </c>
      <c r="AG141" s="235">
        <f t="shared" si="207"/>
        <v>0.30498676180021955</v>
      </c>
      <c r="AH141" s="215">
        <v>10000</v>
      </c>
      <c r="AI141" s="212">
        <f t="shared" si="202"/>
        <v>54300</v>
      </c>
      <c r="AJ141" s="4"/>
      <c r="AK141" s="4"/>
      <c r="AL141" s="4"/>
      <c r="AM141" s="4"/>
      <c r="AN141" s="4"/>
      <c r="AO141" s="4"/>
      <c r="AP141" s="4"/>
      <c r="AQ141" s="4"/>
      <c r="AR141" s="4"/>
      <c r="AS141" s="4"/>
      <c r="AT141" s="4"/>
      <c r="AU141" s="4"/>
    </row>
    <row r="142" spans="1:47" ht="13.2">
      <c r="A142" s="302"/>
      <c r="B142" s="113"/>
      <c r="C142" s="302"/>
      <c r="D142" s="117"/>
      <c r="E142" s="117"/>
      <c r="F142" s="123" t="s">
        <v>415</v>
      </c>
      <c r="G142" s="237" t="str">
        <f t="shared" si="206"/>
        <v>A</v>
      </c>
      <c r="H142" s="125"/>
      <c r="I142" s="125">
        <v>255</v>
      </c>
      <c r="J142" s="82">
        <f t="shared" si="147"/>
        <v>2.1875</v>
      </c>
      <c r="K142" s="82">
        <v>35</v>
      </c>
      <c r="L142" s="82">
        <f t="shared" si="199"/>
        <v>0.99223249999999996</v>
      </c>
      <c r="M142" s="125">
        <v>0</v>
      </c>
      <c r="N142" s="125">
        <v>0</v>
      </c>
      <c r="O142" s="230">
        <f t="shared" si="2"/>
        <v>255</v>
      </c>
      <c r="P142" s="231">
        <f t="shared" si="3"/>
        <v>48450</v>
      </c>
      <c r="Q142" s="232">
        <f>ROUNDUP(HLOOKUP(IF(CEILING(L142,0.5)&lt;1,1,CEILING(L142,0.5)),'배송비 조회'!A$32:AY$36,2,0),-2)</f>
        <v>8000</v>
      </c>
      <c r="R142" s="232">
        <v>0</v>
      </c>
      <c r="S142" s="231">
        <f t="shared" ref="S142:S145" si="208">ROUND((P142+Q142)*0.25,-2)</f>
        <v>14100</v>
      </c>
      <c r="T142" s="231">
        <f t="shared" si="200"/>
        <v>39500</v>
      </c>
      <c r="U142" s="233">
        <f t="shared" si="142"/>
        <v>70600</v>
      </c>
      <c r="V142" s="233">
        <f t="shared" si="7"/>
        <v>96000</v>
      </c>
      <c r="W142" s="234">
        <v>0</v>
      </c>
      <c r="X142" s="234">
        <f t="shared" si="8"/>
        <v>2682.7999999999997</v>
      </c>
      <c r="Y142" s="234">
        <f t="shared" si="9"/>
        <v>1412</v>
      </c>
      <c r="Z142" s="234">
        <f t="shared" si="10"/>
        <v>9600</v>
      </c>
      <c r="AA142" s="234">
        <f t="shared" si="11"/>
        <v>66505.2</v>
      </c>
      <c r="AB142" s="234">
        <f t="shared" si="12"/>
        <v>86400</v>
      </c>
      <c r="AC142" s="234">
        <f t="shared" si="13"/>
        <v>665.05200000000002</v>
      </c>
      <c r="AD142" s="101">
        <f t="shared" si="14"/>
        <v>9390.1479999999974</v>
      </c>
      <c r="AE142" s="101">
        <f t="shared" si="15"/>
        <v>29284.948</v>
      </c>
      <c r="AF142" s="235">
        <f t="shared" ref="AF142:AG142" si="209">AD142/U142</f>
        <v>0.1330049291784702</v>
      </c>
      <c r="AG142" s="235">
        <f t="shared" si="209"/>
        <v>0.30505154166666665</v>
      </c>
      <c r="AH142" s="215">
        <v>10000</v>
      </c>
      <c r="AI142" s="212">
        <f t="shared" si="202"/>
        <v>60600</v>
      </c>
      <c r="AJ142" s="16">
        <f>AI142-AI141</f>
        <v>6300</v>
      </c>
      <c r="AK142" s="4"/>
      <c r="AL142" s="4"/>
      <c r="AM142" s="4"/>
      <c r="AN142" s="4"/>
      <c r="AO142" s="4"/>
      <c r="AP142" s="4"/>
      <c r="AQ142" s="4"/>
      <c r="AR142" s="4"/>
      <c r="AS142" s="4"/>
      <c r="AT142" s="4"/>
      <c r="AU142" s="4"/>
    </row>
    <row r="143" spans="1:47" ht="13.2">
      <c r="A143" s="302"/>
      <c r="B143" s="113"/>
      <c r="C143" s="302"/>
      <c r="D143" s="117"/>
      <c r="E143" s="117"/>
      <c r="F143" s="123" t="s">
        <v>115</v>
      </c>
      <c r="G143" s="237" t="str">
        <f t="shared" si="206"/>
        <v>A</v>
      </c>
      <c r="H143" s="125"/>
      <c r="I143" s="125">
        <v>290</v>
      </c>
      <c r="J143" s="82">
        <f t="shared" si="147"/>
        <v>2.1875</v>
      </c>
      <c r="K143" s="82">
        <v>35</v>
      </c>
      <c r="L143" s="82">
        <f t="shared" si="199"/>
        <v>0.99223249999999996</v>
      </c>
      <c r="M143" s="125">
        <v>0</v>
      </c>
      <c r="N143" s="125">
        <v>0</v>
      </c>
      <c r="O143" s="230">
        <f t="shared" si="2"/>
        <v>290</v>
      </c>
      <c r="P143" s="231">
        <f t="shared" si="3"/>
        <v>55100</v>
      </c>
      <c r="Q143" s="232">
        <f>ROUNDUP(HLOOKUP(IF(CEILING(L143,0.5)&lt;1,1,CEILING(L143,0.5)),'배송비 조회'!A$32:AY$36,2,0),-2)</f>
        <v>8000</v>
      </c>
      <c r="R143" s="232">
        <v>0</v>
      </c>
      <c r="S143" s="231">
        <f t="shared" si="208"/>
        <v>15800</v>
      </c>
      <c r="T143" s="231">
        <f t="shared" si="200"/>
        <v>44200</v>
      </c>
      <c r="U143" s="233">
        <f t="shared" si="142"/>
        <v>78900</v>
      </c>
      <c r="V143" s="233">
        <f t="shared" si="7"/>
        <v>107300</v>
      </c>
      <c r="W143" s="234">
        <v>0</v>
      </c>
      <c r="X143" s="234">
        <f t="shared" si="8"/>
        <v>2998.2</v>
      </c>
      <c r="Y143" s="234">
        <f t="shared" si="9"/>
        <v>1578</v>
      </c>
      <c r="Z143" s="234">
        <f t="shared" si="10"/>
        <v>10730</v>
      </c>
      <c r="AA143" s="234">
        <f t="shared" si="11"/>
        <v>74323.8</v>
      </c>
      <c r="AB143" s="234">
        <f t="shared" si="12"/>
        <v>96570</v>
      </c>
      <c r="AC143" s="234">
        <f t="shared" si="13"/>
        <v>743.23800000000006</v>
      </c>
      <c r="AD143" s="101">
        <f t="shared" si="14"/>
        <v>10480.562000000002</v>
      </c>
      <c r="AE143" s="101">
        <f t="shared" si="15"/>
        <v>32726.761999999999</v>
      </c>
      <c r="AF143" s="235">
        <f t="shared" ref="AF143:AG143" si="210">AD143/U143</f>
        <v>0.13283348542458812</v>
      </c>
      <c r="AG143" s="235">
        <f t="shared" si="210"/>
        <v>0.3050024417520969</v>
      </c>
      <c r="AH143" s="215">
        <v>10000</v>
      </c>
      <c r="AI143" s="212">
        <f t="shared" si="202"/>
        <v>68900</v>
      </c>
      <c r="AJ143" s="16">
        <f>AI143-AI141</f>
        <v>14600</v>
      </c>
      <c r="AK143" s="4"/>
      <c r="AL143" s="4"/>
      <c r="AM143" s="4"/>
      <c r="AN143" s="4"/>
      <c r="AO143" s="4"/>
      <c r="AP143" s="4"/>
      <c r="AQ143" s="4"/>
      <c r="AR143" s="4"/>
      <c r="AS143" s="4"/>
      <c r="AT143" s="4"/>
      <c r="AU143" s="4"/>
    </row>
    <row r="144" spans="1:47" ht="13.2">
      <c r="A144" s="302"/>
      <c r="B144" s="113"/>
      <c r="C144" s="302"/>
      <c r="D144" s="117"/>
      <c r="E144" s="117"/>
      <c r="F144" s="123" t="s">
        <v>418</v>
      </c>
      <c r="G144" s="237" t="str">
        <f t="shared" si="206"/>
        <v>A</v>
      </c>
      <c r="H144" s="125"/>
      <c r="I144" s="125">
        <v>300</v>
      </c>
      <c r="J144" s="82">
        <f t="shared" si="147"/>
        <v>2.1875</v>
      </c>
      <c r="K144" s="82">
        <v>35</v>
      </c>
      <c r="L144" s="82">
        <f t="shared" si="199"/>
        <v>0.99223249999999996</v>
      </c>
      <c r="M144" s="125">
        <v>0</v>
      </c>
      <c r="N144" s="125">
        <v>0</v>
      </c>
      <c r="O144" s="230">
        <f t="shared" si="2"/>
        <v>300</v>
      </c>
      <c r="P144" s="231">
        <f t="shared" si="3"/>
        <v>57000</v>
      </c>
      <c r="Q144" s="232">
        <f>ROUNDUP(HLOOKUP(IF(CEILING(L144,0.5)&lt;1,1,CEILING(L144,0.5)),'배송비 조회'!A$32:AY$36,2,0),-2)</f>
        <v>8000</v>
      </c>
      <c r="R144" s="232">
        <v>0</v>
      </c>
      <c r="S144" s="231">
        <f t="shared" si="208"/>
        <v>16300</v>
      </c>
      <c r="T144" s="231">
        <f t="shared" si="200"/>
        <v>45500</v>
      </c>
      <c r="U144" s="233">
        <f t="shared" si="142"/>
        <v>81300</v>
      </c>
      <c r="V144" s="233">
        <f t="shared" si="7"/>
        <v>110500</v>
      </c>
      <c r="W144" s="234">
        <v>0</v>
      </c>
      <c r="X144" s="234">
        <f t="shared" si="8"/>
        <v>3089.4</v>
      </c>
      <c r="Y144" s="234">
        <f t="shared" si="9"/>
        <v>1626</v>
      </c>
      <c r="Z144" s="234">
        <f t="shared" si="10"/>
        <v>11050</v>
      </c>
      <c r="AA144" s="234">
        <f t="shared" si="11"/>
        <v>76584.600000000006</v>
      </c>
      <c r="AB144" s="234">
        <f t="shared" si="12"/>
        <v>99450</v>
      </c>
      <c r="AC144" s="234">
        <f t="shared" si="13"/>
        <v>765.84600000000012</v>
      </c>
      <c r="AD144" s="101">
        <f t="shared" si="14"/>
        <v>10818.754000000004</v>
      </c>
      <c r="AE144" s="101">
        <f t="shared" si="15"/>
        <v>33684.154000000002</v>
      </c>
      <c r="AF144" s="235">
        <f t="shared" ref="AF144:AG144" si="211">AD144/U144</f>
        <v>0.13307200492004925</v>
      </c>
      <c r="AG144" s="235">
        <f t="shared" si="211"/>
        <v>0.30483397285067876</v>
      </c>
      <c r="AH144" s="215">
        <v>10000</v>
      </c>
      <c r="AI144" s="212">
        <f t="shared" si="202"/>
        <v>71300</v>
      </c>
      <c r="AJ144" s="16">
        <f>AI144-AI141</f>
        <v>17000</v>
      </c>
      <c r="AK144" s="4"/>
      <c r="AL144" s="4"/>
      <c r="AM144" s="4"/>
      <c r="AN144" s="4"/>
      <c r="AO144" s="4"/>
      <c r="AP144" s="4"/>
      <c r="AQ144" s="4"/>
      <c r="AR144" s="4"/>
      <c r="AS144" s="4"/>
      <c r="AT144" s="4"/>
      <c r="AU144" s="4"/>
    </row>
    <row r="145" spans="1:47" ht="13.2">
      <c r="A145" s="302"/>
      <c r="B145" s="113"/>
      <c r="C145" s="302"/>
      <c r="D145" s="117"/>
      <c r="E145" s="117"/>
      <c r="F145" s="123" t="s">
        <v>419</v>
      </c>
      <c r="G145" s="237" t="str">
        <f t="shared" si="206"/>
        <v>A</v>
      </c>
      <c r="H145" s="125"/>
      <c r="I145" s="125">
        <v>320</v>
      </c>
      <c r="J145" s="82">
        <f t="shared" si="147"/>
        <v>2.1875</v>
      </c>
      <c r="K145" s="82">
        <v>35</v>
      </c>
      <c r="L145" s="82">
        <f t="shared" si="199"/>
        <v>0.99223249999999996</v>
      </c>
      <c r="M145" s="125">
        <v>0</v>
      </c>
      <c r="N145" s="125">
        <v>0</v>
      </c>
      <c r="O145" s="230">
        <f t="shared" si="2"/>
        <v>320</v>
      </c>
      <c r="P145" s="231">
        <f t="shared" si="3"/>
        <v>60800</v>
      </c>
      <c r="Q145" s="232">
        <f>ROUNDUP(HLOOKUP(IF(CEILING(L145,0.5)&lt;1,1,CEILING(L145,0.5)),'배송비 조회'!A$32:AY$36,2,0),-2)</f>
        <v>8000</v>
      </c>
      <c r="R145" s="232">
        <v>0</v>
      </c>
      <c r="S145" s="231">
        <f t="shared" si="208"/>
        <v>17200</v>
      </c>
      <c r="T145" s="231">
        <f t="shared" si="200"/>
        <v>48200</v>
      </c>
      <c r="U145" s="233">
        <f t="shared" si="142"/>
        <v>86000</v>
      </c>
      <c r="V145" s="233">
        <f t="shared" si="7"/>
        <v>117000</v>
      </c>
      <c r="W145" s="234">
        <v>0</v>
      </c>
      <c r="X145" s="234">
        <f t="shared" si="8"/>
        <v>3268</v>
      </c>
      <c r="Y145" s="234">
        <f t="shared" si="9"/>
        <v>1720</v>
      </c>
      <c r="Z145" s="234">
        <f t="shared" si="10"/>
        <v>11700</v>
      </c>
      <c r="AA145" s="234">
        <f t="shared" si="11"/>
        <v>81012</v>
      </c>
      <c r="AB145" s="234">
        <f t="shared" si="12"/>
        <v>105300</v>
      </c>
      <c r="AC145" s="234">
        <f t="shared" si="13"/>
        <v>810.12</v>
      </c>
      <c r="AD145" s="101">
        <f t="shared" si="14"/>
        <v>11401.880000000001</v>
      </c>
      <c r="AE145" s="101">
        <f t="shared" si="15"/>
        <v>35689.879999999997</v>
      </c>
      <c r="AF145" s="235">
        <f t="shared" ref="AF145:AG145" si="212">AD145/U145</f>
        <v>0.13258</v>
      </c>
      <c r="AG145" s="235">
        <f t="shared" si="212"/>
        <v>0.30504170940170938</v>
      </c>
      <c r="AH145" s="215">
        <v>10000</v>
      </c>
      <c r="AI145" s="212">
        <f t="shared" si="202"/>
        <v>76000</v>
      </c>
      <c r="AJ145" s="16">
        <f>AI145-AI141</f>
        <v>21700</v>
      </c>
      <c r="AK145" s="4"/>
      <c r="AL145" s="4"/>
      <c r="AM145" s="4"/>
      <c r="AN145" s="4"/>
      <c r="AO145" s="4"/>
      <c r="AP145" s="4"/>
      <c r="AQ145" s="4"/>
      <c r="AR145" s="4"/>
      <c r="AS145" s="4"/>
      <c r="AT145" s="4"/>
      <c r="AU145" s="4"/>
    </row>
    <row r="146" spans="1:47" ht="13.2">
      <c r="A146" s="163" t="str">
        <f>HYPERLINK("https://smartstore.naver.com/brickstore2019/products/4765955770","4765955770")</f>
        <v>4765955770</v>
      </c>
      <c r="B146" s="113"/>
      <c r="C146" s="117" t="s">
        <v>422</v>
      </c>
      <c r="D146" s="117"/>
      <c r="E146" s="117"/>
      <c r="F146" s="123"/>
      <c r="G146" s="237" t="str">
        <f>HYPERLINK("https://detail.tmall.com/item.htm?spm=a230r.1.999.1.3021523cBrJGfJ&amp;id=551113051104&amp;ns=1","A")</f>
        <v>A</v>
      </c>
      <c r="H146" s="125"/>
      <c r="I146" s="125">
        <v>15</v>
      </c>
      <c r="J146" s="82">
        <f t="shared" si="147"/>
        <v>2.1875</v>
      </c>
      <c r="K146" s="82">
        <v>35</v>
      </c>
      <c r="L146" s="82">
        <f t="shared" si="199"/>
        <v>0.99223249999999996</v>
      </c>
      <c r="M146" s="125">
        <v>0</v>
      </c>
      <c r="N146" s="125">
        <v>0</v>
      </c>
      <c r="O146" s="230">
        <f t="shared" si="2"/>
        <v>15</v>
      </c>
      <c r="P146" s="231">
        <f t="shared" si="3"/>
        <v>2850</v>
      </c>
      <c r="Q146" s="232">
        <f>ROUNDUP(HLOOKUP(IF(CEILING(L146,0.5)&lt;1,1,CEILING(L146,0.5)),'배송비 조회'!A$32:AY$36,2,0),-2)</f>
        <v>8000</v>
      </c>
      <c r="R146" s="232">
        <v>0</v>
      </c>
      <c r="S146" s="231">
        <f>ROUND((P146+Q146)*0.4,-2)</f>
        <v>4300</v>
      </c>
      <c r="T146" s="231">
        <f t="shared" si="200"/>
        <v>7600</v>
      </c>
      <c r="U146" s="233">
        <f t="shared" si="142"/>
        <v>15200</v>
      </c>
      <c r="V146" s="233">
        <f t="shared" si="7"/>
        <v>18500</v>
      </c>
      <c r="W146" s="234">
        <v>0</v>
      </c>
      <c r="X146" s="234">
        <f t="shared" si="8"/>
        <v>577.6</v>
      </c>
      <c r="Y146" s="234">
        <f t="shared" si="9"/>
        <v>304</v>
      </c>
      <c r="Z146" s="234">
        <f t="shared" si="10"/>
        <v>1850</v>
      </c>
      <c r="AA146" s="234">
        <f t="shared" si="11"/>
        <v>14318.4</v>
      </c>
      <c r="AB146" s="234">
        <f t="shared" si="12"/>
        <v>16650</v>
      </c>
      <c r="AC146" s="234">
        <f t="shared" si="13"/>
        <v>143.184</v>
      </c>
      <c r="AD146" s="101">
        <f t="shared" si="14"/>
        <v>3325.2160000000003</v>
      </c>
      <c r="AE146" s="101">
        <f t="shared" si="15"/>
        <v>5656.8159999999998</v>
      </c>
      <c r="AF146" s="235">
        <f t="shared" ref="AF146:AG146" si="213">AD146/U146</f>
        <v>0.21876421052631581</v>
      </c>
      <c r="AG146" s="235">
        <f t="shared" si="213"/>
        <v>0.30577383783783785</v>
      </c>
      <c r="AH146" s="215">
        <v>10000</v>
      </c>
      <c r="AI146" s="212">
        <f t="shared" si="202"/>
        <v>5200</v>
      </c>
      <c r="AJ146" s="4"/>
      <c r="AK146" s="4"/>
      <c r="AL146" s="4"/>
      <c r="AM146" s="4"/>
      <c r="AN146" s="4"/>
      <c r="AO146" s="4"/>
      <c r="AP146" s="4"/>
      <c r="AQ146" s="4"/>
      <c r="AR146" s="4"/>
      <c r="AS146" s="4"/>
      <c r="AT146" s="4"/>
      <c r="AU146" s="4"/>
    </row>
    <row r="147" spans="1:47" ht="13.2">
      <c r="A147" s="350" t="str">
        <f>HYPERLINK("https://smartstore.naver.com/brickstore2019/products/4769701292","4769701292")</f>
        <v>4769701292</v>
      </c>
      <c r="B147" s="113"/>
      <c r="C147" s="304" t="s">
        <v>424</v>
      </c>
      <c r="D147" s="117"/>
      <c r="E147" s="117"/>
      <c r="F147" s="123" t="s">
        <v>425</v>
      </c>
      <c r="G147" s="237" t="str">
        <f>HYPERLINK("https://detail.tmall.com/item.htm?spm=a230r.1.14.6.5cdf1ae7shIjM8&amp;id=586101427815&amp;cm_id=140105335569ed55e27b&amp;abbucket=7&amp;skuId=3974024429620","A")</f>
        <v>A</v>
      </c>
      <c r="H147" s="125"/>
      <c r="I147" s="125">
        <v>20</v>
      </c>
      <c r="J147" s="82">
        <f t="shared" si="147"/>
        <v>2.1875</v>
      </c>
      <c r="K147" s="82">
        <v>35</v>
      </c>
      <c r="L147" s="82">
        <f t="shared" si="199"/>
        <v>0.99223249999999996</v>
      </c>
      <c r="M147" s="125">
        <v>0</v>
      </c>
      <c r="N147" s="125">
        <v>0</v>
      </c>
      <c r="O147" s="230">
        <f t="shared" si="2"/>
        <v>20</v>
      </c>
      <c r="P147" s="231">
        <f t="shared" si="3"/>
        <v>3800</v>
      </c>
      <c r="Q147" s="232">
        <f>ROUNDUP(HLOOKUP(IF(CEILING(L147,0.5)&lt;1,1,CEILING(L147,0.5)),'배송비 조회'!A$32:AY$36,2,0),-2)</f>
        <v>8000</v>
      </c>
      <c r="R147" s="232">
        <v>0</v>
      </c>
      <c r="S147" s="231">
        <f t="shared" ref="S147:S154" si="214">ROUND((P147+Q147)*0.5,-2)</f>
        <v>5900</v>
      </c>
      <c r="T147" s="231">
        <f t="shared" si="200"/>
        <v>8300</v>
      </c>
      <c r="U147" s="233">
        <f t="shared" si="142"/>
        <v>17700</v>
      </c>
      <c r="V147" s="233">
        <f t="shared" si="7"/>
        <v>20100</v>
      </c>
      <c r="W147" s="234">
        <v>0</v>
      </c>
      <c r="X147" s="234">
        <f t="shared" si="8"/>
        <v>672.6</v>
      </c>
      <c r="Y147" s="234">
        <f t="shared" si="9"/>
        <v>354</v>
      </c>
      <c r="Z147" s="234">
        <f t="shared" si="10"/>
        <v>2010</v>
      </c>
      <c r="AA147" s="234">
        <f t="shared" si="11"/>
        <v>16673.400000000001</v>
      </c>
      <c r="AB147" s="234">
        <f t="shared" si="12"/>
        <v>18090</v>
      </c>
      <c r="AC147" s="234">
        <f t="shared" si="13"/>
        <v>166.73400000000001</v>
      </c>
      <c r="AD147" s="101">
        <f t="shared" si="14"/>
        <v>4706.6660000000011</v>
      </c>
      <c r="AE147" s="101">
        <f t="shared" si="15"/>
        <v>6123.2659999999996</v>
      </c>
      <c r="AF147" s="235">
        <f t="shared" ref="AF147:AG147" si="215">AD147/U147</f>
        <v>0.26591333333333339</v>
      </c>
      <c r="AG147" s="235">
        <f t="shared" si="215"/>
        <v>0.30464009950248755</v>
      </c>
      <c r="AH147" s="215">
        <v>10000</v>
      </c>
      <c r="AI147" s="212">
        <f t="shared" si="202"/>
        <v>7700</v>
      </c>
      <c r="AJ147" s="4"/>
      <c r="AK147" s="4"/>
      <c r="AL147" s="4"/>
      <c r="AM147" s="4"/>
      <c r="AN147" s="4"/>
      <c r="AO147" s="4"/>
      <c r="AP147" s="4"/>
      <c r="AQ147" s="4"/>
      <c r="AR147" s="4"/>
      <c r="AS147" s="4"/>
      <c r="AT147" s="4"/>
      <c r="AU147" s="4"/>
    </row>
    <row r="148" spans="1:47" ht="13.2">
      <c r="A148" s="302"/>
      <c r="B148" s="113"/>
      <c r="C148" s="302"/>
      <c r="D148" s="117"/>
      <c r="E148" s="117"/>
      <c r="F148" s="123" t="s">
        <v>426</v>
      </c>
      <c r="G148" s="237" t="str">
        <f>HYPERLINK("https://detail.tmall.com/item.htm?spm=a230r.1.14.6.5cdf1ae7shIjM8&amp;id=586101427815&amp;cm_id=140105335569ed55e27b&amp;abbucket=7&amp;skuId=3974024429621","A")</f>
        <v>A</v>
      </c>
      <c r="H148" s="125"/>
      <c r="I148" s="125">
        <v>25</v>
      </c>
      <c r="J148" s="82">
        <f t="shared" si="147"/>
        <v>2.1875</v>
      </c>
      <c r="K148" s="82">
        <v>35</v>
      </c>
      <c r="L148" s="82">
        <f t="shared" si="199"/>
        <v>0.99223249999999996</v>
      </c>
      <c r="M148" s="125">
        <v>0</v>
      </c>
      <c r="N148" s="125">
        <v>0</v>
      </c>
      <c r="O148" s="230">
        <f t="shared" si="2"/>
        <v>25</v>
      </c>
      <c r="P148" s="231">
        <f t="shared" si="3"/>
        <v>4750</v>
      </c>
      <c r="Q148" s="232">
        <f>ROUNDUP(HLOOKUP(IF(CEILING(L148,0.5)&lt;1,1,CEILING(L148,0.5)),'배송비 조회'!A$32:AY$36,2,0),-2)</f>
        <v>8000</v>
      </c>
      <c r="R148" s="232">
        <v>0</v>
      </c>
      <c r="S148" s="231">
        <f t="shared" si="214"/>
        <v>6400</v>
      </c>
      <c r="T148" s="231">
        <f t="shared" si="200"/>
        <v>8900</v>
      </c>
      <c r="U148" s="233">
        <f t="shared" si="142"/>
        <v>19200</v>
      </c>
      <c r="V148" s="233">
        <f t="shared" si="7"/>
        <v>21700</v>
      </c>
      <c r="W148" s="234">
        <v>0</v>
      </c>
      <c r="X148" s="234">
        <f t="shared" si="8"/>
        <v>729.6</v>
      </c>
      <c r="Y148" s="234">
        <f t="shared" si="9"/>
        <v>384</v>
      </c>
      <c r="Z148" s="234">
        <f t="shared" si="10"/>
        <v>2170</v>
      </c>
      <c r="AA148" s="234">
        <f t="shared" si="11"/>
        <v>18086.400000000001</v>
      </c>
      <c r="AB148" s="234">
        <f t="shared" si="12"/>
        <v>19530</v>
      </c>
      <c r="AC148" s="234">
        <f t="shared" si="13"/>
        <v>180.864</v>
      </c>
      <c r="AD148" s="101">
        <f t="shared" si="14"/>
        <v>5155.5360000000019</v>
      </c>
      <c r="AE148" s="101">
        <f t="shared" si="15"/>
        <v>6599.1360000000004</v>
      </c>
      <c r="AF148" s="235">
        <f t="shared" ref="AF148:AG148" si="216">AD148/U148</f>
        <v>0.26851750000000008</v>
      </c>
      <c r="AG148" s="235">
        <f t="shared" si="216"/>
        <v>0.30410764976958526</v>
      </c>
      <c r="AH148" s="215">
        <v>10000</v>
      </c>
      <c r="AI148" s="212">
        <f t="shared" si="202"/>
        <v>9200</v>
      </c>
      <c r="AJ148" s="16">
        <f>AI148-AI147</f>
        <v>1500</v>
      </c>
      <c r="AK148" s="4"/>
      <c r="AL148" s="4"/>
      <c r="AM148" s="4"/>
      <c r="AN148" s="4"/>
      <c r="AO148" s="4"/>
      <c r="AP148" s="4"/>
      <c r="AQ148" s="4"/>
      <c r="AR148" s="4"/>
      <c r="AS148" s="4"/>
      <c r="AT148" s="4"/>
      <c r="AU148" s="4"/>
    </row>
    <row r="149" spans="1:47" ht="13.2">
      <c r="A149" s="302"/>
      <c r="B149" s="113"/>
      <c r="C149" s="302"/>
      <c r="D149" s="117"/>
      <c r="E149" s="117"/>
      <c r="F149" s="123" t="s">
        <v>428</v>
      </c>
      <c r="G149" s="237" t="str">
        <f>HYPERLINK("https://detail.tmall.com/item.htm?spm=a230r.1.14.6.5cdf1ae7shIjM8&amp;id=586101427815&amp;cm_id=140105335569ed55e27b&amp;abbucket=7&amp;skuId=3974024429622","A")</f>
        <v>A</v>
      </c>
      <c r="H149" s="125"/>
      <c r="I149" s="125">
        <v>30</v>
      </c>
      <c r="J149" s="82">
        <f t="shared" si="147"/>
        <v>2.1875</v>
      </c>
      <c r="K149" s="82">
        <v>35</v>
      </c>
      <c r="L149" s="82">
        <f t="shared" si="199"/>
        <v>0.99223249999999996</v>
      </c>
      <c r="M149" s="125">
        <v>0</v>
      </c>
      <c r="N149" s="125">
        <v>0</v>
      </c>
      <c r="O149" s="230">
        <f t="shared" si="2"/>
        <v>30</v>
      </c>
      <c r="P149" s="231">
        <f t="shared" si="3"/>
        <v>5700</v>
      </c>
      <c r="Q149" s="232">
        <f>ROUNDUP(HLOOKUP(IF(CEILING(L149,0.5)&lt;1,1,CEILING(L149,0.5)),'배송비 조회'!A$32:AY$36,2,0),-2)</f>
        <v>8000</v>
      </c>
      <c r="R149" s="232">
        <v>0</v>
      </c>
      <c r="S149" s="231">
        <f t="shared" si="214"/>
        <v>6900</v>
      </c>
      <c r="T149" s="231">
        <f t="shared" si="200"/>
        <v>9600</v>
      </c>
      <c r="U149" s="233">
        <f t="shared" si="142"/>
        <v>20600</v>
      </c>
      <c r="V149" s="233">
        <f t="shared" si="7"/>
        <v>23300</v>
      </c>
      <c r="W149" s="234">
        <v>0</v>
      </c>
      <c r="X149" s="234">
        <f t="shared" si="8"/>
        <v>782.8</v>
      </c>
      <c r="Y149" s="234">
        <f t="shared" si="9"/>
        <v>412</v>
      </c>
      <c r="Z149" s="234">
        <f t="shared" si="10"/>
        <v>2330</v>
      </c>
      <c r="AA149" s="234">
        <f t="shared" si="11"/>
        <v>19405.2</v>
      </c>
      <c r="AB149" s="234">
        <f t="shared" si="12"/>
        <v>20970</v>
      </c>
      <c r="AC149" s="234">
        <f t="shared" si="13"/>
        <v>194.05200000000002</v>
      </c>
      <c r="AD149" s="101">
        <f t="shared" si="14"/>
        <v>5511.148000000001</v>
      </c>
      <c r="AE149" s="101">
        <f t="shared" si="15"/>
        <v>7075.9480000000003</v>
      </c>
      <c r="AF149" s="235">
        <f t="shared" ref="AF149:AG149" si="217">AD149/U149</f>
        <v>0.26753145631067965</v>
      </c>
      <c r="AG149" s="235">
        <f t="shared" si="217"/>
        <v>0.30368875536480688</v>
      </c>
      <c r="AH149" s="215">
        <v>10000</v>
      </c>
      <c r="AI149" s="212">
        <f t="shared" si="202"/>
        <v>10600</v>
      </c>
      <c r="AJ149" s="16">
        <f>AI149-AI147</f>
        <v>2900</v>
      </c>
      <c r="AK149" s="4"/>
      <c r="AL149" s="4"/>
      <c r="AM149" s="4"/>
      <c r="AN149" s="4"/>
      <c r="AO149" s="4"/>
      <c r="AP149" s="4"/>
      <c r="AQ149" s="4"/>
      <c r="AR149" s="4"/>
      <c r="AS149" s="4"/>
      <c r="AT149" s="4"/>
      <c r="AU149" s="4"/>
    </row>
    <row r="150" spans="1:47" ht="13.2">
      <c r="A150" s="350" t="str">
        <f>HYPERLINK("https://smartstore.naver.com/brickstore2019/products/4770728203","4770728203")</f>
        <v>4770728203</v>
      </c>
      <c r="B150" s="113"/>
      <c r="C150" s="304" t="s">
        <v>430</v>
      </c>
      <c r="D150" s="117"/>
      <c r="E150" s="117"/>
      <c r="F150" s="123" t="s">
        <v>98</v>
      </c>
      <c r="G150" s="237" t="str">
        <f t="shared" ref="G150:G154" si="218">HYPERLINK("https://item.taobao.com/item.htm?spm=a230r.1.999.6.23bd523cn71ysr&amp;id=608066244730&amp;ns=1#detail","A")</f>
        <v>A</v>
      </c>
      <c r="H150" s="125"/>
      <c r="I150" s="125">
        <v>66</v>
      </c>
      <c r="J150" s="82">
        <f t="shared" si="147"/>
        <v>2.1875</v>
      </c>
      <c r="K150" s="82">
        <v>35</v>
      </c>
      <c r="L150" s="82">
        <f t="shared" si="199"/>
        <v>0.99223249999999996</v>
      </c>
      <c r="M150" s="125">
        <v>0</v>
      </c>
      <c r="N150" s="125">
        <v>0</v>
      </c>
      <c r="O150" s="230">
        <f t="shared" si="2"/>
        <v>66</v>
      </c>
      <c r="P150" s="231">
        <f t="shared" si="3"/>
        <v>12540</v>
      </c>
      <c r="Q150" s="232">
        <f>ROUNDUP(HLOOKUP(IF(CEILING(L150,0.5)&lt;1,1,CEILING(L150,0.5)),'배송비 조회'!A$32:AY$36,2,0),-2)</f>
        <v>8000</v>
      </c>
      <c r="R150" s="232">
        <v>0</v>
      </c>
      <c r="S150" s="231">
        <f t="shared" si="214"/>
        <v>10300</v>
      </c>
      <c r="T150" s="231">
        <f t="shared" si="200"/>
        <v>14400</v>
      </c>
      <c r="U150" s="233">
        <f t="shared" si="142"/>
        <v>30800</v>
      </c>
      <c r="V150" s="233">
        <f t="shared" si="7"/>
        <v>34900</v>
      </c>
      <c r="W150" s="234">
        <v>0</v>
      </c>
      <c r="X150" s="234">
        <f t="shared" si="8"/>
        <v>1170.3999999999999</v>
      </c>
      <c r="Y150" s="234">
        <f t="shared" si="9"/>
        <v>616</v>
      </c>
      <c r="Z150" s="234">
        <f t="shared" si="10"/>
        <v>3490</v>
      </c>
      <c r="AA150" s="234">
        <f t="shared" si="11"/>
        <v>29013.599999999999</v>
      </c>
      <c r="AB150" s="234">
        <f t="shared" si="12"/>
        <v>31410</v>
      </c>
      <c r="AC150" s="234">
        <f t="shared" si="13"/>
        <v>290.13599999999997</v>
      </c>
      <c r="AD150" s="101">
        <f t="shared" si="14"/>
        <v>8183.4639999999981</v>
      </c>
      <c r="AE150" s="101">
        <f t="shared" si="15"/>
        <v>10579.864</v>
      </c>
      <c r="AF150" s="235">
        <f t="shared" ref="AF150:AG150" si="219">AD150/U150</f>
        <v>0.26569688311688305</v>
      </c>
      <c r="AG150" s="235">
        <f t="shared" si="219"/>
        <v>0.30314796561604584</v>
      </c>
      <c r="AH150" s="215">
        <v>10000</v>
      </c>
      <c r="AI150" s="212">
        <f t="shared" si="202"/>
        <v>20800</v>
      </c>
      <c r="AJ150" s="4"/>
      <c r="AK150" s="4"/>
      <c r="AL150" s="4"/>
      <c r="AM150" s="4"/>
      <c r="AN150" s="4"/>
      <c r="AO150" s="4"/>
      <c r="AP150" s="4"/>
      <c r="AQ150" s="4"/>
      <c r="AR150" s="4"/>
      <c r="AS150" s="4"/>
      <c r="AT150" s="4"/>
      <c r="AU150" s="4"/>
    </row>
    <row r="151" spans="1:47" ht="13.2">
      <c r="A151" s="302"/>
      <c r="B151" s="113"/>
      <c r="C151" s="302"/>
      <c r="D151" s="117"/>
      <c r="E151" s="117"/>
      <c r="F151" s="123" t="s">
        <v>432</v>
      </c>
      <c r="G151" s="237" t="str">
        <f t="shared" si="218"/>
        <v>A</v>
      </c>
      <c r="H151" s="125"/>
      <c r="I151" s="125">
        <v>66</v>
      </c>
      <c r="J151" s="82">
        <f t="shared" si="147"/>
        <v>2.1875</v>
      </c>
      <c r="K151" s="82">
        <v>35</v>
      </c>
      <c r="L151" s="82">
        <f t="shared" si="199"/>
        <v>0.99223249999999996</v>
      </c>
      <c r="M151" s="125">
        <v>0</v>
      </c>
      <c r="N151" s="125">
        <v>0</v>
      </c>
      <c r="O151" s="230">
        <f t="shared" si="2"/>
        <v>66</v>
      </c>
      <c r="P151" s="231">
        <f t="shared" si="3"/>
        <v>12540</v>
      </c>
      <c r="Q151" s="232">
        <f>ROUNDUP(HLOOKUP(IF(CEILING(L151,0.5)&lt;1,1,CEILING(L151,0.5)),'배송비 조회'!A$32:AY$36,2,0),-2)</f>
        <v>8000</v>
      </c>
      <c r="R151" s="232">
        <v>0</v>
      </c>
      <c r="S151" s="231">
        <f t="shared" si="214"/>
        <v>10300</v>
      </c>
      <c r="T151" s="231">
        <f t="shared" si="200"/>
        <v>14400</v>
      </c>
      <c r="U151" s="233">
        <f t="shared" si="142"/>
        <v>30800</v>
      </c>
      <c r="V151" s="233">
        <f t="shared" si="7"/>
        <v>34900</v>
      </c>
      <c r="W151" s="234">
        <v>0</v>
      </c>
      <c r="X151" s="234">
        <f t="shared" si="8"/>
        <v>1170.3999999999999</v>
      </c>
      <c r="Y151" s="234">
        <f t="shared" si="9"/>
        <v>616</v>
      </c>
      <c r="Z151" s="234">
        <f t="shared" si="10"/>
        <v>3490</v>
      </c>
      <c r="AA151" s="234">
        <f t="shared" si="11"/>
        <v>29013.599999999999</v>
      </c>
      <c r="AB151" s="234">
        <f t="shared" si="12"/>
        <v>31410</v>
      </c>
      <c r="AC151" s="234">
        <f t="shared" si="13"/>
        <v>290.13599999999997</v>
      </c>
      <c r="AD151" s="101">
        <f t="shared" si="14"/>
        <v>8183.4639999999981</v>
      </c>
      <c r="AE151" s="101">
        <f t="shared" si="15"/>
        <v>10579.864</v>
      </c>
      <c r="AF151" s="235">
        <f t="shared" ref="AF151:AG151" si="220">AD151/U151</f>
        <v>0.26569688311688305</v>
      </c>
      <c r="AG151" s="235">
        <f t="shared" si="220"/>
        <v>0.30314796561604584</v>
      </c>
      <c r="AH151" s="215">
        <v>10000</v>
      </c>
      <c r="AI151" s="212">
        <f t="shared" si="202"/>
        <v>20800</v>
      </c>
      <c r="AJ151" s="4"/>
      <c r="AK151" s="4"/>
      <c r="AL151" s="4"/>
      <c r="AM151" s="4"/>
      <c r="AN151" s="4"/>
      <c r="AO151" s="4"/>
      <c r="AP151" s="4"/>
      <c r="AQ151" s="4"/>
      <c r="AR151" s="4"/>
      <c r="AS151" s="4"/>
      <c r="AT151" s="4"/>
      <c r="AU151" s="4"/>
    </row>
    <row r="152" spans="1:47" ht="13.2">
      <c r="A152" s="302"/>
      <c r="B152" s="113"/>
      <c r="C152" s="302"/>
      <c r="D152" s="117"/>
      <c r="E152" s="117"/>
      <c r="F152" s="123" t="s">
        <v>433</v>
      </c>
      <c r="G152" s="237" t="str">
        <f t="shared" si="218"/>
        <v>A</v>
      </c>
      <c r="H152" s="125"/>
      <c r="I152" s="125">
        <v>66</v>
      </c>
      <c r="J152" s="82">
        <f t="shared" si="147"/>
        <v>2.1875</v>
      </c>
      <c r="K152" s="82">
        <v>35</v>
      </c>
      <c r="L152" s="82">
        <f t="shared" si="199"/>
        <v>0.99223249999999996</v>
      </c>
      <c r="M152" s="125">
        <v>0</v>
      </c>
      <c r="N152" s="125">
        <v>0</v>
      </c>
      <c r="O152" s="230">
        <f t="shared" si="2"/>
        <v>66</v>
      </c>
      <c r="P152" s="231">
        <f t="shared" si="3"/>
        <v>12540</v>
      </c>
      <c r="Q152" s="232">
        <f>ROUNDUP(HLOOKUP(IF(CEILING(L152,0.5)&lt;1,1,CEILING(L152,0.5)),'배송비 조회'!A$32:AY$36,2,0),-2)</f>
        <v>8000</v>
      </c>
      <c r="R152" s="232">
        <v>0</v>
      </c>
      <c r="S152" s="231">
        <f t="shared" si="214"/>
        <v>10300</v>
      </c>
      <c r="T152" s="231">
        <f t="shared" si="200"/>
        <v>14400</v>
      </c>
      <c r="U152" s="233">
        <f t="shared" si="142"/>
        <v>30800</v>
      </c>
      <c r="V152" s="233">
        <f t="shared" si="7"/>
        <v>34900</v>
      </c>
      <c r="W152" s="234">
        <v>0</v>
      </c>
      <c r="X152" s="234">
        <f t="shared" si="8"/>
        <v>1170.3999999999999</v>
      </c>
      <c r="Y152" s="234">
        <f t="shared" si="9"/>
        <v>616</v>
      </c>
      <c r="Z152" s="234">
        <f t="shared" si="10"/>
        <v>3490</v>
      </c>
      <c r="AA152" s="234">
        <f t="shared" si="11"/>
        <v>29013.599999999999</v>
      </c>
      <c r="AB152" s="234">
        <f t="shared" si="12"/>
        <v>31410</v>
      </c>
      <c r="AC152" s="234">
        <f t="shared" si="13"/>
        <v>290.13599999999997</v>
      </c>
      <c r="AD152" s="101">
        <f t="shared" si="14"/>
        <v>8183.4639999999981</v>
      </c>
      <c r="AE152" s="101">
        <f t="shared" si="15"/>
        <v>10579.864</v>
      </c>
      <c r="AF152" s="235">
        <f t="shared" ref="AF152:AG152" si="221">AD152/U152</f>
        <v>0.26569688311688305</v>
      </c>
      <c r="AG152" s="235">
        <f t="shared" si="221"/>
        <v>0.30314796561604584</v>
      </c>
      <c r="AH152" s="215">
        <v>10000</v>
      </c>
      <c r="AI152" s="212">
        <f t="shared" si="202"/>
        <v>20800</v>
      </c>
      <c r="AJ152" s="4"/>
      <c r="AK152" s="4"/>
      <c r="AL152" s="4"/>
      <c r="AM152" s="4"/>
      <c r="AN152" s="4"/>
      <c r="AO152" s="4"/>
      <c r="AP152" s="4"/>
      <c r="AQ152" s="4"/>
      <c r="AR152" s="4"/>
      <c r="AS152" s="4"/>
      <c r="AT152" s="4"/>
      <c r="AU152" s="4"/>
    </row>
    <row r="153" spans="1:47" ht="13.2">
      <c r="A153" s="302"/>
      <c r="B153" s="113"/>
      <c r="C153" s="302"/>
      <c r="D153" s="117"/>
      <c r="E153" s="117"/>
      <c r="F153" s="123" t="s">
        <v>58</v>
      </c>
      <c r="G153" s="237" t="str">
        <f t="shared" si="218"/>
        <v>A</v>
      </c>
      <c r="H153" s="125"/>
      <c r="I153" s="125">
        <v>66</v>
      </c>
      <c r="J153" s="82">
        <f t="shared" si="147"/>
        <v>2.1875</v>
      </c>
      <c r="K153" s="82">
        <v>35</v>
      </c>
      <c r="L153" s="82">
        <f t="shared" si="199"/>
        <v>0.99223249999999996</v>
      </c>
      <c r="M153" s="125">
        <v>0</v>
      </c>
      <c r="N153" s="125">
        <v>0</v>
      </c>
      <c r="O153" s="230">
        <f t="shared" si="2"/>
        <v>66</v>
      </c>
      <c r="P153" s="231">
        <f t="shared" si="3"/>
        <v>12540</v>
      </c>
      <c r="Q153" s="232">
        <f>ROUNDUP(HLOOKUP(IF(CEILING(L153,0.5)&lt;1,1,CEILING(L153,0.5)),'배송비 조회'!A$32:AY$36,2,0),-2)</f>
        <v>8000</v>
      </c>
      <c r="R153" s="232">
        <v>0</v>
      </c>
      <c r="S153" s="231">
        <f t="shared" si="214"/>
        <v>10300</v>
      </c>
      <c r="T153" s="231">
        <f t="shared" si="200"/>
        <v>14400</v>
      </c>
      <c r="U153" s="233">
        <f t="shared" si="142"/>
        <v>30800</v>
      </c>
      <c r="V153" s="233">
        <f t="shared" si="7"/>
        <v>34900</v>
      </c>
      <c r="W153" s="234">
        <v>0</v>
      </c>
      <c r="X153" s="234">
        <f t="shared" si="8"/>
        <v>1170.3999999999999</v>
      </c>
      <c r="Y153" s="234">
        <f t="shared" si="9"/>
        <v>616</v>
      </c>
      <c r="Z153" s="234">
        <f t="shared" si="10"/>
        <v>3490</v>
      </c>
      <c r="AA153" s="234">
        <f t="shared" si="11"/>
        <v>29013.599999999999</v>
      </c>
      <c r="AB153" s="234">
        <f t="shared" si="12"/>
        <v>31410</v>
      </c>
      <c r="AC153" s="234">
        <f t="shared" si="13"/>
        <v>290.13599999999997</v>
      </c>
      <c r="AD153" s="101">
        <f t="shared" si="14"/>
        <v>8183.4639999999981</v>
      </c>
      <c r="AE153" s="101">
        <f t="shared" si="15"/>
        <v>10579.864</v>
      </c>
      <c r="AF153" s="235">
        <f t="shared" ref="AF153:AG153" si="222">AD153/U153</f>
        <v>0.26569688311688305</v>
      </c>
      <c r="AG153" s="235">
        <f t="shared" si="222"/>
        <v>0.30314796561604584</v>
      </c>
      <c r="AH153" s="215">
        <v>10000</v>
      </c>
      <c r="AI153" s="212">
        <f t="shared" si="202"/>
        <v>20800</v>
      </c>
      <c r="AJ153" s="4"/>
      <c r="AK153" s="4"/>
      <c r="AL153" s="4"/>
      <c r="AM153" s="4"/>
      <c r="AN153" s="4"/>
      <c r="AO153" s="4"/>
      <c r="AP153" s="4"/>
      <c r="AQ153" s="4"/>
      <c r="AR153" s="4"/>
      <c r="AS153" s="4"/>
      <c r="AT153" s="4"/>
      <c r="AU153" s="4"/>
    </row>
    <row r="154" spans="1:47" ht="13.2">
      <c r="A154" s="302"/>
      <c r="B154" s="113"/>
      <c r="C154" s="302"/>
      <c r="D154" s="117"/>
      <c r="E154" s="117"/>
      <c r="F154" s="123" t="s">
        <v>126</v>
      </c>
      <c r="G154" s="237" t="str">
        <f t="shared" si="218"/>
        <v>A</v>
      </c>
      <c r="H154" s="125"/>
      <c r="I154" s="125">
        <v>66</v>
      </c>
      <c r="J154" s="82">
        <f t="shared" si="147"/>
        <v>2.1875</v>
      </c>
      <c r="K154" s="82">
        <v>35</v>
      </c>
      <c r="L154" s="82">
        <f t="shared" si="199"/>
        <v>0.99223249999999996</v>
      </c>
      <c r="M154" s="125">
        <v>0</v>
      </c>
      <c r="N154" s="125">
        <v>0</v>
      </c>
      <c r="O154" s="230">
        <f t="shared" si="2"/>
        <v>66</v>
      </c>
      <c r="P154" s="231">
        <f t="shared" si="3"/>
        <v>12540</v>
      </c>
      <c r="Q154" s="232">
        <f>ROUNDUP(HLOOKUP(IF(CEILING(L154,0.5)&lt;1,1,CEILING(L154,0.5)),'배송비 조회'!A$32:AY$36,2,0),-2)</f>
        <v>8000</v>
      </c>
      <c r="R154" s="232">
        <v>0</v>
      </c>
      <c r="S154" s="231">
        <f t="shared" si="214"/>
        <v>10300</v>
      </c>
      <c r="T154" s="231">
        <f t="shared" si="200"/>
        <v>14400</v>
      </c>
      <c r="U154" s="233">
        <f t="shared" si="142"/>
        <v>30800</v>
      </c>
      <c r="V154" s="233">
        <f t="shared" si="7"/>
        <v>34900</v>
      </c>
      <c r="W154" s="234">
        <v>0</v>
      </c>
      <c r="X154" s="234">
        <f t="shared" si="8"/>
        <v>1170.3999999999999</v>
      </c>
      <c r="Y154" s="234">
        <f t="shared" si="9"/>
        <v>616</v>
      </c>
      <c r="Z154" s="234">
        <f t="shared" si="10"/>
        <v>3490</v>
      </c>
      <c r="AA154" s="234">
        <f t="shared" si="11"/>
        <v>29013.599999999999</v>
      </c>
      <c r="AB154" s="234">
        <f t="shared" si="12"/>
        <v>31410</v>
      </c>
      <c r="AC154" s="234">
        <f t="shared" si="13"/>
        <v>290.13599999999997</v>
      </c>
      <c r="AD154" s="101">
        <f t="shared" si="14"/>
        <v>8183.4639999999981</v>
      </c>
      <c r="AE154" s="101">
        <f t="shared" si="15"/>
        <v>10579.864</v>
      </c>
      <c r="AF154" s="235">
        <f t="shared" ref="AF154:AG154" si="223">AD154/U154</f>
        <v>0.26569688311688305</v>
      </c>
      <c r="AG154" s="235">
        <f t="shared" si="223"/>
        <v>0.30314796561604584</v>
      </c>
      <c r="AH154" s="215">
        <v>10000</v>
      </c>
      <c r="AI154" s="212">
        <f t="shared" si="202"/>
        <v>20800</v>
      </c>
      <c r="AJ154" s="4"/>
      <c r="AK154" s="4"/>
      <c r="AL154" s="4"/>
      <c r="AM154" s="4"/>
      <c r="AN154" s="4"/>
      <c r="AO154" s="4"/>
      <c r="AP154" s="4"/>
      <c r="AQ154" s="4"/>
      <c r="AR154" s="4"/>
      <c r="AS154" s="4"/>
      <c r="AT154" s="4"/>
      <c r="AU154" s="4"/>
    </row>
    <row r="155" spans="1:47" ht="13.2">
      <c r="A155" s="350" t="str">
        <f>HYPERLINK("https://smartstore.naver.com/brickstore2019/products/4771251862","4771251862")</f>
        <v>4771251862</v>
      </c>
      <c r="B155" s="113"/>
      <c r="C155" s="304" t="s">
        <v>437</v>
      </c>
      <c r="D155" s="117"/>
      <c r="E155" s="117"/>
      <c r="F155" s="123" t="s">
        <v>438</v>
      </c>
      <c r="G155" s="237" t="str">
        <f>HYPERLINK("https://detail.tmall.com/item.htm?spm=a230r.1.14.6.68323579tHZksD&amp;id=569823069064&amp;cm_id=140105335569ed55e27b&amp;abbucket=7&amp;skuId=3665090460807","A")</f>
        <v>A</v>
      </c>
      <c r="H155" s="125"/>
      <c r="I155" s="125">
        <v>24</v>
      </c>
      <c r="J155" s="82">
        <f t="shared" si="147"/>
        <v>2.1875</v>
      </c>
      <c r="K155" s="82">
        <v>35</v>
      </c>
      <c r="L155" s="82">
        <f t="shared" si="199"/>
        <v>0.99223249999999996</v>
      </c>
      <c r="M155" s="125">
        <v>0</v>
      </c>
      <c r="N155" s="125">
        <v>0</v>
      </c>
      <c r="O155" s="230">
        <f t="shared" si="2"/>
        <v>24</v>
      </c>
      <c r="P155" s="231">
        <f t="shared" si="3"/>
        <v>4560</v>
      </c>
      <c r="Q155" s="232">
        <f>ROUNDUP(HLOOKUP(IF(CEILING(L155,0.5)&lt;1,1,CEILING(L155,0.5)),'배송비 조회'!A$32:AY$36,2,0),-2)</f>
        <v>8000</v>
      </c>
      <c r="R155" s="232">
        <v>0</v>
      </c>
      <c r="S155" s="231">
        <f t="shared" ref="S155:S157" si="224">ROUND((P155+Q155)*0.6,-2)</f>
        <v>7500</v>
      </c>
      <c r="T155" s="231">
        <f t="shared" si="200"/>
        <v>8800</v>
      </c>
      <c r="U155" s="233">
        <f t="shared" si="142"/>
        <v>20100</v>
      </c>
      <c r="V155" s="233">
        <f t="shared" si="7"/>
        <v>21400</v>
      </c>
      <c r="W155" s="234">
        <v>0</v>
      </c>
      <c r="X155" s="234">
        <f t="shared" si="8"/>
        <v>763.8</v>
      </c>
      <c r="Y155" s="234">
        <f t="shared" si="9"/>
        <v>402</v>
      </c>
      <c r="Z155" s="234">
        <f t="shared" si="10"/>
        <v>2140</v>
      </c>
      <c r="AA155" s="234">
        <f t="shared" si="11"/>
        <v>18934.2</v>
      </c>
      <c r="AB155" s="234">
        <f t="shared" si="12"/>
        <v>19260</v>
      </c>
      <c r="AC155" s="234">
        <f t="shared" si="13"/>
        <v>189.34200000000001</v>
      </c>
      <c r="AD155" s="101">
        <f t="shared" si="14"/>
        <v>6184.8580000000002</v>
      </c>
      <c r="AE155" s="101">
        <f t="shared" si="15"/>
        <v>6510.6580000000004</v>
      </c>
      <c r="AF155" s="235">
        <f t="shared" ref="AF155:AG155" si="225">AD155/U155</f>
        <v>0.30770437810945273</v>
      </c>
      <c r="AG155" s="235">
        <f t="shared" si="225"/>
        <v>0.30423635514018693</v>
      </c>
      <c r="AH155" s="215">
        <v>5000</v>
      </c>
      <c r="AI155" s="212">
        <f t="shared" si="202"/>
        <v>15100</v>
      </c>
      <c r="AJ155" s="16">
        <f>AI156-AI155</f>
        <v>2400</v>
      </c>
      <c r="AK155" s="4"/>
      <c r="AL155" s="4"/>
      <c r="AM155" s="4"/>
      <c r="AN155" s="4"/>
      <c r="AO155" s="4"/>
      <c r="AP155" s="4"/>
      <c r="AQ155" s="4"/>
      <c r="AR155" s="4"/>
      <c r="AS155" s="4"/>
      <c r="AT155" s="4"/>
      <c r="AU155" s="4"/>
    </row>
    <row r="156" spans="1:47" ht="13.2">
      <c r="A156" s="302"/>
      <c r="B156" s="113"/>
      <c r="C156" s="302"/>
      <c r="D156" s="117"/>
      <c r="E156" s="117"/>
      <c r="F156" s="123" t="s">
        <v>440</v>
      </c>
      <c r="G156" s="237" t="str">
        <f>HYPERLINK("https://detail.tmall.com/item.htm?spm=a230r.1.14.6.68323579tHZksD&amp;id=569823069064&amp;cm_id=140105335569ed55e27b&amp;abbucket=7&amp;skuId=3665090460810","A")</f>
        <v>A</v>
      </c>
      <c r="H156" s="125"/>
      <c r="I156" s="125">
        <v>32</v>
      </c>
      <c r="J156" s="82">
        <f t="shared" si="147"/>
        <v>2.1875</v>
      </c>
      <c r="K156" s="82">
        <v>35</v>
      </c>
      <c r="L156" s="82">
        <f t="shared" si="199"/>
        <v>0.99223249999999996</v>
      </c>
      <c r="M156" s="125">
        <v>0</v>
      </c>
      <c r="N156" s="125">
        <v>0</v>
      </c>
      <c r="O156" s="230">
        <f t="shared" si="2"/>
        <v>32</v>
      </c>
      <c r="P156" s="231">
        <f t="shared" si="3"/>
        <v>6080</v>
      </c>
      <c r="Q156" s="232">
        <f>ROUNDUP(HLOOKUP(IF(CEILING(L156,0.5)&lt;1,1,CEILING(L156,0.5)),'배송비 조회'!A$32:AY$36,2,0),-2)</f>
        <v>8000</v>
      </c>
      <c r="R156" s="232">
        <v>0</v>
      </c>
      <c r="S156" s="231">
        <f t="shared" si="224"/>
        <v>8400</v>
      </c>
      <c r="T156" s="231">
        <f t="shared" si="200"/>
        <v>9900</v>
      </c>
      <c r="U156" s="233">
        <f t="shared" si="142"/>
        <v>22500</v>
      </c>
      <c r="V156" s="233">
        <f t="shared" si="7"/>
        <v>24000</v>
      </c>
      <c r="W156" s="234">
        <v>0</v>
      </c>
      <c r="X156" s="234">
        <f t="shared" si="8"/>
        <v>855</v>
      </c>
      <c r="Y156" s="234">
        <f t="shared" si="9"/>
        <v>450</v>
      </c>
      <c r="Z156" s="234">
        <f t="shared" si="10"/>
        <v>2400</v>
      </c>
      <c r="AA156" s="234">
        <f t="shared" si="11"/>
        <v>21195</v>
      </c>
      <c r="AB156" s="234">
        <f t="shared" si="12"/>
        <v>21600</v>
      </c>
      <c r="AC156" s="234">
        <f t="shared" si="13"/>
        <v>211.95000000000002</v>
      </c>
      <c r="AD156" s="101">
        <f t="shared" si="14"/>
        <v>6903.0499999999993</v>
      </c>
      <c r="AE156" s="101">
        <f t="shared" si="15"/>
        <v>7308.05</v>
      </c>
      <c r="AF156" s="235">
        <f t="shared" ref="AF156:AG156" si="226">AD156/U156</f>
        <v>0.3068022222222222</v>
      </c>
      <c r="AG156" s="235">
        <f t="shared" si="226"/>
        <v>0.30450208333333334</v>
      </c>
      <c r="AH156" s="215">
        <v>5000</v>
      </c>
      <c r="AI156" s="212">
        <f t="shared" si="202"/>
        <v>17500</v>
      </c>
      <c r="AJ156" s="36">
        <v>0</v>
      </c>
      <c r="AK156" s="4"/>
      <c r="AL156" s="4"/>
      <c r="AM156" s="4"/>
      <c r="AN156" s="4"/>
      <c r="AO156" s="4"/>
      <c r="AP156" s="4"/>
      <c r="AQ156" s="4"/>
      <c r="AR156" s="4"/>
      <c r="AS156" s="4"/>
      <c r="AT156" s="4"/>
      <c r="AU156" s="4"/>
    </row>
    <row r="157" spans="1:47" ht="13.2">
      <c r="A157" s="302"/>
      <c r="B157" s="113"/>
      <c r="C157" s="302"/>
      <c r="D157" s="117"/>
      <c r="E157" s="117"/>
      <c r="F157" s="123" t="s">
        <v>441</v>
      </c>
      <c r="G157" s="237" t="str">
        <f>HYPERLINK("https://detail.tmall.com/item.htm?spm=a230r.1.14.6.68323579tHZksD&amp;id=569823069064&amp;cm_id=140105335569ed55e27b&amp;abbucket=7&amp;skuId=3808390025726","A")</f>
        <v>A</v>
      </c>
      <c r="H157" s="125"/>
      <c r="I157" s="125">
        <v>48</v>
      </c>
      <c r="J157" s="82">
        <f t="shared" si="147"/>
        <v>2.1875</v>
      </c>
      <c r="K157" s="82">
        <v>35</v>
      </c>
      <c r="L157" s="82">
        <f t="shared" si="199"/>
        <v>0.99223249999999996</v>
      </c>
      <c r="M157" s="125">
        <v>0</v>
      </c>
      <c r="N157" s="125">
        <v>0</v>
      </c>
      <c r="O157" s="230">
        <f t="shared" si="2"/>
        <v>48</v>
      </c>
      <c r="P157" s="231">
        <f t="shared" si="3"/>
        <v>9120</v>
      </c>
      <c r="Q157" s="232">
        <f>ROUNDUP(HLOOKUP(IF(CEILING(L157,0.5)&lt;1,1,CEILING(L157,0.5)),'배송비 조회'!A$32:AY$36,2,0),-2)</f>
        <v>8000</v>
      </c>
      <c r="R157" s="232">
        <v>0</v>
      </c>
      <c r="S157" s="231">
        <f t="shared" si="224"/>
        <v>10300</v>
      </c>
      <c r="T157" s="231">
        <f t="shared" si="200"/>
        <v>12000</v>
      </c>
      <c r="U157" s="233">
        <f t="shared" si="142"/>
        <v>27400</v>
      </c>
      <c r="V157" s="233">
        <f t="shared" si="7"/>
        <v>29100</v>
      </c>
      <c r="W157" s="234">
        <v>0</v>
      </c>
      <c r="X157" s="234">
        <f t="shared" si="8"/>
        <v>1041.2</v>
      </c>
      <c r="Y157" s="234">
        <f t="shared" si="9"/>
        <v>548</v>
      </c>
      <c r="Z157" s="234">
        <f t="shared" si="10"/>
        <v>2910</v>
      </c>
      <c r="AA157" s="234">
        <f t="shared" si="11"/>
        <v>25810.799999999999</v>
      </c>
      <c r="AB157" s="234">
        <f t="shared" si="12"/>
        <v>26190</v>
      </c>
      <c r="AC157" s="234">
        <f t="shared" si="13"/>
        <v>258.108</v>
      </c>
      <c r="AD157" s="101">
        <f t="shared" si="14"/>
        <v>8432.6919999999991</v>
      </c>
      <c r="AE157" s="101">
        <f t="shared" si="15"/>
        <v>8811.8919999999998</v>
      </c>
      <c r="AF157" s="235">
        <f t="shared" ref="AF157:AG157" si="227">AD157/U157</f>
        <v>0.3077624817518248</v>
      </c>
      <c r="AG157" s="235">
        <f t="shared" si="227"/>
        <v>0.30281415807560136</v>
      </c>
      <c r="AH157" s="215">
        <v>5000</v>
      </c>
      <c r="AI157" s="212">
        <f t="shared" si="202"/>
        <v>22400</v>
      </c>
      <c r="AJ157" s="16">
        <f>AI157-AI156</f>
        <v>4900</v>
      </c>
      <c r="AK157" s="4"/>
      <c r="AL157" s="4"/>
      <c r="AM157" s="4"/>
      <c r="AN157" s="4"/>
      <c r="AO157" s="4"/>
      <c r="AP157" s="4"/>
      <c r="AQ157" s="4"/>
      <c r="AR157" s="4"/>
      <c r="AS157" s="4"/>
      <c r="AT157" s="4"/>
      <c r="AU157" s="4"/>
    </row>
    <row r="158" spans="1:47" ht="13.2">
      <c r="A158" s="302"/>
      <c r="B158" s="113"/>
      <c r="C158" s="302"/>
      <c r="D158" s="117"/>
      <c r="E158" s="117"/>
      <c r="F158" s="123" t="s">
        <v>444</v>
      </c>
      <c r="G158" s="237" t="str">
        <f>HYPERLINK("https://detail.tmall.com/item.htm?spm=a230r.1.14.6.68323579tHZksD&amp;id=569823069064&amp;cm_id=140105335569ed55e27b&amp;abbucket=7&amp;skuId=3808390025727","A")</f>
        <v>A</v>
      </c>
      <c r="H158" s="125"/>
      <c r="I158" s="125">
        <v>68</v>
      </c>
      <c r="J158" s="82">
        <f t="shared" si="147"/>
        <v>2.1875</v>
      </c>
      <c r="K158" s="82">
        <v>35</v>
      </c>
      <c r="L158" s="82">
        <f t="shared" si="199"/>
        <v>0.99223249999999996</v>
      </c>
      <c r="M158" s="125">
        <v>0</v>
      </c>
      <c r="N158" s="125">
        <v>0</v>
      </c>
      <c r="O158" s="230">
        <f t="shared" si="2"/>
        <v>68</v>
      </c>
      <c r="P158" s="231">
        <f t="shared" si="3"/>
        <v>12920</v>
      </c>
      <c r="Q158" s="232">
        <f>ROUNDUP(HLOOKUP(IF(CEILING(L158,0.5)&lt;1,1,CEILING(L158,0.5)),'배송비 조회'!A$32:AY$36,2,0),-2)</f>
        <v>8000</v>
      </c>
      <c r="R158" s="232">
        <v>0</v>
      </c>
      <c r="S158" s="231">
        <f>ROUND((P158+Q158)*0.5,-2)</f>
        <v>10500</v>
      </c>
      <c r="T158" s="231">
        <f t="shared" si="200"/>
        <v>14600</v>
      </c>
      <c r="U158" s="233">
        <f t="shared" si="142"/>
        <v>31400</v>
      </c>
      <c r="V158" s="233">
        <f t="shared" si="7"/>
        <v>35500</v>
      </c>
      <c r="W158" s="234">
        <v>0</v>
      </c>
      <c r="X158" s="234">
        <f t="shared" si="8"/>
        <v>1193.2</v>
      </c>
      <c r="Y158" s="234">
        <f t="shared" si="9"/>
        <v>628</v>
      </c>
      <c r="Z158" s="234">
        <f t="shared" si="10"/>
        <v>3550</v>
      </c>
      <c r="AA158" s="234">
        <f t="shared" si="11"/>
        <v>29578.799999999999</v>
      </c>
      <c r="AB158" s="234">
        <f t="shared" si="12"/>
        <v>31950</v>
      </c>
      <c r="AC158" s="234">
        <f t="shared" si="13"/>
        <v>295.78800000000001</v>
      </c>
      <c r="AD158" s="101">
        <f t="shared" si="14"/>
        <v>8363.0119999999988</v>
      </c>
      <c r="AE158" s="101">
        <f t="shared" si="15"/>
        <v>10734.212</v>
      </c>
      <c r="AF158" s="235">
        <f t="shared" ref="AF158:AG158" si="228">AD158/U158</f>
        <v>0.26633796178343944</v>
      </c>
      <c r="AG158" s="235">
        <f t="shared" si="228"/>
        <v>0.30237216901408448</v>
      </c>
      <c r="AH158" s="215">
        <v>5000</v>
      </c>
      <c r="AI158" s="212">
        <f t="shared" si="202"/>
        <v>26400</v>
      </c>
      <c r="AJ158" s="16">
        <f>AI158-AI156</f>
        <v>8900</v>
      </c>
      <c r="AK158" s="4"/>
      <c r="AL158" s="4"/>
      <c r="AM158" s="4"/>
      <c r="AN158" s="4"/>
      <c r="AO158" s="4"/>
      <c r="AP158" s="4"/>
      <c r="AQ158" s="4"/>
      <c r="AR158" s="4"/>
      <c r="AS158" s="4"/>
      <c r="AT158" s="4"/>
      <c r="AU158" s="4"/>
    </row>
    <row r="159" spans="1:47" ht="13.2">
      <c r="A159" s="163" t="str">
        <f>HYPERLINK("https://smartstore.naver.com/brickstore2019/products/4772219967","4772219967")</f>
        <v>4772219967</v>
      </c>
      <c r="B159" s="113"/>
      <c r="C159" s="117" t="s">
        <v>445</v>
      </c>
      <c r="D159" s="117"/>
      <c r="E159" s="117"/>
      <c r="F159" s="123"/>
      <c r="G159" s="237" t="str">
        <f>HYPERLINK("https://item.taobao.com/item.htm?spm=a230r.1.14.201.bb09656bHoLvQf&amp;id=575042382382&amp;ns=1&amp;abbucket=7#detail","A")</f>
        <v>A</v>
      </c>
      <c r="H159" s="125"/>
      <c r="I159" s="125">
        <v>108</v>
      </c>
      <c r="J159" s="82">
        <f t="shared" si="147"/>
        <v>2.1875</v>
      </c>
      <c r="K159" s="82">
        <v>35</v>
      </c>
      <c r="L159" s="82">
        <f t="shared" si="199"/>
        <v>0.99223249999999996</v>
      </c>
      <c r="M159" s="125">
        <v>0</v>
      </c>
      <c r="N159" s="125">
        <v>0</v>
      </c>
      <c r="O159" s="230">
        <f t="shared" si="2"/>
        <v>108</v>
      </c>
      <c r="P159" s="231">
        <f t="shared" si="3"/>
        <v>20520</v>
      </c>
      <c r="Q159" s="232">
        <f>ROUNDUP(HLOOKUP(IF(CEILING(L159,0.5)&lt;1,1,CEILING(L159,0.5)),'배송비 조회'!A$32:AY$36,2,0),-2)</f>
        <v>8000</v>
      </c>
      <c r="R159" s="232">
        <v>0</v>
      </c>
      <c r="S159" s="231">
        <f>ROUND((P159+Q159)*0.4,-2)</f>
        <v>11400</v>
      </c>
      <c r="T159" s="231">
        <f t="shared" si="200"/>
        <v>20000</v>
      </c>
      <c r="U159" s="233">
        <f t="shared" si="142"/>
        <v>39900</v>
      </c>
      <c r="V159" s="233">
        <f t="shared" si="7"/>
        <v>48500</v>
      </c>
      <c r="W159" s="234">
        <v>0</v>
      </c>
      <c r="X159" s="234">
        <f t="shared" si="8"/>
        <v>1516.2</v>
      </c>
      <c r="Y159" s="234">
        <f t="shared" si="9"/>
        <v>798</v>
      </c>
      <c r="Z159" s="234">
        <f t="shared" si="10"/>
        <v>4850</v>
      </c>
      <c r="AA159" s="234">
        <f t="shared" si="11"/>
        <v>37585.800000000003</v>
      </c>
      <c r="AB159" s="234">
        <f t="shared" si="12"/>
        <v>43650</v>
      </c>
      <c r="AC159" s="234">
        <f t="shared" si="13"/>
        <v>375.85800000000006</v>
      </c>
      <c r="AD159" s="101">
        <f t="shared" si="14"/>
        <v>8689.9420000000027</v>
      </c>
      <c r="AE159" s="101">
        <f t="shared" si="15"/>
        <v>14754.142</v>
      </c>
      <c r="AF159" s="235">
        <f t="shared" ref="AF159:AG159" si="229">AD159/U159</f>
        <v>0.21779303258145372</v>
      </c>
      <c r="AG159" s="235">
        <f t="shared" si="229"/>
        <v>0.30420911340206186</v>
      </c>
      <c r="AH159" s="215">
        <v>10000</v>
      </c>
      <c r="AI159" s="212">
        <f t="shared" si="202"/>
        <v>29900</v>
      </c>
      <c r="AJ159" s="4"/>
      <c r="AK159" s="4"/>
      <c r="AL159" s="4"/>
      <c r="AM159" s="4"/>
      <c r="AN159" s="4"/>
      <c r="AO159" s="4"/>
      <c r="AP159" s="4"/>
      <c r="AQ159" s="4"/>
      <c r="AR159" s="4"/>
      <c r="AS159" s="4"/>
      <c r="AT159" s="4"/>
      <c r="AU159" s="4"/>
    </row>
    <row r="160" spans="1:47" ht="13.2">
      <c r="A160" s="163" t="str">
        <f>HYPERLINK("https://smartstore.naver.com/brickstore2019/products/4772244297","4772244297")</f>
        <v>4772244297</v>
      </c>
      <c r="B160" s="113"/>
      <c r="C160" s="117" t="s">
        <v>448</v>
      </c>
      <c r="D160" s="117"/>
      <c r="E160" s="117"/>
      <c r="F160" s="123"/>
      <c r="G160" s="237" t="str">
        <f>HYPERLINK("https://detail.tmall.com/item.htm?spm=a230r.1.999.152.10b9523cUhxPBk&amp;id=606138490677&amp;ns=1","A")</f>
        <v>A</v>
      </c>
      <c r="H160" s="125"/>
      <c r="I160" s="125">
        <v>33</v>
      </c>
      <c r="J160" s="82">
        <f t="shared" si="147"/>
        <v>2.1875</v>
      </c>
      <c r="K160" s="82">
        <v>35</v>
      </c>
      <c r="L160" s="82">
        <f t="shared" si="199"/>
        <v>0.99223249999999996</v>
      </c>
      <c r="M160" s="125">
        <v>0</v>
      </c>
      <c r="N160" s="125">
        <v>0</v>
      </c>
      <c r="O160" s="230">
        <f t="shared" si="2"/>
        <v>33</v>
      </c>
      <c r="P160" s="231">
        <f t="shared" si="3"/>
        <v>6270</v>
      </c>
      <c r="Q160" s="232">
        <f>ROUNDUP(HLOOKUP(IF(CEILING(L160,0.5)&lt;1,1,CEILING(L160,0.5)),'배송비 조회'!A$32:AY$36,2,0),-2)</f>
        <v>8000</v>
      </c>
      <c r="R160" s="232">
        <v>0</v>
      </c>
      <c r="S160" s="231">
        <f>ROUND((P160+Q160)*0.9,-2)</f>
        <v>12800</v>
      </c>
      <c r="T160" s="231">
        <f t="shared" si="200"/>
        <v>10000</v>
      </c>
      <c r="U160" s="233">
        <f t="shared" si="142"/>
        <v>27100</v>
      </c>
      <c r="V160" s="233">
        <f t="shared" si="7"/>
        <v>24300</v>
      </c>
      <c r="W160" s="234">
        <v>0</v>
      </c>
      <c r="X160" s="234">
        <f t="shared" si="8"/>
        <v>1029.8</v>
      </c>
      <c r="Y160" s="234">
        <f t="shared" si="9"/>
        <v>542</v>
      </c>
      <c r="Z160" s="234">
        <f t="shared" si="10"/>
        <v>2430</v>
      </c>
      <c r="AA160" s="234">
        <f t="shared" si="11"/>
        <v>25528.2</v>
      </c>
      <c r="AB160" s="234">
        <f t="shared" si="12"/>
        <v>21870</v>
      </c>
      <c r="AC160" s="234">
        <f t="shared" si="13"/>
        <v>255.28200000000001</v>
      </c>
      <c r="AD160" s="101">
        <f t="shared" si="14"/>
        <v>11002.918000000001</v>
      </c>
      <c r="AE160" s="101">
        <f t="shared" si="15"/>
        <v>7344.7179999999998</v>
      </c>
      <c r="AF160" s="235">
        <f t="shared" ref="AF160:AG160" si="230">AD160/U160</f>
        <v>0.40601173431734322</v>
      </c>
      <c r="AG160" s="235">
        <f t="shared" si="230"/>
        <v>0.30225176954732508</v>
      </c>
      <c r="AH160" s="215">
        <v>10000</v>
      </c>
      <c r="AI160" s="212">
        <f t="shared" si="202"/>
        <v>17100</v>
      </c>
      <c r="AJ160" s="4"/>
      <c r="AK160" s="4"/>
      <c r="AL160" s="4"/>
      <c r="AM160" s="4"/>
      <c r="AN160" s="4"/>
      <c r="AO160" s="4"/>
      <c r="AP160" s="4"/>
      <c r="AQ160" s="4"/>
      <c r="AR160" s="4"/>
      <c r="AS160" s="4"/>
      <c r="AT160" s="4"/>
      <c r="AU160" s="4"/>
    </row>
    <row r="161" spans="1:47" ht="13.2">
      <c r="A161" s="350" t="str">
        <f>HYPERLINK("https://smartstore.naver.com/brickstore2019/products/4774679982","4774679982")</f>
        <v>4774679982</v>
      </c>
      <c r="B161" s="113"/>
      <c r="C161" s="304" t="s">
        <v>449</v>
      </c>
      <c r="D161" s="117"/>
      <c r="E161" s="117"/>
      <c r="F161" s="123" t="s">
        <v>450</v>
      </c>
      <c r="G161" s="301" t="str">
        <f>HYPERLINK("https://detail.tmall.com/item.htm?id=579859968159&amp;ali_refid=a3_430620_1006:1108495286:N:Yf%205Z/qxFLJR5NH/SUj1NQGoNARXvv33:ee98f171ce51f6769dbee18f6dfe6791&amp;ali_trackid=1_ee98f171ce51f6769dbee18f6dfe6791&amp;spm=a230r.1.14.1&amp;skuId=4251610853507","A")</f>
        <v>A</v>
      </c>
      <c r="H161" s="125"/>
      <c r="I161" s="125">
        <v>268</v>
      </c>
      <c r="J161" s="82">
        <f t="shared" si="147"/>
        <v>2.1875</v>
      </c>
      <c r="K161" s="82">
        <v>35</v>
      </c>
      <c r="L161" s="82">
        <f t="shared" si="199"/>
        <v>0.99223249999999996</v>
      </c>
      <c r="M161" s="125">
        <v>0</v>
      </c>
      <c r="N161" s="125">
        <v>0</v>
      </c>
      <c r="O161" s="230">
        <f t="shared" si="2"/>
        <v>268</v>
      </c>
      <c r="P161" s="231">
        <f t="shared" si="3"/>
        <v>50920</v>
      </c>
      <c r="Q161" s="232">
        <f>ROUNDUP(HLOOKUP(IF(CEILING(L161,0.5)&lt;1,1,CEILING(L161,0.5)),'배송비 조회'!A$32:AY$36,2,0),-2)</f>
        <v>8000</v>
      </c>
      <c r="R161" s="232">
        <v>0</v>
      </c>
      <c r="S161" s="231">
        <f t="shared" ref="S161:S165" si="231">ROUND((P161+Q161)*0.3,-2)</f>
        <v>17700</v>
      </c>
      <c r="T161" s="231">
        <f t="shared" si="200"/>
        <v>41200</v>
      </c>
      <c r="U161" s="233">
        <f t="shared" si="142"/>
        <v>76600</v>
      </c>
      <c r="V161" s="233">
        <f t="shared" si="7"/>
        <v>100100</v>
      </c>
      <c r="W161" s="234">
        <v>0</v>
      </c>
      <c r="X161" s="234">
        <f t="shared" si="8"/>
        <v>2910.7999999999997</v>
      </c>
      <c r="Y161" s="234">
        <f t="shared" si="9"/>
        <v>1532</v>
      </c>
      <c r="Z161" s="234">
        <f t="shared" si="10"/>
        <v>10010</v>
      </c>
      <c r="AA161" s="234">
        <f t="shared" si="11"/>
        <v>72157.2</v>
      </c>
      <c r="AB161" s="234">
        <f t="shared" si="12"/>
        <v>90090</v>
      </c>
      <c r="AC161" s="234">
        <f t="shared" si="13"/>
        <v>721.572</v>
      </c>
      <c r="AD161" s="101">
        <f t="shared" si="14"/>
        <v>12515.627999999997</v>
      </c>
      <c r="AE161" s="101">
        <f t="shared" si="15"/>
        <v>30448.428</v>
      </c>
      <c r="AF161" s="235">
        <f t="shared" ref="AF161:AG161" si="232">AD161/U161</f>
        <v>0.16338939947780676</v>
      </c>
      <c r="AG161" s="235">
        <f t="shared" si="232"/>
        <v>0.30418009990009992</v>
      </c>
      <c r="AH161" s="215">
        <v>15000</v>
      </c>
      <c r="AI161" s="212">
        <f t="shared" si="202"/>
        <v>61600</v>
      </c>
      <c r="AJ161" s="4"/>
      <c r="AK161" s="4"/>
      <c r="AL161" s="4"/>
      <c r="AM161" s="4"/>
      <c r="AN161" s="4"/>
      <c r="AO161" s="4"/>
      <c r="AP161" s="4"/>
      <c r="AQ161" s="4"/>
      <c r="AR161" s="4"/>
      <c r="AS161" s="4"/>
      <c r="AT161" s="4"/>
      <c r="AU161" s="4"/>
    </row>
    <row r="162" spans="1:47" ht="13.2">
      <c r="A162" s="302"/>
      <c r="B162" s="113"/>
      <c r="C162" s="302"/>
      <c r="D162" s="117"/>
      <c r="E162" s="117"/>
      <c r="F162" s="123" t="s">
        <v>451</v>
      </c>
      <c r="G162" s="302"/>
      <c r="H162" s="125"/>
      <c r="I162" s="125">
        <v>268</v>
      </c>
      <c r="J162" s="82">
        <f t="shared" si="147"/>
        <v>2.1875</v>
      </c>
      <c r="K162" s="82">
        <v>35</v>
      </c>
      <c r="L162" s="82">
        <f t="shared" si="199"/>
        <v>0.99223249999999996</v>
      </c>
      <c r="M162" s="125">
        <v>0</v>
      </c>
      <c r="N162" s="125">
        <v>0</v>
      </c>
      <c r="O162" s="230">
        <f t="shared" si="2"/>
        <v>268</v>
      </c>
      <c r="P162" s="231">
        <f t="shared" si="3"/>
        <v>50920</v>
      </c>
      <c r="Q162" s="232">
        <f>ROUNDUP(HLOOKUP(IF(CEILING(L162,0.5)&lt;1,1,CEILING(L162,0.5)),'배송비 조회'!A$32:AY$36,2,0),-2)</f>
        <v>8000</v>
      </c>
      <c r="R162" s="232">
        <v>0</v>
      </c>
      <c r="S162" s="231">
        <f t="shared" si="231"/>
        <v>17700</v>
      </c>
      <c r="T162" s="231">
        <f t="shared" si="200"/>
        <v>41200</v>
      </c>
      <c r="U162" s="233">
        <f t="shared" si="142"/>
        <v>76600</v>
      </c>
      <c r="V162" s="233">
        <f t="shared" si="7"/>
        <v>100100</v>
      </c>
      <c r="W162" s="234">
        <v>0</v>
      </c>
      <c r="X162" s="234">
        <f t="shared" si="8"/>
        <v>2910.7999999999997</v>
      </c>
      <c r="Y162" s="234">
        <f t="shared" si="9"/>
        <v>1532</v>
      </c>
      <c r="Z162" s="234">
        <f t="shared" si="10"/>
        <v>10010</v>
      </c>
      <c r="AA162" s="234">
        <f t="shared" si="11"/>
        <v>72157.2</v>
      </c>
      <c r="AB162" s="234">
        <f t="shared" si="12"/>
        <v>90090</v>
      </c>
      <c r="AC162" s="234">
        <f t="shared" si="13"/>
        <v>721.572</v>
      </c>
      <c r="AD162" s="101">
        <f t="shared" si="14"/>
        <v>12515.627999999997</v>
      </c>
      <c r="AE162" s="101">
        <f t="shared" si="15"/>
        <v>30448.428</v>
      </c>
      <c r="AF162" s="235">
        <f t="shared" ref="AF162:AG162" si="233">AD162/U162</f>
        <v>0.16338939947780676</v>
      </c>
      <c r="AG162" s="235">
        <f t="shared" si="233"/>
        <v>0.30418009990009992</v>
      </c>
      <c r="AH162" s="215">
        <v>15000</v>
      </c>
      <c r="AI162" s="212">
        <f t="shared" si="202"/>
        <v>61600</v>
      </c>
      <c r="AJ162" s="4"/>
      <c r="AK162" s="4"/>
      <c r="AL162" s="4"/>
      <c r="AM162" s="4"/>
      <c r="AN162" s="4"/>
      <c r="AO162" s="4"/>
      <c r="AP162" s="4"/>
      <c r="AQ162" s="4"/>
      <c r="AR162" s="4"/>
      <c r="AS162" s="4"/>
      <c r="AT162" s="4"/>
      <c r="AU162" s="4"/>
    </row>
    <row r="163" spans="1:47" ht="13.2">
      <c r="A163" s="302"/>
      <c r="B163" s="113"/>
      <c r="C163" s="302"/>
      <c r="D163" s="117"/>
      <c r="E163" s="117"/>
      <c r="F163" s="123" t="s">
        <v>454</v>
      </c>
      <c r="G163" s="302"/>
      <c r="H163" s="125"/>
      <c r="I163" s="125">
        <v>268</v>
      </c>
      <c r="J163" s="82">
        <f t="shared" si="147"/>
        <v>2.1875</v>
      </c>
      <c r="K163" s="82">
        <v>35</v>
      </c>
      <c r="L163" s="82">
        <f t="shared" si="199"/>
        <v>0.99223249999999996</v>
      </c>
      <c r="M163" s="125">
        <v>0</v>
      </c>
      <c r="N163" s="125">
        <v>0</v>
      </c>
      <c r="O163" s="230">
        <f t="shared" si="2"/>
        <v>268</v>
      </c>
      <c r="P163" s="231">
        <f t="shared" si="3"/>
        <v>50920</v>
      </c>
      <c r="Q163" s="232">
        <f>ROUNDUP(HLOOKUP(IF(CEILING(L163,0.5)&lt;1,1,CEILING(L163,0.5)),'배송비 조회'!A$32:AY$36,2,0),-2)</f>
        <v>8000</v>
      </c>
      <c r="R163" s="232">
        <v>0</v>
      </c>
      <c r="S163" s="231">
        <f t="shared" si="231"/>
        <v>17700</v>
      </c>
      <c r="T163" s="231">
        <f t="shared" si="200"/>
        <v>41200</v>
      </c>
      <c r="U163" s="233">
        <f t="shared" si="142"/>
        <v>76600</v>
      </c>
      <c r="V163" s="233">
        <f t="shared" si="7"/>
        <v>100100</v>
      </c>
      <c r="W163" s="234">
        <v>0</v>
      </c>
      <c r="X163" s="234">
        <f t="shared" si="8"/>
        <v>2910.7999999999997</v>
      </c>
      <c r="Y163" s="234">
        <f t="shared" si="9"/>
        <v>1532</v>
      </c>
      <c r="Z163" s="234">
        <f t="shared" si="10"/>
        <v>10010</v>
      </c>
      <c r="AA163" s="234">
        <f t="shared" si="11"/>
        <v>72157.2</v>
      </c>
      <c r="AB163" s="234">
        <f t="shared" si="12"/>
        <v>90090</v>
      </c>
      <c r="AC163" s="234">
        <f t="shared" si="13"/>
        <v>721.572</v>
      </c>
      <c r="AD163" s="101">
        <f t="shared" si="14"/>
        <v>12515.627999999997</v>
      </c>
      <c r="AE163" s="101">
        <f t="shared" si="15"/>
        <v>30448.428</v>
      </c>
      <c r="AF163" s="235">
        <f t="shared" ref="AF163:AG163" si="234">AD163/U163</f>
        <v>0.16338939947780676</v>
      </c>
      <c r="AG163" s="235">
        <f t="shared" si="234"/>
        <v>0.30418009990009992</v>
      </c>
      <c r="AH163" s="215">
        <v>15000</v>
      </c>
      <c r="AI163" s="212">
        <f t="shared" si="202"/>
        <v>61600</v>
      </c>
      <c r="AJ163" s="4"/>
      <c r="AK163" s="4"/>
      <c r="AL163" s="4"/>
      <c r="AM163" s="4"/>
      <c r="AN163" s="4"/>
      <c r="AO163" s="4"/>
      <c r="AP163" s="4"/>
      <c r="AQ163" s="4"/>
      <c r="AR163" s="4"/>
      <c r="AS163" s="4"/>
      <c r="AT163" s="4"/>
      <c r="AU163" s="4"/>
    </row>
    <row r="164" spans="1:47" ht="13.2">
      <c r="A164" s="302"/>
      <c r="B164" s="113"/>
      <c r="C164" s="302"/>
      <c r="D164" s="117"/>
      <c r="E164" s="117"/>
      <c r="F164" s="123" t="s">
        <v>457</v>
      </c>
      <c r="G164" s="302"/>
      <c r="H164" s="125"/>
      <c r="I164" s="125">
        <v>268</v>
      </c>
      <c r="J164" s="82">
        <f t="shared" si="147"/>
        <v>2.1875</v>
      </c>
      <c r="K164" s="82">
        <v>35</v>
      </c>
      <c r="L164" s="82">
        <f t="shared" si="199"/>
        <v>0.99223249999999996</v>
      </c>
      <c r="M164" s="125">
        <v>0</v>
      </c>
      <c r="N164" s="125">
        <v>0</v>
      </c>
      <c r="O164" s="230">
        <f t="shared" si="2"/>
        <v>268</v>
      </c>
      <c r="P164" s="231">
        <f t="shared" si="3"/>
        <v>50920</v>
      </c>
      <c r="Q164" s="232">
        <f>ROUNDUP(HLOOKUP(IF(CEILING(L164,0.5)&lt;1,1,CEILING(L164,0.5)),'배송비 조회'!A$32:AY$36,2,0),-2)</f>
        <v>8000</v>
      </c>
      <c r="R164" s="232">
        <v>0</v>
      </c>
      <c r="S164" s="231">
        <f t="shared" si="231"/>
        <v>17700</v>
      </c>
      <c r="T164" s="231">
        <f t="shared" si="200"/>
        <v>41200</v>
      </c>
      <c r="U164" s="233">
        <f t="shared" si="142"/>
        <v>76600</v>
      </c>
      <c r="V164" s="233">
        <f t="shared" si="7"/>
        <v>100100</v>
      </c>
      <c r="W164" s="234">
        <v>0</v>
      </c>
      <c r="X164" s="234">
        <f t="shared" si="8"/>
        <v>2910.7999999999997</v>
      </c>
      <c r="Y164" s="234">
        <f t="shared" si="9"/>
        <v>1532</v>
      </c>
      <c r="Z164" s="234">
        <f t="shared" si="10"/>
        <v>10010</v>
      </c>
      <c r="AA164" s="234">
        <f t="shared" si="11"/>
        <v>72157.2</v>
      </c>
      <c r="AB164" s="234">
        <f t="shared" si="12"/>
        <v>90090</v>
      </c>
      <c r="AC164" s="234">
        <f t="shared" si="13"/>
        <v>721.572</v>
      </c>
      <c r="AD164" s="101">
        <f t="shared" si="14"/>
        <v>12515.627999999997</v>
      </c>
      <c r="AE164" s="101">
        <f t="shared" si="15"/>
        <v>30448.428</v>
      </c>
      <c r="AF164" s="235">
        <f t="shared" ref="AF164:AG164" si="235">AD164/U164</f>
        <v>0.16338939947780676</v>
      </c>
      <c r="AG164" s="235">
        <f t="shared" si="235"/>
        <v>0.30418009990009992</v>
      </c>
      <c r="AH164" s="215">
        <v>15000</v>
      </c>
      <c r="AI164" s="212">
        <f t="shared" si="202"/>
        <v>61600</v>
      </c>
      <c r="AJ164" s="4"/>
      <c r="AK164" s="4"/>
      <c r="AL164" s="4"/>
      <c r="AM164" s="4"/>
      <c r="AN164" s="4"/>
      <c r="AO164" s="4"/>
      <c r="AP164" s="4"/>
      <c r="AQ164" s="4"/>
      <c r="AR164" s="4"/>
      <c r="AS164" s="4"/>
      <c r="AT164" s="4"/>
      <c r="AU164" s="4"/>
    </row>
    <row r="165" spans="1:47" ht="13.2">
      <c r="A165" s="302"/>
      <c r="B165" s="113"/>
      <c r="C165" s="302"/>
      <c r="D165" s="117"/>
      <c r="E165" s="117"/>
      <c r="F165" s="123" t="s">
        <v>460</v>
      </c>
      <c r="G165" s="302"/>
      <c r="H165" s="125"/>
      <c r="I165" s="125">
        <v>268</v>
      </c>
      <c r="J165" s="82">
        <f t="shared" si="147"/>
        <v>2.1875</v>
      </c>
      <c r="K165" s="82">
        <v>35</v>
      </c>
      <c r="L165" s="82">
        <f t="shared" si="199"/>
        <v>0.99223249999999996</v>
      </c>
      <c r="M165" s="125">
        <v>0</v>
      </c>
      <c r="N165" s="125">
        <v>0</v>
      </c>
      <c r="O165" s="230">
        <f t="shared" si="2"/>
        <v>268</v>
      </c>
      <c r="P165" s="231">
        <f t="shared" si="3"/>
        <v>50920</v>
      </c>
      <c r="Q165" s="232">
        <f>ROUNDUP(HLOOKUP(IF(CEILING(L165,0.5)&lt;1,1,CEILING(L165,0.5)),'배송비 조회'!A$32:AY$36,2,0),-2)</f>
        <v>8000</v>
      </c>
      <c r="R165" s="232">
        <v>0</v>
      </c>
      <c r="S165" s="231">
        <f t="shared" si="231"/>
        <v>17700</v>
      </c>
      <c r="T165" s="231">
        <f t="shared" si="200"/>
        <v>41200</v>
      </c>
      <c r="U165" s="233">
        <f t="shared" si="142"/>
        <v>76600</v>
      </c>
      <c r="V165" s="233">
        <f t="shared" si="7"/>
        <v>100100</v>
      </c>
      <c r="W165" s="234">
        <v>0</v>
      </c>
      <c r="X165" s="234">
        <f t="shared" si="8"/>
        <v>2910.7999999999997</v>
      </c>
      <c r="Y165" s="234">
        <f t="shared" si="9"/>
        <v>1532</v>
      </c>
      <c r="Z165" s="234">
        <f t="shared" si="10"/>
        <v>10010</v>
      </c>
      <c r="AA165" s="234">
        <f t="shared" si="11"/>
        <v>72157.2</v>
      </c>
      <c r="AB165" s="234">
        <f t="shared" si="12"/>
        <v>90090</v>
      </c>
      <c r="AC165" s="234">
        <f t="shared" si="13"/>
        <v>721.572</v>
      </c>
      <c r="AD165" s="101">
        <f t="shared" si="14"/>
        <v>12515.627999999997</v>
      </c>
      <c r="AE165" s="101">
        <f t="shared" si="15"/>
        <v>30448.428</v>
      </c>
      <c r="AF165" s="235">
        <f t="shared" ref="AF165:AG165" si="236">AD165/U165</f>
        <v>0.16338939947780676</v>
      </c>
      <c r="AG165" s="235">
        <f t="shared" si="236"/>
        <v>0.30418009990009992</v>
      </c>
      <c r="AH165" s="215">
        <v>15000</v>
      </c>
      <c r="AI165" s="212">
        <f t="shared" si="202"/>
        <v>61600</v>
      </c>
      <c r="AJ165" s="4"/>
      <c r="AK165" s="4"/>
      <c r="AL165" s="4"/>
      <c r="AM165" s="4"/>
      <c r="AN165" s="4"/>
      <c r="AO165" s="4"/>
      <c r="AP165" s="4"/>
      <c r="AQ165" s="4"/>
      <c r="AR165" s="4"/>
      <c r="AS165" s="4"/>
      <c r="AT165" s="4"/>
      <c r="AU165" s="4"/>
    </row>
    <row r="166" spans="1:47" ht="13.2">
      <c r="A166" s="302"/>
      <c r="B166" s="113"/>
      <c r="C166" s="302"/>
      <c r="D166" s="117"/>
      <c r="E166" s="117"/>
      <c r="F166" s="123" t="s">
        <v>463</v>
      </c>
      <c r="G166" s="302"/>
      <c r="H166" s="125"/>
      <c r="I166" s="125">
        <v>429</v>
      </c>
      <c r="J166" s="82">
        <f t="shared" si="147"/>
        <v>2.1875</v>
      </c>
      <c r="K166" s="82">
        <v>35</v>
      </c>
      <c r="L166" s="82">
        <f t="shared" si="199"/>
        <v>0.99223249999999996</v>
      </c>
      <c r="M166" s="125">
        <v>0</v>
      </c>
      <c r="N166" s="125">
        <v>0</v>
      </c>
      <c r="O166" s="230">
        <f t="shared" si="2"/>
        <v>429</v>
      </c>
      <c r="P166" s="231">
        <f t="shared" si="3"/>
        <v>81510</v>
      </c>
      <c r="Q166" s="232">
        <f>ROUNDUP(HLOOKUP(IF(CEILING(L166,0.5)&lt;1,1,CEILING(L166,0.5)),'배송비 조회'!A$32:AY$36,2,0),-2)</f>
        <v>8000</v>
      </c>
      <c r="R166" s="232">
        <v>0</v>
      </c>
      <c r="S166" s="231">
        <f t="shared" ref="S166:S170" si="237">ROUND((P166+Q166)*0.2,-2)</f>
        <v>17900</v>
      </c>
      <c r="T166" s="231">
        <f t="shared" si="200"/>
        <v>62700</v>
      </c>
      <c r="U166" s="233">
        <f t="shared" si="142"/>
        <v>107400</v>
      </c>
      <c r="V166" s="233">
        <f t="shared" si="7"/>
        <v>152200</v>
      </c>
      <c r="W166" s="234">
        <v>0</v>
      </c>
      <c r="X166" s="234">
        <f t="shared" si="8"/>
        <v>4081.2</v>
      </c>
      <c r="Y166" s="234">
        <f t="shared" si="9"/>
        <v>2148</v>
      </c>
      <c r="Z166" s="234">
        <f t="shared" si="10"/>
        <v>15220</v>
      </c>
      <c r="AA166" s="234">
        <f t="shared" si="11"/>
        <v>101170.8</v>
      </c>
      <c r="AB166" s="234">
        <f t="shared" si="12"/>
        <v>136980</v>
      </c>
      <c r="AC166" s="234">
        <f t="shared" si="13"/>
        <v>1011.7080000000001</v>
      </c>
      <c r="AD166" s="101">
        <f t="shared" si="14"/>
        <v>10649.092000000004</v>
      </c>
      <c r="AE166" s="101">
        <f t="shared" si="15"/>
        <v>46458.292000000001</v>
      </c>
      <c r="AF166" s="235">
        <f t="shared" ref="AF166:AG166" si="238">AD166/U166</f>
        <v>9.9153556797020523E-2</v>
      </c>
      <c r="AG166" s="235">
        <f t="shared" si="238"/>
        <v>0.30524501971090673</v>
      </c>
      <c r="AH166" s="215">
        <v>15000</v>
      </c>
      <c r="AI166" s="212">
        <f t="shared" si="202"/>
        <v>92400</v>
      </c>
      <c r="AJ166" s="16">
        <f>AI166-AI165</f>
        <v>30800</v>
      </c>
      <c r="AK166" s="4"/>
      <c r="AL166" s="4"/>
      <c r="AM166" s="4"/>
      <c r="AN166" s="4"/>
      <c r="AO166" s="4"/>
      <c r="AP166" s="4"/>
      <c r="AQ166" s="4"/>
      <c r="AR166" s="4"/>
      <c r="AS166" s="4"/>
      <c r="AT166" s="4"/>
      <c r="AU166" s="4"/>
    </row>
    <row r="167" spans="1:47" ht="13.2">
      <c r="A167" s="302"/>
      <c r="B167" s="113"/>
      <c r="C167" s="302"/>
      <c r="D167" s="117"/>
      <c r="E167" s="117"/>
      <c r="F167" s="123" t="s">
        <v>467</v>
      </c>
      <c r="G167" s="302"/>
      <c r="H167" s="125"/>
      <c r="I167" s="125">
        <v>429</v>
      </c>
      <c r="J167" s="82">
        <f t="shared" si="147"/>
        <v>2.1875</v>
      </c>
      <c r="K167" s="82">
        <v>35</v>
      </c>
      <c r="L167" s="82">
        <f t="shared" si="199"/>
        <v>0.99223249999999996</v>
      </c>
      <c r="M167" s="125">
        <v>0</v>
      </c>
      <c r="N167" s="125">
        <v>0</v>
      </c>
      <c r="O167" s="230">
        <f t="shared" si="2"/>
        <v>429</v>
      </c>
      <c r="P167" s="231">
        <f t="shared" si="3"/>
        <v>81510</v>
      </c>
      <c r="Q167" s="232">
        <f>ROUNDUP(HLOOKUP(IF(CEILING(L167,0.5)&lt;1,1,CEILING(L167,0.5)),'배송비 조회'!A$32:AY$36,2,0),-2)</f>
        <v>8000</v>
      </c>
      <c r="R167" s="232">
        <v>0</v>
      </c>
      <c r="S167" s="231">
        <f t="shared" si="237"/>
        <v>17900</v>
      </c>
      <c r="T167" s="231">
        <f t="shared" si="200"/>
        <v>62700</v>
      </c>
      <c r="U167" s="233">
        <f t="shared" si="142"/>
        <v>107400</v>
      </c>
      <c r="V167" s="233">
        <f t="shared" si="7"/>
        <v>152200</v>
      </c>
      <c r="W167" s="234">
        <v>0</v>
      </c>
      <c r="X167" s="234">
        <f t="shared" si="8"/>
        <v>4081.2</v>
      </c>
      <c r="Y167" s="234">
        <f t="shared" si="9"/>
        <v>2148</v>
      </c>
      <c r="Z167" s="234">
        <f t="shared" si="10"/>
        <v>15220</v>
      </c>
      <c r="AA167" s="234">
        <f t="shared" si="11"/>
        <v>101170.8</v>
      </c>
      <c r="AB167" s="234">
        <f t="shared" si="12"/>
        <v>136980</v>
      </c>
      <c r="AC167" s="234">
        <f t="shared" si="13"/>
        <v>1011.7080000000001</v>
      </c>
      <c r="AD167" s="101">
        <f t="shared" si="14"/>
        <v>10649.092000000004</v>
      </c>
      <c r="AE167" s="101">
        <f t="shared" si="15"/>
        <v>46458.292000000001</v>
      </c>
      <c r="AF167" s="235">
        <f t="shared" ref="AF167:AG167" si="239">AD167/U167</f>
        <v>9.9153556797020523E-2</v>
      </c>
      <c r="AG167" s="235">
        <f t="shared" si="239"/>
        <v>0.30524501971090673</v>
      </c>
      <c r="AH167" s="215">
        <v>15000</v>
      </c>
      <c r="AI167" s="212">
        <f t="shared" si="202"/>
        <v>92400</v>
      </c>
      <c r="AJ167" s="4"/>
      <c r="AK167" s="4"/>
      <c r="AL167" s="4"/>
      <c r="AM167" s="4"/>
      <c r="AN167" s="4"/>
      <c r="AO167" s="4"/>
      <c r="AP167" s="4"/>
      <c r="AQ167" s="4"/>
      <c r="AR167" s="4"/>
      <c r="AS167" s="4"/>
      <c r="AT167" s="4"/>
      <c r="AU167" s="4"/>
    </row>
    <row r="168" spans="1:47" ht="13.2">
      <c r="A168" s="302"/>
      <c r="B168" s="113"/>
      <c r="C168" s="302"/>
      <c r="D168" s="117"/>
      <c r="E168" s="117"/>
      <c r="F168" s="123" t="s">
        <v>468</v>
      </c>
      <c r="G168" s="302"/>
      <c r="H168" s="125"/>
      <c r="I168" s="125">
        <v>429</v>
      </c>
      <c r="J168" s="82">
        <f t="shared" si="147"/>
        <v>2.1875</v>
      </c>
      <c r="K168" s="82">
        <v>35</v>
      </c>
      <c r="L168" s="82">
        <f t="shared" si="199"/>
        <v>0.99223249999999996</v>
      </c>
      <c r="M168" s="125">
        <v>0</v>
      </c>
      <c r="N168" s="125">
        <v>0</v>
      </c>
      <c r="O168" s="230">
        <f t="shared" si="2"/>
        <v>429</v>
      </c>
      <c r="P168" s="231">
        <f t="shared" si="3"/>
        <v>81510</v>
      </c>
      <c r="Q168" s="232">
        <f>ROUNDUP(HLOOKUP(IF(CEILING(L168,0.5)&lt;1,1,CEILING(L168,0.5)),'배송비 조회'!A$32:AY$36,2,0),-2)</f>
        <v>8000</v>
      </c>
      <c r="R168" s="232">
        <v>0</v>
      </c>
      <c r="S168" s="231">
        <f t="shared" si="237"/>
        <v>17900</v>
      </c>
      <c r="T168" s="231">
        <f t="shared" si="200"/>
        <v>62700</v>
      </c>
      <c r="U168" s="233">
        <f t="shared" si="142"/>
        <v>107400</v>
      </c>
      <c r="V168" s="233">
        <f t="shared" si="7"/>
        <v>152200</v>
      </c>
      <c r="W168" s="234">
        <v>0</v>
      </c>
      <c r="X168" s="234">
        <f t="shared" si="8"/>
        <v>4081.2</v>
      </c>
      <c r="Y168" s="234">
        <f t="shared" si="9"/>
        <v>2148</v>
      </c>
      <c r="Z168" s="234">
        <f t="shared" si="10"/>
        <v>15220</v>
      </c>
      <c r="AA168" s="234">
        <f t="shared" si="11"/>
        <v>101170.8</v>
      </c>
      <c r="AB168" s="234">
        <f t="shared" si="12"/>
        <v>136980</v>
      </c>
      <c r="AC168" s="234">
        <f t="shared" si="13"/>
        <v>1011.7080000000001</v>
      </c>
      <c r="AD168" s="101">
        <f t="shared" si="14"/>
        <v>10649.092000000004</v>
      </c>
      <c r="AE168" s="101">
        <f t="shared" si="15"/>
        <v>46458.292000000001</v>
      </c>
      <c r="AF168" s="235">
        <f t="shared" ref="AF168:AG168" si="240">AD168/U168</f>
        <v>9.9153556797020523E-2</v>
      </c>
      <c r="AG168" s="235">
        <f t="shared" si="240"/>
        <v>0.30524501971090673</v>
      </c>
      <c r="AH168" s="215">
        <v>15000</v>
      </c>
      <c r="AI168" s="212">
        <f t="shared" si="202"/>
        <v>92400</v>
      </c>
      <c r="AJ168" s="4"/>
      <c r="AK168" s="4"/>
      <c r="AL168" s="4"/>
      <c r="AM168" s="4"/>
      <c r="AN168" s="4"/>
      <c r="AO168" s="4"/>
      <c r="AP168" s="4"/>
      <c r="AQ168" s="4"/>
      <c r="AR168" s="4"/>
      <c r="AS168" s="4"/>
      <c r="AT168" s="4"/>
      <c r="AU168" s="4"/>
    </row>
    <row r="169" spans="1:47" ht="13.2">
      <c r="A169" s="302"/>
      <c r="B169" s="113"/>
      <c r="C169" s="302"/>
      <c r="D169" s="117"/>
      <c r="E169" s="117"/>
      <c r="F169" s="123" t="s">
        <v>470</v>
      </c>
      <c r="G169" s="302"/>
      <c r="H169" s="125"/>
      <c r="I169" s="125">
        <v>429</v>
      </c>
      <c r="J169" s="82">
        <f t="shared" si="147"/>
        <v>2.1875</v>
      </c>
      <c r="K169" s="82">
        <v>35</v>
      </c>
      <c r="L169" s="82">
        <f t="shared" si="199"/>
        <v>0.99223249999999996</v>
      </c>
      <c r="M169" s="125">
        <v>0</v>
      </c>
      <c r="N169" s="125">
        <v>0</v>
      </c>
      <c r="O169" s="230">
        <f t="shared" si="2"/>
        <v>429</v>
      </c>
      <c r="P169" s="231">
        <f t="shared" si="3"/>
        <v>81510</v>
      </c>
      <c r="Q169" s="232">
        <f>ROUNDUP(HLOOKUP(IF(CEILING(L169,0.5)&lt;1,1,CEILING(L169,0.5)),'배송비 조회'!A$32:AY$36,2,0),-2)</f>
        <v>8000</v>
      </c>
      <c r="R169" s="232">
        <v>0</v>
      </c>
      <c r="S169" s="231">
        <f t="shared" si="237"/>
        <v>17900</v>
      </c>
      <c r="T169" s="231">
        <f t="shared" si="200"/>
        <v>62700</v>
      </c>
      <c r="U169" s="233">
        <f t="shared" si="142"/>
        <v>107400</v>
      </c>
      <c r="V169" s="233">
        <f t="shared" si="7"/>
        <v>152200</v>
      </c>
      <c r="W169" s="234">
        <v>0</v>
      </c>
      <c r="X169" s="234">
        <f t="shared" si="8"/>
        <v>4081.2</v>
      </c>
      <c r="Y169" s="234">
        <f t="shared" si="9"/>
        <v>2148</v>
      </c>
      <c r="Z169" s="234">
        <f t="shared" si="10"/>
        <v>15220</v>
      </c>
      <c r="AA169" s="234">
        <f t="shared" si="11"/>
        <v>101170.8</v>
      </c>
      <c r="AB169" s="234">
        <f t="shared" si="12"/>
        <v>136980</v>
      </c>
      <c r="AC169" s="234">
        <f t="shared" si="13"/>
        <v>1011.7080000000001</v>
      </c>
      <c r="AD169" s="101">
        <f t="shared" si="14"/>
        <v>10649.092000000004</v>
      </c>
      <c r="AE169" s="101">
        <f t="shared" si="15"/>
        <v>46458.292000000001</v>
      </c>
      <c r="AF169" s="235">
        <f t="shared" ref="AF169:AG169" si="241">AD169/U169</f>
        <v>9.9153556797020523E-2</v>
      </c>
      <c r="AG169" s="235">
        <f t="shared" si="241"/>
        <v>0.30524501971090673</v>
      </c>
      <c r="AH169" s="215">
        <v>15000</v>
      </c>
      <c r="AI169" s="212">
        <f t="shared" si="202"/>
        <v>92400</v>
      </c>
      <c r="AJ169" s="4"/>
      <c r="AK169" s="4"/>
      <c r="AL169" s="4"/>
      <c r="AM169" s="4"/>
      <c r="AN169" s="4"/>
      <c r="AO169" s="4"/>
      <c r="AP169" s="4"/>
      <c r="AQ169" s="4"/>
      <c r="AR169" s="4"/>
      <c r="AS169" s="4"/>
      <c r="AT169" s="4"/>
      <c r="AU169" s="4"/>
    </row>
    <row r="170" spans="1:47" ht="13.2">
      <c r="A170" s="302"/>
      <c r="B170" s="113"/>
      <c r="C170" s="302"/>
      <c r="D170" s="117"/>
      <c r="E170" s="117"/>
      <c r="F170" s="123" t="s">
        <v>473</v>
      </c>
      <c r="G170" s="302"/>
      <c r="H170" s="125"/>
      <c r="I170" s="125">
        <v>429</v>
      </c>
      <c r="J170" s="82">
        <f t="shared" si="147"/>
        <v>2.1875</v>
      </c>
      <c r="K170" s="82">
        <v>35</v>
      </c>
      <c r="L170" s="82">
        <f t="shared" si="199"/>
        <v>0.99223249999999996</v>
      </c>
      <c r="M170" s="125">
        <v>0</v>
      </c>
      <c r="N170" s="125">
        <v>0</v>
      </c>
      <c r="O170" s="230">
        <f t="shared" si="2"/>
        <v>429</v>
      </c>
      <c r="P170" s="231">
        <f t="shared" si="3"/>
        <v>81510</v>
      </c>
      <c r="Q170" s="232">
        <f>ROUNDUP(HLOOKUP(IF(CEILING(L170,0.5)&lt;1,1,CEILING(L170,0.5)),'배송비 조회'!A$32:AY$36,2,0),-2)</f>
        <v>8000</v>
      </c>
      <c r="R170" s="232">
        <v>0</v>
      </c>
      <c r="S170" s="231">
        <f t="shared" si="237"/>
        <v>17900</v>
      </c>
      <c r="T170" s="231">
        <f t="shared" si="200"/>
        <v>62700</v>
      </c>
      <c r="U170" s="233">
        <f t="shared" si="142"/>
        <v>107400</v>
      </c>
      <c r="V170" s="233">
        <f t="shared" si="7"/>
        <v>152200</v>
      </c>
      <c r="W170" s="234">
        <v>0</v>
      </c>
      <c r="X170" s="234">
        <f t="shared" si="8"/>
        <v>4081.2</v>
      </c>
      <c r="Y170" s="234">
        <f t="shared" si="9"/>
        <v>2148</v>
      </c>
      <c r="Z170" s="234">
        <f t="shared" si="10"/>
        <v>15220</v>
      </c>
      <c r="AA170" s="234">
        <f t="shared" si="11"/>
        <v>101170.8</v>
      </c>
      <c r="AB170" s="234">
        <f t="shared" si="12"/>
        <v>136980</v>
      </c>
      <c r="AC170" s="234">
        <f t="shared" si="13"/>
        <v>1011.7080000000001</v>
      </c>
      <c r="AD170" s="101">
        <f t="shared" si="14"/>
        <v>10649.092000000004</v>
      </c>
      <c r="AE170" s="101">
        <f t="shared" si="15"/>
        <v>46458.292000000001</v>
      </c>
      <c r="AF170" s="235">
        <f t="shared" ref="AF170:AG170" si="242">AD170/U170</f>
        <v>9.9153556797020523E-2</v>
      </c>
      <c r="AG170" s="235">
        <f t="shared" si="242"/>
        <v>0.30524501971090673</v>
      </c>
      <c r="AH170" s="215">
        <v>15000</v>
      </c>
      <c r="AI170" s="212">
        <f t="shared" si="202"/>
        <v>92400</v>
      </c>
      <c r="AJ170" s="4"/>
      <c r="AK170" s="4"/>
      <c r="AL170" s="4"/>
      <c r="AM170" s="4"/>
      <c r="AN170" s="4"/>
      <c r="AO170" s="4"/>
      <c r="AP170" s="4"/>
      <c r="AQ170" s="4"/>
      <c r="AR170" s="4"/>
      <c r="AS170" s="4"/>
      <c r="AT170" s="4"/>
      <c r="AU170" s="4"/>
    </row>
    <row r="171" spans="1:47" ht="13.2">
      <c r="A171" s="350" t="str">
        <f>HYPERLINK("https://smartstore.naver.com/brickstore2019/products/4775731651","4775731651")</f>
        <v>4775731651</v>
      </c>
      <c r="B171" s="113"/>
      <c r="C171" s="304" t="s">
        <v>474</v>
      </c>
      <c r="D171" s="117"/>
      <c r="E171" s="117"/>
      <c r="F171" s="123" t="s">
        <v>144</v>
      </c>
      <c r="G171" s="237" t="str">
        <f t="shared" ref="G171:G172" si="243">HYPERLINK("https://item.taobao.com/item.htm?spm=a230r.1.999.8.70f2523cRNf2Vs&amp;id=605126230592&amp;ns=1#detail","A")</f>
        <v>A</v>
      </c>
      <c r="H171" s="125"/>
      <c r="I171" s="125">
        <v>103</v>
      </c>
      <c r="J171" s="82">
        <f t="shared" si="147"/>
        <v>2.1875</v>
      </c>
      <c r="K171" s="82">
        <v>35</v>
      </c>
      <c r="L171" s="82">
        <f t="shared" si="199"/>
        <v>0.99223249999999996</v>
      </c>
      <c r="M171" s="125">
        <v>0</v>
      </c>
      <c r="N171" s="125">
        <v>0</v>
      </c>
      <c r="O171" s="230">
        <f t="shared" si="2"/>
        <v>103</v>
      </c>
      <c r="P171" s="231">
        <f t="shared" si="3"/>
        <v>19570</v>
      </c>
      <c r="Q171" s="232">
        <v>8000</v>
      </c>
      <c r="R171" s="232">
        <v>0</v>
      </c>
      <c r="S171" s="231">
        <f t="shared" ref="S171:S174" si="244">ROUND((P171+Q171)*0.3,-2)</f>
        <v>8300</v>
      </c>
      <c r="T171" s="231">
        <f t="shared" si="200"/>
        <v>19300</v>
      </c>
      <c r="U171" s="233">
        <f t="shared" si="142"/>
        <v>35900</v>
      </c>
      <c r="V171" s="233">
        <f t="shared" si="7"/>
        <v>46900</v>
      </c>
      <c r="W171" s="234">
        <v>0</v>
      </c>
      <c r="X171" s="234">
        <f t="shared" si="8"/>
        <v>1364.2</v>
      </c>
      <c r="Y171" s="234">
        <f t="shared" si="9"/>
        <v>718</v>
      </c>
      <c r="Z171" s="234">
        <f t="shared" si="10"/>
        <v>4690</v>
      </c>
      <c r="AA171" s="234">
        <f t="shared" si="11"/>
        <v>33817.800000000003</v>
      </c>
      <c r="AB171" s="234">
        <f t="shared" si="12"/>
        <v>42210</v>
      </c>
      <c r="AC171" s="234">
        <f t="shared" si="13"/>
        <v>338.17800000000005</v>
      </c>
      <c r="AD171" s="101">
        <f t="shared" si="14"/>
        <v>5909.622000000003</v>
      </c>
      <c r="AE171" s="101">
        <f t="shared" si="15"/>
        <v>14301.822</v>
      </c>
      <c r="AF171" s="235">
        <f t="shared" ref="AF171:AG171" si="245">AD171/U171</f>
        <v>0.16461342618384409</v>
      </c>
      <c r="AG171" s="235">
        <f t="shared" si="245"/>
        <v>0.30494289978678041</v>
      </c>
      <c r="AH171" s="215">
        <v>10000</v>
      </c>
      <c r="AI171" s="212">
        <f t="shared" si="202"/>
        <v>25900</v>
      </c>
      <c r="AJ171" s="4"/>
      <c r="AK171" s="4"/>
      <c r="AL171" s="4"/>
      <c r="AM171" s="4"/>
      <c r="AN171" s="4"/>
      <c r="AO171" s="4"/>
      <c r="AP171" s="4"/>
      <c r="AQ171" s="4"/>
      <c r="AR171" s="4"/>
      <c r="AS171" s="4"/>
      <c r="AT171" s="4"/>
      <c r="AU171" s="4"/>
    </row>
    <row r="172" spans="1:47" ht="13.2">
      <c r="A172" s="302"/>
      <c r="B172" s="113"/>
      <c r="C172" s="302"/>
      <c r="D172" s="117"/>
      <c r="E172" s="117"/>
      <c r="F172" s="123" t="s">
        <v>71</v>
      </c>
      <c r="G172" s="237" t="str">
        <f t="shared" si="243"/>
        <v>A</v>
      </c>
      <c r="H172" s="125"/>
      <c r="I172" s="125">
        <v>103</v>
      </c>
      <c r="J172" s="82">
        <f t="shared" si="147"/>
        <v>2.1875</v>
      </c>
      <c r="K172" s="82">
        <v>35</v>
      </c>
      <c r="L172" s="82">
        <f t="shared" si="199"/>
        <v>0.99223249999999996</v>
      </c>
      <c r="M172" s="125">
        <v>0</v>
      </c>
      <c r="N172" s="125">
        <v>0</v>
      </c>
      <c r="O172" s="230">
        <f t="shared" si="2"/>
        <v>103</v>
      </c>
      <c r="P172" s="231">
        <f t="shared" si="3"/>
        <v>19570</v>
      </c>
      <c r="Q172" s="232">
        <f>ROUNDUP(HLOOKUP(IF(CEILING(L172,0.5)&lt;1,1,CEILING(L172,0.5)),'배송비 조회'!A$32:AY$36,2,0),-2)</f>
        <v>8000</v>
      </c>
      <c r="R172" s="232">
        <v>0</v>
      </c>
      <c r="S172" s="231">
        <f t="shared" si="244"/>
        <v>8300</v>
      </c>
      <c r="T172" s="231">
        <f t="shared" si="200"/>
        <v>19300</v>
      </c>
      <c r="U172" s="233">
        <f t="shared" si="142"/>
        <v>35900</v>
      </c>
      <c r="V172" s="233">
        <f t="shared" si="7"/>
        <v>46900</v>
      </c>
      <c r="W172" s="234">
        <v>0</v>
      </c>
      <c r="X172" s="234">
        <f t="shared" si="8"/>
        <v>1364.2</v>
      </c>
      <c r="Y172" s="234">
        <f t="shared" si="9"/>
        <v>718</v>
      </c>
      <c r="Z172" s="234">
        <f t="shared" si="10"/>
        <v>4690</v>
      </c>
      <c r="AA172" s="234">
        <f t="shared" si="11"/>
        <v>33817.800000000003</v>
      </c>
      <c r="AB172" s="234">
        <f t="shared" si="12"/>
        <v>42210</v>
      </c>
      <c r="AC172" s="234">
        <f t="shared" si="13"/>
        <v>338.17800000000005</v>
      </c>
      <c r="AD172" s="101">
        <f t="shared" si="14"/>
        <v>5909.622000000003</v>
      </c>
      <c r="AE172" s="101">
        <f t="shared" si="15"/>
        <v>14301.822</v>
      </c>
      <c r="AF172" s="235">
        <f t="shared" ref="AF172:AG172" si="246">AD172/U172</f>
        <v>0.16461342618384409</v>
      </c>
      <c r="AG172" s="235">
        <f t="shared" si="246"/>
        <v>0.30494289978678041</v>
      </c>
      <c r="AH172" s="215">
        <v>10000</v>
      </c>
      <c r="AI172" s="212">
        <f t="shared" si="202"/>
        <v>25900</v>
      </c>
      <c r="AJ172" s="4"/>
      <c r="AK172" s="4"/>
      <c r="AL172" s="4"/>
      <c r="AM172" s="4"/>
      <c r="AN172" s="4"/>
      <c r="AO172" s="4"/>
      <c r="AP172" s="4"/>
      <c r="AQ172" s="4"/>
      <c r="AR172" s="4"/>
      <c r="AS172" s="4"/>
      <c r="AT172" s="4"/>
      <c r="AU172" s="4"/>
    </row>
    <row r="173" spans="1:47" ht="13.2">
      <c r="A173" s="350" t="str">
        <f>HYPERLINK("https://smartstore.naver.com/brickstore2019/products/4775762067","4775762067")</f>
        <v>4775762067</v>
      </c>
      <c r="B173" s="113"/>
      <c r="C173" s="304" t="s">
        <v>480</v>
      </c>
      <c r="D173" s="117"/>
      <c r="E173" s="117"/>
      <c r="F173" s="123" t="s">
        <v>481</v>
      </c>
      <c r="G173" s="237" t="str">
        <f t="shared" ref="G173:G174" si="247">HYPERLINK("https://item.taobao.com/item.htm?spm=a230r.1.999.19.738c523chYkYGM&amp;id=608972426087&amp;ns=1#detail","A")</f>
        <v>A</v>
      </c>
      <c r="H173" s="125"/>
      <c r="I173" s="125">
        <v>108</v>
      </c>
      <c r="J173" s="82">
        <f t="shared" si="147"/>
        <v>2.1875</v>
      </c>
      <c r="K173" s="82">
        <v>35</v>
      </c>
      <c r="L173" s="82">
        <f t="shared" si="199"/>
        <v>0.99223249999999996</v>
      </c>
      <c r="M173" s="125">
        <v>0</v>
      </c>
      <c r="N173" s="125">
        <v>0</v>
      </c>
      <c r="O173" s="230">
        <f t="shared" si="2"/>
        <v>108</v>
      </c>
      <c r="P173" s="231">
        <f t="shared" si="3"/>
        <v>20520</v>
      </c>
      <c r="Q173" s="232">
        <f>ROUNDUP(HLOOKUP(IF(CEILING(L173,0.5)&lt;1,1,CEILING(L173,0.5)),'배송비 조회'!A$32:AY$36,2,0),-2)</f>
        <v>8000</v>
      </c>
      <c r="R173" s="232">
        <v>0</v>
      </c>
      <c r="S173" s="231">
        <f t="shared" si="244"/>
        <v>8600</v>
      </c>
      <c r="T173" s="231">
        <f t="shared" si="200"/>
        <v>20000</v>
      </c>
      <c r="U173" s="233">
        <f t="shared" si="142"/>
        <v>37100</v>
      </c>
      <c r="V173" s="233">
        <f t="shared" si="7"/>
        <v>48500</v>
      </c>
      <c r="W173" s="234">
        <v>0</v>
      </c>
      <c r="X173" s="234">
        <f t="shared" si="8"/>
        <v>1409.8</v>
      </c>
      <c r="Y173" s="234">
        <f t="shared" si="9"/>
        <v>742</v>
      </c>
      <c r="Z173" s="234">
        <f t="shared" si="10"/>
        <v>4850</v>
      </c>
      <c r="AA173" s="234">
        <f t="shared" si="11"/>
        <v>34948.199999999997</v>
      </c>
      <c r="AB173" s="234">
        <f t="shared" si="12"/>
        <v>43650</v>
      </c>
      <c r="AC173" s="234">
        <f t="shared" si="13"/>
        <v>349.48199999999997</v>
      </c>
      <c r="AD173" s="101">
        <f t="shared" si="14"/>
        <v>6078.7179999999971</v>
      </c>
      <c r="AE173" s="101">
        <f t="shared" si="15"/>
        <v>14780.518</v>
      </c>
      <c r="AF173" s="235">
        <f t="shared" ref="AF173:AG173" si="248">AD173/U173</f>
        <v>0.1638468463611859</v>
      </c>
      <c r="AG173" s="235">
        <f t="shared" si="248"/>
        <v>0.30475294845360823</v>
      </c>
      <c r="AH173" s="215">
        <v>10000</v>
      </c>
      <c r="AI173" s="212">
        <f t="shared" si="202"/>
        <v>27100</v>
      </c>
      <c r="AJ173" s="4"/>
      <c r="AK173" s="4"/>
      <c r="AL173" s="4"/>
      <c r="AM173" s="4"/>
      <c r="AN173" s="4"/>
      <c r="AO173" s="4"/>
      <c r="AP173" s="4"/>
      <c r="AQ173" s="4"/>
      <c r="AR173" s="4"/>
      <c r="AS173" s="4"/>
      <c r="AT173" s="4"/>
      <c r="AU173" s="4"/>
    </row>
    <row r="174" spans="1:47" ht="13.2">
      <c r="A174" s="302"/>
      <c r="B174" s="113"/>
      <c r="C174" s="302"/>
      <c r="D174" s="117"/>
      <c r="E174" s="117"/>
      <c r="F174" s="123" t="s">
        <v>144</v>
      </c>
      <c r="G174" s="237" t="str">
        <f t="shared" si="247"/>
        <v>A</v>
      </c>
      <c r="H174" s="125"/>
      <c r="I174" s="125">
        <v>108</v>
      </c>
      <c r="J174" s="82">
        <f t="shared" si="147"/>
        <v>2.1875</v>
      </c>
      <c r="K174" s="82">
        <v>35</v>
      </c>
      <c r="L174" s="82">
        <f t="shared" si="199"/>
        <v>0.99223249999999996</v>
      </c>
      <c r="M174" s="125">
        <v>0</v>
      </c>
      <c r="N174" s="125">
        <v>0</v>
      </c>
      <c r="O174" s="230">
        <f t="shared" si="2"/>
        <v>108</v>
      </c>
      <c r="P174" s="231">
        <f t="shared" si="3"/>
        <v>20520</v>
      </c>
      <c r="Q174" s="232">
        <f>ROUNDUP(HLOOKUP(IF(CEILING(L174,0.5)&lt;1,1,CEILING(L174,0.5)),'배송비 조회'!A$32:AY$36,2,0),-2)</f>
        <v>8000</v>
      </c>
      <c r="R174" s="232">
        <v>0</v>
      </c>
      <c r="S174" s="231">
        <f t="shared" si="244"/>
        <v>8600</v>
      </c>
      <c r="T174" s="231">
        <f t="shared" si="200"/>
        <v>20000</v>
      </c>
      <c r="U174" s="233">
        <f t="shared" si="142"/>
        <v>37100</v>
      </c>
      <c r="V174" s="233">
        <f t="shared" si="7"/>
        <v>48500</v>
      </c>
      <c r="W174" s="234">
        <v>0</v>
      </c>
      <c r="X174" s="234">
        <f t="shared" si="8"/>
        <v>1409.8</v>
      </c>
      <c r="Y174" s="234">
        <f t="shared" si="9"/>
        <v>742</v>
      </c>
      <c r="Z174" s="234">
        <f t="shared" si="10"/>
        <v>4850</v>
      </c>
      <c r="AA174" s="234">
        <f t="shared" si="11"/>
        <v>34948.199999999997</v>
      </c>
      <c r="AB174" s="234">
        <f t="shared" si="12"/>
        <v>43650</v>
      </c>
      <c r="AC174" s="234">
        <f t="shared" si="13"/>
        <v>349.48199999999997</v>
      </c>
      <c r="AD174" s="101">
        <f t="shared" si="14"/>
        <v>6078.7179999999971</v>
      </c>
      <c r="AE174" s="101">
        <f t="shared" si="15"/>
        <v>14780.518</v>
      </c>
      <c r="AF174" s="235">
        <f t="shared" ref="AF174:AG174" si="249">AD174/U174</f>
        <v>0.1638468463611859</v>
      </c>
      <c r="AG174" s="235">
        <f t="shared" si="249"/>
        <v>0.30475294845360823</v>
      </c>
      <c r="AH174" s="215">
        <v>10000</v>
      </c>
      <c r="AI174" s="212">
        <f t="shared" si="202"/>
        <v>27100</v>
      </c>
      <c r="AJ174" s="4"/>
      <c r="AK174" s="4"/>
      <c r="AL174" s="4"/>
      <c r="AM174" s="4"/>
      <c r="AN174" s="4"/>
      <c r="AO174" s="4"/>
      <c r="AP174" s="4"/>
      <c r="AQ174" s="4"/>
      <c r="AR174" s="4"/>
      <c r="AS174" s="4"/>
      <c r="AT174" s="4"/>
      <c r="AU174" s="4"/>
    </row>
    <row r="175" spans="1:47" ht="13.2">
      <c r="A175" s="163" t="str">
        <f>HYPERLINK("https://smartstore.naver.com/brickstore2019/products/4776935975","4776935975")</f>
        <v>4776935975</v>
      </c>
      <c r="B175" s="113"/>
      <c r="C175" s="117" t="s">
        <v>485</v>
      </c>
      <c r="D175" s="117"/>
      <c r="E175" s="117"/>
      <c r="F175" s="123"/>
      <c r="G175" s="237" t="str">
        <f>HYPERLINK("https://item.taobao.com/item.htm?spm=a230r.1.14.6.7bc11ec2CqG7QU&amp;id=609908804229&amp;ns=1&amp;abbucket=7#detail","A")</f>
        <v>A</v>
      </c>
      <c r="H175" s="125"/>
      <c r="I175" s="125">
        <v>70</v>
      </c>
      <c r="J175" s="82">
        <f t="shared" si="147"/>
        <v>2.1875</v>
      </c>
      <c r="K175" s="82">
        <v>35</v>
      </c>
      <c r="L175" s="82">
        <f t="shared" si="199"/>
        <v>0.99223249999999996</v>
      </c>
      <c r="M175" s="125">
        <v>0</v>
      </c>
      <c r="N175" s="125">
        <v>0</v>
      </c>
      <c r="O175" s="230">
        <f t="shared" si="2"/>
        <v>70</v>
      </c>
      <c r="P175" s="231">
        <f t="shared" si="3"/>
        <v>13300</v>
      </c>
      <c r="Q175" s="232">
        <f>ROUNDUP(HLOOKUP(IF(CEILING(L175,0.5)&lt;1,1,CEILING(L175,0.5)),'배송비 조회'!A$32:AY$36,2,0),-2)</f>
        <v>8000</v>
      </c>
      <c r="R175" s="232">
        <v>0</v>
      </c>
      <c r="S175" s="231">
        <f t="shared" ref="S175:S1009" si="250">ROUND((P175+Q175)*0.6,-2)</f>
        <v>12800</v>
      </c>
      <c r="T175" s="231">
        <f t="shared" si="200"/>
        <v>14900</v>
      </c>
      <c r="U175" s="233">
        <f t="shared" si="142"/>
        <v>34100</v>
      </c>
      <c r="V175" s="233">
        <f t="shared" si="7"/>
        <v>36200</v>
      </c>
      <c r="W175" s="234">
        <v>0</v>
      </c>
      <c r="X175" s="234">
        <f t="shared" si="8"/>
        <v>1295.8</v>
      </c>
      <c r="Y175" s="234">
        <f t="shared" si="9"/>
        <v>682</v>
      </c>
      <c r="Z175" s="234">
        <f t="shared" si="10"/>
        <v>3620</v>
      </c>
      <c r="AA175" s="234">
        <f t="shared" si="11"/>
        <v>32122.199999999997</v>
      </c>
      <c r="AB175" s="234">
        <f t="shared" si="12"/>
        <v>32580</v>
      </c>
      <c r="AC175" s="234">
        <f t="shared" si="13"/>
        <v>321.22199999999998</v>
      </c>
      <c r="AD175" s="101">
        <f t="shared" si="14"/>
        <v>10500.977999999996</v>
      </c>
      <c r="AE175" s="101">
        <f t="shared" si="15"/>
        <v>10958.778</v>
      </c>
      <c r="AF175" s="235">
        <f t="shared" ref="AF175:AG175" si="251">AD175/U175</f>
        <v>0.30794656891495586</v>
      </c>
      <c r="AG175" s="235">
        <f t="shared" si="251"/>
        <v>0.30272867403314918</v>
      </c>
      <c r="AH175" s="215">
        <v>10000</v>
      </c>
      <c r="AI175" s="212">
        <f t="shared" si="202"/>
        <v>24100</v>
      </c>
      <c r="AJ175" s="4"/>
      <c r="AK175" s="4"/>
      <c r="AL175" s="4"/>
      <c r="AM175" s="4"/>
      <c r="AN175" s="4"/>
      <c r="AO175" s="4"/>
      <c r="AP175" s="4"/>
      <c r="AQ175" s="4"/>
      <c r="AR175" s="4"/>
      <c r="AS175" s="4"/>
      <c r="AT175" s="4"/>
      <c r="AU175" s="4"/>
    </row>
    <row r="176" spans="1:47" ht="13.2">
      <c r="A176" s="350" t="str">
        <f>HYPERLINK("https://smartstore.naver.com/brickstore2019/products/4777235445","4777235445")</f>
        <v>4777235445</v>
      </c>
      <c r="B176" s="113"/>
      <c r="C176" s="304" t="s">
        <v>487</v>
      </c>
      <c r="D176" s="117"/>
      <c r="E176" s="117"/>
      <c r="F176" s="123" t="s">
        <v>296</v>
      </c>
      <c r="G176" s="301" t="str">
        <f>HYPERLINK("https://item.taobao.com/item.htm?spm=a230r.1.999.21.a798523cjzxQ6r&amp;id=566804269266&amp;ns=1#detail","A")</f>
        <v>A</v>
      </c>
      <c r="H176" s="125"/>
      <c r="I176" s="125">
        <v>19</v>
      </c>
      <c r="J176" s="82">
        <f t="shared" si="147"/>
        <v>2.1875</v>
      </c>
      <c r="K176" s="82">
        <v>35</v>
      </c>
      <c r="L176" s="82">
        <f t="shared" si="199"/>
        <v>0.99223249999999996</v>
      </c>
      <c r="M176" s="125">
        <v>0</v>
      </c>
      <c r="N176" s="125">
        <v>0</v>
      </c>
      <c r="O176" s="230">
        <f t="shared" si="2"/>
        <v>19</v>
      </c>
      <c r="P176" s="231">
        <f t="shared" si="3"/>
        <v>3610</v>
      </c>
      <c r="Q176" s="232">
        <f>ROUNDUP(HLOOKUP(IF(CEILING(L176,0.5)&lt;1,1,CEILING(L176,0.5)),'배송비 조회'!A$32:AY$36,2,0),-2)</f>
        <v>8000</v>
      </c>
      <c r="R176" s="232">
        <v>0</v>
      </c>
      <c r="S176" s="231">
        <f t="shared" si="250"/>
        <v>7000</v>
      </c>
      <c r="T176" s="231">
        <f t="shared" si="200"/>
        <v>8100</v>
      </c>
      <c r="U176" s="233">
        <f t="shared" si="142"/>
        <v>18600</v>
      </c>
      <c r="V176" s="233">
        <f t="shared" si="7"/>
        <v>19700</v>
      </c>
      <c r="W176" s="234">
        <v>0</v>
      </c>
      <c r="X176" s="234">
        <f t="shared" si="8"/>
        <v>706.8</v>
      </c>
      <c r="Y176" s="234">
        <f t="shared" si="9"/>
        <v>372</v>
      </c>
      <c r="Z176" s="234">
        <f t="shared" si="10"/>
        <v>1970</v>
      </c>
      <c r="AA176" s="234">
        <f t="shared" si="11"/>
        <v>17521.2</v>
      </c>
      <c r="AB176" s="234">
        <f t="shared" si="12"/>
        <v>17730</v>
      </c>
      <c r="AC176" s="234">
        <f t="shared" si="13"/>
        <v>175.21200000000002</v>
      </c>
      <c r="AD176" s="101">
        <f t="shared" si="14"/>
        <v>5735.9880000000012</v>
      </c>
      <c r="AE176" s="101">
        <f t="shared" si="15"/>
        <v>5944.7879999999996</v>
      </c>
      <c r="AF176" s="235">
        <f t="shared" ref="AF176:AG176" si="252">AD176/U176</f>
        <v>0.30838645161290329</v>
      </c>
      <c r="AG176" s="235">
        <f t="shared" si="252"/>
        <v>0.30176588832487306</v>
      </c>
      <c r="AH176" s="215">
        <v>10000</v>
      </c>
      <c r="AI176" s="212">
        <f t="shared" si="202"/>
        <v>8600</v>
      </c>
      <c r="AJ176" s="4"/>
      <c r="AK176" s="4"/>
      <c r="AL176" s="4"/>
      <c r="AM176" s="4"/>
      <c r="AN176" s="4"/>
      <c r="AO176" s="4"/>
      <c r="AP176" s="4"/>
      <c r="AQ176" s="4"/>
      <c r="AR176" s="4"/>
      <c r="AS176" s="4"/>
      <c r="AT176" s="4"/>
      <c r="AU176" s="4"/>
    </row>
    <row r="177" spans="1:47" ht="13.2">
      <c r="A177" s="302"/>
      <c r="B177" s="113"/>
      <c r="C177" s="302"/>
      <c r="D177" s="117"/>
      <c r="E177" s="117"/>
      <c r="F177" s="123" t="s">
        <v>489</v>
      </c>
      <c r="G177" s="302"/>
      <c r="H177" s="125"/>
      <c r="I177" s="125">
        <v>19</v>
      </c>
      <c r="J177" s="82">
        <f t="shared" si="147"/>
        <v>2.1875</v>
      </c>
      <c r="K177" s="82">
        <v>35</v>
      </c>
      <c r="L177" s="82">
        <f t="shared" si="199"/>
        <v>0.99223249999999996</v>
      </c>
      <c r="M177" s="125">
        <v>0</v>
      </c>
      <c r="N177" s="125">
        <v>0</v>
      </c>
      <c r="O177" s="230">
        <f t="shared" si="2"/>
        <v>19</v>
      </c>
      <c r="P177" s="231">
        <f t="shared" si="3"/>
        <v>3610</v>
      </c>
      <c r="Q177" s="232">
        <f>ROUNDUP(HLOOKUP(IF(CEILING(L177,0.5)&lt;1,1,CEILING(L177,0.5)),'배송비 조회'!A$32:AY$36,2,0),-2)</f>
        <v>8000</v>
      </c>
      <c r="R177" s="232">
        <v>0</v>
      </c>
      <c r="S177" s="231">
        <f t="shared" si="250"/>
        <v>7000</v>
      </c>
      <c r="T177" s="231">
        <f t="shared" si="200"/>
        <v>8100</v>
      </c>
      <c r="U177" s="233">
        <f t="shared" si="142"/>
        <v>18600</v>
      </c>
      <c r="V177" s="233">
        <f t="shared" si="7"/>
        <v>19700</v>
      </c>
      <c r="W177" s="234">
        <v>0</v>
      </c>
      <c r="X177" s="234">
        <f t="shared" si="8"/>
        <v>706.8</v>
      </c>
      <c r="Y177" s="234">
        <f t="shared" si="9"/>
        <v>372</v>
      </c>
      <c r="Z177" s="234">
        <f t="shared" si="10"/>
        <v>1970</v>
      </c>
      <c r="AA177" s="234">
        <f t="shared" si="11"/>
        <v>17521.2</v>
      </c>
      <c r="AB177" s="234">
        <f t="shared" si="12"/>
        <v>17730</v>
      </c>
      <c r="AC177" s="234">
        <f t="shared" si="13"/>
        <v>175.21200000000002</v>
      </c>
      <c r="AD177" s="101">
        <f t="shared" si="14"/>
        <v>5735.9880000000012</v>
      </c>
      <c r="AE177" s="101">
        <f t="shared" si="15"/>
        <v>5944.7879999999996</v>
      </c>
      <c r="AF177" s="235">
        <f t="shared" ref="AF177:AG177" si="253">AD177/U177</f>
        <v>0.30838645161290329</v>
      </c>
      <c r="AG177" s="235">
        <f t="shared" si="253"/>
        <v>0.30176588832487306</v>
      </c>
      <c r="AH177" s="215">
        <v>10000</v>
      </c>
      <c r="AI177" s="212">
        <f t="shared" si="202"/>
        <v>8600</v>
      </c>
      <c r="AJ177" s="4"/>
      <c r="AK177" s="4"/>
      <c r="AL177" s="4"/>
      <c r="AM177" s="4"/>
      <c r="AN177" s="4"/>
      <c r="AO177" s="4"/>
      <c r="AP177" s="4"/>
      <c r="AQ177" s="4"/>
      <c r="AR177" s="4"/>
      <c r="AS177" s="4"/>
      <c r="AT177" s="4"/>
      <c r="AU177" s="4"/>
    </row>
    <row r="178" spans="1:47" ht="13.2">
      <c r="A178" s="302"/>
      <c r="B178" s="113"/>
      <c r="C178" s="302"/>
      <c r="D178" s="117"/>
      <c r="E178" s="117"/>
      <c r="F178" s="123" t="s">
        <v>490</v>
      </c>
      <c r="G178" s="302"/>
      <c r="H178" s="125"/>
      <c r="I178" s="125">
        <v>19</v>
      </c>
      <c r="J178" s="82">
        <f t="shared" si="147"/>
        <v>2.1875</v>
      </c>
      <c r="K178" s="82">
        <v>35</v>
      </c>
      <c r="L178" s="82">
        <f t="shared" si="199"/>
        <v>0.99223249999999996</v>
      </c>
      <c r="M178" s="125">
        <v>0</v>
      </c>
      <c r="N178" s="125">
        <v>0</v>
      </c>
      <c r="O178" s="230">
        <f t="shared" si="2"/>
        <v>19</v>
      </c>
      <c r="P178" s="231">
        <f t="shared" si="3"/>
        <v>3610</v>
      </c>
      <c r="Q178" s="232">
        <f>ROUNDUP(HLOOKUP(IF(CEILING(L178,0.5)&lt;1,1,CEILING(L178,0.5)),'배송비 조회'!A$32:AY$36,2,0),-2)</f>
        <v>8000</v>
      </c>
      <c r="R178" s="232">
        <v>0</v>
      </c>
      <c r="S178" s="231">
        <f t="shared" si="250"/>
        <v>7000</v>
      </c>
      <c r="T178" s="231">
        <f t="shared" si="200"/>
        <v>8100</v>
      </c>
      <c r="U178" s="233">
        <f t="shared" si="142"/>
        <v>18600</v>
      </c>
      <c r="V178" s="233">
        <f t="shared" si="7"/>
        <v>19700</v>
      </c>
      <c r="W178" s="234">
        <v>0</v>
      </c>
      <c r="X178" s="234">
        <f t="shared" si="8"/>
        <v>706.8</v>
      </c>
      <c r="Y178" s="234">
        <f t="shared" si="9"/>
        <v>372</v>
      </c>
      <c r="Z178" s="234">
        <f t="shared" si="10"/>
        <v>1970</v>
      </c>
      <c r="AA178" s="234">
        <f t="shared" si="11"/>
        <v>17521.2</v>
      </c>
      <c r="AB178" s="234">
        <f t="shared" si="12"/>
        <v>17730</v>
      </c>
      <c r="AC178" s="234">
        <f t="shared" si="13"/>
        <v>175.21200000000002</v>
      </c>
      <c r="AD178" s="101">
        <f t="shared" si="14"/>
        <v>5735.9880000000012</v>
      </c>
      <c r="AE178" s="101">
        <f t="shared" si="15"/>
        <v>5944.7879999999996</v>
      </c>
      <c r="AF178" s="235">
        <f t="shared" ref="AF178:AG178" si="254">AD178/U178</f>
        <v>0.30838645161290329</v>
      </c>
      <c r="AG178" s="235">
        <f t="shared" si="254"/>
        <v>0.30176588832487306</v>
      </c>
      <c r="AH178" s="215">
        <v>10000</v>
      </c>
      <c r="AI178" s="212">
        <f t="shared" si="202"/>
        <v>8600</v>
      </c>
      <c r="AJ178" s="4"/>
      <c r="AK178" s="4"/>
      <c r="AL178" s="4"/>
      <c r="AM178" s="4"/>
      <c r="AN178" s="4"/>
      <c r="AO178" s="4"/>
      <c r="AP178" s="4"/>
      <c r="AQ178" s="4"/>
      <c r="AR178" s="4"/>
      <c r="AS178" s="4"/>
      <c r="AT178" s="4"/>
      <c r="AU178" s="4"/>
    </row>
    <row r="179" spans="1:47" ht="13.2">
      <c r="A179" s="302"/>
      <c r="B179" s="113"/>
      <c r="C179" s="302"/>
      <c r="D179" s="117"/>
      <c r="E179" s="117"/>
      <c r="F179" s="123" t="s">
        <v>491</v>
      </c>
      <c r="G179" s="302"/>
      <c r="H179" s="125"/>
      <c r="I179" s="125">
        <v>19</v>
      </c>
      <c r="J179" s="82">
        <f t="shared" si="147"/>
        <v>2.1875</v>
      </c>
      <c r="K179" s="82">
        <v>35</v>
      </c>
      <c r="L179" s="82">
        <f t="shared" si="199"/>
        <v>0.99223249999999996</v>
      </c>
      <c r="M179" s="125">
        <v>0</v>
      </c>
      <c r="N179" s="125">
        <v>0</v>
      </c>
      <c r="O179" s="230">
        <f t="shared" si="2"/>
        <v>19</v>
      </c>
      <c r="P179" s="231">
        <f t="shared" si="3"/>
        <v>3610</v>
      </c>
      <c r="Q179" s="232">
        <f>ROUNDUP(HLOOKUP(IF(CEILING(L179,0.5)&lt;1,1,CEILING(L179,0.5)),'배송비 조회'!A$32:AY$36,2,0),-2)</f>
        <v>8000</v>
      </c>
      <c r="R179" s="232">
        <v>0</v>
      </c>
      <c r="S179" s="231">
        <f t="shared" si="250"/>
        <v>7000</v>
      </c>
      <c r="T179" s="231">
        <f t="shared" si="200"/>
        <v>8100</v>
      </c>
      <c r="U179" s="233">
        <f t="shared" si="142"/>
        <v>18600</v>
      </c>
      <c r="V179" s="233">
        <f t="shared" si="7"/>
        <v>19700</v>
      </c>
      <c r="W179" s="234">
        <v>0</v>
      </c>
      <c r="X179" s="234">
        <f t="shared" si="8"/>
        <v>706.8</v>
      </c>
      <c r="Y179" s="234">
        <f t="shared" si="9"/>
        <v>372</v>
      </c>
      <c r="Z179" s="234">
        <f t="shared" si="10"/>
        <v>1970</v>
      </c>
      <c r="AA179" s="234">
        <f t="shared" si="11"/>
        <v>17521.2</v>
      </c>
      <c r="AB179" s="234">
        <f t="shared" si="12"/>
        <v>17730</v>
      </c>
      <c r="AC179" s="234">
        <f t="shared" si="13"/>
        <v>175.21200000000002</v>
      </c>
      <c r="AD179" s="101">
        <f t="shared" si="14"/>
        <v>5735.9880000000012</v>
      </c>
      <c r="AE179" s="101">
        <f t="shared" si="15"/>
        <v>5944.7879999999996</v>
      </c>
      <c r="AF179" s="235">
        <f t="shared" ref="AF179:AG179" si="255">AD179/U179</f>
        <v>0.30838645161290329</v>
      </c>
      <c r="AG179" s="235">
        <f t="shared" si="255"/>
        <v>0.30176588832487306</v>
      </c>
      <c r="AH179" s="215">
        <v>10000</v>
      </c>
      <c r="AI179" s="212">
        <f t="shared" si="202"/>
        <v>8600</v>
      </c>
      <c r="AJ179" s="4"/>
      <c r="AK179" s="4"/>
      <c r="AL179" s="4"/>
      <c r="AM179" s="4"/>
      <c r="AN179" s="4"/>
      <c r="AO179" s="4"/>
      <c r="AP179" s="4"/>
      <c r="AQ179" s="4"/>
      <c r="AR179" s="4"/>
      <c r="AS179" s="4"/>
      <c r="AT179" s="4"/>
      <c r="AU179" s="4"/>
    </row>
    <row r="180" spans="1:47" ht="13.2">
      <c r="A180" s="120"/>
      <c r="B180" s="113"/>
      <c r="C180" s="117"/>
      <c r="D180" s="117"/>
      <c r="E180" s="117"/>
      <c r="F180" s="280"/>
      <c r="G180" s="93" t="s">
        <v>145</v>
      </c>
      <c r="H180" s="125"/>
      <c r="I180" s="125"/>
      <c r="J180" s="82" t="str">
        <f t="shared" ca="1" si="147"/>
        <v>#REF!</v>
      </c>
      <c r="K180" s="82" t="str">
        <f t="shared" ref="K180:K1009" ca="1" si="256">IF(L180&gt;0,L180*35.273962,IF(J180&gt;0,J180*16,))</f>
        <v>#REF!</v>
      </c>
      <c r="L180" s="82" t="str">
        <f t="shared" ca="1" si="199"/>
        <v>#REF!</v>
      </c>
      <c r="M180" s="125"/>
      <c r="N180" s="125"/>
      <c r="O180" s="230">
        <f t="shared" si="2"/>
        <v>0</v>
      </c>
      <c r="P180" s="231">
        <f t="shared" si="3"/>
        <v>0</v>
      </c>
      <c r="Q180" s="232" t="str">
        <f ca="1">ROUNDUP(HLOOKUP(IF(CEILING(L180,0.5)&lt;1,1,CEILING(L180,0.5)),'배송비 조회'!A$32:AY$36,2,0),-2)</f>
        <v>#REF!</v>
      </c>
      <c r="R180" s="232">
        <v>0</v>
      </c>
      <c r="S180" s="231" t="str">
        <f t="shared" ca="1" si="250"/>
        <v>#REF!</v>
      </c>
      <c r="T180" s="231" t="str">
        <f t="shared" ca="1" si="200"/>
        <v>#REF!</v>
      </c>
      <c r="U180" s="233" t="str">
        <f t="shared" ca="1" si="142"/>
        <v>#REF!</v>
      </c>
      <c r="V180" s="233" t="str">
        <f t="shared" ca="1" si="7"/>
        <v>#REF!</v>
      </c>
      <c r="W180" s="234">
        <v>0</v>
      </c>
      <c r="X180" s="234" t="str">
        <f t="shared" ca="1" si="8"/>
        <v>#REF!</v>
      </c>
      <c r="Y180" s="234" t="str">
        <f t="shared" ca="1" si="9"/>
        <v>#REF!</v>
      </c>
      <c r="Z180" s="234" t="str">
        <f t="shared" ca="1" si="10"/>
        <v>#REF!</v>
      </c>
      <c r="AA180" s="234" t="str">
        <f t="shared" ca="1" si="11"/>
        <v>#REF!</v>
      </c>
      <c r="AB180" s="234" t="str">
        <f t="shared" ca="1" si="12"/>
        <v>#REF!</v>
      </c>
      <c r="AC180" s="234" t="str">
        <f t="shared" ca="1" si="13"/>
        <v>#REF!</v>
      </c>
      <c r="AD180" s="101" t="str">
        <f t="shared" ca="1" si="14"/>
        <v>#REF!</v>
      </c>
      <c r="AE180" s="101" t="str">
        <f t="shared" ca="1" si="15"/>
        <v>#REF!</v>
      </c>
      <c r="AF180" s="235" t="str">
        <f t="shared" ref="AF180:AG180" ca="1" si="257">AD180/U180</f>
        <v>#REF!</v>
      </c>
      <c r="AG180" s="235" t="str">
        <f t="shared" ca="1" si="257"/>
        <v>#REF!</v>
      </c>
      <c r="AH180" s="212"/>
      <c r="AI180" s="213"/>
      <c r="AJ180" s="4"/>
      <c r="AK180" s="4"/>
      <c r="AL180" s="4"/>
      <c r="AM180" s="4"/>
      <c r="AN180" s="4"/>
      <c r="AO180" s="4"/>
      <c r="AP180" s="4"/>
      <c r="AQ180" s="4"/>
      <c r="AR180" s="4"/>
      <c r="AS180" s="4"/>
      <c r="AT180" s="4"/>
      <c r="AU180" s="4"/>
    </row>
    <row r="181" spans="1:47" ht="13.2">
      <c r="A181" s="120"/>
      <c r="B181" s="113"/>
      <c r="C181" s="117"/>
      <c r="D181" s="117"/>
      <c r="E181" s="117"/>
      <c r="F181" s="123"/>
      <c r="G181" s="93" t="s">
        <v>145</v>
      </c>
      <c r="H181" s="125"/>
      <c r="I181" s="125"/>
      <c r="J181" s="82" t="str">
        <f t="shared" ca="1" si="147"/>
        <v>#REF!</v>
      </c>
      <c r="K181" s="82" t="str">
        <f t="shared" ca="1" si="256"/>
        <v>#REF!</v>
      </c>
      <c r="L181" s="82" t="str">
        <f t="shared" ca="1" si="199"/>
        <v>#REF!</v>
      </c>
      <c r="M181" s="125"/>
      <c r="N181" s="125"/>
      <c r="O181" s="230">
        <f t="shared" si="2"/>
        <v>0</v>
      </c>
      <c r="P181" s="231">
        <f t="shared" si="3"/>
        <v>0</v>
      </c>
      <c r="Q181" s="232" t="str">
        <f ca="1">ROUNDUP(HLOOKUP(IF(CEILING(L181,0.5)&lt;1,1,CEILING(L181,0.5)),'배송비 조회'!A$32:AY$36,2,0),-2)</f>
        <v>#REF!</v>
      </c>
      <c r="R181" s="232">
        <v>0</v>
      </c>
      <c r="S181" s="231" t="str">
        <f t="shared" ca="1" si="250"/>
        <v>#REF!</v>
      </c>
      <c r="T181" s="231" t="str">
        <f t="shared" ca="1" si="200"/>
        <v>#REF!</v>
      </c>
      <c r="U181" s="233" t="str">
        <f t="shared" ca="1" si="142"/>
        <v>#REF!</v>
      </c>
      <c r="V181" s="233" t="str">
        <f t="shared" ca="1" si="7"/>
        <v>#REF!</v>
      </c>
      <c r="W181" s="234">
        <v>0</v>
      </c>
      <c r="X181" s="234" t="str">
        <f t="shared" ca="1" si="8"/>
        <v>#REF!</v>
      </c>
      <c r="Y181" s="234" t="str">
        <f t="shared" ca="1" si="9"/>
        <v>#REF!</v>
      </c>
      <c r="Z181" s="234" t="str">
        <f t="shared" ca="1" si="10"/>
        <v>#REF!</v>
      </c>
      <c r="AA181" s="234" t="str">
        <f t="shared" ca="1" si="11"/>
        <v>#REF!</v>
      </c>
      <c r="AB181" s="234" t="str">
        <f t="shared" ca="1" si="12"/>
        <v>#REF!</v>
      </c>
      <c r="AC181" s="234" t="str">
        <f t="shared" ca="1" si="13"/>
        <v>#REF!</v>
      </c>
      <c r="AD181" s="101" t="str">
        <f t="shared" ca="1" si="14"/>
        <v>#REF!</v>
      </c>
      <c r="AE181" s="101" t="str">
        <f t="shared" ca="1" si="15"/>
        <v>#REF!</v>
      </c>
      <c r="AF181" s="235" t="str">
        <f t="shared" ref="AF181:AG181" ca="1" si="258">AD181/U181</f>
        <v>#REF!</v>
      </c>
      <c r="AG181" s="235" t="str">
        <f t="shared" ca="1" si="258"/>
        <v>#REF!</v>
      </c>
      <c r="AH181" s="212"/>
      <c r="AI181" s="213"/>
      <c r="AJ181" s="4"/>
      <c r="AK181" s="4"/>
      <c r="AL181" s="4"/>
      <c r="AM181" s="4"/>
      <c r="AN181" s="4"/>
      <c r="AO181" s="4"/>
      <c r="AP181" s="4"/>
      <c r="AQ181" s="4"/>
      <c r="AR181" s="4"/>
      <c r="AS181" s="4"/>
      <c r="AT181" s="4"/>
      <c r="AU181" s="4"/>
    </row>
    <row r="182" spans="1:47" ht="13.2">
      <c r="A182" s="120"/>
      <c r="B182" s="113"/>
      <c r="C182" s="117"/>
      <c r="D182" s="117"/>
      <c r="E182" s="117"/>
      <c r="F182" s="123"/>
      <c r="G182" s="93" t="s">
        <v>145</v>
      </c>
      <c r="H182" s="125"/>
      <c r="I182" s="125"/>
      <c r="J182" s="82" t="str">
        <f t="shared" ca="1" si="147"/>
        <v>#REF!</v>
      </c>
      <c r="K182" s="82" t="str">
        <f t="shared" ca="1" si="256"/>
        <v>#REF!</v>
      </c>
      <c r="L182" s="82" t="str">
        <f t="shared" ca="1" si="199"/>
        <v>#REF!</v>
      </c>
      <c r="M182" s="125"/>
      <c r="N182" s="125"/>
      <c r="O182" s="230">
        <f t="shared" si="2"/>
        <v>0</v>
      </c>
      <c r="P182" s="231">
        <f t="shared" si="3"/>
        <v>0</v>
      </c>
      <c r="Q182" s="232" t="str">
        <f ca="1">ROUNDUP(HLOOKUP(IF(CEILING(L182,0.5)&lt;1,1,CEILING(L182,0.5)),'배송비 조회'!A$32:AY$36,2,0),-2)</f>
        <v>#REF!</v>
      </c>
      <c r="R182" s="232">
        <v>0</v>
      </c>
      <c r="S182" s="231" t="str">
        <f t="shared" ca="1" si="250"/>
        <v>#REF!</v>
      </c>
      <c r="T182" s="231" t="str">
        <f t="shared" ca="1" si="200"/>
        <v>#REF!</v>
      </c>
      <c r="U182" s="233" t="str">
        <f t="shared" ca="1" si="142"/>
        <v>#REF!</v>
      </c>
      <c r="V182" s="233" t="str">
        <f t="shared" ca="1" si="7"/>
        <v>#REF!</v>
      </c>
      <c r="W182" s="234">
        <v>0</v>
      </c>
      <c r="X182" s="234" t="str">
        <f t="shared" ca="1" si="8"/>
        <v>#REF!</v>
      </c>
      <c r="Y182" s="234" t="str">
        <f t="shared" ca="1" si="9"/>
        <v>#REF!</v>
      </c>
      <c r="Z182" s="234" t="str">
        <f t="shared" ca="1" si="10"/>
        <v>#REF!</v>
      </c>
      <c r="AA182" s="234" t="str">
        <f t="shared" ca="1" si="11"/>
        <v>#REF!</v>
      </c>
      <c r="AB182" s="234" t="str">
        <f t="shared" ca="1" si="12"/>
        <v>#REF!</v>
      </c>
      <c r="AC182" s="234" t="str">
        <f t="shared" ca="1" si="13"/>
        <v>#REF!</v>
      </c>
      <c r="AD182" s="101" t="str">
        <f t="shared" ca="1" si="14"/>
        <v>#REF!</v>
      </c>
      <c r="AE182" s="101" t="str">
        <f t="shared" ca="1" si="15"/>
        <v>#REF!</v>
      </c>
      <c r="AF182" s="235" t="str">
        <f t="shared" ref="AF182:AG182" ca="1" si="259">AD182/U182</f>
        <v>#REF!</v>
      </c>
      <c r="AG182" s="235" t="str">
        <f t="shared" ca="1" si="259"/>
        <v>#REF!</v>
      </c>
      <c r="AH182" s="212"/>
      <c r="AI182" s="213"/>
      <c r="AJ182" s="4"/>
      <c r="AK182" s="4"/>
      <c r="AL182" s="4"/>
      <c r="AM182" s="4"/>
      <c r="AN182" s="4"/>
      <c r="AO182" s="4"/>
      <c r="AP182" s="4"/>
      <c r="AQ182" s="4"/>
      <c r="AR182" s="4"/>
      <c r="AS182" s="4"/>
      <c r="AT182" s="4"/>
      <c r="AU182" s="4"/>
    </row>
    <row r="183" spans="1:47" ht="13.2">
      <c r="A183" s="120"/>
      <c r="B183" s="113"/>
      <c r="C183" s="117"/>
      <c r="D183" s="117"/>
      <c r="E183" s="117"/>
      <c r="F183" s="123"/>
      <c r="G183" s="93" t="s">
        <v>145</v>
      </c>
      <c r="H183" s="125"/>
      <c r="I183" s="125"/>
      <c r="J183" s="82" t="str">
        <f t="shared" ca="1" si="147"/>
        <v>#REF!</v>
      </c>
      <c r="K183" s="82" t="str">
        <f t="shared" ca="1" si="256"/>
        <v>#REF!</v>
      </c>
      <c r="L183" s="82" t="str">
        <f t="shared" ca="1" si="199"/>
        <v>#REF!</v>
      </c>
      <c r="M183" s="125"/>
      <c r="N183" s="125"/>
      <c r="O183" s="230">
        <f t="shared" si="2"/>
        <v>0</v>
      </c>
      <c r="P183" s="231">
        <f t="shared" si="3"/>
        <v>0</v>
      </c>
      <c r="Q183" s="232" t="str">
        <f ca="1">ROUNDUP(HLOOKUP(IF(CEILING(L183,0.5)&lt;1,1,CEILING(L183,0.5)),'배송비 조회'!A$32:AY$36,2,0),-2)</f>
        <v>#REF!</v>
      </c>
      <c r="R183" s="232">
        <v>0</v>
      </c>
      <c r="S183" s="231" t="str">
        <f t="shared" ca="1" si="250"/>
        <v>#REF!</v>
      </c>
      <c r="T183" s="231" t="str">
        <f t="shared" ca="1" si="200"/>
        <v>#REF!</v>
      </c>
      <c r="U183" s="233" t="str">
        <f t="shared" ca="1" si="142"/>
        <v>#REF!</v>
      </c>
      <c r="V183" s="233" t="str">
        <f t="shared" ca="1" si="7"/>
        <v>#REF!</v>
      </c>
      <c r="W183" s="234">
        <v>0</v>
      </c>
      <c r="X183" s="234" t="str">
        <f t="shared" ca="1" si="8"/>
        <v>#REF!</v>
      </c>
      <c r="Y183" s="234" t="str">
        <f t="shared" ca="1" si="9"/>
        <v>#REF!</v>
      </c>
      <c r="Z183" s="234" t="str">
        <f t="shared" ca="1" si="10"/>
        <v>#REF!</v>
      </c>
      <c r="AA183" s="234" t="str">
        <f t="shared" ca="1" si="11"/>
        <v>#REF!</v>
      </c>
      <c r="AB183" s="234" t="str">
        <f t="shared" ca="1" si="12"/>
        <v>#REF!</v>
      </c>
      <c r="AC183" s="234" t="str">
        <f t="shared" ca="1" si="13"/>
        <v>#REF!</v>
      </c>
      <c r="AD183" s="101" t="str">
        <f t="shared" ca="1" si="14"/>
        <v>#REF!</v>
      </c>
      <c r="AE183" s="101" t="str">
        <f t="shared" ca="1" si="15"/>
        <v>#REF!</v>
      </c>
      <c r="AF183" s="235" t="str">
        <f t="shared" ref="AF183:AG183" ca="1" si="260">AD183/U183</f>
        <v>#REF!</v>
      </c>
      <c r="AG183" s="235" t="str">
        <f t="shared" ca="1" si="260"/>
        <v>#REF!</v>
      </c>
      <c r="AH183" s="212"/>
      <c r="AI183" s="213"/>
      <c r="AJ183" s="4"/>
      <c r="AK183" s="4"/>
      <c r="AL183" s="4"/>
      <c r="AM183" s="4"/>
      <c r="AN183" s="4"/>
      <c r="AO183" s="4"/>
      <c r="AP183" s="4"/>
      <c r="AQ183" s="4"/>
      <c r="AR183" s="4"/>
      <c r="AS183" s="4"/>
      <c r="AT183" s="4"/>
      <c r="AU183" s="4"/>
    </row>
    <row r="184" spans="1:47" ht="13.2">
      <c r="A184" s="120"/>
      <c r="B184" s="113"/>
      <c r="C184" s="117"/>
      <c r="D184" s="117"/>
      <c r="E184" s="117"/>
      <c r="F184" s="123"/>
      <c r="G184" s="93" t="s">
        <v>145</v>
      </c>
      <c r="H184" s="125"/>
      <c r="I184" s="125"/>
      <c r="J184" s="82" t="str">
        <f t="shared" ca="1" si="147"/>
        <v>#REF!</v>
      </c>
      <c r="K184" s="82" t="str">
        <f t="shared" ca="1" si="256"/>
        <v>#REF!</v>
      </c>
      <c r="L184" s="82" t="str">
        <f t="shared" ca="1" si="199"/>
        <v>#REF!</v>
      </c>
      <c r="M184" s="125"/>
      <c r="N184" s="125"/>
      <c r="O184" s="230">
        <f t="shared" si="2"/>
        <v>0</v>
      </c>
      <c r="P184" s="231">
        <f t="shared" si="3"/>
        <v>0</v>
      </c>
      <c r="Q184" s="232" t="str">
        <f ca="1">ROUNDUP(HLOOKUP(IF(CEILING(L184,0.5)&lt;1,1,CEILING(L184,0.5)),'배송비 조회'!A$32:AY$36,2,0),-2)</f>
        <v>#REF!</v>
      </c>
      <c r="R184" s="232">
        <v>0</v>
      </c>
      <c r="S184" s="231" t="str">
        <f t="shared" ca="1" si="250"/>
        <v>#REF!</v>
      </c>
      <c r="T184" s="231" t="str">
        <f t="shared" ca="1" si="200"/>
        <v>#REF!</v>
      </c>
      <c r="U184" s="233" t="str">
        <f t="shared" ca="1" si="142"/>
        <v>#REF!</v>
      </c>
      <c r="V184" s="233" t="str">
        <f t="shared" ca="1" si="7"/>
        <v>#REF!</v>
      </c>
      <c r="W184" s="234">
        <v>0</v>
      </c>
      <c r="X184" s="234" t="str">
        <f t="shared" ca="1" si="8"/>
        <v>#REF!</v>
      </c>
      <c r="Y184" s="234" t="str">
        <f t="shared" ca="1" si="9"/>
        <v>#REF!</v>
      </c>
      <c r="Z184" s="234" t="str">
        <f t="shared" ca="1" si="10"/>
        <v>#REF!</v>
      </c>
      <c r="AA184" s="234" t="str">
        <f t="shared" ca="1" si="11"/>
        <v>#REF!</v>
      </c>
      <c r="AB184" s="234" t="str">
        <f t="shared" ca="1" si="12"/>
        <v>#REF!</v>
      </c>
      <c r="AC184" s="234" t="str">
        <f t="shared" ca="1" si="13"/>
        <v>#REF!</v>
      </c>
      <c r="AD184" s="101" t="str">
        <f t="shared" ca="1" si="14"/>
        <v>#REF!</v>
      </c>
      <c r="AE184" s="101" t="str">
        <f t="shared" ca="1" si="15"/>
        <v>#REF!</v>
      </c>
      <c r="AF184" s="235" t="str">
        <f t="shared" ref="AF184:AG184" ca="1" si="261">AD184/U184</f>
        <v>#REF!</v>
      </c>
      <c r="AG184" s="235" t="str">
        <f t="shared" ca="1" si="261"/>
        <v>#REF!</v>
      </c>
      <c r="AH184" s="212"/>
      <c r="AI184" s="213"/>
      <c r="AJ184" s="4"/>
      <c r="AK184" s="4"/>
      <c r="AL184" s="4"/>
      <c r="AM184" s="4"/>
      <c r="AN184" s="4"/>
      <c r="AO184" s="4"/>
      <c r="AP184" s="4"/>
      <c r="AQ184" s="4"/>
      <c r="AR184" s="4"/>
      <c r="AS184" s="4"/>
      <c r="AT184" s="4"/>
      <c r="AU184" s="4"/>
    </row>
    <row r="185" spans="1:47" ht="13.2">
      <c r="A185" s="120"/>
      <c r="B185" s="113"/>
      <c r="C185" s="117"/>
      <c r="D185" s="117"/>
      <c r="E185" s="117"/>
      <c r="F185" s="123"/>
      <c r="G185" s="93" t="s">
        <v>145</v>
      </c>
      <c r="H185" s="125"/>
      <c r="I185" s="125"/>
      <c r="J185" s="82" t="str">
        <f t="shared" ca="1" si="147"/>
        <v>#REF!</v>
      </c>
      <c r="K185" s="82" t="str">
        <f t="shared" ca="1" si="256"/>
        <v>#REF!</v>
      </c>
      <c r="L185" s="82" t="str">
        <f t="shared" ca="1" si="199"/>
        <v>#REF!</v>
      </c>
      <c r="M185" s="125"/>
      <c r="N185" s="125"/>
      <c r="O185" s="230">
        <f t="shared" si="2"/>
        <v>0</v>
      </c>
      <c r="P185" s="231">
        <f t="shared" si="3"/>
        <v>0</v>
      </c>
      <c r="Q185" s="232" t="str">
        <f ca="1">ROUNDUP(HLOOKUP(IF(CEILING(L185,0.5)&lt;1,1,CEILING(L185,0.5)),'배송비 조회'!A$32:AY$36,2,0),-2)</f>
        <v>#REF!</v>
      </c>
      <c r="R185" s="232">
        <v>0</v>
      </c>
      <c r="S185" s="231" t="str">
        <f t="shared" ca="1" si="250"/>
        <v>#REF!</v>
      </c>
      <c r="T185" s="231" t="str">
        <f t="shared" ca="1" si="200"/>
        <v>#REF!</v>
      </c>
      <c r="U185" s="233" t="str">
        <f t="shared" ca="1" si="142"/>
        <v>#REF!</v>
      </c>
      <c r="V185" s="233" t="str">
        <f t="shared" ca="1" si="7"/>
        <v>#REF!</v>
      </c>
      <c r="W185" s="234">
        <v>0</v>
      </c>
      <c r="X185" s="234" t="str">
        <f t="shared" ca="1" si="8"/>
        <v>#REF!</v>
      </c>
      <c r="Y185" s="234" t="str">
        <f t="shared" ca="1" si="9"/>
        <v>#REF!</v>
      </c>
      <c r="Z185" s="234" t="str">
        <f t="shared" ca="1" si="10"/>
        <v>#REF!</v>
      </c>
      <c r="AA185" s="234" t="str">
        <f t="shared" ca="1" si="11"/>
        <v>#REF!</v>
      </c>
      <c r="AB185" s="234" t="str">
        <f t="shared" ca="1" si="12"/>
        <v>#REF!</v>
      </c>
      <c r="AC185" s="234" t="str">
        <f t="shared" ca="1" si="13"/>
        <v>#REF!</v>
      </c>
      <c r="AD185" s="101" t="str">
        <f t="shared" ca="1" si="14"/>
        <v>#REF!</v>
      </c>
      <c r="AE185" s="101" t="str">
        <f t="shared" ca="1" si="15"/>
        <v>#REF!</v>
      </c>
      <c r="AF185" s="235" t="str">
        <f t="shared" ref="AF185:AG185" ca="1" si="262">AD185/U185</f>
        <v>#REF!</v>
      </c>
      <c r="AG185" s="235" t="str">
        <f t="shared" ca="1" si="262"/>
        <v>#REF!</v>
      </c>
      <c r="AH185" s="212"/>
      <c r="AI185" s="213"/>
      <c r="AJ185" s="4"/>
      <c r="AK185" s="4"/>
      <c r="AL185" s="4"/>
      <c r="AM185" s="4"/>
      <c r="AN185" s="4"/>
      <c r="AO185" s="4"/>
      <c r="AP185" s="4"/>
      <c r="AQ185" s="4"/>
      <c r="AR185" s="4"/>
      <c r="AS185" s="4"/>
      <c r="AT185" s="4"/>
      <c r="AU185" s="4"/>
    </row>
    <row r="186" spans="1:47" ht="13.2">
      <c r="A186" s="120"/>
      <c r="B186" s="113"/>
      <c r="C186" s="117"/>
      <c r="D186" s="117"/>
      <c r="E186" s="117"/>
      <c r="F186" s="123"/>
      <c r="G186" s="93" t="s">
        <v>145</v>
      </c>
      <c r="H186" s="125"/>
      <c r="I186" s="125"/>
      <c r="J186" s="82" t="str">
        <f t="shared" ca="1" si="147"/>
        <v>#REF!</v>
      </c>
      <c r="K186" s="82" t="str">
        <f t="shared" ca="1" si="256"/>
        <v>#REF!</v>
      </c>
      <c r="L186" s="82" t="str">
        <f t="shared" ca="1" si="199"/>
        <v>#REF!</v>
      </c>
      <c r="M186" s="125"/>
      <c r="N186" s="125"/>
      <c r="O186" s="230">
        <f t="shared" si="2"/>
        <v>0</v>
      </c>
      <c r="P186" s="231">
        <f t="shared" si="3"/>
        <v>0</v>
      </c>
      <c r="Q186" s="232" t="str">
        <f ca="1">ROUNDUP(HLOOKUP(IF(CEILING(L186,0.5)&lt;1,1,CEILING(L186,0.5)),'배송비 조회'!A$32:AY$36,2,0),-2)</f>
        <v>#REF!</v>
      </c>
      <c r="R186" s="232">
        <v>0</v>
      </c>
      <c r="S186" s="231" t="str">
        <f t="shared" ca="1" si="250"/>
        <v>#REF!</v>
      </c>
      <c r="T186" s="231" t="str">
        <f t="shared" ca="1" si="200"/>
        <v>#REF!</v>
      </c>
      <c r="U186" s="233" t="str">
        <f t="shared" ca="1" si="142"/>
        <v>#REF!</v>
      </c>
      <c r="V186" s="233" t="str">
        <f t="shared" ca="1" si="7"/>
        <v>#REF!</v>
      </c>
      <c r="W186" s="234">
        <v>0</v>
      </c>
      <c r="X186" s="234" t="str">
        <f t="shared" ca="1" si="8"/>
        <v>#REF!</v>
      </c>
      <c r="Y186" s="234" t="str">
        <f t="shared" ca="1" si="9"/>
        <v>#REF!</v>
      </c>
      <c r="Z186" s="234" t="str">
        <f t="shared" ca="1" si="10"/>
        <v>#REF!</v>
      </c>
      <c r="AA186" s="234" t="str">
        <f t="shared" ca="1" si="11"/>
        <v>#REF!</v>
      </c>
      <c r="AB186" s="234" t="str">
        <f t="shared" ca="1" si="12"/>
        <v>#REF!</v>
      </c>
      <c r="AC186" s="234" t="str">
        <f t="shared" ca="1" si="13"/>
        <v>#REF!</v>
      </c>
      <c r="AD186" s="101" t="str">
        <f t="shared" ca="1" si="14"/>
        <v>#REF!</v>
      </c>
      <c r="AE186" s="101" t="str">
        <f t="shared" ca="1" si="15"/>
        <v>#REF!</v>
      </c>
      <c r="AF186" s="235" t="str">
        <f t="shared" ref="AF186:AG186" ca="1" si="263">AD186/U186</f>
        <v>#REF!</v>
      </c>
      <c r="AG186" s="235" t="str">
        <f t="shared" ca="1" si="263"/>
        <v>#REF!</v>
      </c>
      <c r="AH186" s="212"/>
      <c r="AI186" s="213"/>
      <c r="AJ186" s="4"/>
      <c r="AK186" s="4"/>
      <c r="AL186" s="4"/>
      <c r="AM186" s="4"/>
      <c r="AN186" s="4"/>
      <c r="AO186" s="4"/>
      <c r="AP186" s="4"/>
      <c r="AQ186" s="4"/>
      <c r="AR186" s="4"/>
      <c r="AS186" s="4"/>
      <c r="AT186" s="4"/>
      <c r="AU186" s="4"/>
    </row>
    <row r="187" spans="1:47" ht="13.2">
      <c r="A187" s="120"/>
      <c r="B187" s="113"/>
      <c r="C187" s="117"/>
      <c r="D187" s="117"/>
      <c r="E187" s="117"/>
      <c r="F187" s="123"/>
      <c r="G187" s="93" t="s">
        <v>145</v>
      </c>
      <c r="H187" s="125"/>
      <c r="I187" s="125"/>
      <c r="J187" s="82" t="str">
        <f t="shared" ca="1" si="147"/>
        <v>#REF!</v>
      </c>
      <c r="K187" s="82" t="str">
        <f t="shared" ca="1" si="256"/>
        <v>#REF!</v>
      </c>
      <c r="L187" s="82" t="str">
        <f t="shared" ca="1" si="199"/>
        <v>#REF!</v>
      </c>
      <c r="M187" s="125"/>
      <c r="N187" s="125"/>
      <c r="O187" s="230">
        <f t="shared" si="2"/>
        <v>0</v>
      </c>
      <c r="P187" s="231">
        <f t="shared" si="3"/>
        <v>0</v>
      </c>
      <c r="Q187" s="232" t="str">
        <f ca="1">ROUNDUP(HLOOKUP(IF(CEILING(L187,0.5)&lt;1,1,CEILING(L187,0.5)),'배송비 조회'!A$32:AY$36,2,0),-2)</f>
        <v>#REF!</v>
      </c>
      <c r="R187" s="232">
        <v>0</v>
      </c>
      <c r="S187" s="231" t="str">
        <f t="shared" ca="1" si="250"/>
        <v>#REF!</v>
      </c>
      <c r="T187" s="231" t="str">
        <f t="shared" ca="1" si="200"/>
        <v>#REF!</v>
      </c>
      <c r="U187" s="233" t="str">
        <f t="shared" ca="1" si="142"/>
        <v>#REF!</v>
      </c>
      <c r="V187" s="233" t="str">
        <f t="shared" ca="1" si="7"/>
        <v>#REF!</v>
      </c>
      <c r="W187" s="234">
        <v>0</v>
      </c>
      <c r="X187" s="234" t="str">
        <f t="shared" ca="1" si="8"/>
        <v>#REF!</v>
      </c>
      <c r="Y187" s="234" t="str">
        <f t="shared" ca="1" si="9"/>
        <v>#REF!</v>
      </c>
      <c r="Z187" s="234" t="str">
        <f t="shared" ca="1" si="10"/>
        <v>#REF!</v>
      </c>
      <c r="AA187" s="234" t="str">
        <f t="shared" ca="1" si="11"/>
        <v>#REF!</v>
      </c>
      <c r="AB187" s="234" t="str">
        <f t="shared" ca="1" si="12"/>
        <v>#REF!</v>
      </c>
      <c r="AC187" s="234" t="str">
        <f t="shared" ca="1" si="13"/>
        <v>#REF!</v>
      </c>
      <c r="AD187" s="101" t="str">
        <f t="shared" ca="1" si="14"/>
        <v>#REF!</v>
      </c>
      <c r="AE187" s="101" t="str">
        <f t="shared" ca="1" si="15"/>
        <v>#REF!</v>
      </c>
      <c r="AF187" s="235" t="str">
        <f t="shared" ref="AF187:AG187" ca="1" si="264">AD187/U187</f>
        <v>#REF!</v>
      </c>
      <c r="AG187" s="235" t="str">
        <f t="shared" ca="1" si="264"/>
        <v>#REF!</v>
      </c>
      <c r="AH187" s="212"/>
      <c r="AI187" s="213"/>
      <c r="AJ187" s="4"/>
      <c r="AK187" s="4"/>
      <c r="AL187" s="4"/>
      <c r="AM187" s="4"/>
      <c r="AN187" s="4"/>
      <c r="AO187" s="4"/>
      <c r="AP187" s="4"/>
      <c r="AQ187" s="4"/>
      <c r="AR187" s="4"/>
      <c r="AS187" s="4"/>
      <c r="AT187" s="4"/>
      <c r="AU187" s="4"/>
    </row>
    <row r="188" spans="1:47" ht="13.2">
      <c r="A188" s="120"/>
      <c r="B188" s="113"/>
      <c r="C188" s="117"/>
      <c r="D188" s="117"/>
      <c r="E188" s="117"/>
      <c r="F188" s="123"/>
      <c r="G188" s="93" t="s">
        <v>145</v>
      </c>
      <c r="H188" s="125"/>
      <c r="I188" s="125"/>
      <c r="J188" s="82" t="str">
        <f t="shared" ca="1" si="147"/>
        <v>#REF!</v>
      </c>
      <c r="K188" s="82" t="str">
        <f t="shared" ca="1" si="256"/>
        <v>#REF!</v>
      </c>
      <c r="L188" s="82" t="str">
        <f t="shared" ca="1" si="199"/>
        <v>#REF!</v>
      </c>
      <c r="M188" s="125"/>
      <c r="N188" s="125"/>
      <c r="O188" s="230">
        <f t="shared" si="2"/>
        <v>0</v>
      </c>
      <c r="P188" s="231">
        <f t="shared" si="3"/>
        <v>0</v>
      </c>
      <c r="Q188" s="232" t="str">
        <f ca="1">ROUNDUP(HLOOKUP(IF(CEILING(L188,0.5)&lt;1,1,CEILING(L188,0.5)),'배송비 조회'!A$32:AY$36,2,0),-2)</f>
        <v>#REF!</v>
      </c>
      <c r="R188" s="232">
        <v>0</v>
      </c>
      <c r="S188" s="231" t="str">
        <f t="shared" ca="1" si="250"/>
        <v>#REF!</v>
      </c>
      <c r="T188" s="231" t="str">
        <f t="shared" ca="1" si="200"/>
        <v>#REF!</v>
      </c>
      <c r="U188" s="233" t="str">
        <f t="shared" ca="1" si="142"/>
        <v>#REF!</v>
      </c>
      <c r="V188" s="233" t="str">
        <f t="shared" ca="1" si="7"/>
        <v>#REF!</v>
      </c>
      <c r="W188" s="234">
        <v>0</v>
      </c>
      <c r="X188" s="234" t="str">
        <f t="shared" ca="1" si="8"/>
        <v>#REF!</v>
      </c>
      <c r="Y188" s="234" t="str">
        <f t="shared" ca="1" si="9"/>
        <v>#REF!</v>
      </c>
      <c r="Z188" s="234" t="str">
        <f t="shared" ca="1" si="10"/>
        <v>#REF!</v>
      </c>
      <c r="AA188" s="234" t="str">
        <f t="shared" ca="1" si="11"/>
        <v>#REF!</v>
      </c>
      <c r="AB188" s="234" t="str">
        <f t="shared" ca="1" si="12"/>
        <v>#REF!</v>
      </c>
      <c r="AC188" s="234" t="str">
        <f t="shared" ca="1" si="13"/>
        <v>#REF!</v>
      </c>
      <c r="AD188" s="101" t="str">
        <f t="shared" ca="1" si="14"/>
        <v>#REF!</v>
      </c>
      <c r="AE188" s="101" t="str">
        <f t="shared" ca="1" si="15"/>
        <v>#REF!</v>
      </c>
      <c r="AF188" s="235" t="str">
        <f t="shared" ref="AF188:AG188" ca="1" si="265">AD188/U188</f>
        <v>#REF!</v>
      </c>
      <c r="AG188" s="235" t="str">
        <f t="shared" ca="1" si="265"/>
        <v>#REF!</v>
      </c>
      <c r="AH188" s="212"/>
      <c r="AI188" s="213"/>
      <c r="AJ188" s="4"/>
      <c r="AK188" s="4"/>
      <c r="AL188" s="4"/>
      <c r="AM188" s="4"/>
      <c r="AN188" s="4"/>
      <c r="AO188" s="4"/>
      <c r="AP188" s="4"/>
      <c r="AQ188" s="4"/>
      <c r="AR188" s="4"/>
      <c r="AS188" s="4"/>
      <c r="AT188" s="4"/>
      <c r="AU188" s="4"/>
    </row>
    <row r="189" spans="1:47" ht="13.2">
      <c r="A189" s="120"/>
      <c r="B189" s="113"/>
      <c r="C189" s="117"/>
      <c r="D189" s="117"/>
      <c r="E189" s="117"/>
      <c r="F189" s="123"/>
      <c r="G189" s="93" t="s">
        <v>145</v>
      </c>
      <c r="H189" s="125"/>
      <c r="I189" s="125"/>
      <c r="J189" s="82" t="str">
        <f t="shared" ca="1" si="147"/>
        <v>#REF!</v>
      </c>
      <c r="K189" s="82" t="str">
        <f t="shared" ca="1" si="256"/>
        <v>#REF!</v>
      </c>
      <c r="L189" s="82" t="str">
        <f t="shared" ca="1" si="199"/>
        <v>#REF!</v>
      </c>
      <c r="M189" s="125"/>
      <c r="N189" s="125"/>
      <c r="O189" s="230">
        <f t="shared" si="2"/>
        <v>0</v>
      </c>
      <c r="P189" s="231">
        <f t="shared" si="3"/>
        <v>0</v>
      </c>
      <c r="Q189" s="232" t="str">
        <f ca="1">ROUNDUP(HLOOKUP(IF(CEILING(L189,0.5)&lt;1,1,CEILING(L189,0.5)),'배송비 조회'!A$32:AY$36,2,0),-2)</f>
        <v>#REF!</v>
      </c>
      <c r="R189" s="232">
        <v>0</v>
      </c>
      <c r="S189" s="231" t="str">
        <f t="shared" ca="1" si="250"/>
        <v>#REF!</v>
      </c>
      <c r="T189" s="231" t="str">
        <f t="shared" ca="1" si="200"/>
        <v>#REF!</v>
      </c>
      <c r="U189" s="233" t="str">
        <f t="shared" ca="1" si="142"/>
        <v>#REF!</v>
      </c>
      <c r="V189" s="233" t="str">
        <f t="shared" ca="1" si="7"/>
        <v>#REF!</v>
      </c>
      <c r="W189" s="234">
        <v>0</v>
      </c>
      <c r="X189" s="234" t="str">
        <f t="shared" ca="1" si="8"/>
        <v>#REF!</v>
      </c>
      <c r="Y189" s="234" t="str">
        <f t="shared" ca="1" si="9"/>
        <v>#REF!</v>
      </c>
      <c r="Z189" s="234" t="str">
        <f t="shared" ca="1" si="10"/>
        <v>#REF!</v>
      </c>
      <c r="AA189" s="234" t="str">
        <f t="shared" ca="1" si="11"/>
        <v>#REF!</v>
      </c>
      <c r="AB189" s="234" t="str">
        <f t="shared" ca="1" si="12"/>
        <v>#REF!</v>
      </c>
      <c r="AC189" s="234" t="str">
        <f t="shared" ca="1" si="13"/>
        <v>#REF!</v>
      </c>
      <c r="AD189" s="101" t="str">
        <f t="shared" ca="1" si="14"/>
        <v>#REF!</v>
      </c>
      <c r="AE189" s="101" t="str">
        <f t="shared" ca="1" si="15"/>
        <v>#REF!</v>
      </c>
      <c r="AF189" s="235" t="str">
        <f t="shared" ref="AF189:AG189" ca="1" si="266">AD189/U189</f>
        <v>#REF!</v>
      </c>
      <c r="AG189" s="235" t="str">
        <f t="shared" ca="1" si="266"/>
        <v>#REF!</v>
      </c>
      <c r="AH189" s="212"/>
      <c r="AI189" s="213"/>
      <c r="AJ189" s="4"/>
      <c r="AK189" s="4"/>
      <c r="AL189" s="4"/>
      <c r="AM189" s="4"/>
      <c r="AN189" s="4"/>
      <c r="AO189" s="4"/>
      <c r="AP189" s="4"/>
      <c r="AQ189" s="4"/>
      <c r="AR189" s="4"/>
      <c r="AS189" s="4"/>
      <c r="AT189" s="4"/>
      <c r="AU189" s="4"/>
    </row>
    <row r="190" spans="1:47" ht="13.2">
      <c r="A190" s="120"/>
      <c r="B190" s="113"/>
      <c r="C190" s="117"/>
      <c r="D190" s="117"/>
      <c r="E190" s="117"/>
      <c r="F190" s="123"/>
      <c r="G190" s="93" t="s">
        <v>145</v>
      </c>
      <c r="H190" s="125"/>
      <c r="I190" s="125"/>
      <c r="J190" s="82" t="str">
        <f t="shared" ca="1" si="147"/>
        <v>#REF!</v>
      </c>
      <c r="K190" s="82" t="str">
        <f t="shared" ca="1" si="256"/>
        <v>#REF!</v>
      </c>
      <c r="L190" s="82" t="str">
        <f t="shared" ca="1" si="199"/>
        <v>#REF!</v>
      </c>
      <c r="M190" s="125"/>
      <c r="N190" s="125"/>
      <c r="O190" s="230">
        <f t="shared" si="2"/>
        <v>0</v>
      </c>
      <c r="P190" s="231">
        <f t="shared" si="3"/>
        <v>0</v>
      </c>
      <c r="Q190" s="232" t="str">
        <f ca="1">ROUNDUP(HLOOKUP(IF(CEILING(L190,0.5)&lt;1,1,CEILING(L190,0.5)),'배송비 조회'!A$32:AY$36,2,0),-2)</f>
        <v>#REF!</v>
      </c>
      <c r="R190" s="232">
        <v>0</v>
      </c>
      <c r="S190" s="231" t="str">
        <f t="shared" ca="1" si="250"/>
        <v>#REF!</v>
      </c>
      <c r="T190" s="231" t="str">
        <f t="shared" ca="1" si="200"/>
        <v>#REF!</v>
      </c>
      <c r="U190" s="233" t="str">
        <f t="shared" ca="1" si="142"/>
        <v>#REF!</v>
      </c>
      <c r="V190" s="233" t="str">
        <f t="shared" ca="1" si="7"/>
        <v>#REF!</v>
      </c>
      <c r="W190" s="234">
        <v>0</v>
      </c>
      <c r="X190" s="234" t="str">
        <f t="shared" ca="1" si="8"/>
        <v>#REF!</v>
      </c>
      <c r="Y190" s="234" t="str">
        <f t="shared" ca="1" si="9"/>
        <v>#REF!</v>
      </c>
      <c r="Z190" s="234" t="str">
        <f t="shared" ca="1" si="10"/>
        <v>#REF!</v>
      </c>
      <c r="AA190" s="234" t="str">
        <f t="shared" ca="1" si="11"/>
        <v>#REF!</v>
      </c>
      <c r="AB190" s="234" t="str">
        <f t="shared" ca="1" si="12"/>
        <v>#REF!</v>
      </c>
      <c r="AC190" s="234" t="str">
        <f t="shared" ca="1" si="13"/>
        <v>#REF!</v>
      </c>
      <c r="AD190" s="101" t="str">
        <f t="shared" ca="1" si="14"/>
        <v>#REF!</v>
      </c>
      <c r="AE190" s="101" t="str">
        <f t="shared" ca="1" si="15"/>
        <v>#REF!</v>
      </c>
      <c r="AF190" s="235" t="str">
        <f t="shared" ref="AF190:AG190" ca="1" si="267">AD190/U190</f>
        <v>#REF!</v>
      </c>
      <c r="AG190" s="235" t="str">
        <f t="shared" ca="1" si="267"/>
        <v>#REF!</v>
      </c>
      <c r="AH190" s="212"/>
      <c r="AI190" s="213"/>
      <c r="AJ190" s="4"/>
      <c r="AK190" s="4"/>
      <c r="AL190" s="4"/>
      <c r="AM190" s="4"/>
      <c r="AN190" s="4"/>
      <c r="AO190" s="4"/>
      <c r="AP190" s="4"/>
      <c r="AQ190" s="4"/>
      <c r="AR190" s="4"/>
      <c r="AS190" s="4"/>
      <c r="AT190" s="4"/>
      <c r="AU190" s="4"/>
    </row>
    <row r="191" spans="1:47" ht="13.2">
      <c r="A191" s="120"/>
      <c r="B191" s="113"/>
      <c r="C191" s="117"/>
      <c r="D191" s="117"/>
      <c r="E191" s="117"/>
      <c r="F191" s="123"/>
      <c r="G191" s="93" t="s">
        <v>145</v>
      </c>
      <c r="H191" s="125"/>
      <c r="I191" s="125"/>
      <c r="J191" s="82" t="str">
        <f t="shared" ca="1" si="147"/>
        <v>#REF!</v>
      </c>
      <c r="K191" s="82" t="str">
        <f t="shared" ca="1" si="256"/>
        <v>#REF!</v>
      </c>
      <c r="L191" s="82" t="str">
        <f t="shared" ca="1" si="199"/>
        <v>#REF!</v>
      </c>
      <c r="M191" s="125"/>
      <c r="N191" s="125"/>
      <c r="O191" s="230">
        <f t="shared" si="2"/>
        <v>0</v>
      </c>
      <c r="P191" s="231">
        <f t="shared" si="3"/>
        <v>0</v>
      </c>
      <c r="Q191" s="232" t="str">
        <f ca="1">ROUNDUP(HLOOKUP(IF(CEILING(L191,0.5)&lt;1,1,CEILING(L191,0.5)),'배송비 조회'!A$32:AY$36,2,0),-2)</f>
        <v>#REF!</v>
      </c>
      <c r="R191" s="232">
        <v>0</v>
      </c>
      <c r="S191" s="231" t="str">
        <f t="shared" ca="1" si="250"/>
        <v>#REF!</v>
      </c>
      <c r="T191" s="231" t="str">
        <f t="shared" ca="1" si="200"/>
        <v>#REF!</v>
      </c>
      <c r="U191" s="233" t="str">
        <f t="shared" ca="1" si="142"/>
        <v>#REF!</v>
      </c>
      <c r="V191" s="233" t="str">
        <f t="shared" ca="1" si="7"/>
        <v>#REF!</v>
      </c>
      <c r="W191" s="234">
        <v>0</v>
      </c>
      <c r="X191" s="234" t="str">
        <f t="shared" ca="1" si="8"/>
        <v>#REF!</v>
      </c>
      <c r="Y191" s="234" t="str">
        <f t="shared" ca="1" si="9"/>
        <v>#REF!</v>
      </c>
      <c r="Z191" s="234" t="str">
        <f t="shared" ca="1" si="10"/>
        <v>#REF!</v>
      </c>
      <c r="AA191" s="234" t="str">
        <f t="shared" ca="1" si="11"/>
        <v>#REF!</v>
      </c>
      <c r="AB191" s="234" t="str">
        <f t="shared" ca="1" si="12"/>
        <v>#REF!</v>
      </c>
      <c r="AC191" s="234" t="str">
        <f t="shared" ca="1" si="13"/>
        <v>#REF!</v>
      </c>
      <c r="AD191" s="101" t="str">
        <f t="shared" ca="1" si="14"/>
        <v>#REF!</v>
      </c>
      <c r="AE191" s="101" t="str">
        <f t="shared" ca="1" si="15"/>
        <v>#REF!</v>
      </c>
      <c r="AF191" s="235" t="str">
        <f t="shared" ref="AF191:AG191" ca="1" si="268">AD191/U191</f>
        <v>#REF!</v>
      </c>
      <c r="AG191" s="235" t="str">
        <f t="shared" ca="1" si="268"/>
        <v>#REF!</v>
      </c>
      <c r="AH191" s="212"/>
      <c r="AI191" s="213"/>
      <c r="AJ191" s="4"/>
      <c r="AK191" s="4"/>
      <c r="AL191" s="4"/>
      <c r="AM191" s="4"/>
      <c r="AN191" s="4"/>
      <c r="AO191" s="4"/>
      <c r="AP191" s="4"/>
      <c r="AQ191" s="4"/>
      <c r="AR191" s="4"/>
      <c r="AS191" s="4"/>
      <c r="AT191" s="4"/>
      <c r="AU191" s="4"/>
    </row>
    <row r="192" spans="1:47" ht="13.2">
      <c r="A192" s="120"/>
      <c r="B192" s="113"/>
      <c r="C192" s="117"/>
      <c r="D192" s="117"/>
      <c r="E192" s="117"/>
      <c r="F192" s="123"/>
      <c r="G192" s="93" t="s">
        <v>145</v>
      </c>
      <c r="H192" s="125"/>
      <c r="I192" s="125"/>
      <c r="J192" s="82" t="str">
        <f t="shared" ca="1" si="147"/>
        <v>#REF!</v>
      </c>
      <c r="K192" s="82" t="str">
        <f t="shared" ca="1" si="256"/>
        <v>#REF!</v>
      </c>
      <c r="L192" s="82" t="str">
        <f t="shared" ca="1" si="199"/>
        <v>#REF!</v>
      </c>
      <c r="M192" s="125"/>
      <c r="N192" s="125"/>
      <c r="O192" s="230">
        <f t="shared" si="2"/>
        <v>0</v>
      </c>
      <c r="P192" s="231">
        <f t="shared" si="3"/>
        <v>0</v>
      </c>
      <c r="Q192" s="232" t="str">
        <f ca="1">ROUNDUP(HLOOKUP(IF(CEILING(L192,0.5)&lt;1,1,CEILING(L192,0.5)),'배송비 조회'!A$32:AY$36,2,0),-2)</f>
        <v>#REF!</v>
      </c>
      <c r="R192" s="232">
        <v>0</v>
      </c>
      <c r="S192" s="231" t="str">
        <f t="shared" ca="1" si="250"/>
        <v>#REF!</v>
      </c>
      <c r="T192" s="231" t="str">
        <f t="shared" ca="1" si="200"/>
        <v>#REF!</v>
      </c>
      <c r="U192" s="233" t="str">
        <f t="shared" ca="1" si="142"/>
        <v>#REF!</v>
      </c>
      <c r="V192" s="233" t="str">
        <f t="shared" ca="1" si="7"/>
        <v>#REF!</v>
      </c>
      <c r="W192" s="234">
        <v>0</v>
      </c>
      <c r="X192" s="234" t="str">
        <f t="shared" ca="1" si="8"/>
        <v>#REF!</v>
      </c>
      <c r="Y192" s="234" t="str">
        <f t="shared" ca="1" si="9"/>
        <v>#REF!</v>
      </c>
      <c r="Z192" s="234" t="str">
        <f t="shared" ca="1" si="10"/>
        <v>#REF!</v>
      </c>
      <c r="AA192" s="234" t="str">
        <f t="shared" ca="1" si="11"/>
        <v>#REF!</v>
      </c>
      <c r="AB192" s="234" t="str">
        <f t="shared" ca="1" si="12"/>
        <v>#REF!</v>
      </c>
      <c r="AC192" s="234" t="str">
        <f t="shared" ca="1" si="13"/>
        <v>#REF!</v>
      </c>
      <c r="AD192" s="101" t="str">
        <f t="shared" ca="1" si="14"/>
        <v>#REF!</v>
      </c>
      <c r="AE192" s="101" t="str">
        <f t="shared" ca="1" si="15"/>
        <v>#REF!</v>
      </c>
      <c r="AF192" s="235" t="str">
        <f t="shared" ref="AF192:AG192" ca="1" si="269">AD192/U192</f>
        <v>#REF!</v>
      </c>
      <c r="AG192" s="235" t="str">
        <f t="shared" ca="1" si="269"/>
        <v>#REF!</v>
      </c>
      <c r="AH192" s="212"/>
      <c r="AI192" s="213"/>
      <c r="AJ192" s="4"/>
      <c r="AK192" s="4"/>
      <c r="AL192" s="4"/>
      <c r="AM192" s="4"/>
      <c r="AN192" s="4"/>
      <c r="AO192" s="4"/>
      <c r="AP192" s="4"/>
      <c r="AQ192" s="4"/>
      <c r="AR192" s="4"/>
      <c r="AS192" s="4"/>
      <c r="AT192" s="4"/>
      <c r="AU192" s="4"/>
    </row>
    <row r="193" spans="1:47" ht="13.2">
      <c r="A193" s="120"/>
      <c r="B193" s="113"/>
      <c r="C193" s="117"/>
      <c r="D193" s="117"/>
      <c r="E193" s="117"/>
      <c r="F193" s="123"/>
      <c r="G193" s="93" t="s">
        <v>145</v>
      </c>
      <c r="H193" s="125"/>
      <c r="I193" s="125"/>
      <c r="J193" s="82" t="str">
        <f t="shared" ca="1" si="147"/>
        <v>#REF!</v>
      </c>
      <c r="K193" s="82" t="str">
        <f t="shared" ca="1" si="256"/>
        <v>#REF!</v>
      </c>
      <c r="L193" s="82" t="str">
        <f t="shared" ca="1" si="199"/>
        <v>#REF!</v>
      </c>
      <c r="M193" s="125"/>
      <c r="N193" s="125"/>
      <c r="O193" s="230">
        <f t="shared" si="2"/>
        <v>0</v>
      </c>
      <c r="P193" s="231">
        <f t="shared" si="3"/>
        <v>0</v>
      </c>
      <c r="Q193" s="232" t="str">
        <f ca="1">ROUNDUP(HLOOKUP(IF(CEILING(L193,0.5)&lt;1,1,CEILING(L193,0.5)),'배송비 조회'!A$32:AY$36,2,0),-2)</f>
        <v>#REF!</v>
      </c>
      <c r="R193" s="232">
        <v>0</v>
      </c>
      <c r="S193" s="231" t="str">
        <f t="shared" ca="1" si="250"/>
        <v>#REF!</v>
      </c>
      <c r="T193" s="231" t="str">
        <f t="shared" ca="1" si="200"/>
        <v>#REF!</v>
      </c>
      <c r="U193" s="233" t="str">
        <f t="shared" ca="1" si="142"/>
        <v>#REF!</v>
      </c>
      <c r="V193" s="233" t="str">
        <f t="shared" ca="1" si="7"/>
        <v>#REF!</v>
      </c>
      <c r="W193" s="234">
        <v>0</v>
      </c>
      <c r="X193" s="234" t="str">
        <f t="shared" ca="1" si="8"/>
        <v>#REF!</v>
      </c>
      <c r="Y193" s="234" t="str">
        <f t="shared" ca="1" si="9"/>
        <v>#REF!</v>
      </c>
      <c r="Z193" s="234" t="str">
        <f t="shared" ca="1" si="10"/>
        <v>#REF!</v>
      </c>
      <c r="AA193" s="234" t="str">
        <f t="shared" ca="1" si="11"/>
        <v>#REF!</v>
      </c>
      <c r="AB193" s="234" t="str">
        <f t="shared" ca="1" si="12"/>
        <v>#REF!</v>
      </c>
      <c r="AC193" s="234" t="str">
        <f t="shared" ca="1" si="13"/>
        <v>#REF!</v>
      </c>
      <c r="AD193" s="101" t="str">
        <f t="shared" ca="1" si="14"/>
        <v>#REF!</v>
      </c>
      <c r="AE193" s="101" t="str">
        <f t="shared" ca="1" si="15"/>
        <v>#REF!</v>
      </c>
      <c r="AF193" s="235" t="str">
        <f t="shared" ref="AF193:AG193" ca="1" si="270">AD193/U193</f>
        <v>#REF!</v>
      </c>
      <c r="AG193" s="235" t="str">
        <f t="shared" ca="1" si="270"/>
        <v>#REF!</v>
      </c>
      <c r="AH193" s="212"/>
      <c r="AI193" s="213"/>
      <c r="AJ193" s="4"/>
      <c r="AK193" s="4"/>
      <c r="AL193" s="4"/>
      <c r="AM193" s="4"/>
      <c r="AN193" s="4"/>
      <c r="AO193" s="4"/>
      <c r="AP193" s="4"/>
      <c r="AQ193" s="4"/>
      <c r="AR193" s="4"/>
      <c r="AS193" s="4"/>
      <c r="AT193" s="4"/>
      <c r="AU193" s="4"/>
    </row>
    <row r="194" spans="1:47" ht="13.2">
      <c r="A194" s="120"/>
      <c r="B194" s="113"/>
      <c r="C194" s="117"/>
      <c r="D194" s="117"/>
      <c r="E194" s="117"/>
      <c r="F194" s="123"/>
      <c r="G194" s="93" t="s">
        <v>145</v>
      </c>
      <c r="H194" s="125"/>
      <c r="I194" s="125"/>
      <c r="J194" s="82" t="str">
        <f t="shared" ca="1" si="147"/>
        <v>#REF!</v>
      </c>
      <c r="K194" s="82" t="str">
        <f t="shared" ca="1" si="256"/>
        <v>#REF!</v>
      </c>
      <c r="L194" s="82" t="str">
        <f t="shared" ca="1" si="199"/>
        <v>#REF!</v>
      </c>
      <c r="M194" s="125"/>
      <c r="N194" s="125"/>
      <c r="O194" s="230">
        <f t="shared" si="2"/>
        <v>0</v>
      </c>
      <c r="P194" s="231">
        <f t="shared" si="3"/>
        <v>0</v>
      </c>
      <c r="Q194" s="232" t="str">
        <f ca="1">ROUNDUP(HLOOKUP(IF(CEILING(L194,0.5)&lt;1,1,CEILING(L194,0.5)),'배송비 조회'!A$32:AY$36,2,0),-2)</f>
        <v>#REF!</v>
      </c>
      <c r="R194" s="232">
        <v>0</v>
      </c>
      <c r="S194" s="231" t="str">
        <f t="shared" ca="1" si="250"/>
        <v>#REF!</v>
      </c>
      <c r="T194" s="231" t="str">
        <f t="shared" ca="1" si="200"/>
        <v>#REF!</v>
      </c>
      <c r="U194" s="233" t="str">
        <f t="shared" ca="1" si="142"/>
        <v>#REF!</v>
      </c>
      <c r="V194" s="233" t="str">
        <f t="shared" ca="1" si="7"/>
        <v>#REF!</v>
      </c>
      <c r="W194" s="234">
        <v>0</v>
      </c>
      <c r="X194" s="234" t="str">
        <f t="shared" ca="1" si="8"/>
        <v>#REF!</v>
      </c>
      <c r="Y194" s="234" t="str">
        <f t="shared" ca="1" si="9"/>
        <v>#REF!</v>
      </c>
      <c r="Z194" s="234" t="str">
        <f t="shared" ca="1" si="10"/>
        <v>#REF!</v>
      </c>
      <c r="AA194" s="234" t="str">
        <f t="shared" ca="1" si="11"/>
        <v>#REF!</v>
      </c>
      <c r="AB194" s="234" t="str">
        <f t="shared" ca="1" si="12"/>
        <v>#REF!</v>
      </c>
      <c r="AC194" s="234" t="str">
        <f t="shared" ca="1" si="13"/>
        <v>#REF!</v>
      </c>
      <c r="AD194" s="101" t="str">
        <f t="shared" ca="1" si="14"/>
        <v>#REF!</v>
      </c>
      <c r="AE194" s="101" t="str">
        <f t="shared" ca="1" si="15"/>
        <v>#REF!</v>
      </c>
      <c r="AF194" s="235" t="str">
        <f t="shared" ref="AF194:AG194" ca="1" si="271">AD194/U194</f>
        <v>#REF!</v>
      </c>
      <c r="AG194" s="235" t="str">
        <f t="shared" ca="1" si="271"/>
        <v>#REF!</v>
      </c>
      <c r="AH194" s="212"/>
      <c r="AI194" s="213"/>
      <c r="AJ194" s="4"/>
      <c r="AK194" s="4"/>
      <c r="AL194" s="4"/>
      <c r="AM194" s="4"/>
      <c r="AN194" s="4"/>
      <c r="AO194" s="4"/>
      <c r="AP194" s="4"/>
      <c r="AQ194" s="4"/>
      <c r="AR194" s="4"/>
      <c r="AS194" s="4"/>
      <c r="AT194" s="4"/>
      <c r="AU194" s="4"/>
    </row>
    <row r="195" spans="1:47" ht="13.2">
      <c r="A195" s="120"/>
      <c r="B195" s="113"/>
      <c r="C195" s="117"/>
      <c r="D195" s="117"/>
      <c r="E195" s="117"/>
      <c r="F195" s="123"/>
      <c r="G195" s="93" t="s">
        <v>145</v>
      </c>
      <c r="H195" s="125"/>
      <c r="I195" s="125"/>
      <c r="J195" s="82" t="str">
        <f t="shared" ca="1" si="147"/>
        <v>#REF!</v>
      </c>
      <c r="K195" s="82" t="str">
        <f t="shared" ca="1" si="256"/>
        <v>#REF!</v>
      </c>
      <c r="L195" s="82" t="str">
        <f t="shared" ca="1" si="199"/>
        <v>#REF!</v>
      </c>
      <c r="M195" s="125"/>
      <c r="N195" s="125"/>
      <c r="O195" s="230">
        <f t="shared" si="2"/>
        <v>0</v>
      </c>
      <c r="P195" s="231">
        <f t="shared" si="3"/>
        <v>0</v>
      </c>
      <c r="Q195" s="232" t="str">
        <f ca="1">ROUNDUP(HLOOKUP(IF(CEILING(L195,0.5)&lt;1,1,CEILING(L195,0.5)),'배송비 조회'!A$32:AY$36,2,0),-2)</f>
        <v>#REF!</v>
      </c>
      <c r="R195" s="232">
        <v>0</v>
      </c>
      <c r="S195" s="231" t="str">
        <f t="shared" ca="1" si="250"/>
        <v>#REF!</v>
      </c>
      <c r="T195" s="231" t="str">
        <f t="shared" ca="1" si="200"/>
        <v>#REF!</v>
      </c>
      <c r="U195" s="233" t="str">
        <f t="shared" ca="1" si="142"/>
        <v>#REF!</v>
      </c>
      <c r="V195" s="233" t="str">
        <f t="shared" ca="1" si="7"/>
        <v>#REF!</v>
      </c>
      <c r="W195" s="234">
        <v>0</v>
      </c>
      <c r="X195" s="234" t="str">
        <f t="shared" ca="1" si="8"/>
        <v>#REF!</v>
      </c>
      <c r="Y195" s="234" t="str">
        <f t="shared" ca="1" si="9"/>
        <v>#REF!</v>
      </c>
      <c r="Z195" s="234" t="str">
        <f t="shared" ca="1" si="10"/>
        <v>#REF!</v>
      </c>
      <c r="AA195" s="234" t="str">
        <f t="shared" ca="1" si="11"/>
        <v>#REF!</v>
      </c>
      <c r="AB195" s="234" t="str">
        <f t="shared" ca="1" si="12"/>
        <v>#REF!</v>
      </c>
      <c r="AC195" s="234" t="str">
        <f t="shared" ca="1" si="13"/>
        <v>#REF!</v>
      </c>
      <c r="AD195" s="101" t="str">
        <f t="shared" ca="1" si="14"/>
        <v>#REF!</v>
      </c>
      <c r="AE195" s="101" t="str">
        <f t="shared" ca="1" si="15"/>
        <v>#REF!</v>
      </c>
      <c r="AF195" s="235" t="str">
        <f t="shared" ref="AF195:AG195" ca="1" si="272">AD195/U195</f>
        <v>#REF!</v>
      </c>
      <c r="AG195" s="235" t="str">
        <f t="shared" ca="1" si="272"/>
        <v>#REF!</v>
      </c>
      <c r="AH195" s="212"/>
      <c r="AI195" s="213"/>
      <c r="AJ195" s="4"/>
      <c r="AK195" s="4"/>
      <c r="AL195" s="4"/>
      <c r="AM195" s="4"/>
      <c r="AN195" s="4"/>
      <c r="AO195" s="4"/>
      <c r="AP195" s="4"/>
      <c r="AQ195" s="4"/>
      <c r="AR195" s="4"/>
      <c r="AS195" s="4"/>
      <c r="AT195" s="4"/>
      <c r="AU195" s="4"/>
    </row>
    <row r="196" spans="1:47" ht="13.2">
      <c r="A196" s="120"/>
      <c r="B196" s="113"/>
      <c r="C196" s="117"/>
      <c r="D196" s="117"/>
      <c r="E196" s="117"/>
      <c r="F196" s="123"/>
      <c r="G196" s="93" t="s">
        <v>145</v>
      </c>
      <c r="H196" s="125"/>
      <c r="I196" s="125"/>
      <c r="J196" s="82" t="str">
        <f t="shared" ca="1" si="147"/>
        <v>#REF!</v>
      </c>
      <c r="K196" s="82" t="str">
        <f t="shared" ca="1" si="256"/>
        <v>#REF!</v>
      </c>
      <c r="L196" s="82" t="str">
        <f t="shared" ca="1" si="199"/>
        <v>#REF!</v>
      </c>
      <c r="M196" s="125"/>
      <c r="N196" s="125"/>
      <c r="O196" s="230">
        <f t="shared" si="2"/>
        <v>0</v>
      </c>
      <c r="P196" s="231">
        <f t="shared" si="3"/>
        <v>0</v>
      </c>
      <c r="Q196" s="232" t="str">
        <f ca="1">ROUNDUP(HLOOKUP(IF(CEILING(L196,0.5)&lt;1,1,CEILING(L196,0.5)),'배송비 조회'!A$32:AY$36,2,0),-2)</f>
        <v>#REF!</v>
      </c>
      <c r="R196" s="232">
        <v>0</v>
      </c>
      <c r="S196" s="231" t="str">
        <f t="shared" ca="1" si="250"/>
        <v>#REF!</v>
      </c>
      <c r="T196" s="231" t="str">
        <f t="shared" ca="1" si="200"/>
        <v>#REF!</v>
      </c>
      <c r="U196" s="233" t="str">
        <f t="shared" ca="1" si="142"/>
        <v>#REF!</v>
      </c>
      <c r="V196" s="233" t="str">
        <f t="shared" ca="1" si="7"/>
        <v>#REF!</v>
      </c>
      <c r="W196" s="234">
        <v>0</v>
      </c>
      <c r="X196" s="234" t="str">
        <f t="shared" ca="1" si="8"/>
        <v>#REF!</v>
      </c>
      <c r="Y196" s="234" t="str">
        <f t="shared" ca="1" si="9"/>
        <v>#REF!</v>
      </c>
      <c r="Z196" s="234" t="str">
        <f t="shared" ca="1" si="10"/>
        <v>#REF!</v>
      </c>
      <c r="AA196" s="234" t="str">
        <f t="shared" ca="1" si="11"/>
        <v>#REF!</v>
      </c>
      <c r="AB196" s="234" t="str">
        <f t="shared" ca="1" si="12"/>
        <v>#REF!</v>
      </c>
      <c r="AC196" s="234" t="str">
        <f t="shared" ca="1" si="13"/>
        <v>#REF!</v>
      </c>
      <c r="AD196" s="101" t="str">
        <f t="shared" ca="1" si="14"/>
        <v>#REF!</v>
      </c>
      <c r="AE196" s="101" t="str">
        <f t="shared" ca="1" si="15"/>
        <v>#REF!</v>
      </c>
      <c r="AF196" s="235" t="str">
        <f t="shared" ref="AF196:AG196" ca="1" si="273">AD196/U196</f>
        <v>#REF!</v>
      </c>
      <c r="AG196" s="235" t="str">
        <f t="shared" ca="1" si="273"/>
        <v>#REF!</v>
      </c>
      <c r="AH196" s="212"/>
      <c r="AI196" s="213"/>
      <c r="AJ196" s="4"/>
      <c r="AK196" s="4"/>
      <c r="AL196" s="4"/>
      <c r="AM196" s="4"/>
      <c r="AN196" s="4"/>
      <c r="AO196" s="4"/>
      <c r="AP196" s="4"/>
      <c r="AQ196" s="4"/>
      <c r="AR196" s="4"/>
      <c r="AS196" s="4"/>
      <c r="AT196" s="4"/>
      <c r="AU196" s="4"/>
    </row>
    <row r="197" spans="1:47" ht="13.2">
      <c r="A197" s="120"/>
      <c r="B197" s="113"/>
      <c r="C197" s="117"/>
      <c r="D197" s="117"/>
      <c r="E197" s="117"/>
      <c r="F197" s="123"/>
      <c r="G197" s="93" t="s">
        <v>145</v>
      </c>
      <c r="H197" s="125"/>
      <c r="I197" s="125"/>
      <c r="J197" s="82" t="str">
        <f t="shared" ca="1" si="147"/>
        <v>#REF!</v>
      </c>
      <c r="K197" s="82" t="str">
        <f t="shared" ca="1" si="256"/>
        <v>#REF!</v>
      </c>
      <c r="L197" s="82" t="str">
        <f t="shared" ca="1" si="199"/>
        <v>#REF!</v>
      </c>
      <c r="M197" s="125"/>
      <c r="N197" s="125"/>
      <c r="O197" s="230">
        <f t="shared" si="2"/>
        <v>0</v>
      </c>
      <c r="P197" s="231">
        <f t="shared" si="3"/>
        <v>0</v>
      </c>
      <c r="Q197" s="232" t="str">
        <f ca="1">ROUNDUP(HLOOKUP(IF(CEILING(L197,0.5)&lt;1,1,CEILING(L197,0.5)),'배송비 조회'!A$32:AY$36,2,0),-2)</f>
        <v>#REF!</v>
      </c>
      <c r="R197" s="232">
        <v>0</v>
      </c>
      <c r="S197" s="231" t="str">
        <f t="shared" ca="1" si="250"/>
        <v>#REF!</v>
      </c>
      <c r="T197" s="231" t="str">
        <f t="shared" ca="1" si="200"/>
        <v>#REF!</v>
      </c>
      <c r="U197" s="233" t="str">
        <f t="shared" ca="1" si="142"/>
        <v>#REF!</v>
      </c>
      <c r="V197" s="233" t="str">
        <f t="shared" ca="1" si="7"/>
        <v>#REF!</v>
      </c>
      <c r="W197" s="234">
        <v>0</v>
      </c>
      <c r="X197" s="234" t="str">
        <f t="shared" ca="1" si="8"/>
        <v>#REF!</v>
      </c>
      <c r="Y197" s="234" t="str">
        <f t="shared" ca="1" si="9"/>
        <v>#REF!</v>
      </c>
      <c r="Z197" s="234" t="str">
        <f t="shared" ca="1" si="10"/>
        <v>#REF!</v>
      </c>
      <c r="AA197" s="234" t="str">
        <f t="shared" ca="1" si="11"/>
        <v>#REF!</v>
      </c>
      <c r="AB197" s="234" t="str">
        <f t="shared" ca="1" si="12"/>
        <v>#REF!</v>
      </c>
      <c r="AC197" s="234" t="str">
        <f t="shared" ca="1" si="13"/>
        <v>#REF!</v>
      </c>
      <c r="AD197" s="101" t="str">
        <f t="shared" ca="1" si="14"/>
        <v>#REF!</v>
      </c>
      <c r="AE197" s="101" t="str">
        <f t="shared" ca="1" si="15"/>
        <v>#REF!</v>
      </c>
      <c r="AF197" s="235" t="str">
        <f t="shared" ref="AF197:AG197" ca="1" si="274">AD197/U197</f>
        <v>#REF!</v>
      </c>
      <c r="AG197" s="235" t="str">
        <f t="shared" ca="1" si="274"/>
        <v>#REF!</v>
      </c>
      <c r="AH197" s="212"/>
      <c r="AI197" s="213"/>
      <c r="AJ197" s="4"/>
      <c r="AK197" s="4"/>
      <c r="AL197" s="4"/>
      <c r="AM197" s="4"/>
      <c r="AN197" s="4"/>
      <c r="AO197" s="4"/>
      <c r="AP197" s="4"/>
      <c r="AQ197" s="4"/>
      <c r="AR197" s="4"/>
      <c r="AS197" s="4"/>
      <c r="AT197" s="4"/>
      <c r="AU197" s="4"/>
    </row>
    <row r="198" spans="1:47" ht="13.2">
      <c r="A198" s="120"/>
      <c r="B198" s="113"/>
      <c r="C198" s="117"/>
      <c r="D198" s="117"/>
      <c r="E198" s="117"/>
      <c r="F198" s="123"/>
      <c r="G198" s="93" t="s">
        <v>145</v>
      </c>
      <c r="H198" s="125"/>
      <c r="I198" s="125"/>
      <c r="J198" s="82" t="str">
        <f t="shared" ca="1" si="147"/>
        <v>#REF!</v>
      </c>
      <c r="K198" s="82" t="str">
        <f t="shared" ca="1" si="256"/>
        <v>#REF!</v>
      </c>
      <c r="L198" s="82" t="str">
        <f t="shared" ca="1" si="199"/>
        <v>#REF!</v>
      </c>
      <c r="M198" s="125"/>
      <c r="N198" s="125"/>
      <c r="O198" s="230">
        <f t="shared" si="2"/>
        <v>0</v>
      </c>
      <c r="P198" s="231">
        <f t="shared" si="3"/>
        <v>0</v>
      </c>
      <c r="Q198" s="232" t="str">
        <f ca="1">ROUNDUP(HLOOKUP(IF(CEILING(L198,0.5)&lt;1,1,CEILING(L198,0.5)),'배송비 조회'!A$32:AY$36,2,0),-2)</f>
        <v>#REF!</v>
      </c>
      <c r="R198" s="232">
        <v>0</v>
      </c>
      <c r="S198" s="231" t="str">
        <f t="shared" ca="1" si="250"/>
        <v>#REF!</v>
      </c>
      <c r="T198" s="231" t="str">
        <f t="shared" ca="1" si="200"/>
        <v>#REF!</v>
      </c>
      <c r="U198" s="233" t="str">
        <f t="shared" ca="1" si="142"/>
        <v>#REF!</v>
      </c>
      <c r="V198" s="233" t="str">
        <f t="shared" ca="1" si="7"/>
        <v>#REF!</v>
      </c>
      <c r="W198" s="234">
        <v>0</v>
      </c>
      <c r="X198" s="234" t="str">
        <f t="shared" ca="1" si="8"/>
        <v>#REF!</v>
      </c>
      <c r="Y198" s="234" t="str">
        <f t="shared" ca="1" si="9"/>
        <v>#REF!</v>
      </c>
      <c r="Z198" s="234" t="str">
        <f t="shared" ca="1" si="10"/>
        <v>#REF!</v>
      </c>
      <c r="AA198" s="234" t="str">
        <f t="shared" ca="1" si="11"/>
        <v>#REF!</v>
      </c>
      <c r="AB198" s="234" t="str">
        <f t="shared" ca="1" si="12"/>
        <v>#REF!</v>
      </c>
      <c r="AC198" s="234" t="str">
        <f t="shared" ca="1" si="13"/>
        <v>#REF!</v>
      </c>
      <c r="AD198" s="101" t="str">
        <f t="shared" ca="1" si="14"/>
        <v>#REF!</v>
      </c>
      <c r="AE198" s="101" t="str">
        <f t="shared" ca="1" si="15"/>
        <v>#REF!</v>
      </c>
      <c r="AF198" s="235" t="str">
        <f t="shared" ref="AF198:AG198" ca="1" si="275">AD198/U198</f>
        <v>#REF!</v>
      </c>
      <c r="AG198" s="235" t="str">
        <f t="shared" ca="1" si="275"/>
        <v>#REF!</v>
      </c>
      <c r="AH198" s="212"/>
      <c r="AI198" s="213"/>
      <c r="AJ198" s="4"/>
      <c r="AK198" s="4"/>
      <c r="AL198" s="4"/>
      <c r="AM198" s="4"/>
      <c r="AN198" s="4"/>
      <c r="AO198" s="4"/>
      <c r="AP198" s="4"/>
      <c r="AQ198" s="4"/>
      <c r="AR198" s="4"/>
      <c r="AS198" s="4"/>
      <c r="AT198" s="4"/>
      <c r="AU198" s="4"/>
    </row>
    <row r="199" spans="1:47" ht="13.2">
      <c r="A199" s="120"/>
      <c r="B199" s="113"/>
      <c r="C199" s="117"/>
      <c r="D199" s="117"/>
      <c r="E199" s="117"/>
      <c r="F199" s="123"/>
      <c r="G199" s="93" t="s">
        <v>145</v>
      </c>
      <c r="H199" s="125"/>
      <c r="I199" s="125"/>
      <c r="J199" s="82" t="str">
        <f t="shared" ca="1" si="147"/>
        <v>#REF!</v>
      </c>
      <c r="K199" s="82" t="str">
        <f t="shared" ca="1" si="256"/>
        <v>#REF!</v>
      </c>
      <c r="L199" s="82" t="str">
        <f t="shared" ca="1" si="199"/>
        <v>#REF!</v>
      </c>
      <c r="M199" s="125"/>
      <c r="N199" s="125"/>
      <c r="O199" s="230">
        <f t="shared" si="2"/>
        <v>0</v>
      </c>
      <c r="P199" s="231">
        <f t="shared" si="3"/>
        <v>0</v>
      </c>
      <c r="Q199" s="232" t="str">
        <f ca="1">ROUNDUP(HLOOKUP(IF(CEILING(L199,0.5)&lt;1,1,CEILING(L199,0.5)),'배송비 조회'!A$32:AY$36,2,0),-2)</f>
        <v>#REF!</v>
      </c>
      <c r="R199" s="232">
        <v>0</v>
      </c>
      <c r="S199" s="231" t="str">
        <f t="shared" ca="1" si="250"/>
        <v>#REF!</v>
      </c>
      <c r="T199" s="231" t="str">
        <f t="shared" ca="1" si="200"/>
        <v>#REF!</v>
      </c>
      <c r="U199" s="233" t="str">
        <f t="shared" ca="1" si="142"/>
        <v>#REF!</v>
      </c>
      <c r="V199" s="233" t="str">
        <f t="shared" ca="1" si="7"/>
        <v>#REF!</v>
      </c>
      <c r="W199" s="234">
        <v>0</v>
      </c>
      <c r="X199" s="234" t="str">
        <f t="shared" ca="1" si="8"/>
        <v>#REF!</v>
      </c>
      <c r="Y199" s="234" t="str">
        <f t="shared" ca="1" si="9"/>
        <v>#REF!</v>
      </c>
      <c r="Z199" s="234" t="str">
        <f t="shared" ca="1" si="10"/>
        <v>#REF!</v>
      </c>
      <c r="AA199" s="234" t="str">
        <f t="shared" ca="1" si="11"/>
        <v>#REF!</v>
      </c>
      <c r="AB199" s="234" t="str">
        <f t="shared" ca="1" si="12"/>
        <v>#REF!</v>
      </c>
      <c r="AC199" s="234" t="str">
        <f t="shared" ca="1" si="13"/>
        <v>#REF!</v>
      </c>
      <c r="AD199" s="101" t="str">
        <f t="shared" ca="1" si="14"/>
        <v>#REF!</v>
      </c>
      <c r="AE199" s="101" t="str">
        <f t="shared" ca="1" si="15"/>
        <v>#REF!</v>
      </c>
      <c r="AF199" s="235" t="str">
        <f t="shared" ref="AF199:AG199" ca="1" si="276">AD199/U199</f>
        <v>#REF!</v>
      </c>
      <c r="AG199" s="235" t="str">
        <f t="shared" ca="1" si="276"/>
        <v>#REF!</v>
      </c>
      <c r="AH199" s="212"/>
      <c r="AI199" s="213"/>
      <c r="AJ199" s="4"/>
      <c r="AK199" s="4"/>
      <c r="AL199" s="4"/>
      <c r="AM199" s="4"/>
      <c r="AN199" s="4"/>
      <c r="AO199" s="4"/>
      <c r="AP199" s="4"/>
      <c r="AQ199" s="4"/>
      <c r="AR199" s="4"/>
      <c r="AS199" s="4"/>
      <c r="AT199" s="4"/>
      <c r="AU199" s="4"/>
    </row>
    <row r="200" spans="1:47" ht="13.2">
      <c r="A200" s="120"/>
      <c r="B200" s="113"/>
      <c r="C200" s="117"/>
      <c r="D200" s="117"/>
      <c r="E200" s="117"/>
      <c r="F200" s="123"/>
      <c r="G200" s="93" t="s">
        <v>145</v>
      </c>
      <c r="H200" s="125"/>
      <c r="I200" s="125"/>
      <c r="J200" s="82" t="str">
        <f t="shared" ca="1" si="147"/>
        <v>#REF!</v>
      </c>
      <c r="K200" s="82" t="str">
        <f t="shared" ca="1" si="256"/>
        <v>#REF!</v>
      </c>
      <c r="L200" s="82" t="str">
        <f t="shared" ca="1" si="199"/>
        <v>#REF!</v>
      </c>
      <c r="M200" s="125"/>
      <c r="N200" s="125"/>
      <c r="O200" s="230">
        <f t="shared" si="2"/>
        <v>0</v>
      </c>
      <c r="P200" s="231">
        <f t="shared" si="3"/>
        <v>0</v>
      </c>
      <c r="Q200" s="232" t="str">
        <f ca="1">ROUNDUP(HLOOKUP(IF(CEILING(L200,0.5)&lt;1,1,CEILING(L200,0.5)),'배송비 조회'!A$32:AY$36,2,0),-2)</f>
        <v>#REF!</v>
      </c>
      <c r="R200" s="232">
        <v>0</v>
      </c>
      <c r="S200" s="231" t="str">
        <f t="shared" ca="1" si="250"/>
        <v>#REF!</v>
      </c>
      <c r="T200" s="231" t="str">
        <f t="shared" ca="1" si="200"/>
        <v>#REF!</v>
      </c>
      <c r="U200" s="233" t="str">
        <f t="shared" ca="1" si="142"/>
        <v>#REF!</v>
      </c>
      <c r="V200" s="233" t="str">
        <f t="shared" ca="1" si="7"/>
        <v>#REF!</v>
      </c>
      <c r="W200" s="234">
        <v>0</v>
      </c>
      <c r="X200" s="234" t="str">
        <f t="shared" ca="1" si="8"/>
        <v>#REF!</v>
      </c>
      <c r="Y200" s="234" t="str">
        <f t="shared" ca="1" si="9"/>
        <v>#REF!</v>
      </c>
      <c r="Z200" s="234" t="str">
        <f t="shared" ca="1" si="10"/>
        <v>#REF!</v>
      </c>
      <c r="AA200" s="234" t="str">
        <f t="shared" ca="1" si="11"/>
        <v>#REF!</v>
      </c>
      <c r="AB200" s="234" t="str">
        <f t="shared" ca="1" si="12"/>
        <v>#REF!</v>
      </c>
      <c r="AC200" s="234" t="str">
        <f t="shared" ca="1" si="13"/>
        <v>#REF!</v>
      </c>
      <c r="AD200" s="101" t="str">
        <f t="shared" ca="1" si="14"/>
        <v>#REF!</v>
      </c>
      <c r="AE200" s="101" t="str">
        <f t="shared" ca="1" si="15"/>
        <v>#REF!</v>
      </c>
      <c r="AF200" s="235" t="str">
        <f t="shared" ref="AF200:AG200" ca="1" si="277">AD200/U200</f>
        <v>#REF!</v>
      </c>
      <c r="AG200" s="235" t="str">
        <f t="shared" ca="1" si="277"/>
        <v>#REF!</v>
      </c>
      <c r="AH200" s="212"/>
      <c r="AI200" s="213"/>
      <c r="AJ200" s="4"/>
      <c r="AK200" s="4"/>
      <c r="AL200" s="4"/>
      <c r="AM200" s="4"/>
      <c r="AN200" s="4"/>
      <c r="AO200" s="4"/>
      <c r="AP200" s="4"/>
      <c r="AQ200" s="4"/>
      <c r="AR200" s="4"/>
      <c r="AS200" s="4"/>
      <c r="AT200" s="4"/>
      <c r="AU200" s="4"/>
    </row>
    <row r="201" spans="1:47" ht="13.2">
      <c r="A201" s="120"/>
      <c r="B201" s="113"/>
      <c r="C201" s="117"/>
      <c r="D201" s="117"/>
      <c r="E201" s="117"/>
      <c r="F201" s="123"/>
      <c r="G201" s="93" t="s">
        <v>145</v>
      </c>
      <c r="H201" s="125"/>
      <c r="I201" s="125"/>
      <c r="J201" s="82" t="str">
        <f t="shared" ca="1" si="147"/>
        <v>#REF!</v>
      </c>
      <c r="K201" s="82" t="str">
        <f t="shared" ca="1" si="256"/>
        <v>#REF!</v>
      </c>
      <c r="L201" s="82" t="str">
        <f t="shared" ca="1" si="199"/>
        <v>#REF!</v>
      </c>
      <c r="M201" s="125"/>
      <c r="N201" s="125"/>
      <c r="O201" s="230">
        <f t="shared" si="2"/>
        <v>0</v>
      </c>
      <c r="P201" s="231">
        <f t="shared" si="3"/>
        <v>0</v>
      </c>
      <c r="Q201" s="232" t="str">
        <f ca="1">ROUNDUP(HLOOKUP(IF(CEILING(L201,0.5)&lt;1,1,CEILING(L201,0.5)),'배송비 조회'!A$32:AY$36,2,0),-2)</f>
        <v>#REF!</v>
      </c>
      <c r="R201" s="232">
        <v>0</v>
      </c>
      <c r="S201" s="231" t="str">
        <f t="shared" ca="1" si="250"/>
        <v>#REF!</v>
      </c>
      <c r="T201" s="231" t="str">
        <f t="shared" ca="1" si="200"/>
        <v>#REF!</v>
      </c>
      <c r="U201" s="233" t="str">
        <f t="shared" ca="1" si="142"/>
        <v>#REF!</v>
      </c>
      <c r="V201" s="233" t="str">
        <f t="shared" ca="1" si="7"/>
        <v>#REF!</v>
      </c>
      <c r="W201" s="234">
        <v>0</v>
      </c>
      <c r="X201" s="234" t="str">
        <f t="shared" ca="1" si="8"/>
        <v>#REF!</v>
      </c>
      <c r="Y201" s="234" t="str">
        <f t="shared" ca="1" si="9"/>
        <v>#REF!</v>
      </c>
      <c r="Z201" s="234" t="str">
        <f t="shared" ca="1" si="10"/>
        <v>#REF!</v>
      </c>
      <c r="AA201" s="234" t="str">
        <f t="shared" ca="1" si="11"/>
        <v>#REF!</v>
      </c>
      <c r="AB201" s="234" t="str">
        <f t="shared" ca="1" si="12"/>
        <v>#REF!</v>
      </c>
      <c r="AC201" s="234" t="str">
        <f t="shared" ca="1" si="13"/>
        <v>#REF!</v>
      </c>
      <c r="AD201" s="101" t="str">
        <f t="shared" ca="1" si="14"/>
        <v>#REF!</v>
      </c>
      <c r="AE201" s="101" t="str">
        <f t="shared" ca="1" si="15"/>
        <v>#REF!</v>
      </c>
      <c r="AF201" s="235" t="str">
        <f t="shared" ref="AF201:AG201" ca="1" si="278">AD201/U201</f>
        <v>#REF!</v>
      </c>
      <c r="AG201" s="235" t="str">
        <f t="shared" ca="1" si="278"/>
        <v>#REF!</v>
      </c>
      <c r="AH201" s="212"/>
      <c r="AI201" s="213"/>
      <c r="AJ201" s="4"/>
      <c r="AK201" s="4"/>
      <c r="AL201" s="4"/>
      <c r="AM201" s="4"/>
      <c r="AN201" s="4"/>
      <c r="AO201" s="4"/>
      <c r="AP201" s="4"/>
      <c r="AQ201" s="4"/>
      <c r="AR201" s="4"/>
      <c r="AS201" s="4"/>
      <c r="AT201" s="4"/>
      <c r="AU201" s="4"/>
    </row>
    <row r="202" spans="1:47" ht="13.2">
      <c r="A202" s="120"/>
      <c r="B202" s="113"/>
      <c r="C202" s="117"/>
      <c r="D202" s="117"/>
      <c r="E202" s="117"/>
      <c r="F202" s="123"/>
      <c r="G202" s="93" t="s">
        <v>145</v>
      </c>
      <c r="H202" s="125"/>
      <c r="I202" s="125"/>
      <c r="J202" s="82" t="str">
        <f t="shared" ca="1" si="147"/>
        <v>#REF!</v>
      </c>
      <c r="K202" s="82" t="str">
        <f t="shared" ca="1" si="256"/>
        <v>#REF!</v>
      </c>
      <c r="L202" s="82" t="str">
        <f t="shared" ca="1" si="199"/>
        <v>#REF!</v>
      </c>
      <c r="M202" s="125"/>
      <c r="N202" s="125"/>
      <c r="O202" s="230">
        <f t="shared" si="2"/>
        <v>0</v>
      </c>
      <c r="P202" s="231">
        <f t="shared" si="3"/>
        <v>0</v>
      </c>
      <c r="Q202" s="232" t="str">
        <f ca="1">ROUNDUP(HLOOKUP(IF(CEILING(L202,0.5)&lt;1,1,CEILING(L202,0.5)),'배송비 조회'!A$32:AY$36,2,0),-2)</f>
        <v>#REF!</v>
      </c>
      <c r="R202" s="232">
        <v>0</v>
      </c>
      <c r="S202" s="231" t="str">
        <f t="shared" ca="1" si="250"/>
        <v>#REF!</v>
      </c>
      <c r="T202" s="231" t="str">
        <f t="shared" ca="1" si="200"/>
        <v>#REF!</v>
      </c>
      <c r="U202" s="233" t="str">
        <f t="shared" ca="1" si="142"/>
        <v>#REF!</v>
      </c>
      <c r="V202" s="233" t="str">
        <f t="shared" ca="1" si="7"/>
        <v>#REF!</v>
      </c>
      <c r="W202" s="234">
        <v>0</v>
      </c>
      <c r="X202" s="234" t="str">
        <f t="shared" ca="1" si="8"/>
        <v>#REF!</v>
      </c>
      <c r="Y202" s="234" t="str">
        <f t="shared" ca="1" si="9"/>
        <v>#REF!</v>
      </c>
      <c r="Z202" s="234" t="str">
        <f t="shared" ca="1" si="10"/>
        <v>#REF!</v>
      </c>
      <c r="AA202" s="234" t="str">
        <f t="shared" ca="1" si="11"/>
        <v>#REF!</v>
      </c>
      <c r="AB202" s="234" t="str">
        <f t="shared" ca="1" si="12"/>
        <v>#REF!</v>
      </c>
      <c r="AC202" s="234" t="str">
        <f t="shared" ca="1" si="13"/>
        <v>#REF!</v>
      </c>
      <c r="AD202" s="101" t="str">
        <f t="shared" ca="1" si="14"/>
        <v>#REF!</v>
      </c>
      <c r="AE202" s="101" t="str">
        <f t="shared" ca="1" si="15"/>
        <v>#REF!</v>
      </c>
      <c r="AF202" s="235" t="str">
        <f t="shared" ref="AF202:AG202" ca="1" si="279">AD202/U202</f>
        <v>#REF!</v>
      </c>
      <c r="AG202" s="235" t="str">
        <f t="shared" ca="1" si="279"/>
        <v>#REF!</v>
      </c>
      <c r="AH202" s="212"/>
      <c r="AI202" s="213"/>
      <c r="AJ202" s="4"/>
      <c r="AK202" s="4"/>
      <c r="AL202" s="4"/>
      <c r="AM202" s="4"/>
      <c r="AN202" s="4"/>
      <c r="AO202" s="4"/>
      <c r="AP202" s="4"/>
      <c r="AQ202" s="4"/>
      <c r="AR202" s="4"/>
      <c r="AS202" s="4"/>
      <c r="AT202" s="4"/>
      <c r="AU202" s="4"/>
    </row>
    <row r="203" spans="1:47" ht="13.2">
      <c r="A203" s="120"/>
      <c r="B203" s="113"/>
      <c r="C203" s="117"/>
      <c r="D203" s="117"/>
      <c r="E203" s="117"/>
      <c r="F203" s="123"/>
      <c r="G203" s="93" t="s">
        <v>145</v>
      </c>
      <c r="H203" s="125"/>
      <c r="I203" s="125"/>
      <c r="J203" s="82" t="str">
        <f t="shared" ca="1" si="147"/>
        <v>#REF!</v>
      </c>
      <c r="K203" s="82" t="str">
        <f t="shared" ca="1" si="256"/>
        <v>#REF!</v>
      </c>
      <c r="L203" s="82" t="str">
        <f t="shared" ca="1" si="199"/>
        <v>#REF!</v>
      </c>
      <c r="M203" s="125"/>
      <c r="N203" s="125"/>
      <c r="O203" s="230">
        <f t="shared" si="2"/>
        <v>0</v>
      </c>
      <c r="P203" s="231">
        <f t="shared" si="3"/>
        <v>0</v>
      </c>
      <c r="Q203" s="232" t="str">
        <f ca="1">ROUNDUP(HLOOKUP(IF(CEILING(L203,0.5)&lt;1,1,CEILING(L203,0.5)),'배송비 조회'!A$32:AY$36,2,0),-2)</f>
        <v>#REF!</v>
      </c>
      <c r="R203" s="232">
        <v>0</v>
      </c>
      <c r="S203" s="231" t="str">
        <f t="shared" ca="1" si="250"/>
        <v>#REF!</v>
      </c>
      <c r="T203" s="231" t="str">
        <f t="shared" ca="1" si="200"/>
        <v>#REF!</v>
      </c>
      <c r="U203" s="233" t="str">
        <f t="shared" ca="1" si="142"/>
        <v>#REF!</v>
      </c>
      <c r="V203" s="233" t="str">
        <f t="shared" ca="1" si="7"/>
        <v>#REF!</v>
      </c>
      <c r="W203" s="234">
        <v>0</v>
      </c>
      <c r="X203" s="234" t="str">
        <f t="shared" ca="1" si="8"/>
        <v>#REF!</v>
      </c>
      <c r="Y203" s="234" t="str">
        <f t="shared" ca="1" si="9"/>
        <v>#REF!</v>
      </c>
      <c r="Z203" s="234" t="str">
        <f t="shared" ca="1" si="10"/>
        <v>#REF!</v>
      </c>
      <c r="AA203" s="234" t="str">
        <f t="shared" ca="1" si="11"/>
        <v>#REF!</v>
      </c>
      <c r="AB203" s="234" t="str">
        <f t="shared" ca="1" si="12"/>
        <v>#REF!</v>
      </c>
      <c r="AC203" s="234" t="str">
        <f t="shared" ca="1" si="13"/>
        <v>#REF!</v>
      </c>
      <c r="AD203" s="101" t="str">
        <f t="shared" ca="1" si="14"/>
        <v>#REF!</v>
      </c>
      <c r="AE203" s="101" t="str">
        <f t="shared" ca="1" si="15"/>
        <v>#REF!</v>
      </c>
      <c r="AF203" s="235" t="str">
        <f t="shared" ref="AF203:AG203" ca="1" si="280">AD203/U203</f>
        <v>#REF!</v>
      </c>
      <c r="AG203" s="235" t="str">
        <f t="shared" ca="1" si="280"/>
        <v>#REF!</v>
      </c>
      <c r="AH203" s="212"/>
      <c r="AI203" s="213"/>
      <c r="AJ203" s="4"/>
      <c r="AK203" s="4"/>
      <c r="AL203" s="4"/>
      <c r="AM203" s="4"/>
      <c r="AN203" s="4"/>
      <c r="AO203" s="4"/>
      <c r="AP203" s="4"/>
      <c r="AQ203" s="4"/>
      <c r="AR203" s="4"/>
      <c r="AS203" s="4"/>
      <c r="AT203" s="4"/>
      <c r="AU203" s="4"/>
    </row>
    <row r="204" spans="1:47" ht="13.2">
      <c r="A204" s="120"/>
      <c r="B204" s="113"/>
      <c r="C204" s="117"/>
      <c r="D204" s="117"/>
      <c r="E204" s="117"/>
      <c r="F204" s="123"/>
      <c r="G204" s="93" t="s">
        <v>145</v>
      </c>
      <c r="H204" s="125"/>
      <c r="I204" s="125"/>
      <c r="J204" s="82" t="str">
        <f t="shared" ca="1" si="147"/>
        <v>#REF!</v>
      </c>
      <c r="K204" s="82" t="str">
        <f t="shared" ca="1" si="256"/>
        <v>#REF!</v>
      </c>
      <c r="L204" s="82" t="str">
        <f t="shared" ca="1" si="199"/>
        <v>#REF!</v>
      </c>
      <c r="M204" s="125"/>
      <c r="N204" s="125"/>
      <c r="O204" s="230">
        <f t="shared" si="2"/>
        <v>0</v>
      </c>
      <c r="P204" s="231">
        <f t="shared" si="3"/>
        <v>0</v>
      </c>
      <c r="Q204" s="232" t="str">
        <f ca="1">ROUNDUP(HLOOKUP(IF(CEILING(L204,0.5)&lt;1,1,CEILING(L204,0.5)),'배송비 조회'!A$32:AY$36,2,0),-2)</f>
        <v>#REF!</v>
      </c>
      <c r="R204" s="232">
        <v>0</v>
      </c>
      <c r="S204" s="231" t="str">
        <f t="shared" ca="1" si="250"/>
        <v>#REF!</v>
      </c>
      <c r="T204" s="231" t="str">
        <f t="shared" ca="1" si="200"/>
        <v>#REF!</v>
      </c>
      <c r="U204" s="233" t="str">
        <f t="shared" ca="1" si="142"/>
        <v>#REF!</v>
      </c>
      <c r="V204" s="233" t="str">
        <f t="shared" ca="1" si="7"/>
        <v>#REF!</v>
      </c>
      <c r="W204" s="234">
        <v>0</v>
      </c>
      <c r="X204" s="234" t="str">
        <f t="shared" ca="1" si="8"/>
        <v>#REF!</v>
      </c>
      <c r="Y204" s="234" t="str">
        <f t="shared" ca="1" si="9"/>
        <v>#REF!</v>
      </c>
      <c r="Z204" s="234" t="str">
        <f t="shared" ca="1" si="10"/>
        <v>#REF!</v>
      </c>
      <c r="AA204" s="234" t="str">
        <f t="shared" ca="1" si="11"/>
        <v>#REF!</v>
      </c>
      <c r="AB204" s="234" t="str">
        <f t="shared" ca="1" si="12"/>
        <v>#REF!</v>
      </c>
      <c r="AC204" s="234" t="str">
        <f t="shared" ca="1" si="13"/>
        <v>#REF!</v>
      </c>
      <c r="AD204" s="101" t="str">
        <f t="shared" ca="1" si="14"/>
        <v>#REF!</v>
      </c>
      <c r="AE204" s="101" t="str">
        <f t="shared" ca="1" si="15"/>
        <v>#REF!</v>
      </c>
      <c r="AF204" s="235" t="str">
        <f t="shared" ref="AF204:AG204" ca="1" si="281">AD204/U204</f>
        <v>#REF!</v>
      </c>
      <c r="AG204" s="235" t="str">
        <f t="shared" ca="1" si="281"/>
        <v>#REF!</v>
      </c>
      <c r="AH204" s="212"/>
      <c r="AI204" s="213"/>
      <c r="AJ204" s="4"/>
      <c r="AK204" s="4"/>
      <c r="AL204" s="4"/>
      <c r="AM204" s="4"/>
      <c r="AN204" s="4"/>
      <c r="AO204" s="4"/>
      <c r="AP204" s="4"/>
      <c r="AQ204" s="4"/>
      <c r="AR204" s="4"/>
      <c r="AS204" s="4"/>
      <c r="AT204" s="4"/>
      <c r="AU204" s="4"/>
    </row>
    <row r="205" spans="1:47" ht="13.2">
      <c r="A205" s="120"/>
      <c r="B205" s="113"/>
      <c r="C205" s="117"/>
      <c r="D205" s="117"/>
      <c r="E205" s="117"/>
      <c r="F205" s="123"/>
      <c r="G205" s="93" t="s">
        <v>145</v>
      </c>
      <c r="H205" s="125"/>
      <c r="I205" s="125"/>
      <c r="J205" s="82" t="str">
        <f t="shared" ca="1" si="147"/>
        <v>#REF!</v>
      </c>
      <c r="K205" s="82" t="str">
        <f t="shared" ca="1" si="256"/>
        <v>#REF!</v>
      </c>
      <c r="L205" s="82" t="str">
        <f t="shared" ca="1" si="199"/>
        <v>#REF!</v>
      </c>
      <c r="M205" s="125"/>
      <c r="N205" s="125"/>
      <c r="O205" s="230">
        <f t="shared" si="2"/>
        <v>0</v>
      </c>
      <c r="P205" s="231">
        <f t="shared" si="3"/>
        <v>0</v>
      </c>
      <c r="Q205" s="232" t="str">
        <f ca="1">ROUNDUP(HLOOKUP(IF(CEILING(L205,0.5)&lt;1,1,CEILING(L205,0.5)),'배송비 조회'!A$32:AY$36,2,0),-2)</f>
        <v>#REF!</v>
      </c>
      <c r="R205" s="232">
        <v>0</v>
      </c>
      <c r="S205" s="231" t="str">
        <f t="shared" ca="1" si="250"/>
        <v>#REF!</v>
      </c>
      <c r="T205" s="231" t="str">
        <f t="shared" ca="1" si="200"/>
        <v>#REF!</v>
      </c>
      <c r="U205" s="233" t="str">
        <f t="shared" ca="1" si="142"/>
        <v>#REF!</v>
      </c>
      <c r="V205" s="233" t="str">
        <f t="shared" ca="1" si="7"/>
        <v>#REF!</v>
      </c>
      <c r="W205" s="234">
        <v>0</v>
      </c>
      <c r="X205" s="234" t="str">
        <f t="shared" ca="1" si="8"/>
        <v>#REF!</v>
      </c>
      <c r="Y205" s="234" t="str">
        <f t="shared" ca="1" si="9"/>
        <v>#REF!</v>
      </c>
      <c r="Z205" s="234" t="str">
        <f t="shared" ca="1" si="10"/>
        <v>#REF!</v>
      </c>
      <c r="AA205" s="234" t="str">
        <f t="shared" ca="1" si="11"/>
        <v>#REF!</v>
      </c>
      <c r="AB205" s="234" t="str">
        <f t="shared" ca="1" si="12"/>
        <v>#REF!</v>
      </c>
      <c r="AC205" s="234" t="str">
        <f t="shared" ca="1" si="13"/>
        <v>#REF!</v>
      </c>
      <c r="AD205" s="101" t="str">
        <f t="shared" ca="1" si="14"/>
        <v>#REF!</v>
      </c>
      <c r="AE205" s="101" t="str">
        <f t="shared" ca="1" si="15"/>
        <v>#REF!</v>
      </c>
      <c r="AF205" s="235" t="str">
        <f t="shared" ref="AF205:AG205" ca="1" si="282">AD205/U205</f>
        <v>#REF!</v>
      </c>
      <c r="AG205" s="235" t="str">
        <f t="shared" ca="1" si="282"/>
        <v>#REF!</v>
      </c>
      <c r="AH205" s="212"/>
      <c r="AI205" s="213"/>
      <c r="AJ205" s="4"/>
      <c r="AK205" s="4"/>
      <c r="AL205" s="4"/>
      <c r="AM205" s="4"/>
      <c r="AN205" s="4"/>
      <c r="AO205" s="4"/>
      <c r="AP205" s="4"/>
      <c r="AQ205" s="4"/>
      <c r="AR205" s="4"/>
      <c r="AS205" s="4"/>
      <c r="AT205" s="4"/>
      <c r="AU205" s="4"/>
    </row>
    <row r="206" spans="1:47" ht="13.2">
      <c r="A206" s="120"/>
      <c r="B206" s="113"/>
      <c r="C206" s="117"/>
      <c r="D206" s="117"/>
      <c r="E206" s="117"/>
      <c r="F206" s="123"/>
      <c r="G206" s="93" t="s">
        <v>145</v>
      </c>
      <c r="H206" s="125"/>
      <c r="I206" s="125"/>
      <c r="J206" s="82" t="str">
        <f t="shared" ca="1" si="147"/>
        <v>#REF!</v>
      </c>
      <c r="K206" s="82" t="str">
        <f t="shared" ca="1" si="256"/>
        <v>#REF!</v>
      </c>
      <c r="L206" s="82" t="str">
        <f t="shared" ca="1" si="199"/>
        <v>#REF!</v>
      </c>
      <c r="M206" s="125"/>
      <c r="N206" s="125"/>
      <c r="O206" s="230">
        <f t="shared" si="2"/>
        <v>0</v>
      </c>
      <c r="P206" s="231">
        <f t="shared" si="3"/>
        <v>0</v>
      </c>
      <c r="Q206" s="232" t="str">
        <f ca="1">ROUNDUP(HLOOKUP(IF(CEILING(L206,0.5)&lt;1,1,CEILING(L206,0.5)),'배송비 조회'!A$32:AY$36,2,0),-2)</f>
        <v>#REF!</v>
      </c>
      <c r="R206" s="232">
        <v>0</v>
      </c>
      <c r="S206" s="231" t="str">
        <f t="shared" ca="1" si="250"/>
        <v>#REF!</v>
      </c>
      <c r="T206" s="231" t="str">
        <f t="shared" ca="1" si="200"/>
        <v>#REF!</v>
      </c>
      <c r="U206" s="233" t="str">
        <f t="shared" ca="1" si="142"/>
        <v>#REF!</v>
      </c>
      <c r="V206" s="233" t="str">
        <f t="shared" ca="1" si="7"/>
        <v>#REF!</v>
      </c>
      <c r="W206" s="234">
        <v>0</v>
      </c>
      <c r="X206" s="234" t="str">
        <f t="shared" ca="1" si="8"/>
        <v>#REF!</v>
      </c>
      <c r="Y206" s="234" t="str">
        <f t="shared" ca="1" si="9"/>
        <v>#REF!</v>
      </c>
      <c r="Z206" s="234" t="str">
        <f t="shared" ca="1" si="10"/>
        <v>#REF!</v>
      </c>
      <c r="AA206" s="234" t="str">
        <f t="shared" ca="1" si="11"/>
        <v>#REF!</v>
      </c>
      <c r="AB206" s="234" t="str">
        <f t="shared" ca="1" si="12"/>
        <v>#REF!</v>
      </c>
      <c r="AC206" s="234" t="str">
        <f t="shared" ca="1" si="13"/>
        <v>#REF!</v>
      </c>
      <c r="AD206" s="101" t="str">
        <f t="shared" ca="1" si="14"/>
        <v>#REF!</v>
      </c>
      <c r="AE206" s="101" t="str">
        <f t="shared" ca="1" si="15"/>
        <v>#REF!</v>
      </c>
      <c r="AF206" s="235" t="str">
        <f t="shared" ref="AF206:AG206" ca="1" si="283">AD206/U206</f>
        <v>#REF!</v>
      </c>
      <c r="AG206" s="235" t="str">
        <f t="shared" ca="1" si="283"/>
        <v>#REF!</v>
      </c>
      <c r="AH206" s="212"/>
      <c r="AI206" s="213"/>
      <c r="AJ206" s="4"/>
      <c r="AK206" s="4"/>
      <c r="AL206" s="4"/>
      <c r="AM206" s="4"/>
      <c r="AN206" s="4"/>
      <c r="AO206" s="4"/>
      <c r="AP206" s="4"/>
      <c r="AQ206" s="4"/>
      <c r="AR206" s="4"/>
      <c r="AS206" s="4"/>
      <c r="AT206" s="4"/>
      <c r="AU206" s="4"/>
    </row>
    <row r="207" spans="1:47" ht="13.2">
      <c r="A207" s="120"/>
      <c r="B207" s="113"/>
      <c r="C207" s="117"/>
      <c r="D207" s="117"/>
      <c r="E207" s="117"/>
      <c r="F207" s="123"/>
      <c r="G207" s="93" t="s">
        <v>145</v>
      </c>
      <c r="H207" s="125"/>
      <c r="I207" s="125"/>
      <c r="J207" s="82" t="str">
        <f t="shared" ca="1" si="147"/>
        <v>#REF!</v>
      </c>
      <c r="K207" s="82" t="str">
        <f t="shared" ca="1" si="256"/>
        <v>#REF!</v>
      </c>
      <c r="L207" s="82" t="str">
        <f t="shared" ca="1" si="199"/>
        <v>#REF!</v>
      </c>
      <c r="M207" s="125"/>
      <c r="N207" s="125"/>
      <c r="O207" s="230">
        <f t="shared" si="2"/>
        <v>0</v>
      </c>
      <c r="P207" s="231">
        <f t="shared" si="3"/>
        <v>0</v>
      </c>
      <c r="Q207" s="232" t="str">
        <f ca="1">ROUNDUP(HLOOKUP(IF(CEILING(L207,0.5)&lt;1,1,CEILING(L207,0.5)),'배송비 조회'!A$32:AY$36,2,0),-2)</f>
        <v>#REF!</v>
      </c>
      <c r="R207" s="232">
        <v>0</v>
      </c>
      <c r="S207" s="231" t="str">
        <f t="shared" ca="1" si="250"/>
        <v>#REF!</v>
      </c>
      <c r="T207" s="231" t="str">
        <f t="shared" ca="1" si="200"/>
        <v>#REF!</v>
      </c>
      <c r="U207" s="233" t="str">
        <f t="shared" ca="1" si="142"/>
        <v>#REF!</v>
      </c>
      <c r="V207" s="233" t="str">
        <f t="shared" ca="1" si="7"/>
        <v>#REF!</v>
      </c>
      <c r="W207" s="234">
        <v>0</v>
      </c>
      <c r="X207" s="234" t="str">
        <f t="shared" ca="1" si="8"/>
        <v>#REF!</v>
      </c>
      <c r="Y207" s="234" t="str">
        <f t="shared" ca="1" si="9"/>
        <v>#REF!</v>
      </c>
      <c r="Z207" s="234" t="str">
        <f t="shared" ca="1" si="10"/>
        <v>#REF!</v>
      </c>
      <c r="AA207" s="234" t="str">
        <f t="shared" ca="1" si="11"/>
        <v>#REF!</v>
      </c>
      <c r="AB207" s="234" t="str">
        <f t="shared" ca="1" si="12"/>
        <v>#REF!</v>
      </c>
      <c r="AC207" s="234" t="str">
        <f t="shared" ca="1" si="13"/>
        <v>#REF!</v>
      </c>
      <c r="AD207" s="101" t="str">
        <f t="shared" ca="1" si="14"/>
        <v>#REF!</v>
      </c>
      <c r="AE207" s="101" t="str">
        <f t="shared" ca="1" si="15"/>
        <v>#REF!</v>
      </c>
      <c r="AF207" s="235" t="str">
        <f t="shared" ref="AF207:AG207" ca="1" si="284">AD207/U207</f>
        <v>#REF!</v>
      </c>
      <c r="AG207" s="235" t="str">
        <f t="shared" ca="1" si="284"/>
        <v>#REF!</v>
      </c>
      <c r="AH207" s="212"/>
      <c r="AI207" s="213"/>
      <c r="AJ207" s="4"/>
      <c r="AK207" s="4"/>
      <c r="AL207" s="4"/>
      <c r="AM207" s="4"/>
      <c r="AN207" s="4"/>
      <c r="AO207" s="4"/>
      <c r="AP207" s="4"/>
      <c r="AQ207" s="4"/>
      <c r="AR207" s="4"/>
      <c r="AS207" s="4"/>
      <c r="AT207" s="4"/>
      <c r="AU207" s="4"/>
    </row>
    <row r="208" spans="1:47" ht="13.2">
      <c r="A208" s="120"/>
      <c r="B208" s="113"/>
      <c r="C208" s="117"/>
      <c r="D208" s="117"/>
      <c r="E208" s="117"/>
      <c r="F208" s="123"/>
      <c r="G208" s="93" t="s">
        <v>145</v>
      </c>
      <c r="H208" s="125"/>
      <c r="I208" s="125"/>
      <c r="J208" s="82" t="str">
        <f t="shared" ca="1" si="147"/>
        <v>#REF!</v>
      </c>
      <c r="K208" s="82" t="str">
        <f t="shared" ca="1" si="256"/>
        <v>#REF!</v>
      </c>
      <c r="L208" s="82" t="str">
        <f t="shared" ca="1" si="199"/>
        <v>#REF!</v>
      </c>
      <c r="M208" s="125"/>
      <c r="N208" s="125"/>
      <c r="O208" s="230">
        <f t="shared" si="2"/>
        <v>0</v>
      </c>
      <c r="P208" s="231">
        <f t="shared" si="3"/>
        <v>0</v>
      </c>
      <c r="Q208" s="232" t="str">
        <f ca="1">ROUNDUP(HLOOKUP(IF(CEILING(L208,0.5)&lt;1,1,CEILING(L208,0.5)),'배송비 조회'!A$32:AY$36,2,0),-2)</f>
        <v>#REF!</v>
      </c>
      <c r="R208" s="232">
        <v>0</v>
      </c>
      <c r="S208" s="231" t="str">
        <f t="shared" ca="1" si="250"/>
        <v>#REF!</v>
      </c>
      <c r="T208" s="231" t="str">
        <f t="shared" ca="1" si="200"/>
        <v>#REF!</v>
      </c>
      <c r="U208" s="233" t="str">
        <f t="shared" ca="1" si="142"/>
        <v>#REF!</v>
      </c>
      <c r="V208" s="233" t="str">
        <f t="shared" ca="1" si="7"/>
        <v>#REF!</v>
      </c>
      <c r="W208" s="234">
        <v>0</v>
      </c>
      <c r="X208" s="234" t="str">
        <f t="shared" ca="1" si="8"/>
        <v>#REF!</v>
      </c>
      <c r="Y208" s="234" t="str">
        <f t="shared" ca="1" si="9"/>
        <v>#REF!</v>
      </c>
      <c r="Z208" s="234" t="str">
        <f t="shared" ca="1" si="10"/>
        <v>#REF!</v>
      </c>
      <c r="AA208" s="234" t="str">
        <f t="shared" ca="1" si="11"/>
        <v>#REF!</v>
      </c>
      <c r="AB208" s="234" t="str">
        <f t="shared" ca="1" si="12"/>
        <v>#REF!</v>
      </c>
      <c r="AC208" s="234" t="str">
        <f t="shared" ca="1" si="13"/>
        <v>#REF!</v>
      </c>
      <c r="AD208" s="101" t="str">
        <f t="shared" ca="1" si="14"/>
        <v>#REF!</v>
      </c>
      <c r="AE208" s="101" t="str">
        <f t="shared" ca="1" si="15"/>
        <v>#REF!</v>
      </c>
      <c r="AF208" s="235" t="str">
        <f t="shared" ref="AF208:AG208" ca="1" si="285">AD208/U208</f>
        <v>#REF!</v>
      </c>
      <c r="AG208" s="235" t="str">
        <f t="shared" ca="1" si="285"/>
        <v>#REF!</v>
      </c>
      <c r="AH208" s="212"/>
      <c r="AI208" s="213"/>
      <c r="AJ208" s="4"/>
      <c r="AK208" s="4"/>
      <c r="AL208" s="4"/>
      <c r="AM208" s="4"/>
      <c r="AN208" s="4"/>
      <c r="AO208" s="4"/>
      <c r="AP208" s="4"/>
      <c r="AQ208" s="4"/>
      <c r="AR208" s="4"/>
      <c r="AS208" s="4"/>
      <c r="AT208" s="4"/>
      <c r="AU208" s="4"/>
    </row>
    <row r="209" spans="1:47" ht="13.2">
      <c r="A209" s="120"/>
      <c r="B209" s="113"/>
      <c r="C209" s="117"/>
      <c r="D209" s="117"/>
      <c r="E209" s="117"/>
      <c r="F209" s="123"/>
      <c r="G209" s="93" t="s">
        <v>145</v>
      </c>
      <c r="H209" s="125"/>
      <c r="I209" s="125"/>
      <c r="J209" s="82" t="str">
        <f t="shared" ca="1" si="147"/>
        <v>#REF!</v>
      </c>
      <c r="K209" s="82" t="str">
        <f t="shared" ca="1" si="256"/>
        <v>#REF!</v>
      </c>
      <c r="L209" s="82" t="str">
        <f t="shared" ca="1" si="199"/>
        <v>#REF!</v>
      </c>
      <c r="M209" s="125"/>
      <c r="N209" s="125"/>
      <c r="O209" s="230">
        <f t="shared" si="2"/>
        <v>0</v>
      </c>
      <c r="P209" s="231">
        <f t="shared" si="3"/>
        <v>0</v>
      </c>
      <c r="Q209" s="232" t="str">
        <f ca="1">ROUNDUP(HLOOKUP(IF(CEILING(L209,0.5)&lt;1,1,CEILING(L209,0.5)),'배송비 조회'!A$32:AY$36,2,0),-2)</f>
        <v>#REF!</v>
      </c>
      <c r="R209" s="232">
        <v>0</v>
      </c>
      <c r="S209" s="231" t="str">
        <f t="shared" ca="1" si="250"/>
        <v>#REF!</v>
      </c>
      <c r="T209" s="231" t="str">
        <f t="shared" ca="1" si="200"/>
        <v>#REF!</v>
      </c>
      <c r="U209" s="233" t="str">
        <f t="shared" ca="1" si="142"/>
        <v>#REF!</v>
      </c>
      <c r="V209" s="233" t="str">
        <f t="shared" ca="1" si="7"/>
        <v>#REF!</v>
      </c>
      <c r="W209" s="234">
        <v>0</v>
      </c>
      <c r="X209" s="234" t="str">
        <f t="shared" ca="1" si="8"/>
        <v>#REF!</v>
      </c>
      <c r="Y209" s="234" t="str">
        <f t="shared" ca="1" si="9"/>
        <v>#REF!</v>
      </c>
      <c r="Z209" s="234" t="str">
        <f t="shared" ca="1" si="10"/>
        <v>#REF!</v>
      </c>
      <c r="AA209" s="234" t="str">
        <f t="shared" ca="1" si="11"/>
        <v>#REF!</v>
      </c>
      <c r="AB209" s="234" t="str">
        <f t="shared" ca="1" si="12"/>
        <v>#REF!</v>
      </c>
      <c r="AC209" s="234" t="str">
        <f t="shared" ca="1" si="13"/>
        <v>#REF!</v>
      </c>
      <c r="AD209" s="101" t="str">
        <f t="shared" ca="1" si="14"/>
        <v>#REF!</v>
      </c>
      <c r="AE209" s="101" t="str">
        <f t="shared" ca="1" si="15"/>
        <v>#REF!</v>
      </c>
      <c r="AF209" s="235" t="str">
        <f t="shared" ref="AF209:AG209" ca="1" si="286">AD209/U209</f>
        <v>#REF!</v>
      </c>
      <c r="AG209" s="235" t="str">
        <f t="shared" ca="1" si="286"/>
        <v>#REF!</v>
      </c>
      <c r="AH209" s="212"/>
      <c r="AI209" s="213"/>
      <c r="AJ209" s="4"/>
      <c r="AK209" s="4"/>
      <c r="AL209" s="4"/>
      <c r="AM209" s="4"/>
      <c r="AN209" s="4"/>
      <c r="AO209" s="4"/>
      <c r="AP209" s="4"/>
      <c r="AQ209" s="4"/>
      <c r="AR209" s="4"/>
      <c r="AS209" s="4"/>
      <c r="AT209" s="4"/>
      <c r="AU209" s="4"/>
    </row>
    <row r="210" spans="1:47" ht="13.2">
      <c r="A210" s="120"/>
      <c r="B210" s="113"/>
      <c r="C210" s="117"/>
      <c r="D210" s="117"/>
      <c r="E210" s="117"/>
      <c r="F210" s="123"/>
      <c r="G210" s="93" t="s">
        <v>145</v>
      </c>
      <c r="H210" s="125"/>
      <c r="I210" s="125"/>
      <c r="J210" s="82" t="str">
        <f t="shared" ca="1" si="147"/>
        <v>#REF!</v>
      </c>
      <c r="K210" s="82" t="str">
        <f t="shared" ca="1" si="256"/>
        <v>#REF!</v>
      </c>
      <c r="L210" s="82" t="str">
        <f t="shared" ca="1" si="199"/>
        <v>#REF!</v>
      </c>
      <c r="M210" s="125"/>
      <c r="N210" s="125"/>
      <c r="O210" s="230">
        <f t="shared" si="2"/>
        <v>0</v>
      </c>
      <c r="P210" s="231">
        <f t="shared" si="3"/>
        <v>0</v>
      </c>
      <c r="Q210" s="232" t="str">
        <f ca="1">ROUNDUP(HLOOKUP(IF(CEILING(L210,0.5)&lt;1,1,CEILING(L210,0.5)),'배송비 조회'!A$32:AY$36,2,0),-2)</f>
        <v>#REF!</v>
      </c>
      <c r="R210" s="232">
        <v>0</v>
      </c>
      <c r="S210" s="231" t="str">
        <f t="shared" ca="1" si="250"/>
        <v>#REF!</v>
      </c>
      <c r="T210" s="231" t="str">
        <f t="shared" ca="1" si="200"/>
        <v>#REF!</v>
      </c>
      <c r="U210" s="233" t="str">
        <f t="shared" ca="1" si="142"/>
        <v>#REF!</v>
      </c>
      <c r="V210" s="233" t="str">
        <f t="shared" ca="1" si="7"/>
        <v>#REF!</v>
      </c>
      <c r="W210" s="234">
        <v>0</v>
      </c>
      <c r="X210" s="234" t="str">
        <f t="shared" ca="1" si="8"/>
        <v>#REF!</v>
      </c>
      <c r="Y210" s="234" t="str">
        <f t="shared" ca="1" si="9"/>
        <v>#REF!</v>
      </c>
      <c r="Z210" s="234" t="str">
        <f t="shared" ca="1" si="10"/>
        <v>#REF!</v>
      </c>
      <c r="AA210" s="234" t="str">
        <f t="shared" ca="1" si="11"/>
        <v>#REF!</v>
      </c>
      <c r="AB210" s="234" t="str">
        <f t="shared" ca="1" si="12"/>
        <v>#REF!</v>
      </c>
      <c r="AC210" s="234" t="str">
        <f t="shared" ca="1" si="13"/>
        <v>#REF!</v>
      </c>
      <c r="AD210" s="101" t="str">
        <f t="shared" ca="1" si="14"/>
        <v>#REF!</v>
      </c>
      <c r="AE210" s="101" t="str">
        <f t="shared" ca="1" si="15"/>
        <v>#REF!</v>
      </c>
      <c r="AF210" s="235" t="str">
        <f t="shared" ref="AF210:AG210" ca="1" si="287">AD210/U210</f>
        <v>#REF!</v>
      </c>
      <c r="AG210" s="235" t="str">
        <f t="shared" ca="1" si="287"/>
        <v>#REF!</v>
      </c>
      <c r="AH210" s="212"/>
      <c r="AI210" s="213"/>
      <c r="AJ210" s="4"/>
      <c r="AK210" s="4"/>
      <c r="AL210" s="4"/>
      <c r="AM210" s="4"/>
      <c r="AN210" s="4"/>
      <c r="AO210" s="4"/>
      <c r="AP210" s="4"/>
      <c r="AQ210" s="4"/>
      <c r="AR210" s="4"/>
      <c r="AS210" s="4"/>
      <c r="AT210" s="4"/>
      <c r="AU210" s="4"/>
    </row>
    <row r="211" spans="1:47" ht="13.2">
      <c r="A211" s="120"/>
      <c r="B211" s="113"/>
      <c r="C211" s="117"/>
      <c r="D211" s="117"/>
      <c r="E211" s="117"/>
      <c r="F211" s="123"/>
      <c r="G211" s="93" t="s">
        <v>145</v>
      </c>
      <c r="H211" s="125"/>
      <c r="I211" s="125"/>
      <c r="J211" s="82" t="str">
        <f t="shared" ca="1" si="147"/>
        <v>#REF!</v>
      </c>
      <c r="K211" s="82" t="str">
        <f t="shared" ca="1" si="256"/>
        <v>#REF!</v>
      </c>
      <c r="L211" s="82" t="str">
        <f t="shared" ca="1" si="199"/>
        <v>#REF!</v>
      </c>
      <c r="M211" s="125"/>
      <c r="N211" s="125"/>
      <c r="O211" s="230">
        <f t="shared" si="2"/>
        <v>0</v>
      </c>
      <c r="P211" s="231">
        <f t="shared" si="3"/>
        <v>0</v>
      </c>
      <c r="Q211" s="232" t="str">
        <f ca="1">ROUNDUP(HLOOKUP(IF(CEILING(L211,0.5)&lt;1,1,CEILING(L211,0.5)),'배송비 조회'!A$32:AY$36,2,0),-2)</f>
        <v>#REF!</v>
      </c>
      <c r="R211" s="232">
        <v>0</v>
      </c>
      <c r="S211" s="231" t="str">
        <f t="shared" ca="1" si="250"/>
        <v>#REF!</v>
      </c>
      <c r="T211" s="231" t="str">
        <f t="shared" ca="1" si="200"/>
        <v>#REF!</v>
      </c>
      <c r="U211" s="233" t="str">
        <f t="shared" ca="1" si="142"/>
        <v>#REF!</v>
      </c>
      <c r="V211" s="233" t="str">
        <f t="shared" ca="1" si="7"/>
        <v>#REF!</v>
      </c>
      <c r="W211" s="234">
        <v>0</v>
      </c>
      <c r="X211" s="234" t="str">
        <f t="shared" ca="1" si="8"/>
        <v>#REF!</v>
      </c>
      <c r="Y211" s="234" t="str">
        <f t="shared" ca="1" si="9"/>
        <v>#REF!</v>
      </c>
      <c r="Z211" s="234" t="str">
        <f t="shared" ca="1" si="10"/>
        <v>#REF!</v>
      </c>
      <c r="AA211" s="234" t="str">
        <f t="shared" ca="1" si="11"/>
        <v>#REF!</v>
      </c>
      <c r="AB211" s="234" t="str">
        <f t="shared" ca="1" si="12"/>
        <v>#REF!</v>
      </c>
      <c r="AC211" s="234" t="str">
        <f t="shared" ca="1" si="13"/>
        <v>#REF!</v>
      </c>
      <c r="AD211" s="101" t="str">
        <f t="shared" ca="1" si="14"/>
        <v>#REF!</v>
      </c>
      <c r="AE211" s="101" t="str">
        <f t="shared" ca="1" si="15"/>
        <v>#REF!</v>
      </c>
      <c r="AF211" s="235" t="str">
        <f t="shared" ref="AF211:AG211" ca="1" si="288">AD211/U211</f>
        <v>#REF!</v>
      </c>
      <c r="AG211" s="235" t="str">
        <f t="shared" ca="1" si="288"/>
        <v>#REF!</v>
      </c>
      <c r="AH211" s="212"/>
      <c r="AI211" s="213"/>
      <c r="AJ211" s="4"/>
      <c r="AK211" s="4"/>
      <c r="AL211" s="4"/>
      <c r="AM211" s="4"/>
      <c r="AN211" s="4"/>
      <c r="AO211" s="4"/>
      <c r="AP211" s="4"/>
      <c r="AQ211" s="4"/>
      <c r="AR211" s="4"/>
      <c r="AS211" s="4"/>
      <c r="AT211" s="4"/>
      <c r="AU211" s="4"/>
    </row>
    <row r="212" spans="1:47" ht="13.2">
      <c r="A212" s="120"/>
      <c r="B212" s="113"/>
      <c r="C212" s="117"/>
      <c r="D212" s="117"/>
      <c r="E212" s="117"/>
      <c r="F212" s="123"/>
      <c r="G212" s="93" t="s">
        <v>145</v>
      </c>
      <c r="H212" s="125"/>
      <c r="I212" s="125"/>
      <c r="J212" s="82" t="str">
        <f t="shared" ca="1" si="147"/>
        <v>#REF!</v>
      </c>
      <c r="K212" s="82" t="str">
        <f t="shared" ca="1" si="256"/>
        <v>#REF!</v>
      </c>
      <c r="L212" s="82" t="str">
        <f t="shared" ca="1" si="199"/>
        <v>#REF!</v>
      </c>
      <c r="M212" s="125"/>
      <c r="N212" s="125"/>
      <c r="O212" s="230">
        <f t="shared" si="2"/>
        <v>0</v>
      </c>
      <c r="P212" s="231">
        <f t="shared" si="3"/>
        <v>0</v>
      </c>
      <c r="Q212" s="232" t="str">
        <f ca="1">ROUNDUP(HLOOKUP(IF(CEILING(L212,0.5)&lt;1,1,CEILING(L212,0.5)),'배송비 조회'!A$32:AY$36,2,0),-2)</f>
        <v>#REF!</v>
      </c>
      <c r="R212" s="232">
        <v>0</v>
      </c>
      <c r="S212" s="231" t="str">
        <f t="shared" ca="1" si="250"/>
        <v>#REF!</v>
      </c>
      <c r="T212" s="231" t="str">
        <f t="shared" ca="1" si="200"/>
        <v>#REF!</v>
      </c>
      <c r="U212" s="233" t="str">
        <f t="shared" ca="1" si="142"/>
        <v>#REF!</v>
      </c>
      <c r="V212" s="233" t="str">
        <f t="shared" ca="1" si="7"/>
        <v>#REF!</v>
      </c>
      <c r="W212" s="234">
        <v>0</v>
      </c>
      <c r="X212" s="234" t="str">
        <f t="shared" ca="1" si="8"/>
        <v>#REF!</v>
      </c>
      <c r="Y212" s="234" t="str">
        <f t="shared" ca="1" si="9"/>
        <v>#REF!</v>
      </c>
      <c r="Z212" s="234" t="str">
        <f t="shared" ca="1" si="10"/>
        <v>#REF!</v>
      </c>
      <c r="AA212" s="234" t="str">
        <f t="shared" ca="1" si="11"/>
        <v>#REF!</v>
      </c>
      <c r="AB212" s="234" t="str">
        <f t="shared" ca="1" si="12"/>
        <v>#REF!</v>
      </c>
      <c r="AC212" s="234" t="str">
        <f t="shared" ca="1" si="13"/>
        <v>#REF!</v>
      </c>
      <c r="AD212" s="101" t="str">
        <f t="shared" ca="1" si="14"/>
        <v>#REF!</v>
      </c>
      <c r="AE212" s="101" t="str">
        <f t="shared" ca="1" si="15"/>
        <v>#REF!</v>
      </c>
      <c r="AF212" s="235" t="str">
        <f t="shared" ref="AF212:AG212" ca="1" si="289">AD212/U212</f>
        <v>#REF!</v>
      </c>
      <c r="AG212" s="235" t="str">
        <f t="shared" ca="1" si="289"/>
        <v>#REF!</v>
      </c>
      <c r="AH212" s="212"/>
      <c r="AI212" s="213"/>
      <c r="AJ212" s="4"/>
      <c r="AK212" s="4"/>
      <c r="AL212" s="4"/>
      <c r="AM212" s="4"/>
      <c r="AN212" s="4"/>
      <c r="AO212" s="4"/>
      <c r="AP212" s="4"/>
      <c r="AQ212" s="4"/>
      <c r="AR212" s="4"/>
      <c r="AS212" s="4"/>
      <c r="AT212" s="4"/>
      <c r="AU212" s="4"/>
    </row>
    <row r="213" spans="1:47" ht="13.2">
      <c r="A213" s="120"/>
      <c r="B213" s="113"/>
      <c r="C213" s="117"/>
      <c r="D213" s="117"/>
      <c r="E213" s="117"/>
      <c r="F213" s="123"/>
      <c r="G213" s="93" t="s">
        <v>145</v>
      </c>
      <c r="H213" s="125"/>
      <c r="I213" s="125"/>
      <c r="J213" s="82" t="str">
        <f t="shared" ca="1" si="147"/>
        <v>#REF!</v>
      </c>
      <c r="K213" s="82" t="str">
        <f t="shared" ca="1" si="256"/>
        <v>#REF!</v>
      </c>
      <c r="L213" s="82" t="str">
        <f t="shared" ca="1" si="199"/>
        <v>#REF!</v>
      </c>
      <c r="M213" s="125"/>
      <c r="N213" s="125"/>
      <c r="O213" s="230">
        <f t="shared" si="2"/>
        <v>0</v>
      </c>
      <c r="P213" s="231">
        <f t="shared" si="3"/>
        <v>0</v>
      </c>
      <c r="Q213" s="232" t="str">
        <f ca="1">ROUNDUP(HLOOKUP(IF(CEILING(L213,0.5)&lt;1,1,CEILING(L213,0.5)),'배송비 조회'!A$32:AY$36,2,0),-2)</f>
        <v>#REF!</v>
      </c>
      <c r="R213" s="232">
        <v>0</v>
      </c>
      <c r="S213" s="231" t="str">
        <f t="shared" ca="1" si="250"/>
        <v>#REF!</v>
      </c>
      <c r="T213" s="231" t="str">
        <f t="shared" ca="1" si="200"/>
        <v>#REF!</v>
      </c>
      <c r="U213" s="233" t="str">
        <f t="shared" ca="1" si="142"/>
        <v>#REF!</v>
      </c>
      <c r="V213" s="233" t="str">
        <f t="shared" ca="1" si="7"/>
        <v>#REF!</v>
      </c>
      <c r="W213" s="234">
        <v>0</v>
      </c>
      <c r="X213" s="234" t="str">
        <f t="shared" ca="1" si="8"/>
        <v>#REF!</v>
      </c>
      <c r="Y213" s="234" t="str">
        <f t="shared" ca="1" si="9"/>
        <v>#REF!</v>
      </c>
      <c r="Z213" s="234" t="str">
        <f t="shared" ca="1" si="10"/>
        <v>#REF!</v>
      </c>
      <c r="AA213" s="234" t="str">
        <f t="shared" ca="1" si="11"/>
        <v>#REF!</v>
      </c>
      <c r="AB213" s="234" t="str">
        <f t="shared" ca="1" si="12"/>
        <v>#REF!</v>
      </c>
      <c r="AC213" s="234" t="str">
        <f t="shared" ca="1" si="13"/>
        <v>#REF!</v>
      </c>
      <c r="AD213" s="101" t="str">
        <f t="shared" ca="1" si="14"/>
        <v>#REF!</v>
      </c>
      <c r="AE213" s="101" t="str">
        <f t="shared" ca="1" si="15"/>
        <v>#REF!</v>
      </c>
      <c r="AF213" s="235" t="str">
        <f t="shared" ref="AF213:AG213" ca="1" si="290">AD213/U213</f>
        <v>#REF!</v>
      </c>
      <c r="AG213" s="235" t="str">
        <f t="shared" ca="1" si="290"/>
        <v>#REF!</v>
      </c>
      <c r="AH213" s="212"/>
      <c r="AI213" s="213"/>
      <c r="AJ213" s="4"/>
      <c r="AK213" s="4"/>
      <c r="AL213" s="4"/>
      <c r="AM213" s="4"/>
      <c r="AN213" s="4"/>
      <c r="AO213" s="4"/>
      <c r="AP213" s="4"/>
      <c r="AQ213" s="4"/>
      <c r="AR213" s="4"/>
      <c r="AS213" s="4"/>
      <c r="AT213" s="4"/>
      <c r="AU213" s="4"/>
    </row>
    <row r="214" spans="1:47" ht="13.2">
      <c r="A214" s="120"/>
      <c r="B214" s="113"/>
      <c r="C214" s="117"/>
      <c r="D214" s="117"/>
      <c r="E214" s="117"/>
      <c r="F214" s="123"/>
      <c r="G214" s="93" t="s">
        <v>145</v>
      </c>
      <c r="H214" s="125"/>
      <c r="I214" s="125"/>
      <c r="J214" s="82" t="str">
        <f t="shared" ca="1" si="147"/>
        <v>#REF!</v>
      </c>
      <c r="K214" s="82" t="str">
        <f t="shared" ca="1" si="256"/>
        <v>#REF!</v>
      </c>
      <c r="L214" s="82" t="str">
        <f t="shared" ca="1" si="199"/>
        <v>#REF!</v>
      </c>
      <c r="M214" s="125"/>
      <c r="N214" s="125"/>
      <c r="O214" s="230">
        <f t="shared" si="2"/>
        <v>0</v>
      </c>
      <c r="P214" s="231">
        <f t="shared" si="3"/>
        <v>0</v>
      </c>
      <c r="Q214" s="232" t="str">
        <f ca="1">ROUNDUP(HLOOKUP(IF(CEILING(L214,0.5)&lt;1,1,CEILING(L214,0.5)),'배송비 조회'!A$32:AY$36,2,0),-2)</f>
        <v>#REF!</v>
      </c>
      <c r="R214" s="232">
        <v>0</v>
      </c>
      <c r="S214" s="231" t="str">
        <f t="shared" ca="1" si="250"/>
        <v>#REF!</v>
      </c>
      <c r="T214" s="231" t="str">
        <f t="shared" ca="1" si="200"/>
        <v>#REF!</v>
      </c>
      <c r="U214" s="233" t="str">
        <f t="shared" ca="1" si="142"/>
        <v>#REF!</v>
      </c>
      <c r="V214" s="233" t="str">
        <f t="shared" ca="1" si="7"/>
        <v>#REF!</v>
      </c>
      <c r="W214" s="234">
        <v>0</v>
      </c>
      <c r="X214" s="234" t="str">
        <f t="shared" ca="1" si="8"/>
        <v>#REF!</v>
      </c>
      <c r="Y214" s="234" t="str">
        <f t="shared" ca="1" si="9"/>
        <v>#REF!</v>
      </c>
      <c r="Z214" s="234" t="str">
        <f t="shared" ca="1" si="10"/>
        <v>#REF!</v>
      </c>
      <c r="AA214" s="234" t="str">
        <f t="shared" ca="1" si="11"/>
        <v>#REF!</v>
      </c>
      <c r="AB214" s="234" t="str">
        <f t="shared" ca="1" si="12"/>
        <v>#REF!</v>
      </c>
      <c r="AC214" s="234" t="str">
        <f t="shared" ca="1" si="13"/>
        <v>#REF!</v>
      </c>
      <c r="AD214" s="101" t="str">
        <f t="shared" ca="1" si="14"/>
        <v>#REF!</v>
      </c>
      <c r="AE214" s="101" t="str">
        <f t="shared" ca="1" si="15"/>
        <v>#REF!</v>
      </c>
      <c r="AF214" s="235" t="str">
        <f t="shared" ref="AF214:AG214" ca="1" si="291">AD214/U214</f>
        <v>#REF!</v>
      </c>
      <c r="AG214" s="235" t="str">
        <f t="shared" ca="1" si="291"/>
        <v>#REF!</v>
      </c>
      <c r="AH214" s="212"/>
      <c r="AI214" s="213"/>
      <c r="AJ214" s="4"/>
      <c r="AK214" s="4"/>
      <c r="AL214" s="4"/>
      <c r="AM214" s="4"/>
      <c r="AN214" s="4"/>
      <c r="AO214" s="4"/>
      <c r="AP214" s="4"/>
      <c r="AQ214" s="4"/>
      <c r="AR214" s="4"/>
      <c r="AS214" s="4"/>
      <c r="AT214" s="4"/>
      <c r="AU214" s="4"/>
    </row>
    <row r="215" spans="1:47" ht="13.2">
      <c r="A215" s="120"/>
      <c r="B215" s="113"/>
      <c r="C215" s="117"/>
      <c r="D215" s="117"/>
      <c r="E215" s="117"/>
      <c r="F215" s="123"/>
      <c r="G215" s="93" t="s">
        <v>145</v>
      </c>
      <c r="H215" s="125"/>
      <c r="I215" s="125"/>
      <c r="J215" s="82" t="str">
        <f t="shared" ca="1" si="147"/>
        <v>#REF!</v>
      </c>
      <c r="K215" s="82" t="str">
        <f t="shared" ca="1" si="256"/>
        <v>#REF!</v>
      </c>
      <c r="L215" s="82" t="str">
        <f t="shared" ca="1" si="199"/>
        <v>#REF!</v>
      </c>
      <c r="M215" s="125"/>
      <c r="N215" s="125"/>
      <c r="O215" s="230">
        <f t="shared" si="2"/>
        <v>0</v>
      </c>
      <c r="P215" s="231">
        <f t="shared" si="3"/>
        <v>0</v>
      </c>
      <c r="Q215" s="232" t="str">
        <f ca="1">ROUNDUP(HLOOKUP(IF(CEILING(L215,0.5)&lt;1,1,CEILING(L215,0.5)),'배송비 조회'!A$32:AY$36,2,0),-2)</f>
        <v>#REF!</v>
      </c>
      <c r="R215" s="232">
        <v>0</v>
      </c>
      <c r="S215" s="231" t="str">
        <f t="shared" ca="1" si="250"/>
        <v>#REF!</v>
      </c>
      <c r="T215" s="231" t="str">
        <f t="shared" ca="1" si="200"/>
        <v>#REF!</v>
      </c>
      <c r="U215" s="233" t="str">
        <f t="shared" ca="1" si="142"/>
        <v>#REF!</v>
      </c>
      <c r="V215" s="233" t="str">
        <f t="shared" ca="1" si="7"/>
        <v>#REF!</v>
      </c>
      <c r="W215" s="234">
        <v>0</v>
      </c>
      <c r="X215" s="234" t="str">
        <f t="shared" ca="1" si="8"/>
        <v>#REF!</v>
      </c>
      <c r="Y215" s="234" t="str">
        <f t="shared" ca="1" si="9"/>
        <v>#REF!</v>
      </c>
      <c r="Z215" s="234" t="str">
        <f t="shared" ca="1" si="10"/>
        <v>#REF!</v>
      </c>
      <c r="AA215" s="234" t="str">
        <f t="shared" ca="1" si="11"/>
        <v>#REF!</v>
      </c>
      <c r="AB215" s="234" t="str">
        <f t="shared" ca="1" si="12"/>
        <v>#REF!</v>
      </c>
      <c r="AC215" s="234" t="str">
        <f t="shared" ca="1" si="13"/>
        <v>#REF!</v>
      </c>
      <c r="AD215" s="101" t="str">
        <f t="shared" ca="1" si="14"/>
        <v>#REF!</v>
      </c>
      <c r="AE215" s="101" t="str">
        <f t="shared" ca="1" si="15"/>
        <v>#REF!</v>
      </c>
      <c r="AF215" s="235" t="str">
        <f t="shared" ref="AF215:AG215" ca="1" si="292">AD215/U215</f>
        <v>#REF!</v>
      </c>
      <c r="AG215" s="235" t="str">
        <f t="shared" ca="1" si="292"/>
        <v>#REF!</v>
      </c>
      <c r="AH215" s="212"/>
      <c r="AI215" s="213"/>
      <c r="AJ215" s="4"/>
      <c r="AK215" s="4"/>
      <c r="AL215" s="4"/>
      <c r="AM215" s="4"/>
      <c r="AN215" s="4"/>
      <c r="AO215" s="4"/>
      <c r="AP215" s="4"/>
      <c r="AQ215" s="4"/>
      <c r="AR215" s="4"/>
      <c r="AS215" s="4"/>
      <c r="AT215" s="4"/>
      <c r="AU215" s="4"/>
    </row>
    <row r="216" spans="1:47" ht="13.2">
      <c r="A216" s="120"/>
      <c r="B216" s="113"/>
      <c r="C216" s="117"/>
      <c r="D216" s="117"/>
      <c r="E216" s="117"/>
      <c r="F216" s="123"/>
      <c r="G216" s="93" t="s">
        <v>145</v>
      </c>
      <c r="H216" s="125"/>
      <c r="I216" s="125"/>
      <c r="J216" s="82" t="str">
        <f t="shared" ca="1" si="147"/>
        <v>#REF!</v>
      </c>
      <c r="K216" s="82" t="str">
        <f t="shared" ca="1" si="256"/>
        <v>#REF!</v>
      </c>
      <c r="L216" s="82" t="str">
        <f t="shared" ca="1" si="199"/>
        <v>#REF!</v>
      </c>
      <c r="M216" s="125"/>
      <c r="N216" s="125"/>
      <c r="O216" s="230">
        <f t="shared" si="2"/>
        <v>0</v>
      </c>
      <c r="P216" s="231">
        <f t="shared" si="3"/>
        <v>0</v>
      </c>
      <c r="Q216" s="232" t="str">
        <f ca="1">ROUNDUP(HLOOKUP(IF(CEILING(L216,0.5)&lt;1,1,CEILING(L216,0.5)),'배송비 조회'!A$32:AY$36,2,0),-2)</f>
        <v>#REF!</v>
      </c>
      <c r="R216" s="232">
        <v>0</v>
      </c>
      <c r="S216" s="231" t="str">
        <f t="shared" ca="1" si="250"/>
        <v>#REF!</v>
      </c>
      <c r="T216" s="231" t="str">
        <f t="shared" ca="1" si="200"/>
        <v>#REF!</v>
      </c>
      <c r="U216" s="233" t="str">
        <f t="shared" ca="1" si="142"/>
        <v>#REF!</v>
      </c>
      <c r="V216" s="233" t="str">
        <f t="shared" ca="1" si="7"/>
        <v>#REF!</v>
      </c>
      <c r="W216" s="234">
        <v>0</v>
      </c>
      <c r="X216" s="234" t="str">
        <f t="shared" ca="1" si="8"/>
        <v>#REF!</v>
      </c>
      <c r="Y216" s="234" t="str">
        <f t="shared" ca="1" si="9"/>
        <v>#REF!</v>
      </c>
      <c r="Z216" s="234" t="str">
        <f t="shared" ca="1" si="10"/>
        <v>#REF!</v>
      </c>
      <c r="AA216" s="234" t="str">
        <f t="shared" ca="1" si="11"/>
        <v>#REF!</v>
      </c>
      <c r="AB216" s="234" t="str">
        <f t="shared" ca="1" si="12"/>
        <v>#REF!</v>
      </c>
      <c r="AC216" s="234" t="str">
        <f t="shared" ca="1" si="13"/>
        <v>#REF!</v>
      </c>
      <c r="AD216" s="101" t="str">
        <f t="shared" ca="1" si="14"/>
        <v>#REF!</v>
      </c>
      <c r="AE216" s="101" t="str">
        <f t="shared" ca="1" si="15"/>
        <v>#REF!</v>
      </c>
      <c r="AF216" s="235" t="str">
        <f t="shared" ref="AF216:AG216" ca="1" si="293">AD216/U216</f>
        <v>#REF!</v>
      </c>
      <c r="AG216" s="235" t="str">
        <f t="shared" ca="1" si="293"/>
        <v>#REF!</v>
      </c>
      <c r="AH216" s="212"/>
      <c r="AI216" s="213"/>
      <c r="AJ216" s="4"/>
      <c r="AK216" s="4"/>
      <c r="AL216" s="4"/>
      <c r="AM216" s="4"/>
      <c r="AN216" s="4"/>
      <c r="AO216" s="4"/>
      <c r="AP216" s="4"/>
      <c r="AQ216" s="4"/>
      <c r="AR216" s="4"/>
      <c r="AS216" s="4"/>
      <c r="AT216" s="4"/>
      <c r="AU216" s="4"/>
    </row>
    <row r="217" spans="1:47" ht="13.2">
      <c r="A217" s="120"/>
      <c r="B217" s="113"/>
      <c r="C217" s="117"/>
      <c r="D217" s="117"/>
      <c r="E217" s="117"/>
      <c r="F217" s="123"/>
      <c r="G217" s="93" t="s">
        <v>145</v>
      </c>
      <c r="H217" s="125"/>
      <c r="I217" s="125"/>
      <c r="J217" s="82" t="str">
        <f t="shared" ca="1" si="147"/>
        <v>#REF!</v>
      </c>
      <c r="K217" s="82" t="str">
        <f t="shared" ca="1" si="256"/>
        <v>#REF!</v>
      </c>
      <c r="L217" s="82" t="str">
        <f t="shared" ca="1" si="199"/>
        <v>#REF!</v>
      </c>
      <c r="M217" s="125"/>
      <c r="N217" s="125"/>
      <c r="O217" s="230">
        <f t="shared" si="2"/>
        <v>0</v>
      </c>
      <c r="P217" s="231">
        <f t="shared" si="3"/>
        <v>0</v>
      </c>
      <c r="Q217" s="232" t="str">
        <f ca="1">ROUNDUP(HLOOKUP(IF(CEILING(L217,0.5)&lt;1,1,CEILING(L217,0.5)),'배송비 조회'!A$32:AY$36,2,0),-2)</f>
        <v>#REF!</v>
      </c>
      <c r="R217" s="232">
        <v>0</v>
      </c>
      <c r="S217" s="231" t="str">
        <f t="shared" ca="1" si="250"/>
        <v>#REF!</v>
      </c>
      <c r="T217" s="231" t="str">
        <f t="shared" ca="1" si="200"/>
        <v>#REF!</v>
      </c>
      <c r="U217" s="233" t="str">
        <f t="shared" ca="1" si="142"/>
        <v>#REF!</v>
      </c>
      <c r="V217" s="233" t="str">
        <f t="shared" ca="1" si="7"/>
        <v>#REF!</v>
      </c>
      <c r="W217" s="234">
        <v>0</v>
      </c>
      <c r="X217" s="234" t="str">
        <f t="shared" ca="1" si="8"/>
        <v>#REF!</v>
      </c>
      <c r="Y217" s="234" t="str">
        <f t="shared" ca="1" si="9"/>
        <v>#REF!</v>
      </c>
      <c r="Z217" s="234" t="str">
        <f t="shared" ca="1" si="10"/>
        <v>#REF!</v>
      </c>
      <c r="AA217" s="234" t="str">
        <f t="shared" ca="1" si="11"/>
        <v>#REF!</v>
      </c>
      <c r="AB217" s="234" t="str">
        <f t="shared" ca="1" si="12"/>
        <v>#REF!</v>
      </c>
      <c r="AC217" s="234" t="str">
        <f t="shared" ca="1" si="13"/>
        <v>#REF!</v>
      </c>
      <c r="AD217" s="101" t="str">
        <f t="shared" ca="1" si="14"/>
        <v>#REF!</v>
      </c>
      <c r="AE217" s="101" t="str">
        <f t="shared" ca="1" si="15"/>
        <v>#REF!</v>
      </c>
      <c r="AF217" s="235" t="str">
        <f t="shared" ref="AF217:AG217" ca="1" si="294">AD217/U217</f>
        <v>#REF!</v>
      </c>
      <c r="AG217" s="235" t="str">
        <f t="shared" ca="1" si="294"/>
        <v>#REF!</v>
      </c>
      <c r="AH217" s="212"/>
      <c r="AI217" s="213"/>
      <c r="AJ217" s="4"/>
      <c r="AK217" s="4"/>
      <c r="AL217" s="4"/>
      <c r="AM217" s="4"/>
      <c r="AN217" s="4"/>
      <c r="AO217" s="4"/>
      <c r="AP217" s="4"/>
      <c r="AQ217" s="4"/>
      <c r="AR217" s="4"/>
      <c r="AS217" s="4"/>
      <c r="AT217" s="4"/>
      <c r="AU217" s="4"/>
    </row>
    <row r="218" spans="1:47" ht="13.2">
      <c r="A218" s="120"/>
      <c r="B218" s="113"/>
      <c r="C218" s="117"/>
      <c r="D218" s="117"/>
      <c r="E218" s="117"/>
      <c r="F218" s="123"/>
      <c r="G218" s="93" t="s">
        <v>145</v>
      </c>
      <c r="H218" s="125"/>
      <c r="I218" s="125"/>
      <c r="J218" s="82" t="str">
        <f t="shared" ca="1" si="147"/>
        <v>#REF!</v>
      </c>
      <c r="K218" s="82" t="str">
        <f t="shared" ca="1" si="256"/>
        <v>#REF!</v>
      </c>
      <c r="L218" s="82" t="str">
        <f t="shared" ca="1" si="199"/>
        <v>#REF!</v>
      </c>
      <c r="M218" s="125"/>
      <c r="N218" s="125"/>
      <c r="O218" s="230">
        <f t="shared" si="2"/>
        <v>0</v>
      </c>
      <c r="P218" s="231">
        <f t="shared" si="3"/>
        <v>0</v>
      </c>
      <c r="Q218" s="232" t="str">
        <f ca="1">ROUNDUP(HLOOKUP(IF(CEILING(L218,0.5)&lt;1,1,CEILING(L218,0.5)),'배송비 조회'!A$32:AY$36,2,0),-2)</f>
        <v>#REF!</v>
      </c>
      <c r="R218" s="232">
        <v>0</v>
      </c>
      <c r="S218" s="231" t="str">
        <f t="shared" ca="1" si="250"/>
        <v>#REF!</v>
      </c>
      <c r="T218" s="231" t="str">
        <f t="shared" ca="1" si="200"/>
        <v>#REF!</v>
      </c>
      <c r="U218" s="233" t="str">
        <f t="shared" ca="1" si="142"/>
        <v>#REF!</v>
      </c>
      <c r="V218" s="233" t="str">
        <f t="shared" ca="1" si="7"/>
        <v>#REF!</v>
      </c>
      <c r="W218" s="234">
        <v>0</v>
      </c>
      <c r="X218" s="234" t="str">
        <f t="shared" ca="1" si="8"/>
        <v>#REF!</v>
      </c>
      <c r="Y218" s="234" t="str">
        <f t="shared" ca="1" si="9"/>
        <v>#REF!</v>
      </c>
      <c r="Z218" s="234" t="str">
        <f t="shared" ca="1" si="10"/>
        <v>#REF!</v>
      </c>
      <c r="AA218" s="234" t="str">
        <f t="shared" ca="1" si="11"/>
        <v>#REF!</v>
      </c>
      <c r="AB218" s="234" t="str">
        <f t="shared" ca="1" si="12"/>
        <v>#REF!</v>
      </c>
      <c r="AC218" s="234" t="str">
        <f t="shared" ca="1" si="13"/>
        <v>#REF!</v>
      </c>
      <c r="AD218" s="101" t="str">
        <f t="shared" ca="1" si="14"/>
        <v>#REF!</v>
      </c>
      <c r="AE218" s="101" t="str">
        <f t="shared" ca="1" si="15"/>
        <v>#REF!</v>
      </c>
      <c r="AF218" s="235" t="str">
        <f t="shared" ref="AF218:AG218" ca="1" si="295">AD218/U218</f>
        <v>#REF!</v>
      </c>
      <c r="AG218" s="235" t="str">
        <f t="shared" ca="1" si="295"/>
        <v>#REF!</v>
      </c>
      <c r="AH218" s="212"/>
      <c r="AI218" s="213"/>
      <c r="AJ218" s="4"/>
      <c r="AK218" s="4"/>
      <c r="AL218" s="4"/>
      <c r="AM218" s="4"/>
      <c r="AN218" s="4"/>
      <c r="AO218" s="4"/>
      <c r="AP218" s="4"/>
      <c r="AQ218" s="4"/>
      <c r="AR218" s="4"/>
      <c r="AS218" s="4"/>
      <c r="AT218" s="4"/>
      <c r="AU218" s="4"/>
    </row>
    <row r="219" spans="1:47" ht="13.2">
      <c r="A219" s="120"/>
      <c r="B219" s="113"/>
      <c r="C219" s="117"/>
      <c r="D219" s="117"/>
      <c r="E219" s="117"/>
      <c r="F219" s="123"/>
      <c r="G219" s="93" t="s">
        <v>145</v>
      </c>
      <c r="H219" s="125"/>
      <c r="I219" s="125"/>
      <c r="J219" s="82" t="str">
        <f t="shared" ca="1" si="147"/>
        <v>#REF!</v>
      </c>
      <c r="K219" s="82" t="str">
        <f t="shared" ca="1" si="256"/>
        <v>#REF!</v>
      </c>
      <c r="L219" s="82" t="str">
        <f t="shared" ca="1" si="199"/>
        <v>#REF!</v>
      </c>
      <c r="M219" s="125"/>
      <c r="N219" s="125"/>
      <c r="O219" s="230">
        <f t="shared" si="2"/>
        <v>0</v>
      </c>
      <c r="P219" s="231">
        <f t="shared" si="3"/>
        <v>0</v>
      </c>
      <c r="Q219" s="232" t="str">
        <f ca="1">ROUNDUP(HLOOKUP(IF(CEILING(L219,0.5)&lt;1,1,CEILING(L219,0.5)),'배송비 조회'!A$32:AY$36,2,0),-2)</f>
        <v>#REF!</v>
      </c>
      <c r="R219" s="232">
        <v>0</v>
      </c>
      <c r="S219" s="231" t="str">
        <f t="shared" ca="1" si="250"/>
        <v>#REF!</v>
      </c>
      <c r="T219" s="231" t="str">
        <f t="shared" ca="1" si="200"/>
        <v>#REF!</v>
      </c>
      <c r="U219" s="233" t="str">
        <f t="shared" ca="1" si="142"/>
        <v>#REF!</v>
      </c>
      <c r="V219" s="233" t="str">
        <f t="shared" ca="1" si="7"/>
        <v>#REF!</v>
      </c>
      <c r="W219" s="234">
        <v>0</v>
      </c>
      <c r="X219" s="234" t="str">
        <f t="shared" ca="1" si="8"/>
        <v>#REF!</v>
      </c>
      <c r="Y219" s="234" t="str">
        <f t="shared" ca="1" si="9"/>
        <v>#REF!</v>
      </c>
      <c r="Z219" s="234" t="str">
        <f t="shared" ca="1" si="10"/>
        <v>#REF!</v>
      </c>
      <c r="AA219" s="234" t="str">
        <f t="shared" ca="1" si="11"/>
        <v>#REF!</v>
      </c>
      <c r="AB219" s="234" t="str">
        <f t="shared" ca="1" si="12"/>
        <v>#REF!</v>
      </c>
      <c r="AC219" s="234" t="str">
        <f t="shared" ca="1" si="13"/>
        <v>#REF!</v>
      </c>
      <c r="AD219" s="101" t="str">
        <f t="shared" ca="1" si="14"/>
        <v>#REF!</v>
      </c>
      <c r="AE219" s="101" t="str">
        <f t="shared" ca="1" si="15"/>
        <v>#REF!</v>
      </c>
      <c r="AF219" s="235" t="str">
        <f t="shared" ref="AF219:AG219" ca="1" si="296">AD219/U219</f>
        <v>#REF!</v>
      </c>
      <c r="AG219" s="235" t="str">
        <f t="shared" ca="1" si="296"/>
        <v>#REF!</v>
      </c>
      <c r="AH219" s="212"/>
      <c r="AI219" s="213"/>
      <c r="AJ219" s="4"/>
      <c r="AK219" s="4"/>
      <c r="AL219" s="4"/>
      <c r="AM219" s="4"/>
      <c r="AN219" s="4"/>
      <c r="AO219" s="4"/>
      <c r="AP219" s="4"/>
      <c r="AQ219" s="4"/>
      <c r="AR219" s="4"/>
      <c r="AS219" s="4"/>
      <c r="AT219" s="4"/>
      <c r="AU219" s="4"/>
    </row>
    <row r="220" spans="1:47" ht="13.2">
      <c r="A220" s="120"/>
      <c r="B220" s="113"/>
      <c r="C220" s="117"/>
      <c r="D220" s="117"/>
      <c r="E220" s="117"/>
      <c r="F220" s="123"/>
      <c r="G220" s="93" t="s">
        <v>145</v>
      </c>
      <c r="H220" s="125"/>
      <c r="I220" s="125"/>
      <c r="J220" s="82" t="str">
        <f t="shared" ca="1" si="147"/>
        <v>#REF!</v>
      </c>
      <c r="K220" s="82" t="str">
        <f t="shared" ca="1" si="256"/>
        <v>#REF!</v>
      </c>
      <c r="L220" s="82" t="str">
        <f t="shared" ca="1" si="199"/>
        <v>#REF!</v>
      </c>
      <c r="M220" s="125"/>
      <c r="N220" s="125"/>
      <c r="O220" s="230">
        <f t="shared" si="2"/>
        <v>0</v>
      </c>
      <c r="P220" s="231">
        <f t="shared" si="3"/>
        <v>0</v>
      </c>
      <c r="Q220" s="232" t="str">
        <f ca="1">ROUNDUP(HLOOKUP(IF(CEILING(L220,0.5)&lt;1,1,CEILING(L220,0.5)),'배송비 조회'!A$32:AY$36,2,0),-2)</f>
        <v>#REF!</v>
      </c>
      <c r="R220" s="232">
        <v>0</v>
      </c>
      <c r="S220" s="231" t="str">
        <f t="shared" ca="1" si="250"/>
        <v>#REF!</v>
      </c>
      <c r="T220" s="231" t="str">
        <f t="shared" ca="1" si="200"/>
        <v>#REF!</v>
      </c>
      <c r="U220" s="233" t="str">
        <f t="shared" ca="1" si="142"/>
        <v>#REF!</v>
      </c>
      <c r="V220" s="233" t="str">
        <f t="shared" ca="1" si="7"/>
        <v>#REF!</v>
      </c>
      <c r="W220" s="234">
        <v>0</v>
      </c>
      <c r="X220" s="234" t="str">
        <f t="shared" ca="1" si="8"/>
        <v>#REF!</v>
      </c>
      <c r="Y220" s="234" t="str">
        <f t="shared" ca="1" si="9"/>
        <v>#REF!</v>
      </c>
      <c r="Z220" s="234" t="str">
        <f t="shared" ca="1" si="10"/>
        <v>#REF!</v>
      </c>
      <c r="AA220" s="234" t="str">
        <f t="shared" ca="1" si="11"/>
        <v>#REF!</v>
      </c>
      <c r="AB220" s="234" t="str">
        <f t="shared" ca="1" si="12"/>
        <v>#REF!</v>
      </c>
      <c r="AC220" s="234" t="str">
        <f t="shared" ca="1" si="13"/>
        <v>#REF!</v>
      </c>
      <c r="AD220" s="101" t="str">
        <f t="shared" ca="1" si="14"/>
        <v>#REF!</v>
      </c>
      <c r="AE220" s="101" t="str">
        <f t="shared" ca="1" si="15"/>
        <v>#REF!</v>
      </c>
      <c r="AF220" s="235" t="str">
        <f t="shared" ref="AF220:AG220" ca="1" si="297">AD220/U220</f>
        <v>#REF!</v>
      </c>
      <c r="AG220" s="235" t="str">
        <f t="shared" ca="1" si="297"/>
        <v>#REF!</v>
      </c>
      <c r="AH220" s="212"/>
      <c r="AI220" s="213"/>
      <c r="AJ220" s="4"/>
      <c r="AK220" s="4"/>
      <c r="AL220" s="4"/>
      <c r="AM220" s="4"/>
      <c r="AN220" s="4"/>
      <c r="AO220" s="4"/>
      <c r="AP220" s="4"/>
      <c r="AQ220" s="4"/>
      <c r="AR220" s="4"/>
      <c r="AS220" s="4"/>
      <c r="AT220" s="4"/>
      <c r="AU220" s="4"/>
    </row>
    <row r="221" spans="1:47" ht="13.2">
      <c r="A221" s="120"/>
      <c r="B221" s="113"/>
      <c r="C221" s="117"/>
      <c r="D221" s="117"/>
      <c r="E221" s="117"/>
      <c r="F221" s="123"/>
      <c r="G221" s="93" t="s">
        <v>145</v>
      </c>
      <c r="H221" s="125"/>
      <c r="I221" s="125"/>
      <c r="J221" s="82" t="str">
        <f t="shared" ca="1" si="147"/>
        <v>#REF!</v>
      </c>
      <c r="K221" s="82" t="str">
        <f t="shared" ca="1" si="256"/>
        <v>#REF!</v>
      </c>
      <c r="L221" s="82" t="str">
        <f t="shared" ca="1" si="199"/>
        <v>#REF!</v>
      </c>
      <c r="M221" s="125"/>
      <c r="N221" s="125"/>
      <c r="O221" s="230">
        <f t="shared" si="2"/>
        <v>0</v>
      </c>
      <c r="P221" s="231">
        <f t="shared" si="3"/>
        <v>0</v>
      </c>
      <c r="Q221" s="232" t="str">
        <f ca="1">ROUNDUP(HLOOKUP(IF(CEILING(L221,0.5)&lt;1,1,CEILING(L221,0.5)),'배송비 조회'!A$32:AY$36,2,0),-2)</f>
        <v>#REF!</v>
      </c>
      <c r="R221" s="232">
        <v>0</v>
      </c>
      <c r="S221" s="231" t="str">
        <f t="shared" ca="1" si="250"/>
        <v>#REF!</v>
      </c>
      <c r="T221" s="231" t="str">
        <f t="shared" ca="1" si="200"/>
        <v>#REF!</v>
      </c>
      <c r="U221" s="233" t="str">
        <f t="shared" ca="1" si="142"/>
        <v>#REF!</v>
      </c>
      <c r="V221" s="233" t="str">
        <f t="shared" ca="1" si="7"/>
        <v>#REF!</v>
      </c>
      <c r="W221" s="234">
        <v>0</v>
      </c>
      <c r="X221" s="234" t="str">
        <f t="shared" ca="1" si="8"/>
        <v>#REF!</v>
      </c>
      <c r="Y221" s="234" t="str">
        <f t="shared" ca="1" si="9"/>
        <v>#REF!</v>
      </c>
      <c r="Z221" s="234" t="str">
        <f t="shared" ca="1" si="10"/>
        <v>#REF!</v>
      </c>
      <c r="AA221" s="234" t="str">
        <f t="shared" ca="1" si="11"/>
        <v>#REF!</v>
      </c>
      <c r="AB221" s="234" t="str">
        <f t="shared" ca="1" si="12"/>
        <v>#REF!</v>
      </c>
      <c r="AC221" s="234" t="str">
        <f t="shared" ca="1" si="13"/>
        <v>#REF!</v>
      </c>
      <c r="AD221" s="101" t="str">
        <f t="shared" ca="1" si="14"/>
        <v>#REF!</v>
      </c>
      <c r="AE221" s="101" t="str">
        <f t="shared" ca="1" si="15"/>
        <v>#REF!</v>
      </c>
      <c r="AF221" s="235" t="str">
        <f t="shared" ref="AF221:AG221" ca="1" si="298">AD221/U221</f>
        <v>#REF!</v>
      </c>
      <c r="AG221" s="235" t="str">
        <f t="shared" ca="1" si="298"/>
        <v>#REF!</v>
      </c>
      <c r="AH221" s="212"/>
      <c r="AI221" s="213"/>
      <c r="AJ221" s="4"/>
      <c r="AK221" s="4"/>
      <c r="AL221" s="4"/>
      <c r="AM221" s="4"/>
      <c r="AN221" s="4"/>
      <c r="AO221" s="4"/>
      <c r="AP221" s="4"/>
      <c r="AQ221" s="4"/>
      <c r="AR221" s="4"/>
      <c r="AS221" s="4"/>
      <c r="AT221" s="4"/>
      <c r="AU221" s="4"/>
    </row>
    <row r="222" spans="1:47" ht="13.2">
      <c r="A222" s="120"/>
      <c r="B222" s="113"/>
      <c r="C222" s="117"/>
      <c r="D222" s="117"/>
      <c r="E222" s="117"/>
      <c r="F222" s="123"/>
      <c r="G222" s="93" t="s">
        <v>145</v>
      </c>
      <c r="H222" s="125"/>
      <c r="I222" s="125"/>
      <c r="J222" s="82" t="str">
        <f t="shared" ca="1" si="147"/>
        <v>#REF!</v>
      </c>
      <c r="K222" s="82" t="str">
        <f t="shared" ca="1" si="256"/>
        <v>#REF!</v>
      </c>
      <c r="L222" s="82" t="str">
        <f t="shared" ca="1" si="199"/>
        <v>#REF!</v>
      </c>
      <c r="M222" s="125"/>
      <c r="N222" s="125"/>
      <c r="O222" s="230">
        <f t="shared" si="2"/>
        <v>0</v>
      </c>
      <c r="P222" s="231">
        <f t="shared" si="3"/>
        <v>0</v>
      </c>
      <c r="Q222" s="232" t="str">
        <f ca="1">ROUNDUP(HLOOKUP(IF(CEILING(L222,0.5)&lt;1,1,CEILING(L222,0.5)),'배송비 조회'!A$32:AY$36,2,0),-2)</f>
        <v>#REF!</v>
      </c>
      <c r="R222" s="232">
        <v>0</v>
      </c>
      <c r="S222" s="231" t="str">
        <f t="shared" ca="1" si="250"/>
        <v>#REF!</v>
      </c>
      <c r="T222" s="231" t="str">
        <f t="shared" ca="1" si="200"/>
        <v>#REF!</v>
      </c>
      <c r="U222" s="233" t="str">
        <f t="shared" ca="1" si="142"/>
        <v>#REF!</v>
      </c>
      <c r="V222" s="233" t="str">
        <f t="shared" ca="1" si="7"/>
        <v>#REF!</v>
      </c>
      <c r="W222" s="234">
        <v>0</v>
      </c>
      <c r="X222" s="234" t="str">
        <f t="shared" ca="1" si="8"/>
        <v>#REF!</v>
      </c>
      <c r="Y222" s="234" t="str">
        <f t="shared" ca="1" si="9"/>
        <v>#REF!</v>
      </c>
      <c r="Z222" s="234" t="str">
        <f t="shared" ca="1" si="10"/>
        <v>#REF!</v>
      </c>
      <c r="AA222" s="234" t="str">
        <f t="shared" ca="1" si="11"/>
        <v>#REF!</v>
      </c>
      <c r="AB222" s="234" t="str">
        <f t="shared" ca="1" si="12"/>
        <v>#REF!</v>
      </c>
      <c r="AC222" s="234" t="str">
        <f t="shared" ca="1" si="13"/>
        <v>#REF!</v>
      </c>
      <c r="AD222" s="101" t="str">
        <f t="shared" ca="1" si="14"/>
        <v>#REF!</v>
      </c>
      <c r="AE222" s="101" t="str">
        <f t="shared" ca="1" si="15"/>
        <v>#REF!</v>
      </c>
      <c r="AF222" s="235" t="str">
        <f t="shared" ref="AF222:AG222" ca="1" si="299">AD222/U222</f>
        <v>#REF!</v>
      </c>
      <c r="AG222" s="235" t="str">
        <f t="shared" ca="1" si="299"/>
        <v>#REF!</v>
      </c>
      <c r="AH222" s="212"/>
      <c r="AI222" s="213"/>
      <c r="AJ222" s="4"/>
      <c r="AK222" s="4"/>
      <c r="AL222" s="4"/>
      <c r="AM222" s="4"/>
      <c r="AN222" s="4"/>
      <c r="AO222" s="4"/>
      <c r="AP222" s="4"/>
      <c r="AQ222" s="4"/>
      <c r="AR222" s="4"/>
      <c r="AS222" s="4"/>
      <c r="AT222" s="4"/>
      <c r="AU222" s="4"/>
    </row>
    <row r="223" spans="1:47" ht="13.2">
      <c r="A223" s="120"/>
      <c r="B223" s="113"/>
      <c r="C223" s="117"/>
      <c r="D223" s="117"/>
      <c r="E223" s="117"/>
      <c r="F223" s="123"/>
      <c r="G223" s="93" t="s">
        <v>145</v>
      </c>
      <c r="H223" s="125"/>
      <c r="I223" s="125"/>
      <c r="J223" s="82" t="str">
        <f t="shared" ca="1" si="147"/>
        <v>#REF!</v>
      </c>
      <c r="K223" s="82" t="str">
        <f t="shared" ca="1" si="256"/>
        <v>#REF!</v>
      </c>
      <c r="L223" s="82" t="str">
        <f t="shared" ca="1" si="199"/>
        <v>#REF!</v>
      </c>
      <c r="M223" s="125"/>
      <c r="N223" s="125"/>
      <c r="O223" s="230">
        <f t="shared" si="2"/>
        <v>0</v>
      </c>
      <c r="P223" s="231">
        <f t="shared" si="3"/>
        <v>0</v>
      </c>
      <c r="Q223" s="232" t="str">
        <f ca="1">ROUNDUP(HLOOKUP(IF(CEILING(L223,0.5)&lt;1,1,CEILING(L223,0.5)),'배송비 조회'!A$32:AY$36,2,0),-2)</f>
        <v>#REF!</v>
      </c>
      <c r="R223" s="232">
        <v>0</v>
      </c>
      <c r="S223" s="231" t="str">
        <f t="shared" ca="1" si="250"/>
        <v>#REF!</v>
      </c>
      <c r="T223" s="231" t="str">
        <f t="shared" ca="1" si="200"/>
        <v>#REF!</v>
      </c>
      <c r="U223" s="233" t="str">
        <f t="shared" ca="1" si="142"/>
        <v>#REF!</v>
      </c>
      <c r="V223" s="233" t="str">
        <f t="shared" ca="1" si="7"/>
        <v>#REF!</v>
      </c>
      <c r="W223" s="234">
        <v>0</v>
      </c>
      <c r="X223" s="234" t="str">
        <f t="shared" ca="1" si="8"/>
        <v>#REF!</v>
      </c>
      <c r="Y223" s="234" t="str">
        <f t="shared" ca="1" si="9"/>
        <v>#REF!</v>
      </c>
      <c r="Z223" s="234" t="str">
        <f t="shared" ca="1" si="10"/>
        <v>#REF!</v>
      </c>
      <c r="AA223" s="234" t="str">
        <f t="shared" ca="1" si="11"/>
        <v>#REF!</v>
      </c>
      <c r="AB223" s="234" t="str">
        <f t="shared" ca="1" si="12"/>
        <v>#REF!</v>
      </c>
      <c r="AC223" s="234" t="str">
        <f t="shared" ca="1" si="13"/>
        <v>#REF!</v>
      </c>
      <c r="AD223" s="101" t="str">
        <f t="shared" ca="1" si="14"/>
        <v>#REF!</v>
      </c>
      <c r="AE223" s="101" t="str">
        <f t="shared" ca="1" si="15"/>
        <v>#REF!</v>
      </c>
      <c r="AF223" s="235" t="str">
        <f t="shared" ref="AF223:AG223" ca="1" si="300">AD223/U223</f>
        <v>#REF!</v>
      </c>
      <c r="AG223" s="235" t="str">
        <f t="shared" ca="1" si="300"/>
        <v>#REF!</v>
      </c>
      <c r="AH223" s="212"/>
      <c r="AI223" s="213"/>
      <c r="AJ223" s="4"/>
      <c r="AK223" s="4"/>
      <c r="AL223" s="4"/>
      <c r="AM223" s="4"/>
      <c r="AN223" s="4"/>
      <c r="AO223" s="4"/>
      <c r="AP223" s="4"/>
      <c r="AQ223" s="4"/>
      <c r="AR223" s="4"/>
      <c r="AS223" s="4"/>
      <c r="AT223" s="4"/>
      <c r="AU223" s="4"/>
    </row>
    <row r="224" spans="1:47" ht="13.2">
      <c r="A224" s="120"/>
      <c r="B224" s="113"/>
      <c r="C224" s="117"/>
      <c r="D224" s="117"/>
      <c r="E224" s="117"/>
      <c r="F224" s="123"/>
      <c r="G224" s="93" t="s">
        <v>145</v>
      </c>
      <c r="H224" s="125"/>
      <c r="I224" s="125"/>
      <c r="J224" s="82" t="str">
        <f t="shared" ca="1" si="147"/>
        <v>#REF!</v>
      </c>
      <c r="K224" s="82" t="str">
        <f t="shared" ca="1" si="256"/>
        <v>#REF!</v>
      </c>
      <c r="L224" s="82" t="str">
        <f t="shared" ca="1" si="199"/>
        <v>#REF!</v>
      </c>
      <c r="M224" s="125"/>
      <c r="N224" s="125"/>
      <c r="O224" s="230">
        <f t="shared" si="2"/>
        <v>0</v>
      </c>
      <c r="P224" s="231">
        <f t="shared" si="3"/>
        <v>0</v>
      </c>
      <c r="Q224" s="232" t="str">
        <f ca="1">ROUNDUP(HLOOKUP(IF(CEILING(L224,0.5)&lt;1,1,CEILING(L224,0.5)),'배송비 조회'!A$32:AY$36,2,0),-2)</f>
        <v>#REF!</v>
      </c>
      <c r="R224" s="232">
        <v>0</v>
      </c>
      <c r="S224" s="231" t="str">
        <f t="shared" ca="1" si="250"/>
        <v>#REF!</v>
      </c>
      <c r="T224" s="231" t="str">
        <f t="shared" ca="1" si="200"/>
        <v>#REF!</v>
      </c>
      <c r="U224" s="233" t="str">
        <f t="shared" ca="1" si="142"/>
        <v>#REF!</v>
      </c>
      <c r="V224" s="233" t="str">
        <f t="shared" ca="1" si="7"/>
        <v>#REF!</v>
      </c>
      <c r="W224" s="234">
        <v>0</v>
      </c>
      <c r="X224" s="234" t="str">
        <f t="shared" ca="1" si="8"/>
        <v>#REF!</v>
      </c>
      <c r="Y224" s="234" t="str">
        <f t="shared" ca="1" si="9"/>
        <v>#REF!</v>
      </c>
      <c r="Z224" s="234" t="str">
        <f t="shared" ca="1" si="10"/>
        <v>#REF!</v>
      </c>
      <c r="AA224" s="234" t="str">
        <f t="shared" ca="1" si="11"/>
        <v>#REF!</v>
      </c>
      <c r="AB224" s="234" t="str">
        <f t="shared" ca="1" si="12"/>
        <v>#REF!</v>
      </c>
      <c r="AC224" s="234" t="str">
        <f t="shared" ca="1" si="13"/>
        <v>#REF!</v>
      </c>
      <c r="AD224" s="101" t="str">
        <f t="shared" ca="1" si="14"/>
        <v>#REF!</v>
      </c>
      <c r="AE224" s="101" t="str">
        <f t="shared" ca="1" si="15"/>
        <v>#REF!</v>
      </c>
      <c r="AF224" s="235" t="str">
        <f t="shared" ref="AF224:AG224" ca="1" si="301">AD224/U224</f>
        <v>#REF!</v>
      </c>
      <c r="AG224" s="235" t="str">
        <f t="shared" ca="1" si="301"/>
        <v>#REF!</v>
      </c>
      <c r="AH224" s="212"/>
      <c r="AI224" s="213"/>
      <c r="AJ224" s="4"/>
      <c r="AK224" s="4"/>
      <c r="AL224" s="4"/>
      <c r="AM224" s="4"/>
      <c r="AN224" s="4"/>
      <c r="AO224" s="4"/>
      <c r="AP224" s="4"/>
      <c r="AQ224" s="4"/>
      <c r="AR224" s="4"/>
      <c r="AS224" s="4"/>
      <c r="AT224" s="4"/>
      <c r="AU224" s="4"/>
    </row>
    <row r="225" spans="1:47" ht="13.2">
      <c r="A225" s="120"/>
      <c r="B225" s="113"/>
      <c r="C225" s="117"/>
      <c r="D225" s="117"/>
      <c r="E225" s="117"/>
      <c r="F225" s="123"/>
      <c r="G225" s="93" t="s">
        <v>145</v>
      </c>
      <c r="H225" s="125"/>
      <c r="I225" s="125"/>
      <c r="J225" s="82" t="str">
        <f t="shared" ca="1" si="147"/>
        <v>#REF!</v>
      </c>
      <c r="K225" s="82" t="str">
        <f t="shared" ca="1" si="256"/>
        <v>#REF!</v>
      </c>
      <c r="L225" s="82" t="str">
        <f t="shared" ca="1" si="199"/>
        <v>#REF!</v>
      </c>
      <c r="M225" s="125"/>
      <c r="N225" s="125"/>
      <c r="O225" s="230">
        <f t="shared" si="2"/>
        <v>0</v>
      </c>
      <c r="P225" s="231">
        <f t="shared" si="3"/>
        <v>0</v>
      </c>
      <c r="Q225" s="232" t="str">
        <f ca="1">ROUNDUP(HLOOKUP(IF(CEILING(L225,0.5)&lt;1,1,CEILING(L225,0.5)),'배송비 조회'!A$32:AY$36,2,0),-2)</f>
        <v>#REF!</v>
      </c>
      <c r="R225" s="232">
        <v>0</v>
      </c>
      <c r="S225" s="231" t="str">
        <f t="shared" ca="1" si="250"/>
        <v>#REF!</v>
      </c>
      <c r="T225" s="231" t="str">
        <f t="shared" ca="1" si="200"/>
        <v>#REF!</v>
      </c>
      <c r="U225" s="233" t="str">
        <f t="shared" ca="1" si="142"/>
        <v>#REF!</v>
      </c>
      <c r="V225" s="233" t="str">
        <f t="shared" ca="1" si="7"/>
        <v>#REF!</v>
      </c>
      <c r="W225" s="234">
        <v>0</v>
      </c>
      <c r="X225" s="234" t="str">
        <f t="shared" ca="1" si="8"/>
        <v>#REF!</v>
      </c>
      <c r="Y225" s="234" t="str">
        <f t="shared" ca="1" si="9"/>
        <v>#REF!</v>
      </c>
      <c r="Z225" s="234" t="str">
        <f t="shared" ca="1" si="10"/>
        <v>#REF!</v>
      </c>
      <c r="AA225" s="234" t="str">
        <f t="shared" ca="1" si="11"/>
        <v>#REF!</v>
      </c>
      <c r="AB225" s="234" t="str">
        <f t="shared" ca="1" si="12"/>
        <v>#REF!</v>
      </c>
      <c r="AC225" s="234" t="str">
        <f t="shared" ca="1" si="13"/>
        <v>#REF!</v>
      </c>
      <c r="AD225" s="101" t="str">
        <f t="shared" ca="1" si="14"/>
        <v>#REF!</v>
      </c>
      <c r="AE225" s="101" t="str">
        <f t="shared" ca="1" si="15"/>
        <v>#REF!</v>
      </c>
      <c r="AF225" s="235" t="str">
        <f t="shared" ref="AF225:AG225" ca="1" si="302">AD225/U225</f>
        <v>#REF!</v>
      </c>
      <c r="AG225" s="235" t="str">
        <f t="shared" ca="1" si="302"/>
        <v>#REF!</v>
      </c>
      <c r="AH225" s="212"/>
      <c r="AI225" s="213"/>
      <c r="AJ225" s="4"/>
      <c r="AK225" s="4"/>
      <c r="AL225" s="4"/>
      <c r="AM225" s="4"/>
      <c r="AN225" s="4"/>
      <c r="AO225" s="4"/>
      <c r="AP225" s="4"/>
      <c r="AQ225" s="4"/>
      <c r="AR225" s="4"/>
      <c r="AS225" s="4"/>
      <c r="AT225" s="4"/>
      <c r="AU225" s="4"/>
    </row>
    <row r="226" spans="1:47" ht="13.2">
      <c r="A226" s="120"/>
      <c r="B226" s="113"/>
      <c r="C226" s="117"/>
      <c r="D226" s="117"/>
      <c r="E226" s="117"/>
      <c r="F226" s="123"/>
      <c r="G226" s="93" t="s">
        <v>145</v>
      </c>
      <c r="H226" s="125"/>
      <c r="I226" s="125"/>
      <c r="J226" s="82" t="str">
        <f t="shared" ca="1" si="147"/>
        <v>#REF!</v>
      </c>
      <c r="K226" s="82" t="str">
        <f t="shared" ca="1" si="256"/>
        <v>#REF!</v>
      </c>
      <c r="L226" s="82" t="str">
        <f t="shared" ca="1" si="199"/>
        <v>#REF!</v>
      </c>
      <c r="M226" s="125"/>
      <c r="N226" s="125"/>
      <c r="O226" s="230">
        <f t="shared" si="2"/>
        <v>0</v>
      </c>
      <c r="P226" s="231">
        <f t="shared" si="3"/>
        <v>0</v>
      </c>
      <c r="Q226" s="232" t="str">
        <f ca="1">ROUNDUP(HLOOKUP(IF(CEILING(L226,0.5)&lt;1,1,CEILING(L226,0.5)),'배송비 조회'!A$32:AY$36,2,0),-2)</f>
        <v>#REF!</v>
      </c>
      <c r="R226" s="232">
        <v>0</v>
      </c>
      <c r="S226" s="231" t="str">
        <f t="shared" ca="1" si="250"/>
        <v>#REF!</v>
      </c>
      <c r="T226" s="231" t="str">
        <f t="shared" ca="1" si="200"/>
        <v>#REF!</v>
      </c>
      <c r="U226" s="233" t="str">
        <f t="shared" ca="1" si="142"/>
        <v>#REF!</v>
      </c>
      <c r="V226" s="233" t="str">
        <f t="shared" ca="1" si="7"/>
        <v>#REF!</v>
      </c>
      <c r="W226" s="234">
        <v>0</v>
      </c>
      <c r="X226" s="234" t="str">
        <f t="shared" ca="1" si="8"/>
        <v>#REF!</v>
      </c>
      <c r="Y226" s="234" t="str">
        <f t="shared" ca="1" si="9"/>
        <v>#REF!</v>
      </c>
      <c r="Z226" s="234" t="str">
        <f t="shared" ca="1" si="10"/>
        <v>#REF!</v>
      </c>
      <c r="AA226" s="234" t="str">
        <f t="shared" ca="1" si="11"/>
        <v>#REF!</v>
      </c>
      <c r="AB226" s="234" t="str">
        <f t="shared" ca="1" si="12"/>
        <v>#REF!</v>
      </c>
      <c r="AC226" s="234" t="str">
        <f t="shared" ca="1" si="13"/>
        <v>#REF!</v>
      </c>
      <c r="AD226" s="101" t="str">
        <f t="shared" ca="1" si="14"/>
        <v>#REF!</v>
      </c>
      <c r="AE226" s="101" t="str">
        <f t="shared" ca="1" si="15"/>
        <v>#REF!</v>
      </c>
      <c r="AF226" s="235" t="str">
        <f t="shared" ref="AF226:AG226" ca="1" si="303">AD226/U226</f>
        <v>#REF!</v>
      </c>
      <c r="AG226" s="235" t="str">
        <f t="shared" ca="1" si="303"/>
        <v>#REF!</v>
      </c>
      <c r="AH226" s="212"/>
      <c r="AI226" s="213"/>
      <c r="AJ226" s="4"/>
      <c r="AK226" s="4"/>
      <c r="AL226" s="4"/>
      <c r="AM226" s="4"/>
      <c r="AN226" s="4"/>
      <c r="AO226" s="4"/>
      <c r="AP226" s="4"/>
      <c r="AQ226" s="4"/>
      <c r="AR226" s="4"/>
      <c r="AS226" s="4"/>
      <c r="AT226" s="4"/>
      <c r="AU226" s="4"/>
    </row>
    <row r="227" spans="1:47" ht="13.2">
      <c r="A227" s="120"/>
      <c r="B227" s="113"/>
      <c r="C227" s="117"/>
      <c r="D227" s="117"/>
      <c r="E227" s="117"/>
      <c r="F227" s="123"/>
      <c r="G227" s="93" t="s">
        <v>145</v>
      </c>
      <c r="H227" s="125"/>
      <c r="I227" s="125"/>
      <c r="J227" s="82" t="str">
        <f t="shared" ca="1" si="147"/>
        <v>#REF!</v>
      </c>
      <c r="K227" s="82" t="str">
        <f t="shared" ca="1" si="256"/>
        <v>#REF!</v>
      </c>
      <c r="L227" s="82" t="str">
        <f t="shared" ca="1" si="199"/>
        <v>#REF!</v>
      </c>
      <c r="M227" s="125"/>
      <c r="N227" s="125"/>
      <c r="O227" s="230">
        <f t="shared" si="2"/>
        <v>0</v>
      </c>
      <c r="P227" s="231">
        <f t="shared" si="3"/>
        <v>0</v>
      </c>
      <c r="Q227" s="232" t="str">
        <f ca="1">ROUNDUP(HLOOKUP(IF(CEILING(L227,0.5)&lt;1,1,CEILING(L227,0.5)),'배송비 조회'!A$32:AY$36,2,0),-2)</f>
        <v>#REF!</v>
      </c>
      <c r="R227" s="232">
        <v>0</v>
      </c>
      <c r="S227" s="231" t="str">
        <f t="shared" ca="1" si="250"/>
        <v>#REF!</v>
      </c>
      <c r="T227" s="231" t="str">
        <f t="shared" ca="1" si="200"/>
        <v>#REF!</v>
      </c>
      <c r="U227" s="233" t="str">
        <f t="shared" ca="1" si="142"/>
        <v>#REF!</v>
      </c>
      <c r="V227" s="233" t="str">
        <f t="shared" ca="1" si="7"/>
        <v>#REF!</v>
      </c>
      <c r="W227" s="234">
        <v>0</v>
      </c>
      <c r="X227" s="234" t="str">
        <f t="shared" ca="1" si="8"/>
        <v>#REF!</v>
      </c>
      <c r="Y227" s="234" t="str">
        <f t="shared" ca="1" si="9"/>
        <v>#REF!</v>
      </c>
      <c r="Z227" s="234" t="str">
        <f t="shared" ca="1" si="10"/>
        <v>#REF!</v>
      </c>
      <c r="AA227" s="234" t="str">
        <f t="shared" ca="1" si="11"/>
        <v>#REF!</v>
      </c>
      <c r="AB227" s="234" t="str">
        <f t="shared" ca="1" si="12"/>
        <v>#REF!</v>
      </c>
      <c r="AC227" s="234" t="str">
        <f t="shared" ca="1" si="13"/>
        <v>#REF!</v>
      </c>
      <c r="AD227" s="101" t="str">
        <f t="shared" ca="1" si="14"/>
        <v>#REF!</v>
      </c>
      <c r="AE227" s="101" t="str">
        <f t="shared" ca="1" si="15"/>
        <v>#REF!</v>
      </c>
      <c r="AF227" s="235" t="str">
        <f t="shared" ref="AF227:AG227" ca="1" si="304">AD227/U227</f>
        <v>#REF!</v>
      </c>
      <c r="AG227" s="235" t="str">
        <f t="shared" ca="1" si="304"/>
        <v>#REF!</v>
      </c>
      <c r="AH227" s="212"/>
      <c r="AI227" s="213"/>
      <c r="AJ227" s="4"/>
      <c r="AK227" s="4"/>
      <c r="AL227" s="4"/>
      <c r="AM227" s="4"/>
      <c r="AN227" s="4"/>
      <c r="AO227" s="4"/>
      <c r="AP227" s="4"/>
      <c r="AQ227" s="4"/>
      <c r="AR227" s="4"/>
      <c r="AS227" s="4"/>
      <c r="AT227" s="4"/>
      <c r="AU227" s="4"/>
    </row>
    <row r="228" spans="1:47" ht="13.2">
      <c r="A228" s="120"/>
      <c r="B228" s="113"/>
      <c r="C228" s="117"/>
      <c r="D228" s="117"/>
      <c r="E228" s="117"/>
      <c r="F228" s="123"/>
      <c r="G228" s="93" t="s">
        <v>145</v>
      </c>
      <c r="H228" s="125"/>
      <c r="I228" s="125"/>
      <c r="J228" s="82" t="str">
        <f t="shared" ca="1" si="147"/>
        <v>#REF!</v>
      </c>
      <c r="K228" s="82" t="str">
        <f t="shared" ca="1" si="256"/>
        <v>#REF!</v>
      </c>
      <c r="L228" s="82" t="str">
        <f t="shared" ca="1" si="199"/>
        <v>#REF!</v>
      </c>
      <c r="M228" s="125"/>
      <c r="N228" s="125"/>
      <c r="O228" s="230">
        <f t="shared" si="2"/>
        <v>0</v>
      </c>
      <c r="P228" s="231">
        <f t="shared" si="3"/>
        <v>0</v>
      </c>
      <c r="Q228" s="232" t="str">
        <f ca="1">ROUNDUP(HLOOKUP(IF(CEILING(L228,0.5)&lt;1,1,CEILING(L228,0.5)),'배송비 조회'!A$32:AY$36,2,0),-2)</f>
        <v>#REF!</v>
      </c>
      <c r="R228" s="232">
        <v>0</v>
      </c>
      <c r="S228" s="231" t="str">
        <f t="shared" ca="1" si="250"/>
        <v>#REF!</v>
      </c>
      <c r="T228" s="231" t="str">
        <f t="shared" ca="1" si="200"/>
        <v>#REF!</v>
      </c>
      <c r="U228" s="233" t="str">
        <f t="shared" ca="1" si="142"/>
        <v>#REF!</v>
      </c>
      <c r="V228" s="233" t="str">
        <f t="shared" ca="1" si="7"/>
        <v>#REF!</v>
      </c>
      <c r="W228" s="234">
        <v>0</v>
      </c>
      <c r="X228" s="234" t="str">
        <f t="shared" ca="1" si="8"/>
        <v>#REF!</v>
      </c>
      <c r="Y228" s="234" t="str">
        <f t="shared" ca="1" si="9"/>
        <v>#REF!</v>
      </c>
      <c r="Z228" s="234" t="str">
        <f t="shared" ca="1" si="10"/>
        <v>#REF!</v>
      </c>
      <c r="AA228" s="234" t="str">
        <f t="shared" ca="1" si="11"/>
        <v>#REF!</v>
      </c>
      <c r="AB228" s="234" t="str">
        <f t="shared" ca="1" si="12"/>
        <v>#REF!</v>
      </c>
      <c r="AC228" s="234" t="str">
        <f t="shared" ca="1" si="13"/>
        <v>#REF!</v>
      </c>
      <c r="AD228" s="101" t="str">
        <f t="shared" ca="1" si="14"/>
        <v>#REF!</v>
      </c>
      <c r="AE228" s="101" t="str">
        <f t="shared" ca="1" si="15"/>
        <v>#REF!</v>
      </c>
      <c r="AF228" s="235" t="str">
        <f t="shared" ref="AF228:AG228" ca="1" si="305">AD228/U228</f>
        <v>#REF!</v>
      </c>
      <c r="AG228" s="235" t="str">
        <f t="shared" ca="1" si="305"/>
        <v>#REF!</v>
      </c>
      <c r="AH228" s="212"/>
      <c r="AI228" s="213"/>
      <c r="AJ228" s="4"/>
      <c r="AK228" s="4"/>
      <c r="AL228" s="4"/>
      <c r="AM228" s="4"/>
      <c r="AN228" s="4"/>
      <c r="AO228" s="4"/>
      <c r="AP228" s="4"/>
      <c r="AQ228" s="4"/>
      <c r="AR228" s="4"/>
      <c r="AS228" s="4"/>
      <c r="AT228" s="4"/>
      <c r="AU228" s="4"/>
    </row>
    <row r="229" spans="1:47" ht="13.2">
      <c r="A229" s="120"/>
      <c r="B229" s="113"/>
      <c r="C229" s="117"/>
      <c r="D229" s="117"/>
      <c r="E229" s="117"/>
      <c r="F229" s="123"/>
      <c r="G229" s="93" t="s">
        <v>145</v>
      </c>
      <c r="H229" s="125"/>
      <c r="I229" s="125"/>
      <c r="J229" s="82" t="str">
        <f t="shared" ca="1" si="147"/>
        <v>#REF!</v>
      </c>
      <c r="K229" s="82" t="str">
        <f t="shared" ca="1" si="256"/>
        <v>#REF!</v>
      </c>
      <c r="L229" s="82" t="str">
        <f t="shared" ca="1" si="199"/>
        <v>#REF!</v>
      </c>
      <c r="M229" s="125"/>
      <c r="N229" s="125"/>
      <c r="O229" s="230">
        <f t="shared" si="2"/>
        <v>0</v>
      </c>
      <c r="P229" s="231">
        <f t="shared" si="3"/>
        <v>0</v>
      </c>
      <c r="Q229" s="232" t="str">
        <f ca="1">ROUNDUP(HLOOKUP(IF(CEILING(L229,0.5)&lt;1,1,CEILING(L229,0.5)),'배송비 조회'!A$32:AY$36,2,0),-2)</f>
        <v>#REF!</v>
      </c>
      <c r="R229" s="232">
        <v>0</v>
      </c>
      <c r="S229" s="231" t="str">
        <f t="shared" ca="1" si="250"/>
        <v>#REF!</v>
      </c>
      <c r="T229" s="231" t="str">
        <f t="shared" ca="1" si="200"/>
        <v>#REF!</v>
      </c>
      <c r="U229" s="233" t="str">
        <f t="shared" ca="1" si="142"/>
        <v>#REF!</v>
      </c>
      <c r="V229" s="233" t="str">
        <f t="shared" ca="1" si="7"/>
        <v>#REF!</v>
      </c>
      <c r="W229" s="234">
        <v>0</v>
      </c>
      <c r="X229" s="234" t="str">
        <f t="shared" ca="1" si="8"/>
        <v>#REF!</v>
      </c>
      <c r="Y229" s="234" t="str">
        <f t="shared" ca="1" si="9"/>
        <v>#REF!</v>
      </c>
      <c r="Z229" s="234" t="str">
        <f t="shared" ca="1" si="10"/>
        <v>#REF!</v>
      </c>
      <c r="AA229" s="234" t="str">
        <f t="shared" ca="1" si="11"/>
        <v>#REF!</v>
      </c>
      <c r="AB229" s="234" t="str">
        <f t="shared" ca="1" si="12"/>
        <v>#REF!</v>
      </c>
      <c r="AC229" s="234" t="str">
        <f t="shared" ca="1" si="13"/>
        <v>#REF!</v>
      </c>
      <c r="AD229" s="101" t="str">
        <f t="shared" ca="1" si="14"/>
        <v>#REF!</v>
      </c>
      <c r="AE229" s="101" t="str">
        <f t="shared" ca="1" si="15"/>
        <v>#REF!</v>
      </c>
      <c r="AF229" s="235" t="str">
        <f t="shared" ref="AF229:AG229" ca="1" si="306">AD229/U229</f>
        <v>#REF!</v>
      </c>
      <c r="AG229" s="235" t="str">
        <f t="shared" ca="1" si="306"/>
        <v>#REF!</v>
      </c>
      <c r="AH229" s="212"/>
      <c r="AI229" s="213"/>
      <c r="AJ229" s="4"/>
      <c r="AK229" s="4"/>
      <c r="AL229" s="4"/>
      <c r="AM229" s="4"/>
      <c r="AN229" s="4"/>
      <c r="AO229" s="4"/>
      <c r="AP229" s="4"/>
      <c r="AQ229" s="4"/>
      <c r="AR229" s="4"/>
      <c r="AS229" s="4"/>
      <c r="AT229" s="4"/>
      <c r="AU229" s="4"/>
    </row>
    <row r="230" spans="1:47" ht="13.2">
      <c r="A230" s="120"/>
      <c r="B230" s="113"/>
      <c r="C230" s="117"/>
      <c r="D230" s="117"/>
      <c r="E230" s="117"/>
      <c r="F230" s="123"/>
      <c r="G230" s="93" t="s">
        <v>145</v>
      </c>
      <c r="H230" s="125"/>
      <c r="I230" s="125"/>
      <c r="J230" s="82" t="str">
        <f t="shared" ca="1" si="147"/>
        <v>#REF!</v>
      </c>
      <c r="K230" s="82" t="str">
        <f t="shared" ca="1" si="256"/>
        <v>#REF!</v>
      </c>
      <c r="L230" s="82" t="str">
        <f t="shared" ca="1" si="199"/>
        <v>#REF!</v>
      </c>
      <c r="M230" s="125"/>
      <c r="N230" s="125"/>
      <c r="O230" s="230">
        <f t="shared" si="2"/>
        <v>0</v>
      </c>
      <c r="P230" s="231">
        <f t="shared" si="3"/>
        <v>0</v>
      </c>
      <c r="Q230" s="232" t="str">
        <f ca="1">ROUNDUP(HLOOKUP(IF(CEILING(L230,0.5)&lt;1,1,CEILING(L230,0.5)),'배송비 조회'!A$32:AY$36,2,0),-2)</f>
        <v>#REF!</v>
      </c>
      <c r="R230" s="232">
        <v>0</v>
      </c>
      <c r="S230" s="231" t="str">
        <f t="shared" ca="1" si="250"/>
        <v>#REF!</v>
      </c>
      <c r="T230" s="231" t="str">
        <f t="shared" ca="1" si="200"/>
        <v>#REF!</v>
      </c>
      <c r="U230" s="233" t="str">
        <f t="shared" ca="1" si="142"/>
        <v>#REF!</v>
      </c>
      <c r="V230" s="233" t="str">
        <f t="shared" ca="1" si="7"/>
        <v>#REF!</v>
      </c>
      <c r="W230" s="234">
        <v>0</v>
      </c>
      <c r="X230" s="234" t="str">
        <f t="shared" ca="1" si="8"/>
        <v>#REF!</v>
      </c>
      <c r="Y230" s="234" t="str">
        <f t="shared" ca="1" si="9"/>
        <v>#REF!</v>
      </c>
      <c r="Z230" s="234" t="str">
        <f t="shared" ca="1" si="10"/>
        <v>#REF!</v>
      </c>
      <c r="AA230" s="234" t="str">
        <f t="shared" ca="1" si="11"/>
        <v>#REF!</v>
      </c>
      <c r="AB230" s="234" t="str">
        <f t="shared" ca="1" si="12"/>
        <v>#REF!</v>
      </c>
      <c r="AC230" s="234" t="str">
        <f t="shared" ca="1" si="13"/>
        <v>#REF!</v>
      </c>
      <c r="AD230" s="101" t="str">
        <f t="shared" ca="1" si="14"/>
        <v>#REF!</v>
      </c>
      <c r="AE230" s="101" t="str">
        <f t="shared" ca="1" si="15"/>
        <v>#REF!</v>
      </c>
      <c r="AF230" s="235" t="str">
        <f t="shared" ref="AF230:AG230" ca="1" si="307">AD230/U230</f>
        <v>#REF!</v>
      </c>
      <c r="AG230" s="235" t="str">
        <f t="shared" ca="1" si="307"/>
        <v>#REF!</v>
      </c>
      <c r="AH230" s="212"/>
      <c r="AI230" s="213"/>
      <c r="AJ230" s="4"/>
      <c r="AK230" s="4"/>
      <c r="AL230" s="4"/>
      <c r="AM230" s="4"/>
      <c r="AN230" s="4"/>
      <c r="AO230" s="4"/>
      <c r="AP230" s="4"/>
      <c r="AQ230" s="4"/>
      <c r="AR230" s="4"/>
      <c r="AS230" s="4"/>
      <c r="AT230" s="4"/>
      <c r="AU230" s="4"/>
    </row>
    <row r="231" spans="1:47" ht="13.2">
      <c r="A231" s="120"/>
      <c r="B231" s="113"/>
      <c r="C231" s="117"/>
      <c r="D231" s="117"/>
      <c r="E231" s="117"/>
      <c r="F231" s="123"/>
      <c r="G231" s="93" t="s">
        <v>145</v>
      </c>
      <c r="H231" s="125"/>
      <c r="I231" s="125"/>
      <c r="J231" s="82" t="str">
        <f t="shared" ca="1" si="147"/>
        <v>#REF!</v>
      </c>
      <c r="K231" s="82" t="str">
        <f t="shared" ca="1" si="256"/>
        <v>#REF!</v>
      </c>
      <c r="L231" s="82" t="str">
        <f t="shared" ca="1" si="199"/>
        <v>#REF!</v>
      </c>
      <c r="M231" s="125"/>
      <c r="N231" s="125"/>
      <c r="O231" s="230">
        <f t="shared" si="2"/>
        <v>0</v>
      </c>
      <c r="P231" s="231">
        <f t="shared" si="3"/>
        <v>0</v>
      </c>
      <c r="Q231" s="232" t="str">
        <f ca="1">ROUNDUP(HLOOKUP(IF(CEILING(L231,0.5)&lt;1,1,CEILING(L231,0.5)),'배송비 조회'!A$32:AY$36,2,0),-2)</f>
        <v>#REF!</v>
      </c>
      <c r="R231" s="232">
        <v>0</v>
      </c>
      <c r="S231" s="231" t="str">
        <f t="shared" ca="1" si="250"/>
        <v>#REF!</v>
      </c>
      <c r="T231" s="231" t="str">
        <f t="shared" ca="1" si="200"/>
        <v>#REF!</v>
      </c>
      <c r="U231" s="233" t="str">
        <f t="shared" ca="1" si="142"/>
        <v>#REF!</v>
      </c>
      <c r="V231" s="233" t="str">
        <f t="shared" ca="1" si="7"/>
        <v>#REF!</v>
      </c>
      <c r="W231" s="234">
        <v>0</v>
      </c>
      <c r="X231" s="234" t="str">
        <f t="shared" ca="1" si="8"/>
        <v>#REF!</v>
      </c>
      <c r="Y231" s="234" t="str">
        <f t="shared" ca="1" si="9"/>
        <v>#REF!</v>
      </c>
      <c r="Z231" s="234" t="str">
        <f t="shared" ca="1" si="10"/>
        <v>#REF!</v>
      </c>
      <c r="AA231" s="234" t="str">
        <f t="shared" ca="1" si="11"/>
        <v>#REF!</v>
      </c>
      <c r="AB231" s="234" t="str">
        <f t="shared" ca="1" si="12"/>
        <v>#REF!</v>
      </c>
      <c r="AC231" s="234" t="str">
        <f t="shared" ca="1" si="13"/>
        <v>#REF!</v>
      </c>
      <c r="AD231" s="101" t="str">
        <f t="shared" ca="1" si="14"/>
        <v>#REF!</v>
      </c>
      <c r="AE231" s="101" t="str">
        <f t="shared" ca="1" si="15"/>
        <v>#REF!</v>
      </c>
      <c r="AF231" s="235" t="str">
        <f t="shared" ref="AF231:AG231" ca="1" si="308">AD231/U231</f>
        <v>#REF!</v>
      </c>
      <c r="AG231" s="235" t="str">
        <f t="shared" ca="1" si="308"/>
        <v>#REF!</v>
      </c>
      <c r="AH231" s="212"/>
      <c r="AI231" s="213"/>
      <c r="AJ231" s="4"/>
      <c r="AK231" s="4"/>
      <c r="AL231" s="4"/>
      <c r="AM231" s="4"/>
      <c r="AN231" s="4"/>
      <c r="AO231" s="4"/>
      <c r="AP231" s="4"/>
      <c r="AQ231" s="4"/>
      <c r="AR231" s="4"/>
      <c r="AS231" s="4"/>
      <c r="AT231" s="4"/>
      <c r="AU231" s="4"/>
    </row>
    <row r="232" spans="1:47" ht="13.2">
      <c r="A232" s="120"/>
      <c r="B232" s="113"/>
      <c r="C232" s="117"/>
      <c r="D232" s="117"/>
      <c r="E232" s="117"/>
      <c r="F232" s="123"/>
      <c r="G232" s="93" t="s">
        <v>145</v>
      </c>
      <c r="H232" s="125"/>
      <c r="I232" s="125"/>
      <c r="J232" s="82" t="str">
        <f t="shared" ca="1" si="147"/>
        <v>#REF!</v>
      </c>
      <c r="K232" s="82" t="str">
        <f t="shared" ca="1" si="256"/>
        <v>#REF!</v>
      </c>
      <c r="L232" s="82" t="str">
        <f t="shared" ca="1" si="199"/>
        <v>#REF!</v>
      </c>
      <c r="M232" s="125"/>
      <c r="N232" s="125"/>
      <c r="O232" s="230">
        <f t="shared" si="2"/>
        <v>0</v>
      </c>
      <c r="P232" s="231">
        <f t="shared" si="3"/>
        <v>0</v>
      </c>
      <c r="Q232" s="232" t="str">
        <f ca="1">ROUNDUP(HLOOKUP(IF(CEILING(L232,0.5)&lt;1,1,CEILING(L232,0.5)),'배송비 조회'!A$32:AY$36,2,0),-2)</f>
        <v>#REF!</v>
      </c>
      <c r="R232" s="232">
        <v>0</v>
      </c>
      <c r="S232" s="231" t="str">
        <f t="shared" ca="1" si="250"/>
        <v>#REF!</v>
      </c>
      <c r="T232" s="231" t="str">
        <f t="shared" ca="1" si="200"/>
        <v>#REF!</v>
      </c>
      <c r="U232" s="233" t="str">
        <f t="shared" ca="1" si="142"/>
        <v>#REF!</v>
      </c>
      <c r="V232" s="233" t="str">
        <f t="shared" ca="1" si="7"/>
        <v>#REF!</v>
      </c>
      <c r="W232" s="234">
        <v>0</v>
      </c>
      <c r="X232" s="234" t="str">
        <f t="shared" ca="1" si="8"/>
        <v>#REF!</v>
      </c>
      <c r="Y232" s="234" t="str">
        <f t="shared" ca="1" si="9"/>
        <v>#REF!</v>
      </c>
      <c r="Z232" s="234" t="str">
        <f t="shared" ca="1" si="10"/>
        <v>#REF!</v>
      </c>
      <c r="AA232" s="234" t="str">
        <f t="shared" ca="1" si="11"/>
        <v>#REF!</v>
      </c>
      <c r="AB232" s="234" t="str">
        <f t="shared" ca="1" si="12"/>
        <v>#REF!</v>
      </c>
      <c r="AC232" s="234" t="str">
        <f t="shared" ca="1" si="13"/>
        <v>#REF!</v>
      </c>
      <c r="AD232" s="101" t="str">
        <f t="shared" ca="1" si="14"/>
        <v>#REF!</v>
      </c>
      <c r="AE232" s="101" t="str">
        <f t="shared" ca="1" si="15"/>
        <v>#REF!</v>
      </c>
      <c r="AF232" s="235" t="str">
        <f t="shared" ref="AF232:AG232" ca="1" si="309">AD232/U232</f>
        <v>#REF!</v>
      </c>
      <c r="AG232" s="235" t="str">
        <f t="shared" ca="1" si="309"/>
        <v>#REF!</v>
      </c>
      <c r="AH232" s="212"/>
      <c r="AI232" s="213"/>
      <c r="AJ232" s="4"/>
      <c r="AK232" s="4"/>
      <c r="AL232" s="4"/>
      <c r="AM232" s="4"/>
      <c r="AN232" s="4"/>
      <c r="AO232" s="4"/>
      <c r="AP232" s="4"/>
      <c r="AQ232" s="4"/>
      <c r="AR232" s="4"/>
      <c r="AS232" s="4"/>
      <c r="AT232" s="4"/>
      <c r="AU232" s="4"/>
    </row>
    <row r="233" spans="1:47" ht="13.2">
      <c r="A233" s="120"/>
      <c r="B233" s="113"/>
      <c r="C233" s="117"/>
      <c r="D233" s="117"/>
      <c r="E233" s="117"/>
      <c r="F233" s="123"/>
      <c r="G233" s="93" t="s">
        <v>145</v>
      </c>
      <c r="H233" s="125"/>
      <c r="I233" s="125"/>
      <c r="J233" s="82" t="str">
        <f t="shared" ca="1" si="147"/>
        <v>#REF!</v>
      </c>
      <c r="K233" s="82" t="str">
        <f t="shared" ca="1" si="256"/>
        <v>#REF!</v>
      </c>
      <c r="L233" s="82" t="str">
        <f t="shared" ca="1" si="199"/>
        <v>#REF!</v>
      </c>
      <c r="M233" s="125"/>
      <c r="N233" s="125"/>
      <c r="O233" s="230">
        <f t="shared" si="2"/>
        <v>0</v>
      </c>
      <c r="P233" s="231">
        <f t="shared" si="3"/>
        <v>0</v>
      </c>
      <c r="Q233" s="232" t="str">
        <f ca="1">ROUNDUP(HLOOKUP(IF(CEILING(L233,0.5)&lt;1,1,CEILING(L233,0.5)),'배송비 조회'!A$32:AY$36,2,0),-2)</f>
        <v>#REF!</v>
      </c>
      <c r="R233" s="232">
        <v>0</v>
      </c>
      <c r="S233" s="231" t="str">
        <f t="shared" ca="1" si="250"/>
        <v>#REF!</v>
      </c>
      <c r="T233" s="231" t="str">
        <f t="shared" ca="1" si="200"/>
        <v>#REF!</v>
      </c>
      <c r="U233" s="233" t="str">
        <f t="shared" ca="1" si="142"/>
        <v>#REF!</v>
      </c>
      <c r="V233" s="233" t="str">
        <f t="shared" ca="1" si="7"/>
        <v>#REF!</v>
      </c>
      <c r="W233" s="234">
        <v>0</v>
      </c>
      <c r="X233" s="234" t="str">
        <f t="shared" ca="1" si="8"/>
        <v>#REF!</v>
      </c>
      <c r="Y233" s="234" t="str">
        <f t="shared" ca="1" si="9"/>
        <v>#REF!</v>
      </c>
      <c r="Z233" s="234" t="str">
        <f t="shared" ca="1" si="10"/>
        <v>#REF!</v>
      </c>
      <c r="AA233" s="234" t="str">
        <f t="shared" ca="1" si="11"/>
        <v>#REF!</v>
      </c>
      <c r="AB233" s="234" t="str">
        <f t="shared" ca="1" si="12"/>
        <v>#REF!</v>
      </c>
      <c r="AC233" s="234" t="str">
        <f t="shared" ca="1" si="13"/>
        <v>#REF!</v>
      </c>
      <c r="AD233" s="101" t="str">
        <f t="shared" ca="1" si="14"/>
        <v>#REF!</v>
      </c>
      <c r="AE233" s="101" t="str">
        <f t="shared" ca="1" si="15"/>
        <v>#REF!</v>
      </c>
      <c r="AF233" s="235" t="str">
        <f t="shared" ref="AF233:AG233" ca="1" si="310">AD233/U233</f>
        <v>#REF!</v>
      </c>
      <c r="AG233" s="235" t="str">
        <f t="shared" ca="1" si="310"/>
        <v>#REF!</v>
      </c>
      <c r="AH233" s="212"/>
      <c r="AI233" s="213"/>
      <c r="AJ233" s="4"/>
      <c r="AK233" s="4"/>
      <c r="AL233" s="4"/>
      <c r="AM233" s="4"/>
      <c r="AN233" s="4"/>
      <c r="AO233" s="4"/>
      <c r="AP233" s="4"/>
      <c r="AQ233" s="4"/>
      <c r="AR233" s="4"/>
      <c r="AS233" s="4"/>
      <c r="AT233" s="4"/>
      <c r="AU233" s="4"/>
    </row>
    <row r="234" spans="1:47" ht="13.2">
      <c r="A234" s="120"/>
      <c r="B234" s="113"/>
      <c r="C234" s="117"/>
      <c r="D234" s="117"/>
      <c r="E234" s="117"/>
      <c r="F234" s="123"/>
      <c r="G234" s="93" t="s">
        <v>145</v>
      </c>
      <c r="H234" s="125"/>
      <c r="I234" s="125"/>
      <c r="J234" s="82" t="str">
        <f t="shared" ca="1" si="147"/>
        <v>#REF!</v>
      </c>
      <c r="K234" s="82" t="str">
        <f t="shared" ca="1" si="256"/>
        <v>#REF!</v>
      </c>
      <c r="L234" s="82" t="str">
        <f t="shared" ca="1" si="199"/>
        <v>#REF!</v>
      </c>
      <c r="M234" s="125"/>
      <c r="N234" s="125"/>
      <c r="O234" s="230">
        <f t="shared" si="2"/>
        <v>0</v>
      </c>
      <c r="P234" s="231">
        <f t="shared" si="3"/>
        <v>0</v>
      </c>
      <c r="Q234" s="232" t="str">
        <f ca="1">ROUNDUP(HLOOKUP(IF(CEILING(L234,0.5)&lt;1,1,CEILING(L234,0.5)),'배송비 조회'!A$32:AY$36,2,0),-2)</f>
        <v>#REF!</v>
      </c>
      <c r="R234" s="232">
        <v>0</v>
      </c>
      <c r="S234" s="231" t="str">
        <f t="shared" ca="1" si="250"/>
        <v>#REF!</v>
      </c>
      <c r="T234" s="231" t="str">
        <f t="shared" ca="1" si="200"/>
        <v>#REF!</v>
      </c>
      <c r="U234" s="233" t="str">
        <f t="shared" ca="1" si="142"/>
        <v>#REF!</v>
      </c>
      <c r="V234" s="233" t="str">
        <f t="shared" ca="1" si="7"/>
        <v>#REF!</v>
      </c>
      <c r="W234" s="234">
        <v>0</v>
      </c>
      <c r="X234" s="234" t="str">
        <f t="shared" ca="1" si="8"/>
        <v>#REF!</v>
      </c>
      <c r="Y234" s="234" t="str">
        <f t="shared" ca="1" si="9"/>
        <v>#REF!</v>
      </c>
      <c r="Z234" s="234" t="str">
        <f t="shared" ca="1" si="10"/>
        <v>#REF!</v>
      </c>
      <c r="AA234" s="234" t="str">
        <f t="shared" ca="1" si="11"/>
        <v>#REF!</v>
      </c>
      <c r="AB234" s="234" t="str">
        <f t="shared" ca="1" si="12"/>
        <v>#REF!</v>
      </c>
      <c r="AC234" s="234" t="str">
        <f t="shared" ca="1" si="13"/>
        <v>#REF!</v>
      </c>
      <c r="AD234" s="101" t="str">
        <f t="shared" ca="1" si="14"/>
        <v>#REF!</v>
      </c>
      <c r="AE234" s="101" t="str">
        <f t="shared" ca="1" si="15"/>
        <v>#REF!</v>
      </c>
      <c r="AF234" s="235" t="str">
        <f t="shared" ref="AF234:AG234" ca="1" si="311">AD234/U234</f>
        <v>#REF!</v>
      </c>
      <c r="AG234" s="235" t="str">
        <f t="shared" ca="1" si="311"/>
        <v>#REF!</v>
      </c>
      <c r="AH234" s="212"/>
      <c r="AI234" s="213"/>
      <c r="AJ234" s="4"/>
      <c r="AK234" s="4"/>
      <c r="AL234" s="4"/>
      <c r="AM234" s="4"/>
      <c r="AN234" s="4"/>
      <c r="AO234" s="4"/>
      <c r="AP234" s="4"/>
      <c r="AQ234" s="4"/>
      <c r="AR234" s="4"/>
      <c r="AS234" s="4"/>
      <c r="AT234" s="4"/>
      <c r="AU234" s="4"/>
    </row>
    <row r="235" spans="1:47" ht="13.2">
      <c r="A235" s="120"/>
      <c r="B235" s="113"/>
      <c r="C235" s="117"/>
      <c r="D235" s="117"/>
      <c r="E235" s="117"/>
      <c r="F235" s="123"/>
      <c r="G235" s="93" t="s">
        <v>145</v>
      </c>
      <c r="H235" s="125"/>
      <c r="I235" s="125"/>
      <c r="J235" s="82" t="str">
        <f t="shared" ca="1" si="147"/>
        <v>#REF!</v>
      </c>
      <c r="K235" s="82" t="str">
        <f t="shared" ca="1" si="256"/>
        <v>#REF!</v>
      </c>
      <c r="L235" s="82" t="str">
        <f t="shared" ca="1" si="199"/>
        <v>#REF!</v>
      </c>
      <c r="M235" s="125"/>
      <c r="N235" s="125"/>
      <c r="O235" s="230">
        <f t="shared" si="2"/>
        <v>0</v>
      </c>
      <c r="P235" s="231">
        <f t="shared" si="3"/>
        <v>0</v>
      </c>
      <c r="Q235" s="232" t="str">
        <f ca="1">ROUNDUP(HLOOKUP(IF(CEILING(L235,0.5)&lt;1,1,CEILING(L235,0.5)),'배송비 조회'!A$32:AY$36,2,0),-2)</f>
        <v>#REF!</v>
      </c>
      <c r="R235" s="232">
        <v>0</v>
      </c>
      <c r="S235" s="231" t="str">
        <f t="shared" ca="1" si="250"/>
        <v>#REF!</v>
      </c>
      <c r="T235" s="231" t="str">
        <f t="shared" ca="1" si="200"/>
        <v>#REF!</v>
      </c>
      <c r="U235" s="233" t="str">
        <f t="shared" ca="1" si="142"/>
        <v>#REF!</v>
      </c>
      <c r="V235" s="233" t="str">
        <f t="shared" ca="1" si="7"/>
        <v>#REF!</v>
      </c>
      <c r="W235" s="234">
        <v>0</v>
      </c>
      <c r="X235" s="234" t="str">
        <f t="shared" ca="1" si="8"/>
        <v>#REF!</v>
      </c>
      <c r="Y235" s="234" t="str">
        <f t="shared" ca="1" si="9"/>
        <v>#REF!</v>
      </c>
      <c r="Z235" s="234" t="str">
        <f t="shared" ca="1" si="10"/>
        <v>#REF!</v>
      </c>
      <c r="AA235" s="234" t="str">
        <f t="shared" ca="1" si="11"/>
        <v>#REF!</v>
      </c>
      <c r="AB235" s="234" t="str">
        <f t="shared" ca="1" si="12"/>
        <v>#REF!</v>
      </c>
      <c r="AC235" s="234" t="str">
        <f t="shared" ca="1" si="13"/>
        <v>#REF!</v>
      </c>
      <c r="AD235" s="101" t="str">
        <f t="shared" ca="1" si="14"/>
        <v>#REF!</v>
      </c>
      <c r="AE235" s="101" t="str">
        <f t="shared" ca="1" si="15"/>
        <v>#REF!</v>
      </c>
      <c r="AF235" s="235" t="str">
        <f t="shared" ref="AF235:AG235" ca="1" si="312">AD235/U235</f>
        <v>#REF!</v>
      </c>
      <c r="AG235" s="235" t="str">
        <f t="shared" ca="1" si="312"/>
        <v>#REF!</v>
      </c>
      <c r="AH235" s="212"/>
      <c r="AI235" s="213"/>
      <c r="AJ235" s="4"/>
      <c r="AK235" s="4"/>
      <c r="AL235" s="4"/>
      <c r="AM235" s="4"/>
      <c r="AN235" s="4"/>
      <c r="AO235" s="4"/>
      <c r="AP235" s="4"/>
      <c r="AQ235" s="4"/>
      <c r="AR235" s="4"/>
      <c r="AS235" s="4"/>
      <c r="AT235" s="4"/>
      <c r="AU235" s="4"/>
    </row>
    <row r="236" spans="1:47" ht="13.2">
      <c r="A236" s="120"/>
      <c r="B236" s="113"/>
      <c r="C236" s="117"/>
      <c r="D236" s="117"/>
      <c r="E236" s="117"/>
      <c r="F236" s="123"/>
      <c r="G236" s="93" t="s">
        <v>145</v>
      </c>
      <c r="H236" s="125"/>
      <c r="I236" s="125"/>
      <c r="J236" s="82" t="str">
        <f t="shared" ca="1" si="147"/>
        <v>#REF!</v>
      </c>
      <c r="K236" s="82" t="str">
        <f t="shared" ca="1" si="256"/>
        <v>#REF!</v>
      </c>
      <c r="L236" s="82" t="str">
        <f t="shared" ca="1" si="199"/>
        <v>#REF!</v>
      </c>
      <c r="M236" s="125"/>
      <c r="N236" s="125"/>
      <c r="O236" s="230">
        <f t="shared" si="2"/>
        <v>0</v>
      </c>
      <c r="P236" s="231">
        <f t="shared" si="3"/>
        <v>0</v>
      </c>
      <c r="Q236" s="232" t="str">
        <f ca="1">ROUNDUP(HLOOKUP(IF(CEILING(L236,0.5)&lt;1,1,CEILING(L236,0.5)),'배송비 조회'!A$32:AY$36,2,0),-2)</f>
        <v>#REF!</v>
      </c>
      <c r="R236" s="232">
        <v>0</v>
      </c>
      <c r="S236" s="231" t="str">
        <f t="shared" ca="1" si="250"/>
        <v>#REF!</v>
      </c>
      <c r="T236" s="231" t="str">
        <f t="shared" ca="1" si="200"/>
        <v>#REF!</v>
      </c>
      <c r="U236" s="233" t="str">
        <f t="shared" ca="1" si="142"/>
        <v>#REF!</v>
      </c>
      <c r="V236" s="233" t="str">
        <f t="shared" ca="1" si="7"/>
        <v>#REF!</v>
      </c>
      <c r="W236" s="234">
        <v>0</v>
      </c>
      <c r="X236" s="234" t="str">
        <f t="shared" ca="1" si="8"/>
        <v>#REF!</v>
      </c>
      <c r="Y236" s="234" t="str">
        <f t="shared" ca="1" si="9"/>
        <v>#REF!</v>
      </c>
      <c r="Z236" s="234" t="str">
        <f t="shared" ca="1" si="10"/>
        <v>#REF!</v>
      </c>
      <c r="AA236" s="234" t="str">
        <f t="shared" ca="1" si="11"/>
        <v>#REF!</v>
      </c>
      <c r="AB236" s="234" t="str">
        <f t="shared" ca="1" si="12"/>
        <v>#REF!</v>
      </c>
      <c r="AC236" s="234" t="str">
        <f t="shared" ca="1" si="13"/>
        <v>#REF!</v>
      </c>
      <c r="AD236" s="101" t="str">
        <f t="shared" ca="1" si="14"/>
        <v>#REF!</v>
      </c>
      <c r="AE236" s="101" t="str">
        <f t="shared" ca="1" si="15"/>
        <v>#REF!</v>
      </c>
      <c r="AF236" s="235" t="str">
        <f t="shared" ref="AF236:AG236" ca="1" si="313">AD236/U236</f>
        <v>#REF!</v>
      </c>
      <c r="AG236" s="235" t="str">
        <f t="shared" ca="1" si="313"/>
        <v>#REF!</v>
      </c>
      <c r="AH236" s="212"/>
      <c r="AI236" s="213"/>
      <c r="AJ236" s="4"/>
      <c r="AK236" s="4"/>
      <c r="AL236" s="4"/>
      <c r="AM236" s="4"/>
      <c r="AN236" s="4"/>
      <c r="AO236" s="4"/>
      <c r="AP236" s="4"/>
      <c r="AQ236" s="4"/>
      <c r="AR236" s="4"/>
      <c r="AS236" s="4"/>
      <c r="AT236" s="4"/>
      <c r="AU236" s="4"/>
    </row>
    <row r="237" spans="1:47" ht="13.2">
      <c r="A237" s="120"/>
      <c r="B237" s="113"/>
      <c r="C237" s="117"/>
      <c r="D237" s="117"/>
      <c r="E237" s="117"/>
      <c r="F237" s="123"/>
      <c r="G237" s="93" t="s">
        <v>145</v>
      </c>
      <c r="H237" s="125"/>
      <c r="I237" s="125"/>
      <c r="J237" s="82" t="str">
        <f t="shared" ca="1" si="147"/>
        <v>#REF!</v>
      </c>
      <c r="K237" s="82" t="str">
        <f t="shared" ca="1" si="256"/>
        <v>#REF!</v>
      </c>
      <c r="L237" s="82" t="str">
        <f t="shared" ca="1" si="199"/>
        <v>#REF!</v>
      </c>
      <c r="M237" s="125"/>
      <c r="N237" s="125"/>
      <c r="O237" s="230">
        <f t="shared" si="2"/>
        <v>0</v>
      </c>
      <c r="P237" s="231">
        <f t="shared" si="3"/>
        <v>0</v>
      </c>
      <c r="Q237" s="232" t="str">
        <f ca="1">ROUNDUP(HLOOKUP(IF(CEILING(L237,0.5)&lt;1,1,CEILING(L237,0.5)),'배송비 조회'!A$32:AY$36,2,0),-2)</f>
        <v>#REF!</v>
      </c>
      <c r="R237" s="232">
        <v>0</v>
      </c>
      <c r="S237" s="231" t="str">
        <f t="shared" ca="1" si="250"/>
        <v>#REF!</v>
      </c>
      <c r="T237" s="231" t="str">
        <f t="shared" ca="1" si="200"/>
        <v>#REF!</v>
      </c>
      <c r="U237" s="233" t="str">
        <f t="shared" ca="1" si="142"/>
        <v>#REF!</v>
      </c>
      <c r="V237" s="233" t="str">
        <f t="shared" ca="1" si="7"/>
        <v>#REF!</v>
      </c>
      <c r="W237" s="234">
        <v>0</v>
      </c>
      <c r="X237" s="234" t="str">
        <f t="shared" ca="1" si="8"/>
        <v>#REF!</v>
      </c>
      <c r="Y237" s="234" t="str">
        <f t="shared" ca="1" si="9"/>
        <v>#REF!</v>
      </c>
      <c r="Z237" s="234" t="str">
        <f t="shared" ca="1" si="10"/>
        <v>#REF!</v>
      </c>
      <c r="AA237" s="234" t="str">
        <f t="shared" ca="1" si="11"/>
        <v>#REF!</v>
      </c>
      <c r="AB237" s="234" t="str">
        <f t="shared" ca="1" si="12"/>
        <v>#REF!</v>
      </c>
      <c r="AC237" s="234" t="str">
        <f t="shared" ca="1" si="13"/>
        <v>#REF!</v>
      </c>
      <c r="AD237" s="101" t="str">
        <f t="shared" ca="1" si="14"/>
        <v>#REF!</v>
      </c>
      <c r="AE237" s="101" t="str">
        <f t="shared" ca="1" si="15"/>
        <v>#REF!</v>
      </c>
      <c r="AF237" s="235" t="str">
        <f t="shared" ref="AF237:AG237" ca="1" si="314">AD237/U237</f>
        <v>#REF!</v>
      </c>
      <c r="AG237" s="235" t="str">
        <f t="shared" ca="1" si="314"/>
        <v>#REF!</v>
      </c>
      <c r="AH237" s="212"/>
      <c r="AI237" s="213"/>
      <c r="AJ237" s="4"/>
      <c r="AK237" s="4"/>
      <c r="AL237" s="4"/>
      <c r="AM237" s="4"/>
      <c r="AN237" s="4"/>
      <c r="AO237" s="4"/>
      <c r="AP237" s="4"/>
      <c r="AQ237" s="4"/>
      <c r="AR237" s="4"/>
      <c r="AS237" s="4"/>
      <c r="AT237" s="4"/>
      <c r="AU237" s="4"/>
    </row>
    <row r="238" spans="1:47" ht="13.2">
      <c r="A238" s="120"/>
      <c r="B238" s="113"/>
      <c r="C238" s="117"/>
      <c r="D238" s="117"/>
      <c r="E238" s="117"/>
      <c r="F238" s="123"/>
      <c r="G238" s="93" t="s">
        <v>145</v>
      </c>
      <c r="H238" s="125"/>
      <c r="I238" s="125"/>
      <c r="J238" s="82" t="str">
        <f t="shared" ca="1" si="147"/>
        <v>#REF!</v>
      </c>
      <c r="K238" s="82" t="str">
        <f t="shared" ca="1" si="256"/>
        <v>#REF!</v>
      </c>
      <c r="L238" s="82" t="str">
        <f t="shared" ca="1" si="199"/>
        <v>#REF!</v>
      </c>
      <c r="M238" s="125"/>
      <c r="N238" s="125"/>
      <c r="O238" s="230">
        <f t="shared" si="2"/>
        <v>0</v>
      </c>
      <c r="P238" s="231">
        <f t="shared" si="3"/>
        <v>0</v>
      </c>
      <c r="Q238" s="232" t="str">
        <f ca="1">ROUNDUP(HLOOKUP(IF(CEILING(L238,0.5)&lt;1,1,CEILING(L238,0.5)),'배송비 조회'!A$32:AY$36,2,0),-2)</f>
        <v>#REF!</v>
      </c>
      <c r="R238" s="232">
        <v>0</v>
      </c>
      <c r="S238" s="231" t="str">
        <f t="shared" ca="1" si="250"/>
        <v>#REF!</v>
      </c>
      <c r="T238" s="231" t="str">
        <f t="shared" ca="1" si="200"/>
        <v>#REF!</v>
      </c>
      <c r="U238" s="233" t="str">
        <f t="shared" ca="1" si="142"/>
        <v>#REF!</v>
      </c>
      <c r="V238" s="233" t="str">
        <f t="shared" ca="1" si="7"/>
        <v>#REF!</v>
      </c>
      <c r="W238" s="234">
        <v>0</v>
      </c>
      <c r="X238" s="234" t="str">
        <f t="shared" ca="1" si="8"/>
        <v>#REF!</v>
      </c>
      <c r="Y238" s="234" t="str">
        <f t="shared" ca="1" si="9"/>
        <v>#REF!</v>
      </c>
      <c r="Z238" s="234" t="str">
        <f t="shared" ca="1" si="10"/>
        <v>#REF!</v>
      </c>
      <c r="AA238" s="234" t="str">
        <f t="shared" ca="1" si="11"/>
        <v>#REF!</v>
      </c>
      <c r="AB238" s="234" t="str">
        <f t="shared" ca="1" si="12"/>
        <v>#REF!</v>
      </c>
      <c r="AC238" s="234" t="str">
        <f t="shared" ca="1" si="13"/>
        <v>#REF!</v>
      </c>
      <c r="AD238" s="101" t="str">
        <f t="shared" ca="1" si="14"/>
        <v>#REF!</v>
      </c>
      <c r="AE238" s="101" t="str">
        <f t="shared" ca="1" si="15"/>
        <v>#REF!</v>
      </c>
      <c r="AF238" s="235" t="str">
        <f t="shared" ref="AF238:AG238" ca="1" si="315">AD238/U238</f>
        <v>#REF!</v>
      </c>
      <c r="AG238" s="235" t="str">
        <f t="shared" ca="1" si="315"/>
        <v>#REF!</v>
      </c>
      <c r="AH238" s="212"/>
      <c r="AI238" s="213"/>
      <c r="AJ238" s="4"/>
      <c r="AK238" s="4"/>
      <c r="AL238" s="4"/>
      <c r="AM238" s="4"/>
      <c r="AN238" s="4"/>
      <c r="AO238" s="4"/>
      <c r="AP238" s="4"/>
      <c r="AQ238" s="4"/>
      <c r="AR238" s="4"/>
      <c r="AS238" s="4"/>
      <c r="AT238" s="4"/>
      <c r="AU238" s="4"/>
    </row>
    <row r="239" spans="1:47" ht="13.2">
      <c r="A239" s="120"/>
      <c r="B239" s="113"/>
      <c r="C239" s="117"/>
      <c r="D239" s="117"/>
      <c r="E239" s="117"/>
      <c r="F239" s="123"/>
      <c r="G239" s="93" t="s">
        <v>145</v>
      </c>
      <c r="H239" s="125"/>
      <c r="I239" s="125"/>
      <c r="J239" s="82" t="str">
        <f t="shared" ca="1" si="147"/>
        <v>#REF!</v>
      </c>
      <c r="K239" s="82" t="str">
        <f t="shared" ca="1" si="256"/>
        <v>#REF!</v>
      </c>
      <c r="L239" s="82" t="str">
        <f t="shared" ca="1" si="199"/>
        <v>#REF!</v>
      </c>
      <c r="M239" s="125"/>
      <c r="N239" s="125"/>
      <c r="O239" s="230">
        <f t="shared" si="2"/>
        <v>0</v>
      </c>
      <c r="P239" s="231">
        <f t="shared" si="3"/>
        <v>0</v>
      </c>
      <c r="Q239" s="232" t="str">
        <f ca="1">ROUNDUP(HLOOKUP(IF(CEILING(L239,0.5)&lt;1,1,CEILING(L239,0.5)),'배송비 조회'!A$32:AY$36,2,0),-2)</f>
        <v>#REF!</v>
      </c>
      <c r="R239" s="232">
        <v>0</v>
      </c>
      <c r="S239" s="231" t="str">
        <f t="shared" ca="1" si="250"/>
        <v>#REF!</v>
      </c>
      <c r="T239" s="231" t="str">
        <f t="shared" ca="1" si="200"/>
        <v>#REF!</v>
      </c>
      <c r="U239" s="233" t="str">
        <f t="shared" ca="1" si="142"/>
        <v>#REF!</v>
      </c>
      <c r="V239" s="233" t="str">
        <f t="shared" ca="1" si="7"/>
        <v>#REF!</v>
      </c>
      <c r="W239" s="234">
        <v>0</v>
      </c>
      <c r="X239" s="234" t="str">
        <f t="shared" ca="1" si="8"/>
        <v>#REF!</v>
      </c>
      <c r="Y239" s="234" t="str">
        <f t="shared" ca="1" si="9"/>
        <v>#REF!</v>
      </c>
      <c r="Z239" s="234" t="str">
        <f t="shared" ca="1" si="10"/>
        <v>#REF!</v>
      </c>
      <c r="AA239" s="234" t="str">
        <f t="shared" ca="1" si="11"/>
        <v>#REF!</v>
      </c>
      <c r="AB239" s="234" t="str">
        <f t="shared" ca="1" si="12"/>
        <v>#REF!</v>
      </c>
      <c r="AC239" s="234" t="str">
        <f t="shared" ca="1" si="13"/>
        <v>#REF!</v>
      </c>
      <c r="AD239" s="101" t="str">
        <f t="shared" ca="1" si="14"/>
        <v>#REF!</v>
      </c>
      <c r="AE239" s="101" t="str">
        <f t="shared" ca="1" si="15"/>
        <v>#REF!</v>
      </c>
      <c r="AF239" s="235" t="str">
        <f t="shared" ref="AF239:AG239" ca="1" si="316">AD239/U239</f>
        <v>#REF!</v>
      </c>
      <c r="AG239" s="235" t="str">
        <f t="shared" ca="1" si="316"/>
        <v>#REF!</v>
      </c>
      <c r="AH239" s="212"/>
      <c r="AI239" s="213"/>
      <c r="AJ239" s="4"/>
      <c r="AK239" s="4"/>
      <c r="AL239" s="4"/>
      <c r="AM239" s="4"/>
      <c r="AN239" s="4"/>
      <c r="AO239" s="4"/>
      <c r="AP239" s="4"/>
      <c r="AQ239" s="4"/>
      <c r="AR239" s="4"/>
      <c r="AS239" s="4"/>
      <c r="AT239" s="4"/>
      <c r="AU239" s="4"/>
    </row>
    <row r="240" spans="1:47" ht="13.2">
      <c r="A240" s="120"/>
      <c r="B240" s="113"/>
      <c r="C240" s="117"/>
      <c r="D240" s="117"/>
      <c r="E240" s="117"/>
      <c r="F240" s="123"/>
      <c r="G240" s="93" t="s">
        <v>145</v>
      </c>
      <c r="H240" s="125"/>
      <c r="I240" s="125"/>
      <c r="J240" s="82" t="str">
        <f t="shared" ca="1" si="147"/>
        <v>#REF!</v>
      </c>
      <c r="K240" s="82" t="str">
        <f t="shared" ca="1" si="256"/>
        <v>#REF!</v>
      </c>
      <c r="L240" s="82" t="str">
        <f t="shared" ca="1" si="199"/>
        <v>#REF!</v>
      </c>
      <c r="M240" s="125"/>
      <c r="N240" s="125"/>
      <c r="O240" s="230">
        <f t="shared" si="2"/>
        <v>0</v>
      </c>
      <c r="P240" s="231">
        <f t="shared" si="3"/>
        <v>0</v>
      </c>
      <c r="Q240" s="232" t="str">
        <f ca="1">ROUNDUP(HLOOKUP(IF(CEILING(L240,0.5)&lt;1,1,CEILING(L240,0.5)),'배송비 조회'!A$32:AY$36,2,0),-2)</f>
        <v>#REF!</v>
      </c>
      <c r="R240" s="232">
        <v>0</v>
      </c>
      <c r="S240" s="231" t="str">
        <f t="shared" ca="1" si="250"/>
        <v>#REF!</v>
      </c>
      <c r="T240" s="231" t="str">
        <f t="shared" ca="1" si="200"/>
        <v>#REF!</v>
      </c>
      <c r="U240" s="233" t="str">
        <f t="shared" ca="1" si="142"/>
        <v>#REF!</v>
      </c>
      <c r="V240" s="233" t="str">
        <f t="shared" ca="1" si="7"/>
        <v>#REF!</v>
      </c>
      <c r="W240" s="234">
        <v>0</v>
      </c>
      <c r="X240" s="234" t="str">
        <f t="shared" ca="1" si="8"/>
        <v>#REF!</v>
      </c>
      <c r="Y240" s="234" t="str">
        <f t="shared" ca="1" si="9"/>
        <v>#REF!</v>
      </c>
      <c r="Z240" s="234" t="str">
        <f t="shared" ca="1" si="10"/>
        <v>#REF!</v>
      </c>
      <c r="AA240" s="234" t="str">
        <f t="shared" ca="1" si="11"/>
        <v>#REF!</v>
      </c>
      <c r="AB240" s="234" t="str">
        <f t="shared" ca="1" si="12"/>
        <v>#REF!</v>
      </c>
      <c r="AC240" s="234" t="str">
        <f t="shared" ca="1" si="13"/>
        <v>#REF!</v>
      </c>
      <c r="AD240" s="101" t="str">
        <f t="shared" ca="1" si="14"/>
        <v>#REF!</v>
      </c>
      <c r="AE240" s="101" t="str">
        <f t="shared" ca="1" si="15"/>
        <v>#REF!</v>
      </c>
      <c r="AF240" s="235" t="str">
        <f t="shared" ref="AF240:AG240" ca="1" si="317">AD240/U240</f>
        <v>#REF!</v>
      </c>
      <c r="AG240" s="235" t="str">
        <f t="shared" ca="1" si="317"/>
        <v>#REF!</v>
      </c>
      <c r="AH240" s="212"/>
      <c r="AI240" s="213"/>
      <c r="AJ240" s="4"/>
      <c r="AK240" s="4"/>
      <c r="AL240" s="4"/>
      <c r="AM240" s="4"/>
      <c r="AN240" s="4"/>
      <c r="AO240" s="4"/>
      <c r="AP240" s="4"/>
      <c r="AQ240" s="4"/>
      <c r="AR240" s="4"/>
      <c r="AS240" s="4"/>
      <c r="AT240" s="4"/>
      <c r="AU240" s="4"/>
    </row>
    <row r="241" spans="1:47" ht="13.2">
      <c r="A241" s="120"/>
      <c r="B241" s="113"/>
      <c r="C241" s="117"/>
      <c r="D241" s="117"/>
      <c r="E241" s="117"/>
      <c r="F241" s="123"/>
      <c r="G241" s="93" t="s">
        <v>145</v>
      </c>
      <c r="H241" s="125"/>
      <c r="I241" s="125"/>
      <c r="J241" s="82" t="str">
        <f t="shared" ca="1" si="147"/>
        <v>#REF!</v>
      </c>
      <c r="K241" s="82" t="str">
        <f t="shared" ca="1" si="256"/>
        <v>#REF!</v>
      </c>
      <c r="L241" s="82" t="str">
        <f t="shared" ca="1" si="199"/>
        <v>#REF!</v>
      </c>
      <c r="M241" s="125"/>
      <c r="N241" s="125"/>
      <c r="O241" s="230">
        <f t="shared" si="2"/>
        <v>0</v>
      </c>
      <c r="P241" s="231">
        <f t="shared" si="3"/>
        <v>0</v>
      </c>
      <c r="Q241" s="232" t="str">
        <f ca="1">ROUNDUP(HLOOKUP(IF(CEILING(L241,0.5)&lt;1,1,CEILING(L241,0.5)),'배송비 조회'!A$32:AY$36,2,0),-2)</f>
        <v>#REF!</v>
      </c>
      <c r="R241" s="232">
        <v>0</v>
      </c>
      <c r="S241" s="231" t="str">
        <f t="shared" ca="1" si="250"/>
        <v>#REF!</v>
      </c>
      <c r="T241" s="231" t="str">
        <f t="shared" ca="1" si="200"/>
        <v>#REF!</v>
      </c>
      <c r="U241" s="233" t="str">
        <f t="shared" ca="1" si="142"/>
        <v>#REF!</v>
      </c>
      <c r="V241" s="233" t="str">
        <f t="shared" ca="1" si="7"/>
        <v>#REF!</v>
      </c>
      <c r="W241" s="234">
        <v>0</v>
      </c>
      <c r="X241" s="234" t="str">
        <f t="shared" ca="1" si="8"/>
        <v>#REF!</v>
      </c>
      <c r="Y241" s="234" t="str">
        <f t="shared" ca="1" si="9"/>
        <v>#REF!</v>
      </c>
      <c r="Z241" s="234" t="str">
        <f t="shared" ca="1" si="10"/>
        <v>#REF!</v>
      </c>
      <c r="AA241" s="234" t="str">
        <f t="shared" ca="1" si="11"/>
        <v>#REF!</v>
      </c>
      <c r="AB241" s="234" t="str">
        <f t="shared" ca="1" si="12"/>
        <v>#REF!</v>
      </c>
      <c r="AC241" s="234" t="str">
        <f t="shared" ca="1" si="13"/>
        <v>#REF!</v>
      </c>
      <c r="AD241" s="101" t="str">
        <f t="shared" ca="1" si="14"/>
        <v>#REF!</v>
      </c>
      <c r="AE241" s="101" t="str">
        <f t="shared" ca="1" si="15"/>
        <v>#REF!</v>
      </c>
      <c r="AF241" s="235" t="str">
        <f t="shared" ref="AF241:AG241" ca="1" si="318">AD241/U241</f>
        <v>#REF!</v>
      </c>
      <c r="AG241" s="235" t="str">
        <f t="shared" ca="1" si="318"/>
        <v>#REF!</v>
      </c>
      <c r="AH241" s="212"/>
      <c r="AI241" s="213"/>
      <c r="AJ241" s="4"/>
      <c r="AK241" s="4"/>
      <c r="AL241" s="4"/>
      <c r="AM241" s="4"/>
      <c r="AN241" s="4"/>
      <c r="AO241" s="4"/>
      <c r="AP241" s="4"/>
      <c r="AQ241" s="4"/>
      <c r="AR241" s="4"/>
      <c r="AS241" s="4"/>
      <c r="AT241" s="4"/>
      <c r="AU241" s="4"/>
    </row>
    <row r="242" spans="1:47" ht="13.2">
      <c r="A242" s="120"/>
      <c r="B242" s="113"/>
      <c r="C242" s="117"/>
      <c r="D242" s="117"/>
      <c r="E242" s="117"/>
      <c r="F242" s="123"/>
      <c r="G242" s="93" t="s">
        <v>145</v>
      </c>
      <c r="H242" s="125"/>
      <c r="I242" s="125"/>
      <c r="J242" s="82" t="str">
        <f t="shared" ca="1" si="147"/>
        <v>#REF!</v>
      </c>
      <c r="K242" s="82" t="str">
        <f t="shared" ca="1" si="256"/>
        <v>#REF!</v>
      </c>
      <c r="L242" s="82" t="str">
        <f t="shared" ca="1" si="199"/>
        <v>#REF!</v>
      </c>
      <c r="M242" s="125"/>
      <c r="N242" s="125"/>
      <c r="O242" s="230">
        <f t="shared" si="2"/>
        <v>0</v>
      </c>
      <c r="P242" s="231">
        <f t="shared" si="3"/>
        <v>0</v>
      </c>
      <c r="Q242" s="232" t="str">
        <f ca="1">ROUNDUP(HLOOKUP(IF(CEILING(L242,0.5)&lt;1,1,CEILING(L242,0.5)),'배송비 조회'!A$32:AY$36,2,0),-2)</f>
        <v>#REF!</v>
      </c>
      <c r="R242" s="232">
        <v>0</v>
      </c>
      <c r="S242" s="231" t="str">
        <f t="shared" ca="1" si="250"/>
        <v>#REF!</v>
      </c>
      <c r="T242" s="231" t="str">
        <f t="shared" ca="1" si="200"/>
        <v>#REF!</v>
      </c>
      <c r="U242" s="233" t="str">
        <f t="shared" ca="1" si="142"/>
        <v>#REF!</v>
      </c>
      <c r="V242" s="233" t="str">
        <f t="shared" ca="1" si="7"/>
        <v>#REF!</v>
      </c>
      <c r="W242" s="234">
        <v>0</v>
      </c>
      <c r="X242" s="234" t="str">
        <f t="shared" ca="1" si="8"/>
        <v>#REF!</v>
      </c>
      <c r="Y242" s="234" t="str">
        <f t="shared" ca="1" si="9"/>
        <v>#REF!</v>
      </c>
      <c r="Z242" s="234" t="str">
        <f t="shared" ca="1" si="10"/>
        <v>#REF!</v>
      </c>
      <c r="AA242" s="234" t="str">
        <f t="shared" ca="1" si="11"/>
        <v>#REF!</v>
      </c>
      <c r="AB242" s="234" t="str">
        <f t="shared" ca="1" si="12"/>
        <v>#REF!</v>
      </c>
      <c r="AC242" s="234" t="str">
        <f t="shared" ca="1" si="13"/>
        <v>#REF!</v>
      </c>
      <c r="AD242" s="101" t="str">
        <f t="shared" ca="1" si="14"/>
        <v>#REF!</v>
      </c>
      <c r="AE242" s="101" t="str">
        <f t="shared" ca="1" si="15"/>
        <v>#REF!</v>
      </c>
      <c r="AF242" s="235" t="str">
        <f t="shared" ref="AF242:AG242" ca="1" si="319">AD242/U242</f>
        <v>#REF!</v>
      </c>
      <c r="AG242" s="235" t="str">
        <f t="shared" ca="1" si="319"/>
        <v>#REF!</v>
      </c>
      <c r="AH242" s="212"/>
      <c r="AI242" s="213"/>
      <c r="AJ242" s="4"/>
      <c r="AK242" s="4"/>
      <c r="AL242" s="4"/>
      <c r="AM242" s="4"/>
      <c r="AN242" s="4"/>
      <c r="AO242" s="4"/>
      <c r="AP242" s="4"/>
      <c r="AQ242" s="4"/>
      <c r="AR242" s="4"/>
      <c r="AS242" s="4"/>
      <c r="AT242" s="4"/>
      <c r="AU242" s="4"/>
    </row>
    <row r="243" spans="1:47" ht="13.2">
      <c r="A243" s="120"/>
      <c r="B243" s="113"/>
      <c r="C243" s="117"/>
      <c r="D243" s="117"/>
      <c r="E243" s="117"/>
      <c r="F243" s="123"/>
      <c r="G243" s="93" t="s">
        <v>145</v>
      </c>
      <c r="H243" s="125"/>
      <c r="I243" s="125"/>
      <c r="J243" s="82" t="str">
        <f t="shared" ca="1" si="147"/>
        <v>#REF!</v>
      </c>
      <c r="K243" s="82" t="str">
        <f t="shared" ca="1" si="256"/>
        <v>#REF!</v>
      </c>
      <c r="L243" s="82" t="str">
        <f t="shared" ca="1" si="199"/>
        <v>#REF!</v>
      </c>
      <c r="M243" s="125"/>
      <c r="N243" s="125"/>
      <c r="O243" s="230">
        <f t="shared" si="2"/>
        <v>0</v>
      </c>
      <c r="P243" s="231">
        <f t="shared" si="3"/>
        <v>0</v>
      </c>
      <c r="Q243" s="232" t="str">
        <f ca="1">ROUNDUP(HLOOKUP(IF(CEILING(L243,0.5)&lt;1,1,CEILING(L243,0.5)),'배송비 조회'!A$32:AY$36,2,0),-2)</f>
        <v>#REF!</v>
      </c>
      <c r="R243" s="232">
        <v>0</v>
      </c>
      <c r="S243" s="231" t="str">
        <f t="shared" ca="1" si="250"/>
        <v>#REF!</v>
      </c>
      <c r="T243" s="231" t="str">
        <f t="shared" ca="1" si="200"/>
        <v>#REF!</v>
      </c>
      <c r="U243" s="233" t="str">
        <f t="shared" ca="1" si="142"/>
        <v>#REF!</v>
      </c>
      <c r="V243" s="233" t="str">
        <f t="shared" ca="1" si="7"/>
        <v>#REF!</v>
      </c>
      <c r="W243" s="234">
        <v>0</v>
      </c>
      <c r="X243" s="234" t="str">
        <f t="shared" ca="1" si="8"/>
        <v>#REF!</v>
      </c>
      <c r="Y243" s="234" t="str">
        <f t="shared" ca="1" si="9"/>
        <v>#REF!</v>
      </c>
      <c r="Z243" s="234" t="str">
        <f t="shared" ca="1" si="10"/>
        <v>#REF!</v>
      </c>
      <c r="AA243" s="234" t="str">
        <f t="shared" ca="1" si="11"/>
        <v>#REF!</v>
      </c>
      <c r="AB243" s="234" t="str">
        <f t="shared" ca="1" si="12"/>
        <v>#REF!</v>
      </c>
      <c r="AC243" s="234" t="str">
        <f t="shared" ca="1" si="13"/>
        <v>#REF!</v>
      </c>
      <c r="AD243" s="101" t="str">
        <f t="shared" ca="1" si="14"/>
        <v>#REF!</v>
      </c>
      <c r="AE243" s="101" t="str">
        <f t="shared" ca="1" si="15"/>
        <v>#REF!</v>
      </c>
      <c r="AF243" s="235" t="str">
        <f t="shared" ref="AF243:AG243" ca="1" si="320">AD243/U243</f>
        <v>#REF!</v>
      </c>
      <c r="AG243" s="235" t="str">
        <f t="shared" ca="1" si="320"/>
        <v>#REF!</v>
      </c>
      <c r="AH243" s="212"/>
      <c r="AI243" s="213"/>
      <c r="AJ243" s="4"/>
      <c r="AK243" s="4"/>
      <c r="AL243" s="4"/>
      <c r="AM243" s="4"/>
      <c r="AN243" s="4"/>
      <c r="AO243" s="4"/>
      <c r="AP243" s="4"/>
      <c r="AQ243" s="4"/>
      <c r="AR243" s="4"/>
      <c r="AS243" s="4"/>
      <c r="AT243" s="4"/>
      <c r="AU243" s="4"/>
    </row>
    <row r="244" spans="1:47" ht="13.2">
      <c r="A244" s="120"/>
      <c r="B244" s="113"/>
      <c r="C244" s="117"/>
      <c r="D244" s="117"/>
      <c r="E244" s="117"/>
      <c r="F244" s="123"/>
      <c r="G244" s="93" t="s">
        <v>145</v>
      </c>
      <c r="H244" s="125"/>
      <c r="I244" s="125"/>
      <c r="J244" s="82" t="str">
        <f t="shared" ca="1" si="147"/>
        <v>#REF!</v>
      </c>
      <c r="K244" s="82" t="str">
        <f t="shared" ca="1" si="256"/>
        <v>#REF!</v>
      </c>
      <c r="L244" s="82" t="str">
        <f t="shared" ca="1" si="199"/>
        <v>#REF!</v>
      </c>
      <c r="M244" s="125"/>
      <c r="N244" s="125"/>
      <c r="O244" s="230">
        <f t="shared" si="2"/>
        <v>0</v>
      </c>
      <c r="P244" s="231">
        <f t="shared" si="3"/>
        <v>0</v>
      </c>
      <c r="Q244" s="232" t="str">
        <f ca="1">ROUNDUP(HLOOKUP(IF(CEILING(L244,0.5)&lt;1,1,CEILING(L244,0.5)),'배송비 조회'!A$32:AY$36,2,0),-2)</f>
        <v>#REF!</v>
      </c>
      <c r="R244" s="232">
        <v>0</v>
      </c>
      <c r="S244" s="231" t="str">
        <f t="shared" ca="1" si="250"/>
        <v>#REF!</v>
      </c>
      <c r="T244" s="231" t="str">
        <f t="shared" ca="1" si="200"/>
        <v>#REF!</v>
      </c>
      <c r="U244" s="233" t="str">
        <f t="shared" ca="1" si="142"/>
        <v>#REF!</v>
      </c>
      <c r="V244" s="233" t="str">
        <f t="shared" ca="1" si="7"/>
        <v>#REF!</v>
      </c>
      <c r="W244" s="234">
        <v>0</v>
      </c>
      <c r="X244" s="234" t="str">
        <f t="shared" ca="1" si="8"/>
        <v>#REF!</v>
      </c>
      <c r="Y244" s="234" t="str">
        <f t="shared" ca="1" si="9"/>
        <v>#REF!</v>
      </c>
      <c r="Z244" s="234" t="str">
        <f t="shared" ca="1" si="10"/>
        <v>#REF!</v>
      </c>
      <c r="AA244" s="234" t="str">
        <f t="shared" ca="1" si="11"/>
        <v>#REF!</v>
      </c>
      <c r="AB244" s="234" t="str">
        <f t="shared" ca="1" si="12"/>
        <v>#REF!</v>
      </c>
      <c r="AC244" s="234" t="str">
        <f t="shared" ca="1" si="13"/>
        <v>#REF!</v>
      </c>
      <c r="AD244" s="101" t="str">
        <f t="shared" ca="1" si="14"/>
        <v>#REF!</v>
      </c>
      <c r="AE244" s="101" t="str">
        <f t="shared" ca="1" si="15"/>
        <v>#REF!</v>
      </c>
      <c r="AF244" s="235" t="str">
        <f t="shared" ref="AF244:AG244" ca="1" si="321">AD244/U244</f>
        <v>#REF!</v>
      </c>
      <c r="AG244" s="235" t="str">
        <f t="shared" ca="1" si="321"/>
        <v>#REF!</v>
      </c>
      <c r="AH244" s="212"/>
      <c r="AI244" s="213"/>
      <c r="AJ244" s="4"/>
      <c r="AK244" s="4"/>
      <c r="AL244" s="4"/>
      <c r="AM244" s="4"/>
      <c r="AN244" s="4"/>
      <c r="AO244" s="4"/>
      <c r="AP244" s="4"/>
      <c r="AQ244" s="4"/>
      <c r="AR244" s="4"/>
      <c r="AS244" s="4"/>
      <c r="AT244" s="4"/>
      <c r="AU244" s="4"/>
    </row>
    <row r="245" spans="1:47" ht="13.2">
      <c r="A245" s="120"/>
      <c r="B245" s="113"/>
      <c r="C245" s="117"/>
      <c r="D245" s="117"/>
      <c r="E245" s="117"/>
      <c r="F245" s="123"/>
      <c r="G245" s="93" t="s">
        <v>145</v>
      </c>
      <c r="H245" s="125"/>
      <c r="I245" s="125"/>
      <c r="J245" s="82" t="str">
        <f t="shared" ca="1" si="147"/>
        <v>#REF!</v>
      </c>
      <c r="K245" s="82" t="str">
        <f t="shared" ca="1" si="256"/>
        <v>#REF!</v>
      </c>
      <c r="L245" s="82" t="str">
        <f t="shared" ca="1" si="199"/>
        <v>#REF!</v>
      </c>
      <c r="M245" s="125"/>
      <c r="N245" s="125"/>
      <c r="O245" s="230">
        <f t="shared" si="2"/>
        <v>0</v>
      </c>
      <c r="P245" s="231">
        <f t="shared" si="3"/>
        <v>0</v>
      </c>
      <c r="Q245" s="232" t="str">
        <f ca="1">ROUNDUP(HLOOKUP(IF(CEILING(L245,0.5)&lt;1,1,CEILING(L245,0.5)),'배송비 조회'!A$32:AY$36,2,0),-2)</f>
        <v>#REF!</v>
      </c>
      <c r="R245" s="232">
        <v>0</v>
      </c>
      <c r="S245" s="231" t="str">
        <f t="shared" ca="1" si="250"/>
        <v>#REF!</v>
      </c>
      <c r="T245" s="231" t="str">
        <f t="shared" ca="1" si="200"/>
        <v>#REF!</v>
      </c>
      <c r="U245" s="233" t="str">
        <f t="shared" ca="1" si="142"/>
        <v>#REF!</v>
      </c>
      <c r="V245" s="233" t="str">
        <f t="shared" ca="1" si="7"/>
        <v>#REF!</v>
      </c>
      <c r="W245" s="234">
        <v>0</v>
      </c>
      <c r="X245" s="234" t="str">
        <f t="shared" ca="1" si="8"/>
        <v>#REF!</v>
      </c>
      <c r="Y245" s="234" t="str">
        <f t="shared" ca="1" si="9"/>
        <v>#REF!</v>
      </c>
      <c r="Z245" s="234" t="str">
        <f t="shared" ca="1" si="10"/>
        <v>#REF!</v>
      </c>
      <c r="AA245" s="234" t="str">
        <f t="shared" ca="1" si="11"/>
        <v>#REF!</v>
      </c>
      <c r="AB245" s="234" t="str">
        <f t="shared" ca="1" si="12"/>
        <v>#REF!</v>
      </c>
      <c r="AC245" s="234" t="str">
        <f t="shared" ca="1" si="13"/>
        <v>#REF!</v>
      </c>
      <c r="AD245" s="101" t="str">
        <f t="shared" ca="1" si="14"/>
        <v>#REF!</v>
      </c>
      <c r="AE245" s="101" t="str">
        <f t="shared" ca="1" si="15"/>
        <v>#REF!</v>
      </c>
      <c r="AF245" s="235" t="str">
        <f t="shared" ref="AF245:AG245" ca="1" si="322">AD245/U245</f>
        <v>#REF!</v>
      </c>
      <c r="AG245" s="235" t="str">
        <f t="shared" ca="1" si="322"/>
        <v>#REF!</v>
      </c>
      <c r="AH245" s="212"/>
      <c r="AI245" s="213"/>
      <c r="AJ245" s="4"/>
      <c r="AK245" s="4"/>
      <c r="AL245" s="4"/>
      <c r="AM245" s="4"/>
      <c r="AN245" s="4"/>
      <c r="AO245" s="4"/>
      <c r="AP245" s="4"/>
      <c r="AQ245" s="4"/>
      <c r="AR245" s="4"/>
      <c r="AS245" s="4"/>
      <c r="AT245" s="4"/>
      <c r="AU245" s="4"/>
    </row>
    <row r="246" spans="1:47" ht="13.2">
      <c r="A246" s="120"/>
      <c r="B246" s="113"/>
      <c r="C246" s="117"/>
      <c r="D246" s="117"/>
      <c r="E246" s="117"/>
      <c r="F246" s="123"/>
      <c r="G246" s="93" t="s">
        <v>145</v>
      </c>
      <c r="H246" s="125"/>
      <c r="I246" s="125"/>
      <c r="J246" s="82" t="str">
        <f t="shared" ca="1" si="147"/>
        <v>#REF!</v>
      </c>
      <c r="K246" s="82" t="str">
        <f t="shared" ca="1" si="256"/>
        <v>#REF!</v>
      </c>
      <c r="L246" s="82" t="str">
        <f t="shared" ca="1" si="199"/>
        <v>#REF!</v>
      </c>
      <c r="M246" s="125"/>
      <c r="N246" s="125"/>
      <c r="O246" s="230">
        <f t="shared" si="2"/>
        <v>0</v>
      </c>
      <c r="P246" s="231">
        <f t="shared" si="3"/>
        <v>0</v>
      </c>
      <c r="Q246" s="232" t="str">
        <f ca="1">ROUNDUP(HLOOKUP(IF(CEILING(L246,0.5)&lt;1,1,CEILING(L246,0.5)),'배송비 조회'!A$32:AY$36,2,0),-2)</f>
        <v>#REF!</v>
      </c>
      <c r="R246" s="232">
        <v>0</v>
      </c>
      <c r="S246" s="231" t="str">
        <f t="shared" ca="1" si="250"/>
        <v>#REF!</v>
      </c>
      <c r="T246" s="231" t="str">
        <f t="shared" ca="1" si="200"/>
        <v>#REF!</v>
      </c>
      <c r="U246" s="233" t="str">
        <f t="shared" ca="1" si="142"/>
        <v>#REF!</v>
      </c>
      <c r="V246" s="233" t="str">
        <f t="shared" ca="1" si="7"/>
        <v>#REF!</v>
      </c>
      <c r="W246" s="234">
        <v>0</v>
      </c>
      <c r="X246" s="234" t="str">
        <f t="shared" ca="1" si="8"/>
        <v>#REF!</v>
      </c>
      <c r="Y246" s="234" t="str">
        <f t="shared" ca="1" si="9"/>
        <v>#REF!</v>
      </c>
      <c r="Z246" s="234" t="str">
        <f t="shared" ca="1" si="10"/>
        <v>#REF!</v>
      </c>
      <c r="AA246" s="234" t="str">
        <f t="shared" ca="1" si="11"/>
        <v>#REF!</v>
      </c>
      <c r="AB246" s="234" t="str">
        <f t="shared" ca="1" si="12"/>
        <v>#REF!</v>
      </c>
      <c r="AC246" s="234" t="str">
        <f t="shared" ca="1" si="13"/>
        <v>#REF!</v>
      </c>
      <c r="AD246" s="101" t="str">
        <f t="shared" ca="1" si="14"/>
        <v>#REF!</v>
      </c>
      <c r="AE246" s="101" t="str">
        <f t="shared" ca="1" si="15"/>
        <v>#REF!</v>
      </c>
      <c r="AF246" s="235" t="str">
        <f t="shared" ref="AF246:AG246" ca="1" si="323">AD246/U246</f>
        <v>#REF!</v>
      </c>
      <c r="AG246" s="235" t="str">
        <f t="shared" ca="1" si="323"/>
        <v>#REF!</v>
      </c>
      <c r="AH246" s="212"/>
      <c r="AI246" s="213"/>
      <c r="AJ246" s="4"/>
      <c r="AK246" s="4"/>
      <c r="AL246" s="4"/>
      <c r="AM246" s="4"/>
      <c r="AN246" s="4"/>
      <c r="AO246" s="4"/>
      <c r="AP246" s="4"/>
      <c r="AQ246" s="4"/>
      <c r="AR246" s="4"/>
      <c r="AS246" s="4"/>
      <c r="AT246" s="4"/>
      <c r="AU246" s="4"/>
    </row>
    <row r="247" spans="1:47" ht="13.2">
      <c r="A247" s="120"/>
      <c r="B247" s="113"/>
      <c r="C247" s="117"/>
      <c r="D247" s="117"/>
      <c r="E247" s="117"/>
      <c r="F247" s="123"/>
      <c r="G247" s="93" t="s">
        <v>145</v>
      </c>
      <c r="H247" s="125"/>
      <c r="I247" s="125"/>
      <c r="J247" s="82" t="str">
        <f t="shared" ca="1" si="147"/>
        <v>#REF!</v>
      </c>
      <c r="K247" s="82" t="str">
        <f t="shared" ca="1" si="256"/>
        <v>#REF!</v>
      </c>
      <c r="L247" s="82" t="str">
        <f t="shared" ca="1" si="199"/>
        <v>#REF!</v>
      </c>
      <c r="M247" s="125"/>
      <c r="N247" s="125"/>
      <c r="O247" s="230">
        <f t="shared" si="2"/>
        <v>0</v>
      </c>
      <c r="P247" s="231">
        <f t="shared" si="3"/>
        <v>0</v>
      </c>
      <c r="Q247" s="232" t="str">
        <f ca="1">ROUNDUP(HLOOKUP(IF(CEILING(L247,0.5)&lt;1,1,CEILING(L247,0.5)),'배송비 조회'!A$32:AY$36,2,0),-2)</f>
        <v>#REF!</v>
      </c>
      <c r="R247" s="232">
        <v>0</v>
      </c>
      <c r="S247" s="231" t="str">
        <f t="shared" ca="1" si="250"/>
        <v>#REF!</v>
      </c>
      <c r="T247" s="231" t="str">
        <f t="shared" ca="1" si="200"/>
        <v>#REF!</v>
      </c>
      <c r="U247" s="233" t="str">
        <f t="shared" ca="1" si="142"/>
        <v>#REF!</v>
      </c>
      <c r="V247" s="233" t="str">
        <f t="shared" ca="1" si="7"/>
        <v>#REF!</v>
      </c>
      <c r="W247" s="234">
        <v>0</v>
      </c>
      <c r="X247" s="234" t="str">
        <f t="shared" ca="1" si="8"/>
        <v>#REF!</v>
      </c>
      <c r="Y247" s="234" t="str">
        <f t="shared" ca="1" si="9"/>
        <v>#REF!</v>
      </c>
      <c r="Z247" s="234" t="str">
        <f t="shared" ca="1" si="10"/>
        <v>#REF!</v>
      </c>
      <c r="AA247" s="234" t="str">
        <f t="shared" ca="1" si="11"/>
        <v>#REF!</v>
      </c>
      <c r="AB247" s="234" t="str">
        <f t="shared" ca="1" si="12"/>
        <v>#REF!</v>
      </c>
      <c r="AC247" s="234" t="str">
        <f t="shared" ca="1" si="13"/>
        <v>#REF!</v>
      </c>
      <c r="AD247" s="101" t="str">
        <f t="shared" ca="1" si="14"/>
        <v>#REF!</v>
      </c>
      <c r="AE247" s="101" t="str">
        <f t="shared" ca="1" si="15"/>
        <v>#REF!</v>
      </c>
      <c r="AF247" s="235" t="str">
        <f t="shared" ref="AF247:AG247" ca="1" si="324">AD247/U247</f>
        <v>#REF!</v>
      </c>
      <c r="AG247" s="235" t="str">
        <f t="shared" ca="1" si="324"/>
        <v>#REF!</v>
      </c>
      <c r="AH247" s="212"/>
      <c r="AI247" s="213"/>
      <c r="AJ247" s="4"/>
      <c r="AK247" s="4"/>
      <c r="AL247" s="4"/>
      <c r="AM247" s="4"/>
      <c r="AN247" s="4"/>
      <c r="AO247" s="4"/>
      <c r="AP247" s="4"/>
      <c r="AQ247" s="4"/>
      <c r="AR247" s="4"/>
      <c r="AS247" s="4"/>
      <c r="AT247" s="4"/>
      <c r="AU247" s="4"/>
    </row>
    <row r="248" spans="1:47" ht="13.2">
      <c r="A248" s="120"/>
      <c r="B248" s="113"/>
      <c r="C248" s="117"/>
      <c r="D248" s="117"/>
      <c r="E248" s="117"/>
      <c r="F248" s="123"/>
      <c r="G248" s="93" t="s">
        <v>145</v>
      </c>
      <c r="H248" s="125"/>
      <c r="I248" s="125"/>
      <c r="J248" s="82" t="str">
        <f t="shared" ca="1" si="147"/>
        <v>#REF!</v>
      </c>
      <c r="K248" s="82" t="str">
        <f t="shared" ca="1" si="256"/>
        <v>#REF!</v>
      </c>
      <c r="L248" s="82" t="str">
        <f t="shared" ca="1" si="199"/>
        <v>#REF!</v>
      </c>
      <c r="M248" s="125"/>
      <c r="N248" s="125"/>
      <c r="O248" s="230">
        <f t="shared" si="2"/>
        <v>0</v>
      </c>
      <c r="P248" s="231">
        <f t="shared" si="3"/>
        <v>0</v>
      </c>
      <c r="Q248" s="232" t="str">
        <f ca="1">ROUNDUP(HLOOKUP(IF(CEILING(L248,0.5)&lt;1,1,CEILING(L248,0.5)),'배송비 조회'!A$32:AY$36,2,0),-2)</f>
        <v>#REF!</v>
      </c>
      <c r="R248" s="232">
        <v>0</v>
      </c>
      <c r="S248" s="231" t="str">
        <f t="shared" ca="1" si="250"/>
        <v>#REF!</v>
      </c>
      <c r="T248" s="231" t="str">
        <f t="shared" ca="1" si="200"/>
        <v>#REF!</v>
      </c>
      <c r="U248" s="233" t="str">
        <f t="shared" ca="1" si="142"/>
        <v>#REF!</v>
      </c>
      <c r="V248" s="233" t="str">
        <f t="shared" ca="1" si="7"/>
        <v>#REF!</v>
      </c>
      <c r="W248" s="234">
        <v>0</v>
      </c>
      <c r="X248" s="234" t="str">
        <f t="shared" ca="1" si="8"/>
        <v>#REF!</v>
      </c>
      <c r="Y248" s="234" t="str">
        <f t="shared" ca="1" si="9"/>
        <v>#REF!</v>
      </c>
      <c r="Z248" s="234" t="str">
        <f t="shared" ca="1" si="10"/>
        <v>#REF!</v>
      </c>
      <c r="AA248" s="234" t="str">
        <f t="shared" ca="1" si="11"/>
        <v>#REF!</v>
      </c>
      <c r="AB248" s="234" t="str">
        <f t="shared" ca="1" si="12"/>
        <v>#REF!</v>
      </c>
      <c r="AC248" s="234" t="str">
        <f t="shared" ca="1" si="13"/>
        <v>#REF!</v>
      </c>
      <c r="AD248" s="101" t="str">
        <f t="shared" ca="1" si="14"/>
        <v>#REF!</v>
      </c>
      <c r="AE248" s="101" t="str">
        <f t="shared" ca="1" si="15"/>
        <v>#REF!</v>
      </c>
      <c r="AF248" s="235" t="str">
        <f t="shared" ref="AF248:AG248" ca="1" si="325">AD248/U248</f>
        <v>#REF!</v>
      </c>
      <c r="AG248" s="235" t="str">
        <f t="shared" ca="1" si="325"/>
        <v>#REF!</v>
      </c>
      <c r="AH248" s="212"/>
      <c r="AI248" s="213"/>
      <c r="AJ248" s="4"/>
      <c r="AK248" s="4"/>
      <c r="AL248" s="4"/>
      <c r="AM248" s="4"/>
      <c r="AN248" s="4"/>
      <c r="AO248" s="4"/>
      <c r="AP248" s="4"/>
      <c r="AQ248" s="4"/>
      <c r="AR248" s="4"/>
      <c r="AS248" s="4"/>
      <c r="AT248" s="4"/>
      <c r="AU248" s="4"/>
    </row>
    <row r="249" spans="1:47" ht="13.2">
      <c r="A249" s="120"/>
      <c r="B249" s="113"/>
      <c r="C249" s="117"/>
      <c r="D249" s="117"/>
      <c r="E249" s="117"/>
      <c r="F249" s="123"/>
      <c r="G249" s="93" t="s">
        <v>145</v>
      </c>
      <c r="H249" s="125"/>
      <c r="I249" s="125"/>
      <c r="J249" s="82" t="str">
        <f t="shared" ca="1" si="147"/>
        <v>#REF!</v>
      </c>
      <c r="K249" s="82" t="str">
        <f t="shared" ca="1" si="256"/>
        <v>#REF!</v>
      </c>
      <c r="L249" s="82" t="str">
        <f t="shared" ca="1" si="199"/>
        <v>#REF!</v>
      </c>
      <c r="M249" s="125"/>
      <c r="N249" s="125"/>
      <c r="O249" s="230">
        <f t="shared" si="2"/>
        <v>0</v>
      </c>
      <c r="P249" s="231">
        <f t="shared" si="3"/>
        <v>0</v>
      </c>
      <c r="Q249" s="232" t="str">
        <f ca="1">ROUNDUP(HLOOKUP(IF(CEILING(L249,0.5)&lt;1,1,CEILING(L249,0.5)),'배송비 조회'!A$32:AY$36,2,0),-2)</f>
        <v>#REF!</v>
      </c>
      <c r="R249" s="232">
        <v>0</v>
      </c>
      <c r="S249" s="231" t="str">
        <f t="shared" ca="1" si="250"/>
        <v>#REF!</v>
      </c>
      <c r="T249" s="231" t="str">
        <f t="shared" ca="1" si="200"/>
        <v>#REF!</v>
      </c>
      <c r="U249" s="233" t="str">
        <f t="shared" ca="1" si="142"/>
        <v>#REF!</v>
      </c>
      <c r="V249" s="233" t="str">
        <f t="shared" ca="1" si="7"/>
        <v>#REF!</v>
      </c>
      <c r="W249" s="234">
        <v>0</v>
      </c>
      <c r="X249" s="234" t="str">
        <f t="shared" ca="1" si="8"/>
        <v>#REF!</v>
      </c>
      <c r="Y249" s="234" t="str">
        <f t="shared" ca="1" si="9"/>
        <v>#REF!</v>
      </c>
      <c r="Z249" s="234" t="str">
        <f t="shared" ca="1" si="10"/>
        <v>#REF!</v>
      </c>
      <c r="AA249" s="234" t="str">
        <f t="shared" ca="1" si="11"/>
        <v>#REF!</v>
      </c>
      <c r="AB249" s="234" t="str">
        <f t="shared" ca="1" si="12"/>
        <v>#REF!</v>
      </c>
      <c r="AC249" s="234" t="str">
        <f t="shared" ca="1" si="13"/>
        <v>#REF!</v>
      </c>
      <c r="AD249" s="101" t="str">
        <f t="shared" ca="1" si="14"/>
        <v>#REF!</v>
      </c>
      <c r="AE249" s="101" t="str">
        <f t="shared" ca="1" si="15"/>
        <v>#REF!</v>
      </c>
      <c r="AF249" s="235" t="str">
        <f t="shared" ref="AF249:AG249" ca="1" si="326">AD249/U249</f>
        <v>#REF!</v>
      </c>
      <c r="AG249" s="235" t="str">
        <f t="shared" ca="1" si="326"/>
        <v>#REF!</v>
      </c>
      <c r="AH249" s="212"/>
      <c r="AI249" s="213"/>
      <c r="AJ249" s="4"/>
      <c r="AK249" s="4"/>
      <c r="AL249" s="4"/>
      <c r="AM249" s="4"/>
      <c r="AN249" s="4"/>
      <c r="AO249" s="4"/>
      <c r="AP249" s="4"/>
      <c r="AQ249" s="4"/>
      <c r="AR249" s="4"/>
      <c r="AS249" s="4"/>
      <c r="AT249" s="4"/>
      <c r="AU249" s="4"/>
    </row>
    <row r="250" spans="1:47" ht="13.2">
      <c r="A250" s="120"/>
      <c r="B250" s="113"/>
      <c r="C250" s="117"/>
      <c r="D250" s="117"/>
      <c r="E250" s="117"/>
      <c r="F250" s="123"/>
      <c r="G250" s="93" t="s">
        <v>145</v>
      </c>
      <c r="H250" s="125"/>
      <c r="I250" s="125"/>
      <c r="J250" s="82" t="str">
        <f t="shared" ca="1" si="147"/>
        <v>#REF!</v>
      </c>
      <c r="K250" s="82" t="str">
        <f t="shared" ca="1" si="256"/>
        <v>#REF!</v>
      </c>
      <c r="L250" s="82" t="str">
        <f t="shared" ca="1" si="199"/>
        <v>#REF!</v>
      </c>
      <c r="M250" s="125"/>
      <c r="N250" s="125"/>
      <c r="O250" s="230">
        <f t="shared" si="2"/>
        <v>0</v>
      </c>
      <c r="P250" s="231">
        <f t="shared" si="3"/>
        <v>0</v>
      </c>
      <c r="Q250" s="232" t="str">
        <f ca="1">ROUNDUP(HLOOKUP(IF(CEILING(L250,0.5)&lt;1,1,CEILING(L250,0.5)),'배송비 조회'!A$32:AY$36,2,0),-2)</f>
        <v>#REF!</v>
      </c>
      <c r="R250" s="232">
        <v>0</v>
      </c>
      <c r="S250" s="231" t="str">
        <f t="shared" ca="1" si="250"/>
        <v>#REF!</v>
      </c>
      <c r="T250" s="231" t="str">
        <f t="shared" ca="1" si="200"/>
        <v>#REF!</v>
      </c>
      <c r="U250" s="233" t="str">
        <f t="shared" ca="1" si="142"/>
        <v>#REF!</v>
      </c>
      <c r="V250" s="233" t="str">
        <f t="shared" ca="1" si="7"/>
        <v>#REF!</v>
      </c>
      <c r="W250" s="234">
        <v>0</v>
      </c>
      <c r="X250" s="234" t="str">
        <f t="shared" ca="1" si="8"/>
        <v>#REF!</v>
      </c>
      <c r="Y250" s="234" t="str">
        <f t="shared" ca="1" si="9"/>
        <v>#REF!</v>
      </c>
      <c r="Z250" s="234" t="str">
        <f t="shared" ca="1" si="10"/>
        <v>#REF!</v>
      </c>
      <c r="AA250" s="234" t="str">
        <f t="shared" ca="1" si="11"/>
        <v>#REF!</v>
      </c>
      <c r="AB250" s="234" t="str">
        <f t="shared" ca="1" si="12"/>
        <v>#REF!</v>
      </c>
      <c r="AC250" s="234" t="str">
        <f t="shared" ca="1" si="13"/>
        <v>#REF!</v>
      </c>
      <c r="AD250" s="101" t="str">
        <f t="shared" ca="1" si="14"/>
        <v>#REF!</v>
      </c>
      <c r="AE250" s="101" t="str">
        <f t="shared" ca="1" si="15"/>
        <v>#REF!</v>
      </c>
      <c r="AF250" s="235" t="str">
        <f t="shared" ref="AF250:AG250" ca="1" si="327">AD250/U250</f>
        <v>#REF!</v>
      </c>
      <c r="AG250" s="235" t="str">
        <f t="shared" ca="1" si="327"/>
        <v>#REF!</v>
      </c>
      <c r="AH250" s="212"/>
      <c r="AI250" s="213"/>
      <c r="AJ250" s="4"/>
      <c r="AK250" s="4"/>
      <c r="AL250" s="4"/>
      <c r="AM250" s="4"/>
      <c r="AN250" s="4"/>
      <c r="AO250" s="4"/>
      <c r="AP250" s="4"/>
      <c r="AQ250" s="4"/>
      <c r="AR250" s="4"/>
      <c r="AS250" s="4"/>
      <c r="AT250" s="4"/>
      <c r="AU250" s="4"/>
    </row>
    <row r="251" spans="1:47" ht="13.2">
      <c r="A251" s="120"/>
      <c r="B251" s="113"/>
      <c r="C251" s="117"/>
      <c r="D251" s="117"/>
      <c r="E251" s="117"/>
      <c r="F251" s="123"/>
      <c r="G251" s="93" t="s">
        <v>145</v>
      </c>
      <c r="H251" s="125"/>
      <c r="I251" s="125"/>
      <c r="J251" s="82" t="str">
        <f t="shared" ca="1" si="147"/>
        <v>#REF!</v>
      </c>
      <c r="K251" s="82" t="str">
        <f t="shared" ca="1" si="256"/>
        <v>#REF!</v>
      </c>
      <c r="L251" s="82" t="str">
        <f t="shared" ca="1" si="199"/>
        <v>#REF!</v>
      </c>
      <c r="M251" s="125"/>
      <c r="N251" s="125"/>
      <c r="O251" s="230">
        <f t="shared" si="2"/>
        <v>0</v>
      </c>
      <c r="P251" s="231">
        <f t="shared" si="3"/>
        <v>0</v>
      </c>
      <c r="Q251" s="232" t="str">
        <f ca="1">ROUNDUP(HLOOKUP(IF(CEILING(L251,0.5)&lt;1,1,CEILING(L251,0.5)),'배송비 조회'!A$32:AY$36,2,0),-2)</f>
        <v>#REF!</v>
      </c>
      <c r="R251" s="232">
        <v>0</v>
      </c>
      <c r="S251" s="231" t="str">
        <f t="shared" ca="1" si="250"/>
        <v>#REF!</v>
      </c>
      <c r="T251" s="231" t="str">
        <f t="shared" ca="1" si="200"/>
        <v>#REF!</v>
      </c>
      <c r="U251" s="233" t="str">
        <f t="shared" ca="1" si="142"/>
        <v>#REF!</v>
      </c>
      <c r="V251" s="233" t="str">
        <f t="shared" ca="1" si="7"/>
        <v>#REF!</v>
      </c>
      <c r="W251" s="234">
        <v>0</v>
      </c>
      <c r="X251" s="234" t="str">
        <f t="shared" ca="1" si="8"/>
        <v>#REF!</v>
      </c>
      <c r="Y251" s="234" t="str">
        <f t="shared" ca="1" si="9"/>
        <v>#REF!</v>
      </c>
      <c r="Z251" s="234" t="str">
        <f t="shared" ca="1" si="10"/>
        <v>#REF!</v>
      </c>
      <c r="AA251" s="234" t="str">
        <f t="shared" ca="1" si="11"/>
        <v>#REF!</v>
      </c>
      <c r="AB251" s="234" t="str">
        <f t="shared" ca="1" si="12"/>
        <v>#REF!</v>
      </c>
      <c r="AC251" s="234" t="str">
        <f t="shared" ca="1" si="13"/>
        <v>#REF!</v>
      </c>
      <c r="AD251" s="101" t="str">
        <f t="shared" ca="1" si="14"/>
        <v>#REF!</v>
      </c>
      <c r="AE251" s="101" t="str">
        <f t="shared" ca="1" si="15"/>
        <v>#REF!</v>
      </c>
      <c r="AF251" s="235" t="str">
        <f t="shared" ref="AF251:AG251" ca="1" si="328">AD251/U251</f>
        <v>#REF!</v>
      </c>
      <c r="AG251" s="235" t="str">
        <f t="shared" ca="1" si="328"/>
        <v>#REF!</v>
      </c>
      <c r="AH251" s="212"/>
      <c r="AI251" s="213"/>
      <c r="AJ251" s="4"/>
      <c r="AK251" s="4"/>
      <c r="AL251" s="4"/>
      <c r="AM251" s="4"/>
      <c r="AN251" s="4"/>
      <c r="AO251" s="4"/>
      <c r="AP251" s="4"/>
      <c r="AQ251" s="4"/>
      <c r="AR251" s="4"/>
      <c r="AS251" s="4"/>
      <c r="AT251" s="4"/>
      <c r="AU251" s="4"/>
    </row>
    <row r="252" spans="1:47" ht="13.2">
      <c r="A252" s="120"/>
      <c r="B252" s="113"/>
      <c r="C252" s="117"/>
      <c r="D252" s="117"/>
      <c r="E252" s="117"/>
      <c r="F252" s="123"/>
      <c r="G252" s="93" t="s">
        <v>145</v>
      </c>
      <c r="H252" s="125"/>
      <c r="I252" s="125"/>
      <c r="J252" s="82" t="str">
        <f t="shared" ca="1" si="147"/>
        <v>#REF!</v>
      </c>
      <c r="K252" s="82" t="str">
        <f t="shared" ca="1" si="256"/>
        <v>#REF!</v>
      </c>
      <c r="L252" s="82" t="str">
        <f t="shared" ca="1" si="199"/>
        <v>#REF!</v>
      </c>
      <c r="M252" s="125"/>
      <c r="N252" s="125"/>
      <c r="O252" s="230">
        <f t="shared" si="2"/>
        <v>0</v>
      </c>
      <c r="P252" s="231">
        <f t="shared" si="3"/>
        <v>0</v>
      </c>
      <c r="Q252" s="232" t="str">
        <f ca="1">ROUNDUP(HLOOKUP(IF(CEILING(L252,0.5)&lt;1,1,CEILING(L252,0.5)),'배송비 조회'!A$32:AY$36,2,0),-2)</f>
        <v>#REF!</v>
      </c>
      <c r="R252" s="232">
        <v>0</v>
      </c>
      <c r="S252" s="231" t="str">
        <f t="shared" ca="1" si="250"/>
        <v>#REF!</v>
      </c>
      <c r="T252" s="231" t="str">
        <f t="shared" ca="1" si="200"/>
        <v>#REF!</v>
      </c>
      <c r="U252" s="233" t="str">
        <f t="shared" ca="1" si="142"/>
        <v>#REF!</v>
      </c>
      <c r="V252" s="233" t="str">
        <f t="shared" ca="1" si="7"/>
        <v>#REF!</v>
      </c>
      <c r="W252" s="234">
        <v>0</v>
      </c>
      <c r="X252" s="234" t="str">
        <f t="shared" ca="1" si="8"/>
        <v>#REF!</v>
      </c>
      <c r="Y252" s="234" t="str">
        <f t="shared" ca="1" si="9"/>
        <v>#REF!</v>
      </c>
      <c r="Z252" s="234" t="str">
        <f t="shared" ca="1" si="10"/>
        <v>#REF!</v>
      </c>
      <c r="AA252" s="234" t="str">
        <f t="shared" ca="1" si="11"/>
        <v>#REF!</v>
      </c>
      <c r="AB252" s="234" t="str">
        <f t="shared" ca="1" si="12"/>
        <v>#REF!</v>
      </c>
      <c r="AC252" s="234" t="str">
        <f t="shared" ca="1" si="13"/>
        <v>#REF!</v>
      </c>
      <c r="AD252" s="101" t="str">
        <f t="shared" ca="1" si="14"/>
        <v>#REF!</v>
      </c>
      <c r="AE252" s="101" t="str">
        <f t="shared" ca="1" si="15"/>
        <v>#REF!</v>
      </c>
      <c r="AF252" s="235" t="str">
        <f t="shared" ref="AF252:AG252" ca="1" si="329">AD252/U252</f>
        <v>#REF!</v>
      </c>
      <c r="AG252" s="235" t="str">
        <f t="shared" ca="1" si="329"/>
        <v>#REF!</v>
      </c>
      <c r="AH252" s="212"/>
      <c r="AI252" s="213"/>
      <c r="AJ252" s="4"/>
      <c r="AK252" s="4"/>
      <c r="AL252" s="4"/>
      <c r="AM252" s="4"/>
      <c r="AN252" s="4"/>
      <c r="AO252" s="4"/>
      <c r="AP252" s="4"/>
      <c r="AQ252" s="4"/>
      <c r="AR252" s="4"/>
      <c r="AS252" s="4"/>
      <c r="AT252" s="4"/>
      <c r="AU252" s="4"/>
    </row>
    <row r="253" spans="1:47" ht="13.2">
      <c r="A253" s="120"/>
      <c r="B253" s="113"/>
      <c r="C253" s="117"/>
      <c r="D253" s="117"/>
      <c r="E253" s="117"/>
      <c r="F253" s="123"/>
      <c r="G253" s="93" t="s">
        <v>145</v>
      </c>
      <c r="H253" s="125"/>
      <c r="I253" s="125"/>
      <c r="J253" s="82" t="str">
        <f t="shared" ca="1" si="147"/>
        <v>#REF!</v>
      </c>
      <c r="K253" s="82" t="str">
        <f t="shared" ca="1" si="256"/>
        <v>#REF!</v>
      </c>
      <c r="L253" s="82" t="str">
        <f t="shared" ca="1" si="199"/>
        <v>#REF!</v>
      </c>
      <c r="M253" s="125"/>
      <c r="N253" s="125"/>
      <c r="O253" s="230">
        <f t="shared" si="2"/>
        <v>0</v>
      </c>
      <c r="P253" s="231">
        <f t="shared" si="3"/>
        <v>0</v>
      </c>
      <c r="Q253" s="232" t="str">
        <f ca="1">ROUNDUP(HLOOKUP(IF(CEILING(L253,0.5)&lt;1,1,CEILING(L253,0.5)),'배송비 조회'!A$32:AY$36,2,0),-2)</f>
        <v>#REF!</v>
      </c>
      <c r="R253" s="232">
        <v>0</v>
      </c>
      <c r="S253" s="231" t="str">
        <f t="shared" ca="1" si="250"/>
        <v>#REF!</v>
      </c>
      <c r="T253" s="231" t="str">
        <f t="shared" ca="1" si="200"/>
        <v>#REF!</v>
      </c>
      <c r="U253" s="233" t="str">
        <f t="shared" ca="1" si="142"/>
        <v>#REF!</v>
      </c>
      <c r="V253" s="233" t="str">
        <f t="shared" ca="1" si="7"/>
        <v>#REF!</v>
      </c>
      <c r="W253" s="234">
        <v>0</v>
      </c>
      <c r="X253" s="234" t="str">
        <f t="shared" ca="1" si="8"/>
        <v>#REF!</v>
      </c>
      <c r="Y253" s="234" t="str">
        <f t="shared" ca="1" si="9"/>
        <v>#REF!</v>
      </c>
      <c r="Z253" s="234" t="str">
        <f t="shared" ca="1" si="10"/>
        <v>#REF!</v>
      </c>
      <c r="AA253" s="234" t="str">
        <f t="shared" ca="1" si="11"/>
        <v>#REF!</v>
      </c>
      <c r="AB253" s="234" t="str">
        <f t="shared" ca="1" si="12"/>
        <v>#REF!</v>
      </c>
      <c r="AC253" s="234" t="str">
        <f t="shared" ca="1" si="13"/>
        <v>#REF!</v>
      </c>
      <c r="AD253" s="101" t="str">
        <f t="shared" ca="1" si="14"/>
        <v>#REF!</v>
      </c>
      <c r="AE253" s="101" t="str">
        <f t="shared" ca="1" si="15"/>
        <v>#REF!</v>
      </c>
      <c r="AF253" s="235" t="str">
        <f t="shared" ref="AF253:AG253" ca="1" si="330">AD253/U253</f>
        <v>#REF!</v>
      </c>
      <c r="AG253" s="235" t="str">
        <f t="shared" ca="1" si="330"/>
        <v>#REF!</v>
      </c>
      <c r="AH253" s="212"/>
      <c r="AI253" s="213"/>
      <c r="AJ253" s="4"/>
      <c r="AK253" s="4"/>
      <c r="AL253" s="4"/>
      <c r="AM253" s="4"/>
      <c r="AN253" s="4"/>
      <c r="AO253" s="4"/>
      <c r="AP253" s="4"/>
      <c r="AQ253" s="4"/>
      <c r="AR253" s="4"/>
      <c r="AS253" s="4"/>
      <c r="AT253" s="4"/>
      <c r="AU253" s="4"/>
    </row>
    <row r="254" spans="1:47" ht="13.2">
      <c r="A254" s="120"/>
      <c r="B254" s="113"/>
      <c r="C254" s="117"/>
      <c r="D254" s="117"/>
      <c r="E254" s="117"/>
      <c r="F254" s="123"/>
      <c r="G254" s="93" t="s">
        <v>145</v>
      </c>
      <c r="H254" s="125"/>
      <c r="I254" s="125"/>
      <c r="J254" s="82" t="str">
        <f t="shared" ca="1" si="147"/>
        <v>#REF!</v>
      </c>
      <c r="K254" s="82" t="str">
        <f t="shared" ca="1" si="256"/>
        <v>#REF!</v>
      </c>
      <c r="L254" s="82" t="str">
        <f t="shared" ca="1" si="199"/>
        <v>#REF!</v>
      </c>
      <c r="M254" s="125"/>
      <c r="N254" s="125"/>
      <c r="O254" s="230">
        <f t="shared" si="2"/>
        <v>0</v>
      </c>
      <c r="P254" s="231">
        <f t="shared" si="3"/>
        <v>0</v>
      </c>
      <c r="Q254" s="232" t="str">
        <f ca="1">ROUNDUP(HLOOKUP(IF(CEILING(L254,0.5)&lt;1,1,CEILING(L254,0.5)),'배송비 조회'!A$32:AY$36,2,0),-2)</f>
        <v>#REF!</v>
      </c>
      <c r="R254" s="232">
        <v>0</v>
      </c>
      <c r="S254" s="231" t="str">
        <f t="shared" ca="1" si="250"/>
        <v>#REF!</v>
      </c>
      <c r="T254" s="231" t="str">
        <f t="shared" ca="1" si="200"/>
        <v>#REF!</v>
      </c>
      <c r="U254" s="233" t="str">
        <f t="shared" ca="1" si="142"/>
        <v>#REF!</v>
      </c>
      <c r="V254" s="233" t="str">
        <f t="shared" ca="1" si="7"/>
        <v>#REF!</v>
      </c>
      <c r="W254" s="234">
        <v>0</v>
      </c>
      <c r="X254" s="234" t="str">
        <f t="shared" ca="1" si="8"/>
        <v>#REF!</v>
      </c>
      <c r="Y254" s="234" t="str">
        <f t="shared" ca="1" si="9"/>
        <v>#REF!</v>
      </c>
      <c r="Z254" s="234" t="str">
        <f t="shared" ca="1" si="10"/>
        <v>#REF!</v>
      </c>
      <c r="AA254" s="234" t="str">
        <f t="shared" ca="1" si="11"/>
        <v>#REF!</v>
      </c>
      <c r="AB254" s="234" t="str">
        <f t="shared" ca="1" si="12"/>
        <v>#REF!</v>
      </c>
      <c r="AC254" s="234" t="str">
        <f t="shared" ca="1" si="13"/>
        <v>#REF!</v>
      </c>
      <c r="AD254" s="101" t="str">
        <f t="shared" ca="1" si="14"/>
        <v>#REF!</v>
      </c>
      <c r="AE254" s="101" t="str">
        <f t="shared" ca="1" si="15"/>
        <v>#REF!</v>
      </c>
      <c r="AF254" s="235" t="str">
        <f t="shared" ref="AF254:AG254" ca="1" si="331">AD254/U254</f>
        <v>#REF!</v>
      </c>
      <c r="AG254" s="235" t="str">
        <f t="shared" ca="1" si="331"/>
        <v>#REF!</v>
      </c>
      <c r="AH254" s="212"/>
      <c r="AI254" s="213"/>
      <c r="AJ254" s="4"/>
      <c r="AK254" s="4"/>
      <c r="AL254" s="4"/>
      <c r="AM254" s="4"/>
      <c r="AN254" s="4"/>
      <c r="AO254" s="4"/>
      <c r="AP254" s="4"/>
      <c r="AQ254" s="4"/>
      <c r="AR254" s="4"/>
      <c r="AS254" s="4"/>
      <c r="AT254" s="4"/>
      <c r="AU254" s="4"/>
    </row>
    <row r="255" spans="1:47" ht="13.2">
      <c r="A255" s="120"/>
      <c r="B255" s="113"/>
      <c r="C255" s="117"/>
      <c r="D255" s="117"/>
      <c r="E255" s="117"/>
      <c r="F255" s="123"/>
      <c r="G255" s="93" t="s">
        <v>145</v>
      </c>
      <c r="H255" s="125"/>
      <c r="I255" s="125"/>
      <c r="J255" s="82" t="str">
        <f t="shared" ca="1" si="147"/>
        <v>#REF!</v>
      </c>
      <c r="K255" s="82" t="str">
        <f t="shared" ca="1" si="256"/>
        <v>#REF!</v>
      </c>
      <c r="L255" s="82" t="str">
        <f t="shared" ca="1" si="199"/>
        <v>#REF!</v>
      </c>
      <c r="M255" s="125"/>
      <c r="N255" s="125"/>
      <c r="O255" s="230">
        <f t="shared" si="2"/>
        <v>0</v>
      </c>
      <c r="P255" s="231">
        <f t="shared" si="3"/>
        <v>0</v>
      </c>
      <c r="Q255" s="232" t="str">
        <f ca="1">ROUNDUP(HLOOKUP(IF(CEILING(L255,0.5)&lt;1,1,CEILING(L255,0.5)),'배송비 조회'!A$32:AY$36,2,0),-2)</f>
        <v>#REF!</v>
      </c>
      <c r="R255" s="232">
        <v>0</v>
      </c>
      <c r="S255" s="231" t="str">
        <f t="shared" ca="1" si="250"/>
        <v>#REF!</v>
      </c>
      <c r="T255" s="231" t="str">
        <f t="shared" ca="1" si="200"/>
        <v>#REF!</v>
      </c>
      <c r="U255" s="233" t="str">
        <f t="shared" ca="1" si="142"/>
        <v>#REF!</v>
      </c>
      <c r="V255" s="233" t="str">
        <f t="shared" ca="1" si="7"/>
        <v>#REF!</v>
      </c>
      <c r="W255" s="234">
        <v>0</v>
      </c>
      <c r="X255" s="234" t="str">
        <f t="shared" ca="1" si="8"/>
        <v>#REF!</v>
      </c>
      <c r="Y255" s="234" t="str">
        <f t="shared" ca="1" si="9"/>
        <v>#REF!</v>
      </c>
      <c r="Z255" s="234" t="str">
        <f t="shared" ca="1" si="10"/>
        <v>#REF!</v>
      </c>
      <c r="AA255" s="234" t="str">
        <f t="shared" ca="1" si="11"/>
        <v>#REF!</v>
      </c>
      <c r="AB255" s="234" t="str">
        <f t="shared" ca="1" si="12"/>
        <v>#REF!</v>
      </c>
      <c r="AC255" s="234" t="str">
        <f t="shared" ca="1" si="13"/>
        <v>#REF!</v>
      </c>
      <c r="AD255" s="101" t="str">
        <f t="shared" ca="1" si="14"/>
        <v>#REF!</v>
      </c>
      <c r="AE255" s="101" t="str">
        <f t="shared" ca="1" si="15"/>
        <v>#REF!</v>
      </c>
      <c r="AF255" s="235" t="str">
        <f t="shared" ref="AF255:AG255" ca="1" si="332">AD255/U255</f>
        <v>#REF!</v>
      </c>
      <c r="AG255" s="235" t="str">
        <f t="shared" ca="1" si="332"/>
        <v>#REF!</v>
      </c>
      <c r="AH255" s="212"/>
      <c r="AI255" s="213"/>
      <c r="AJ255" s="4"/>
      <c r="AK255" s="4"/>
      <c r="AL255" s="4"/>
      <c r="AM255" s="4"/>
      <c r="AN255" s="4"/>
      <c r="AO255" s="4"/>
      <c r="AP255" s="4"/>
      <c r="AQ255" s="4"/>
      <c r="AR255" s="4"/>
      <c r="AS255" s="4"/>
      <c r="AT255" s="4"/>
      <c r="AU255" s="4"/>
    </row>
    <row r="256" spans="1:47" ht="13.2">
      <c r="A256" s="120"/>
      <c r="B256" s="113"/>
      <c r="C256" s="117"/>
      <c r="D256" s="117"/>
      <c r="E256" s="117"/>
      <c r="F256" s="123"/>
      <c r="G256" s="93" t="s">
        <v>145</v>
      </c>
      <c r="H256" s="125"/>
      <c r="I256" s="125"/>
      <c r="J256" s="82" t="str">
        <f t="shared" ca="1" si="147"/>
        <v>#REF!</v>
      </c>
      <c r="K256" s="82" t="str">
        <f t="shared" ca="1" si="256"/>
        <v>#REF!</v>
      </c>
      <c r="L256" s="82" t="str">
        <f t="shared" ca="1" si="199"/>
        <v>#REF!</v>
      </c>
      <c r="M256" s="125"/>
      <c r="N256" s="125"/>
      <c r="O256" s="230">
        <f t="shared" si="2"/>
        <v>0</v>
      </c>
      <c r="P256" s="231">
        <f t="shared" si="3"/>
        <v>0</v>
      </c>
      <c r="Q256" s="232" t="str">
        <f ca="1">ROUNDUP(HLOOKUP(IF(CEILING(L256,0.5)&lt;1,1,CEILING(L256,0.5)),'배송비 조회'!A$32:AY$36,2,0),-2)</f>
        <v>#REF!</v>
      </c>
      <c r="R256" s="232">
        <v>0</v>
      </c>
      <c r="S256" s="231" t="str">
        <f t="shared" ca="1" si="250"/>
        <v>#REF!</v>
      </c>
      <c r="T256" s="231" t="str">
        <f t="shared" ca="1" si="200"/>
        <v>#REF!</v>
      </c>
      <c r="U256" s="233" t="str">
        <f t="shared" ca="1" si="142"/>
        <v>#REF!</v>
      </c>
      <c r="V256" s="233" t="str">
        <f t="shared" ca="1" si="7"/>
        <v>#REF!</v>
      </c>
      <c r="W256" s="234">
        <v>0</v>
      </c>
      <c r="X256" s="234" t="str">
        <f t="shared" ca="1" si="8"/>
        <v>#REF!</v>
      </c>
      <c r="Y256" s="234" t="str">
        <f t="shared" ca="1" si="9"/>
        <v>#REF!</v>
      </c>
      <c r="Z256" s="234" t="str">
        <f t="shared" ca="1" si="10"/>
        <v>#REF!</v>
      </c>
      <c r="AA256" s="234" t="str">
        <f t="shared" ca="1" si="11"/>
        <v>#REF!</v>
      </c>
      <c r="AB256" s="234" t="str">
        <f t="shared" ca="1" si="12"/>
        <v>#REF!</v>
      </c>
      <c r="AC256" s="234" t="str">
        <f t="shared" ca="1" si="13"/>
        <v>#REF!</v>
      </c>
      <c r="AD256" s="101" t="str">
        <f t="shared" ca="1" si="14"/>
        <v>#REF!</v>
      </c>
      <c r="AE256" s="101" t="str">
        <f t="shared" ca="1" si="15"/>
        <v>#REF!</v>
      </c>
      <c r="AF256" s="235" t="str">
        <f t="shared" ref="AF256:AG256" ca="1" si="333">AD256/U256</f>
        <v>#REF!</v>
      </c>
      <c r="AG256" s="235" t="str">
        <f t="shared" ca="1" si="333"/>
        <v>#REF!</v>
      </c>
      <c r="AH256" s="212"/>
      <c r="AI256" s="213"/>
      <c r="AJ256" s="4"/>
      <c r="AK256" s="4"/>
      <c r="AL256" s="4"/>
      <c r="AM256" s="4"/>
      <c r="AN256" s="4"/>
      <c r="AO256" s="4"/>
      <c r="AP256" s="4"/>
      <c r="AQ256" s="4"/>
      <c r="AR256" s="4"/>
      <c r="AS256" s="4"/>
      <c r="AT256" s="4"/>
      <c r="AU256" s="4"/>
    </row>
    <row r="257" spans="1:47" ht="13.2">
      <c r="A257" s="120"/>
      <c r="B257" s="113"/>
      <c r="C257" s="117"/>
      <c r="D257" s="117"/>
      <c r="E257" s="117"/>
      <c r="F257" s="123"/>
      <c r="G257" s="93" t="s">
        <v>145</v>
      </c>
      <c r="H257" s="125"/>
      <c r="I257" s="125"/>
      <c r="J257" s="82" t="str">
        <f t="shared" ca="1" si="147"/>
        <v>#REF!</v>
      </c>
      <c r="K257" s="82" t="str">
        <f t="shared" ca="1" si="256"/>
        <v>#REF!</v>
      </c>
      <c r="L257" s="82" t="str">
        <f t="shared" ca="1" si="199"/>
        <v>#REF!</v>
      </c>
      <c r="M257" s="125"/>
      <c r="N257" s="125"/>
      <c r="O257" s="230">
        <f t="shared" si="2"/>
        <v>0</v>
      </c>
      <c r="P257" s="231">
        <f t="shared" si="3"/>
        <v>0</v>
      </c>
      <c r="Q257" s="232" t="str">
        <f ca="1">ROUNDUP(HLOOKUP(IF(CEILING(L257,0.5)&lt;1,1,CEILING(L257,0.5)),'배송비 조회'!A$32:AY$36,2,0),-2)</f>
        <v>#REF!</v>
      </c>
      <c r="R257" s="232">
        <v>0</v>
      </c>
      <c r="S257" s="231" t="str">
        <f t="shared" ca="1" si="250"/>
        <v>#REF!</v>
      </c>
      <c r="T257" s="231" t="str">
        <f t="shared" ca="1" si="200"/>
        <v>#REF!</v>
      </c>
      <c r="U257" s="233" t="str">
        <f t="shared" ca="1" si="142"/>
        <v>#REF!</v>
      </c>
      <c r="V257" s="233" t="str">
        <f t="shared" ca="1" si="7"/>
        <v>#REF!</v>
      </c>
      <c r="W257" s="234">
        <v>0</v>
      </c>
      <c r="X257" s="234" t="str">
        <f t="shared" ca="1" si="8"/>
        <v>#REF!</v>
      </c>
      <c r="Y257" s="234" t="str">
        <f t="shared" ca="1" si="9"/>
        <v>#REF!</v>
      </c>
      <c r="Z257" s="234" t="str">
        <f t="shared" ca="1" si="10"/>
        <v>#REF!</v>
      </c>
      <c r="AA257" s="234" t="str">
        <f t="shared" ca="1" si="11"/>
        <v>#REF!</v>
      </c>
      <c r="AB257" s="234" t="str">
        <f t="shared" ca="1" si="12"/>
        <v>#REF!</v>
      </c>
      <c r="AC257" s="234" t="str">
        <f t="shared" ca="1" si="13"/>
        <v>#REF!</v>
      </c>
      <c r="AD257" s="101" t="str">
        <f t="shared" ca="1" si="14"/>
        <v>#REF!</v>
      </c>
      <c r="AE257" s="101" t="str">
        <f t="shared" ca="1" si="15"/>
        <v>#REF!</v>
      </c>
      <c r="AF257" s="235" t="str">
        <f t="shared" ref="AF257:AG257" ca="1" si="334">AD257/U257</f>
        <v>#REF!</v>
      </c>
      <c r="AG257" s="235" t="str">
        <f t="shared" ca="1" si="334"/>
        <v>#REF!</v>
      </c>
      <c r="AH257" s="212"/>
      <c r="AI257" s="213"/>
      <c r="AJ257" s="4"/>
      <c r="AK257" s="4"/>
      <c r="AL257" s="4"/>
      <c r="AM257" s="4"/>
      <c r="AN257" s="4"/>
      <c r="AO257" s="4"/>
      <c r="AP257" s="4"/>
      <c r="AQ257" s="4"/>
      <c r="AR257" s="4"/>
      <c r="AS257" s="4"/>
      <c r="AT257" s="4"/>
      <c r="AU257" s="4"/>
    </row>
    <row r="258" spans="1:47" ht="13.2">
      <c r="A258" s="120"/>
      <c r="B258" s="113"/>
      <c r="C258" s="117"/>
      <c r="D258" s="117"/>
      <c r="E258" s="117"/>
      <c r="F258" s="123"/>
      <c r="G258" s="93" t="s">
        <v>145</v>
      </c>
      <c r="H258" s="125"/>
      <c r="I258" s="125"/>
      <c r="J258" s="82" t="str">
        <f t="shared" ca="1" si="147"/>
        <v>#REF!</v>
      </c>
      <c r="K258" s="82" t="str">
        <f t="shared" ca="1" si="256"/>
        <v>#REF!</v>
      </c>
      <c r="L258" s="82" t="str">
        <f t="shared" ca="1" si="199"/>
        <v>#REF!</v>
      </c>
      <c r="M258" s="125"/>
      <c r="N258" s="125"/>
      <c r="O258" s="230">
        <f t="shared" si="2"/>
        <v>0</v>
      </c>
      <c r="P258" s="231">
        <f t="shared" si="3"/>
        <v>0</v>
      </c>
      <c r="Q258" s="232" t="str">
        <f ca="1">ROUNDUP(HLOOKUP(IF(CEILING(L258,0.5)&lt;1,1,CEILING(L258,0.5)),'배송비 조회'!A$32:AY$36,2,0),-2)</f>
        <v>#REF!</v>
      </c>
      <c r="R258" s="232">
        <v>0</v>
      </c>
      <c r="S258" s="231" t="str">
        <f t="shared" ca="1" si="250"/>
        <v>#REF!</v>
      </c>
      <c r="T258" s="231" t="str">
        <f t="shared" ca="1" si="200"/>
        <v>#REF!</v>
      </c>
      <c r="U258" s="233" t="str">
        <f t="shared" ca="1" si="142"/>
        <v>#REF!</v>
      </c>
      <c r="V258" s="233" t="str">
        <f t="shared" ca="1" si="7"/>
        <v>#REF!</v>
      </c>
      <c r="W258" s="234">
        <v>0</v>
      </c>
      <c r="X258" s="234" t="str">
        <f t="shared" ca="1" si="8"/>
        <v>#REF!</v>
      </c>
      <c r="Y258" s="234" t="str">
        <f t="shared" ca="1" si="9"/>
        <v>#REF!</v>
      </c>
      <c r="Z258" s="234" t="str">
        <f t="shared" ca="1" si="10"/>
        <v>#REF!</v>
      </c>
      <c r="AA258" s="234" t="str">
        <f t="shared" ca="1" si="11"/>
        <v>#REF!</v>
      </c>
      <c r="AB258" s="234" t="str">
        <f t="shared" ca="1" si="12"/>
        <v>#REF!</v>
      </c>
      <c r="AC258" s="234" t="str">
        <f t="shared" ca="1" si="13"/>
        <v>#REF!</v>
      </c>
      <c r="AD258" s="101" t="str">
        <f t="shared" ca="1" si="14"/>
        <v>#REF!</v>
      </c>
      <c r="AE258" s="101" t="str">
        <f t="shared" ca="1" si="15"/>
        <v>#REF!</v>
      </c>
      <c r="AF258" s="235" t="str">
        <f t="shared" ref="AF258:AG258" ca="1" si="335">AD258/U258</f>
        <v>#REF!</v>
      </c>
      <c r="AG258" s="235" t="str">
        <f t="shared" ca="1" si="335"/>
        <v>#REF!</v>
      </c>
      <c r="AH258" s="212"/>
      <c r="AI258" s="213"/>
      <c r="AJ258" s="4"/>
      <c r="AK258" s="4"/>
      <c r="AL258" s="4"/>
      <c r="AM258" s="4"/>
      <c r="AN258" s="4"/>
      <c r="AO258" s="4"/>
      <c r="AP258" s="4"/>
      <c r="AQ258" s="4"/>
      <c r="AR258" s="4"/>
      <c r="AS258" s="4"/>
      <c r="AT258" s="4"/>
      <c r="AU258" s="4"/>
    </row>
    <row r="259" spans="1:47" ht="13.2">
      <c r="A259" s="120"/>
      <c r="B259" s="113"/>
      <c r="C259" s="117"/>
      <c r="D259" s="117"/>
      <c r="E259" s="117"/>
      <c r="F259" s="123"/>
      <c r="G259" s="93" t="s">
        <v>145</v>
      </c>
      <c r="H259" s="125"/>
      <c r="I259" s="125"/>
      <c r="J259" s="82" t="str">
        <f t="shared" ca="1" si="147"/>
        <v>#REF!</v>
      </c>
      <c r="K259" s="82" t="str">
        <f t="shared" ca="1" si="256"/>
        <v>#REF!</v>
      </c>
      <c r="L259" s="82" t="str">
        <f t="shared" ca="1" si="199"/>
        <v>#REF!</v>
      </c>
      <c r="M259" s="125"/>
      <c r="N259" s="125"/>
      <c r="O259" s="230">
        <f t="shared" si="2"/>
        <v>0</v>
      </c>
      <c r="P259" s="231">
        <f t="shared" si="3"/>
        <v>0</v>
      </c>
      <c r="Q259" s="232" t="str">
        <f ca="1">ROUNDUP(HLOOKUP(IF(CEILING(L259,0.5)&lt;1,1,CEILING(L259,0.5)),'배송비 조회'!A$32:AY$36,2,0),-2)</f>
        <v>#REF!</v>
      </c>
      <c r="R259" s="232">
        <v>0</v>
      </c>
      <c r="S259" s="231" t="str">
        <f t="shared" ca="1" si="250"/>
        <v>#REF!</v>
      </c>
      <c r="T259" s="231" t="str">
        <f t="shared" ca="1" si="200"/>
        <v>#REF!</v>
      </c>
      <c r="U259" s="233" t="str">
        <f t="shared" ca="1" si="142"/>
        <v>#REF!</v>
      </c>
      <c r="V259" s="233" t="str">
        <f t="shared" ca="1" si="7"/>
        <v>#REF!</v>
      </c>
      <c r="W259" s="234">
        <v>0</v>
      </c>
      <c r="X259" s="234" t="str">
        <f t="shared" ca="1" si="8"/>
        <v>#REF!</v>
      </c>
      <c r="Y259" s="234" t="str">
        <f t="shared" ca="1" si="9"/>
        <v>#REF!</v>
      </c>
      <c r="Z259" s="234" t="str">
        <f t="shared" ca="1" si="10"/>
        <v>#REF!</v>
      </c>
      <c r="AA259" s="234" t="str">
        <f t="shared" ca="1" si="11"/>
        <v>#REF!</v>
      </c>
      <c r="AB259" s="234" t="str">
        <f t="shared" ca="1" si="12"/>
        <v>#REF!</v>
      </c>
      <c r="AC259" s="234" t="str">
        <f t="shared" ca="1" si="13"/>
        <v>#REF!</v>
      </c>
      <c r="AD259" s="101" t="str">
        <f t="shared" ca="1" si="14"/>
        <v>#REF!</v>
      </c>
      <c r="AE259" s="101" t="str">
        <f t="shared" ca="1" si="15"/>
        <v>#REF!</v>
      </c>
      <c r="AF259" s="235" t="str">
        <f t="shared" ref="AF259:AG259" ca="1" si="336">AD259/U259</f>
        <v>#REF!</v>
      </c>
      <c r="AG259" s="235" t="str">
        <f t="shared" ca="1" si="336"/>
        <v>#REF!</v>
      </c>
      <c r="AH259" s="212"/>
      <c r="AI259" s="213"/>
      <c r="AJ259" s="4"/>
      <c r="AK259" s="4"/>
      <c r="AL259" s="4"/>
      <c r="AM259" s="4"/>
      <c r="AN259" s="4"/>
      <c r="AO259" s="4"/>
      <c r="AP259" s="4"/>
      <c r="AQ259" s="4"/>
      <c r="AR259" s="4"/>
      <c r="AS259" s="4"/>
      <c r="AT259" s="4"/>
      <c r="AU259" s="4"/>
    </row>
    <row r="260" spans="1:47" ht="13.2">
      <c r="A260" s="120"/>
      <c r="B260" s="113"/>
      <c r="C260" s="117"/>
      <c r="D260" s="117"/>
      <c r="E260" s="117"/>
      <c r="F260" s="123"/>
      <c r="G260" s="93" t="s">
        <v>145</v>
      </c>
      <c r="H260" s="125"/>
      <c r="I260" s="125"/>
      <c r="J260" s="82" t="str">
        <f t="shared" ca="1" si="147"/>
        <v>#REF!</v>
      </c>
      <c r="K260" s="82" t="str">
        <f t="shared" ca="1" si="256"/>
        <v>#REF!</v>
      </c>
      <c r="L260" s="82" t="str">
        <f t="shared" ca="1" si="199"/>
        <v>#REF!</v>
      </c>
      <c r="M260" s="125"/>
      <c r="N260" s="125"/>
      <c r="O260" s="230">
        <f t="shared" si="2"/>
        <v>0</v>
      </c>
      <c r="P260" s="231">
        <f t="shared" si="3"/>
        <v>0</v>
      </c>
      <c r="Q260" s="232" t="str">
        <f ca="1">ROUNDUP(HLOOKUP(IF(CEILING(L260,0.5)&lt;1,1,CEILING(L260,0.5)),'배송비 조회'!A$32:AY$36,2,0),-2)</f>
        <v>#REF!</v>
      </c>
      <c r="R260" s="232">
        <v>0</v>
      </c>
      <c r="S260" s="231" t="str">
        <f t="shared" ca="1" si="250"/>
        <v>#REF!</v>
      </c>
      <c r="T260" s="231" t="str">
        <f t="shared" ca="1" si="200"/>
        <v>#REF!</v>
      </c>
      <c r="U260" s="233" t="str">
        <f t="shared" ca="1" si="142"/>
        <v>#REF!</v>
      </c>
      <c r="V260" s="233" t="str">
        <f t="shared" ca="1" si="7"/>
        <v>#REF!</v>
      </c>
      <c r="W260" s="234">
        <v>0</v>
      </c>
      <c r="X260" s="234" t="str">
        <f t="shared" ca="1" si="8"/>
        <v>#REF!</v>
      </c>
      <c r="Y260" s="234" t="str">
        <f t="shared" ca="1" si="9"/>
        <v>#REF!</v>
      </c>
      <c r="Z260" s="234" t="str">
        <f t="shared" ca="1" si="10"/>
        <v>#REF!</v>
      </c>
      <c r="AA260" s="234" t="str">
        <f t="shared" ca="1" si="11"/>
        <v>#REF!</v>
      </c>
      <c r="AB260" s="234" t="str">
        <f t="shared" ca="1" si="12"/>
        <v>#REF!</v>
      </c>
      <c r="AC260" s="234" t="str">
        <f t="shared" ca="1" si="13"/>
        <v>#REF!</v>
      </c>
      <c r="AD260" s="101" t="str">
        <f t="shared" ca="1" si="14"/>
        <v>#REF!</v>
      </c>
      <c r="AE260" s="101" t="str">
        <f t="shared" ca="1" si="15"/>
        <v>#REF!</v>
      </c>
      <c r="AF260" s="235" t="str">
        <f t="shared" ref="AF260:AG260" ca="1" si="337">AD260/U260</f>
        <v>#REF!</v>
      </c>
      <c r="AG260" s="235" t="str">
        <f t="shared" ca="1" si="337"/>
        <v>#REF!</v>
      </c>
      <c r="AH260" s="212"/>
      <c r="AI260" s="213"/>
      <c r="AJ260" s="4"/>
      <c r="AK260" s="4"/>
      <c r="AL260" s="4"/>
      <c r="AM260" s="4"/>
      <c r="AN260" s="4"/>
      <c r="AO260" s="4"/>
      <c r="AP260" s="4"/>
      <c r="AQ260" s="4"/>
      <c r="AR260" s="4"/>
      <c r="AS260" s="4"/>
      <c r="AT260" s="4"/>
      <c r="AU260" s="4"/>
    </row>
    <row r="261" spans="1:47" ht="13.2">
      <c r="A261" s="120"/>
      <c r="B261" s="113"/>
      <c r="C261" s="117"/>
      <c r="D261" s="117"/>
      <c r="E261" s="117"/>
      <c r="F261" s="123"/>
      <c r="G261" s="93" t="s">
        <v>145</v>
      </c>
      <c r="H261" s="125"/>
      <c r="I261" s="125"/>
      <c r="J261" s="82" t="str">
        <f t="shared" ca="1" si="147"/>
        <v>#REF!</v>
      </c>
      <c r="K261" s="82" t="str">
        <f t="shared" ca="1" si="256"/>
        <v>#REF!</v>
      </c>
      <c r="L261" s="82" t="str">
        <f t="shared" ca="1" si="199"/>
        <v>#REF!</v>
      </c>
      <c r="M261" s="125"/>
      <c r="N261" s="125"/>
      <c r="O261" s="230">
        <f t="shared" si="2"/>
        <v>0</v>
      </c>
      <c r="P261" s="231">
        <f t="shared" si="3"/>
        <v>0</v>
      </c>
      <c r="Q261" s="232" t="str">
        <f ca="1">ROUNDUP(HLOOKUP(IF(CEILING(L261,0.5)&lt;1,1,CEILING(L261,0.5)),'배송비 조회'!A$32:AY$36,2,0),-2)</f>
        <v>#REF!</v>
      </c>
      <c r="R261" s="232">
        <v>0</v>
      </c>
      <c r="S261" s="231" t="str">
        <f t="shared" ca="1" si="250"/>
        <v>#REF!</v>
      </c>
      <c r="T261" s="231" t="str">
        <f t="shared" ca="1" si="200"/>
        <v>#REF!</v>
      </c>
      <c r="U261" s="233" t="str">
        <f t="shared" ca="1" si="142"/>
        <v>#REF!</v>
      </c>
      <c r="V261" s="233" t="str">
        <f t="shared" ca="1" si="7"/>
        <v>#REF!</v>
      </c>
      <c r="W261" s="234">
        <v>0</v>
      </c>
      <c r="X261" s="234" t="str">
        <f t="shared" ca="1" si="8"/>
        <v>#REF!</v>
      </c>
      <c r="Y261" s="234" t="str">
        <f t="shared" ca="1" si="9"/>
        <v>#REF!</v>
      </c>
      <c r="Z261" s="234" t="str">
        <f t="shared" ca="1" si="10"/>
        <v>#REF!</v>
      </c>
      <c r="AA261" s="234" t="str">
        <f t="shared" ca="1" si="11"/>
        <v>#REF!</v>
      </c>
      <c r="AB261" s="234" t="str">
        <f t="shared" ca="1" si="12"/>
        <v>#REF!</v>
      </c>
      <c r="AC261" s="234" t="str">
        <f t="shared" ca="1" si="13"/>
        <v>#REF!</v>
      </c>
      <c r="AD261" s="101" t="str">
        <f t="shared" ca="1" si="14"/>
        <v>#REF!</v>
      </c>
      <c r="AE261" s="101" t="str">
        <f t="shared" ca="1" si="15"/>
        <v>#REF!</v>
      </c>
      <c r="AF261" s="235" t="str">
        <f t="shared" ref="AF261:AG261" ca="1" si="338">AD261/U261</f>
        <v>#REF!</v>
      </c>
      <c r="AG261" s="235" t="str">
        <f t="shared" ca="1" si="338"/>
        <v>#REF!</v>
      </c>
      <c r="AH261" s="212"/>
      <c r="AI261" s="213"/>
      <c r="AJ261" s="4"/>
      <c r="AK261" s="4"/>
      <c r="AL261" s="4"/>
      <c r="AM261" s="4"/>
      <c r="AN261" s="4"/>
      <c r="AO261" s="4"/>
      <c r="AP261" s="4"/>
      <c r="AQ261" s="4"/>
      <c r="AR261" s="4"/>
      <c r="AS261" s="4"/>
      <c r="AT261" s="4"/>
      <c r="AU261" s="4"/>
    </row>
    <row r="262" spans="1:47" ht="13.2">
      <c r="A262" s="120"/>
      <c r="B262" s="113"/>
      <c r="C262" s="117"/>
      <c r="D262" s="117"/>
      <c r="E262" s="117"/>
      <c r="F262" s="123"/>
      <c r="G262" s="93" t="s">
        <v>145</v>
      </c>
      <c r="H262" s="125"/>
      <c r="I262" s="125"/>
      <c r="J262" s="82" t="str">
        <f t="shared" ca="1" si="147"/>
        <v>#REF!</v>
      </c>
      <c r="K262" s="82" t="str">
        <f t="shared" ca="1" si="256"/>
        <v>#REF!</v>
      </c>
      <c r="L262" s="82" t="str">
        <f t="shared" ca="1" si="199"/>
        <v>#REF!</v>
      </c>
      <c r="M262" s="125"/>
      <c r="N262" s="125"/>
      <c r="O262" s="230">
        <f t="shared" si="2"/>
        <v>0</v>
      </c>
      <c r="P262" s="231">
        <f t="shared" si="3"/>
        <v>0</v>
      </c>
      <c r="Q262" s="232" t="str">
        <f ca="1">ROUNDUP(HLOOKUP(IF(CEILING(L262,0.5)&lt;1,1,CEILING(L262,0.5)),'배송비 조회'!A$32:AY$36,2,0),-2)</f>
        <v>#REF!</v>
      </c>
      <c r="R262" s="232">
        <v>0</v>
      </c>
      <c r="S262" s="231" t="str">
        <f t="shared" ca="1" si="250"/>
        <v>#REF!</v>
      </c>
      <c r="T262" s="231" t="str">
        <f t="shared" ca="1" si="200"/>
        <v>#REF!</v>
      </c>
      <c r="U262" s="233" t="str">
        <f t="shared" ca="1" si="142"/>
        <v>#REF!</v>
      </c>
      <c r="V262" s="233" t="str">
        <f t="shared" ca="1" si="7"/>
        <v>#REF!</v>
      </c>
      <c r="W262" s="234">
        <v>0</v>
      </c>
      <c r="X262" s="234" t="str">
        <f t="shared" ca="1" si="8"/>
        <v>#REF!</v>
      </c>
      <c r="Y262" s="234" t="str">
        <f t="shared" ca="1" si="9"/>
        <v>#REF!</v>
      </c>
      <c r="Z262" s="234" t="str">
        <f t="shared" ca="1" si="10"/>
        <v>#REF!</v>
      </c>
      <c r="AA262" s="234" t="str">
        <f t="shared" ca="1" si="11"/>
        <v>#REF!</v>
      </c>
      <c r="AB262" s="234" t="str">
        <f t="shared" ca="1" si="12"/>
        <v>#REF!</v>
      </c>
      <c r="AC262" s="234" t="str">
        <f t="shared" ca="1" si="13"/>
        <v>#REF!</v>
      </c>
      <c r="AD262" s="101" t="str">
        <f t="shared" ca="1" si="14"/>
        <v>#REF!</v>
      </c>
      <c r="AE262" s="101" t="str">
        <f t="shared" ca="1" si="15"/>
        <v>#REF!</v>
      </c>
      <c r="AF262" s="235" t="str">
        <f t="shared" ref="AF262:AG262" ca="1" si="339">AD262/U262</f>
        <v>#REF!</v>
      </c>
      <c r="AG262" s="235" t="str">
        <f t="shared" ca="1" si="339"/>
        <v>#REF!</v>
      </c>
      <c r="AH262" s="212"/>
      <c r="AI262" s="213"/>
      <c r="AJ262" s="4"/>
      <c r="AK262" s="4"/>
      <c r="AL262" s="4"/>
      <c r="AM262" s="4"/>
      <c r="AN262" s="4"/>
      <c r="AO262" s="4"/>
      <c r="AP262" s="4"/>
      <c r="AQ262" s="4"/>
      <c r="AR262" s="4"/>
      <c r="AS262" s="4"/>
      <c r="AT262" s="4"/>
      <c r="AU262" s="4"/>
    </row>
    <row r="263" spans="1:47" ht="13.2">
      <c r="A263" s="120"/>
      <c r="B263" s="113"/>
      <c r="C263" s="117"/>
      <c r="D263" s="117"/>
      <c r="E263" s="117"/>
      <c r="F263" s="123"/>
      <c r="G263" s="93" t="s">
        <v>145</v>
      </c>
      <c r="H263" s="125"/>
      <c r="I263" s="125"/>
      <c r="J263" s="82" t="str">
        <f t="shared" ca="1" si="147"/>
        <v>#REF!</v>
      </c>
      <c r="K263" s="82" t="str">
        <f t="shared" ca="1" si="256"/>
        <v>#REF!</v>
      </c>
      <c r="L263" s="82" t="str">
        <f t="shared" ca="1" si="199"/>
        <v>#REF!</v>
      </c>
      <c r="M263" s="125"/>
      <c r="N263" s="125"/>
      <c r="O263" s="230">
        <f t="shared" si="2"/>
        <v>0</v>
      </c>
      <c r="P263" s="231">
        <f t="shared" si="3"/>
        <v>0</v>
      </c>
      <c r="Q263" s="232" t="str">
        <f ca="1">ROUNDUP(HLOOKUP(IF(CEILING(L263,0.5)&lt;1,1,CEILING(L263,0.5)),'배송비 조회'!A$32:AY$36,2,0),-2)</f>
        <v>#REF!</v>
      </c>
      <c r="R263" s="232">
        <v>0</v>
      </c>
      <c r="S263" s="231" t="str">
        <f t="shared" ca="1" si="250"/>
        <v>#REF!</v>
      </c>
      <c r="T263" s="231" t="str">
        <f t="shared" ca="1" si="200"/>
        <v>#REF!</v>
      </c>
      <c r="U263" s="233" t="str">
        <f t="shared" ca="1" si="142"/>
        <v>#REF!</v>
      </c>
      <c r="V263" s="233" t="str">
        <f t="shared" ca="1" si="7"/>
        <v>#REF!</v>
      </c>
      <c r="W263" s="234">
        <v>0</v>
      </c>
      <c r="X263" s="234" t="str">
        <f t="shared" ca="1" si="8"/>
        <v>#REF!</v>
      </c>
      <c r="Y263" s="234" t="str">
        <f t="shared" ca="1" si="9"/>
        <v>#REF!</v>
      </c>
      <c r="Z263" s="234" t="str">
        <f t="shared" ca="1" si="10"/>
        <v>#REF!</v>
      </c>
      <c r="AA263" s="234" t="str">
        <f t="shared" ca="1" si="11"/>
        <v>#REF!</v>
      </c>
      <c r="AB263" s="234" t="str">
        <f t="shared" ca="1" si="12"/>
        <v>#REF!</v>
      </c>
      <c r="AC263" s="234" t="str">
        <f t="shared" ca="1" si="13"/>
        <v>#REF!</v>
      </c>
      <c r="AD263" s="101" t="str">
        <f t="shared" ca="1" si="14"/>
        <v>#REF!</v>
      </c>
      <c r="AE263" s="101" t="str">
        <f t="shared" ca="1" si="15"/>
        <v>#REF!</v>
      </c>
      <c r="AF263" s="235" t="str">
        <f t="shared" ref="AF263:AG263" ca="1" si="340">AD263/U263</f>
        <v>#REF!</v>
      </c>
      <c r="AG263" s="235" t="str">
        <f t="shared" ca="1" si="340"/>
        <v>#REF!</v>
      </c>
      <c r="AH263" s="212"/>
      <c r="AI263" s="213"/>
      <c r="AJ263" s="4"/>
      <c r="AK263" s="4"/>
      <c r="AL263" s="4"/>
      <c r="AM263" s="4"/>
      <c r="AN263" s="4"/>
      <c r="AO263" s="4"/>
      <c r="AP263" s="4"/>
      <c r="AQ263" s="4"/>
      <c r="AR263" s="4"/>
      <c r="AS263" s="4"/>
      <c r="AT263" s="4"/>
      <c r="AU263" s="4"/>
    </row>
    <row r="264" spans="1:47" ht="13.2">
      <c r="A264" s="120"/>
      <c r="B264" s="113"/>
      <c r="C264" s="117"/>
      <c r="D264" s="117"/>
      <c r="E264" s="117"/>
      <c r="F264" s="123"/>
      <c r="G264" s="93" t="s">
        <v>145</v>
      </c>
      <c r="H264" s="125"/>
      <c r="I264" s="125"/>
      <c r="J264" s="82" t="str">
        <f t="shared" ca="1" si="147"/>
        <v>#REF!</v>
      </c>
      <c r="K264" s="82" t="str">
        <f t="shared" ca="1" si="256"/>
        <v>#REF!</v>
      </c>
      <c r="L264" s="82" t="str">
        <f t="shared" ca="1" si="199"/>
        <v>#REF!</v>
      </c>
      <c r="M264" s="125"/>
      <c r="N264" s="125"/>
      <c r="O264" s="230">
        <f t="shared" si="2"/>
        <v>0</v>
      </c>
      <c r="P264" s="231">
        <f t="shared" si="3"/>
        <v>0</v>
      </c>
      <c r="Q264" s="232" t="str">
        <f ca="1">ROUNDUP(HLOOKUP(IF(CEILING(L264,0.5)&lt;1,1,CEILING(L264,0.5)),'배송비 조회'!A$32:AY$36,2,0),-2)</f>
        <v>#REF!</v>
      </c>
      <c r="R264" s="232">
        <v>0</v>
      </c>
      <c r="S264" s="231" t="str">
        <f t="shared" ca="1" si="250"/>
        <v>#REF!</v>
      </c>
      <c r="T264" s="231" t="str">
        <f t="shared" ca="1" si="200"/>
        <v>#REF!</v>
      </c>
      <c r="U264" s="233" t="str">
        <f t="shared" ca="1" si="142"/>
        <v>#REF!</v>
      </c>
      <c r="V264" s="233" t="str">
        <f t="shared" ca="1" si="7"/>
        <v>#REF!</v>
      </c>
      <c r="W264" s="234">
        <v>0</v>
      </c>
      <c r="X264" s="234" t="str">
        <f t="shared" ca="1" si="8"/>
        <v>#REF!</v>
      </c>
      <c r="Y264" s="234" t="str">
        <f t="shared" ca="1" si="9"/>
        <v>#REF!</v>
      </c>
      <c r="Z264" s="234" t="str">
        <f t="shared" ca="1" si="10"/>
        <v>#REF!</v>
      </c>
      <c r="AA264" s="234" t="str">
        <f t="shared" ca="1" si="11"/>
        <v>#REF!</v>
      </c>
      <c r="AB264" s="234" t="str">
        <f t="shared" ca="1" si="12"/>
        <v>#REF!</v>
      </c>
      <c r="AC264" s="234" t="str">
        <f t="shared" ca="1" si="13"/>
        <v>#REF!</v>
      </c>
      <c r="AD264" s="101" t="str">
        <f t="shared" ca="1" si="14"/>
        <v>#REF!</v>
      </c>
      <c r="AE264" s="101" t="str">
        <f t="shared" ca="1" si="15"/>
        <v>#REF!</v>
      </c>
      <c r="AF264" s="235" t="str">
        <f t="shared" ref="AF264:AG264" ca="1" si="341">AD264/U264</f>
        <v>#REF!</v>
      </c>
      <c r="AG264" s="235" t="str">
        <f t="shared" ca="1" si="341"/>
        <v>#REF!</v>
      </c>
      <c r="AH264" s="212"/>
      <c r="AI264" s="213"/>
      <c r="AJ264" s="4"/>
      <c r="AK264" s="4"/>
      <c r="AL264" s="4"/>
      <c r="AM264" s="4"/>
      <c r="AN264" s="4"/>
      <c r="AO264" s="4"/>
      <c r="AP264" s="4"/>
      <c r="AQ264" s="4"/>
      <c r="AR264" s="4"/>
      <c r="AS264" s="4"/>
      <c r="AT264" s="4"/>
      <c r="AU264" s="4"/>
    </row>
    <row r="265" spans="1:47" ht="13.2">
      <c r="A265" s="120"/>
      <c r="B265" s="113"/>
      <c r="C265" s="117"/>
      <c r="D265" s="117"/>
      <c r="E265" s="117"/>
      <c r="F265" s="123"/>
      <c r="G265" s="93" t="s">
        <v>145</v>
      </c>
      <c r="H265" s="125"/>
      <c r="I265" s="125"/>
      <c r="J265" s="82" t="str">
        <f t="shared" ca="1" si="147"/>
        <v>#REF!</v>
      </c>
      <c r="K265" s="82" t="str">
        <f t="shared" ca="1" si="256"/>
        <v>#REF!</v>
      </c>
      <c r="L265" s="82" t="str">
        <f t="shared" ca="1" si="199"/>
        <v>#REF!</v>
      </c>
      <c r="M265" s="125"/>
      <c r="N265" s="125"/>
      <c r="O265" s="230">
        <f t="shared" si="2"/>
        <v>0</v>
      </c>
      <c r="P265" s="231">
        <f t="shared" si="3"/>
        <v>0</v>
      </c>
      <c r="Q265" s="232" t="str">
        <f ca="1">ROUNDUP(HLOOKUP(IF(CEILING(L265,0.5)&lt;1,1,CEILING(L265,0.5)),'배송비 조회'!A$32:AY$36,2,0),-2)</f>
        <v>#REF!</v>
      </c>
      <c r="R265" s="232">
        <v>0</v>
      </c>
      <c r="S265" s="231" t="str">
        <f t="shared" ca="1" si="250"/>
        <v>#REF!</v>
      </c>
      <c r="T265" s="231" t="str">
        <f t="shared" ca="1" si="200"/>
        <v>#REF!</v>
      </c>
      <c r="U265" s="233" t="str">
        <f t="shared" ca="1" si="142"/>
        <v>#REF!</v>
      </c>
      <c r="V265" s="233" t="str">
        <f t="shared" ca="1" si="7"/>
        <v>#REF!</v>
      </c>
      <c r="W265" s="234">
        <v>0</v>
      </c>
      <c r="X265" s="234" t="str">
        <f t="shared" ca="1" si="8"/>
        <v>#REF!</v>
      </c>
      <c r="Y265" s="234" t="str">
        <f t="shared" ca="1" si="9"/>
        <v>#REF!</v>
      </c>
      <c r="Z265" s="234" t="str">
        <f t="shared" ca="1" si="10"/>
        <v>#REF!</v>
      </c>
      <c r="AA265" s="234" t="str">
        <f t="shared" ca="1" si="11"/>
        <v>#REF!</v>
      </c>
      <c r="AB265" s="234" t="str">
        <f t="shared" ca="1" si="12"/>
        <v>#REF!</v>
      </c>
      <c r="AC265" s="234" t="str">
        <f t="shared" ca="1" si="13"/>
        <v>#REF!</v>
      </c>
      <c r="AD265" s="101" t="str">
        <f t="shared" ca="1" si="14"/>
        <v>#REF!</v>
      </c>
      <c r="AE265" s="101" t="str">
        <f t="shared" ca="1" si="15"/>
        <v>#REF!</v>
      </c>
      <c r="AF265" s="235" t="str">
        <f t="shared" ref="AF265:AG265" ca="1" si="342">AD265/U265</f>
        <v>#REF!</v>
      </c>
      <c r="AG265" s="235" t="str">
        <f t="shared" ca="1" si="342"/>
        <v>#REF!</v>
      </c>
      <c r="AH265" s="212"/>
      <c r="AI265" s="213"/>
      <c r="AJ265" s="4"/>
      <c r="AK265" s="4"/>
      <c r="AL265" s="4"/>
      <c r="AM265" s="4"/>
      <c r="AN265" s="4"/>
      <c r="AO265" s="4"/>
      <c r="AP265" s="4"/>
      <c r="AQ265" s="4"/>
      <c r="AR265" s="4"/>
      <c r="AS265" s="4"/>
      <c r="AT265" s="4"/>
      <c r="AU265" s="4"/>
    </row>
    <row r="266" spans="1:47" ht="13.2">
      <c r="A266" s="120"/>
      <c r="B266" s="113"/>
      <c r="C266" s="117"/>
      <c r="D266" s="117"/>
      <c r="E266" s="117"/>
      <c r="F266" s="123"/>
      <c r="G266" s="93" t="s">
        <v>145</v>
      </c>
      <c r="H266" s="125"/>
      <c r="I266" s="125"/>
      <c r="J266" s="82" t="str">
        <f t="shared" ca="1" si="147"/>
        <v>#REF!</v>
      </c>
      <c r="K266" s="82" t="str">
        <f t="shared" ca="1" si="256"/>
        <v>#REF!</v>
      </c>
      <c r="L266" s="82" t="str">
        <f t="shared" ca="1" si="199"/>
        <v>#REF!</v>
      </c>
      <c r="M266" s="125"/>
      <c r="N266" s="125"/>
      <c r="O266" s="230">
        <f t="shared" si="2"/>
        <v>0</v>
      </c>
      <c r="P266" s="231">
        <f t="shared" si="3"/>
        <v>0</v>
      </c>
      <c r="Q266" s="232" t="str">
        <f ca="1">ROUNDUP(HLOOKUP(IF(CEILING(L266,0.5)&lt;1,1,CEILING(L266,0.5)),'배송비 조회'!A$32:AY$36,2,0),-2)</f>
        <v>#REF!</v>
      </c>
      <c r="R266" s="232">
        <v>0</v>
      </c>
      <c r="S266" s="231" t="str">
        <f t="shared" ca="1" si="250"/>
        <v>#REF!</v>
      </c>
      <c r="T266" s="231" t="str">
        <f t="shared" ca="1" si="200"/>
        <v>#REF!</v>
      </c>
      <c r="U266" s="233" t="str">
        <f t="shared" ca="1" si="142"/>
        <v>#REF!</v>
      </c>
      <c r="V266" s="233" t="str">
        <f t="shared" ca="1" si="7"/>
        <v>#REF!</v>
      </c>
      <c r="W266" s="234">
        <v>0</v>
      </c>
      <c r="X266" s="234" t="str">
        <f t="shared" ca="1" si="8"/>
        <v>#REF!</v>
      </c>
      <c r="Y266" s="234" t="str">
        <f t="shared" ca="1" si="9"/>
        <v>#REF!</v>
      </c>
      <c r="Z266" s="234" t="str">
        <f t="shared" ca="1" si="10"/>
        <v>#REF!</v>
      </c>
      <c r="AA266" s="234" t="str">
        <f t="shared" ca="1" si="11"/>
        <v>#REF!</v>
      </c>
      <c r="AB266" s="234" t="str">
        <f t="shared" ca="1" si="12"/>
        <v>#REF!</v>
      </c>
      <c r="AC266" s="234" t="str">
        <f t="shared" ca="1" si="13"/>
        <v>#REF!</v>
      </c>
      <c r="AD266" s="101" t="str">
        <f t="shared" ca="1" si="14"/>
        <v>#REF!</v>
      </c>
      <c r="AE266" s="101" t="str">
        <f t="shared" ca="1" si="15"/>
        <v>#REF!</v>
      </c>
      <c r="AF266" s="235" t="str">
        <f t="shared" ref="AF266:AG266" ca="1" si="343">AD266/U266</f>
        <v>#REF!</v>
      </c>
      <c r="AG266" s="235" t="str">
        <f t="shared" ca="1" si="343"/>
        <v>#REF!</v>
      </c>
      <c r="AH266" s="212"/>
      <c r="AI266" s="213"/>
      <c r="AJ266" s="4"/>
      <c r="AK266" s="4"/>
      <c r="AL266" s="4"/>
      <c r="AM266" s="4"/>
      <c r="AN266" s="4"/>
      <c r="AO266" s="4"/>
      <c r="AP266" s="4"/>
      <c r="AQ266" s="4"/>
      <c r="AR266" s="4"/>
      <c r="AS266" s="4"/>
      <c r="AT266" s="4"/>
      <c r="AU266" s="4"/>
    </row>
    <row r="267" spans="1:47" ht="13.2">
      <c r="A267" s="120"/>
      <c r="B267" s="113"/>
      <c r="C267" s="117"/>
      <c r="D267" s="117"/>
      <c r="E267" s="117"/>
      <c r="F267" s="123"/>
      <c r="G267" s="93" t="s">
        <v>145</v>
      </c>
      <c r="H267" s="125"/>
      <c r="I267" s="125"/>
      <c r="J267" s="82" t="str">
        <f t="shared" ca="1" si="147"/>
        <v>#REF!</v>
      </c>
      <c r="K267" s="82" t="str">
        <f t="shared" ca="1" si="256"/>
        <v>#REF!</v>
      </c>
      <c r="L267" s="82" t="str">
        <f t="shared" ca="1" si="199"/>
        <v>#REF!</v>
      </c>
      <c r="M267" s="125"/>
      <c r="N267" s="125"/>
      <c r="O267" s="230">
        <f t="shared" si="2"/>
        <v>0</v>
      </c>
      <c r="P267" s="231">
        <f t="shared" si="3"/>
        <v>0</v>
      </c>
      <c r="Q267" s="232" t="str">
        <f ca="1">ROUNDUP(HLOOKUP(IF(CEILING(L267,0.5)&lt;1,1,CEILING(L267,0.5)),'배송비 조회'!A$32:AY$36,2,0),-2)</f>
        <v>#REF!</v>
      </c>
      <c r="R267" s="232">
        <v>0</v>
      </c>
      <c r="S267" s="231" t="str">
        <f t="shared" ca="1" si="250"/>
        <v>#REF!</v>
      </c>
      <c r="T267" s="231" t="str">
        <f t="shared" ca="1" si="200"/>
        <v>#REF!</v>
      </c>
      <c r="U267" s="233" t="str">
        <f t="shared" ca="1" si="142"/>
        <v>#REF!</v>
      </c>
      <c r="V267" s="233" t="str">
        <f t="shared" ca="1" si="7"/>
        <v>#REF!</v>
      </c>
      <c r="W267" s="234">
        <v>0</v>
      </c>
      <c r="X267" s="234" t="str">
        <f t="shared" ca="1" si="8"/>
        <v>#REF!</v>
      </c>
      <c r="Y267" s="234" t="str">
        <f t="shared" ca="1" si="9"/>
        <v>#REF!</v>
      </c>
      <c r="Z267" s="234" t="str">
        <f t="shared" ca="1" si="10"/>
        <v>#REF!</v>
      </c>
      <c r="AA267" s="234" t="str">
        <f t="shared" ca="1" si="11"/>
        <v>#REF!</v>
      </c>
      <c r="AB267" s="234" t="str">
        <f t="shared" ca="1" si="12"/>
        <v>#REF!</v>
      </c>
      <c r="AC267" s="234" t="str">
        <f t="shared" ca="1" si="13"/>
        <v>#REF!</v>
      </c>
      <c r="AD267" s="101" t="str">
        <f t="shared" ca="1" si="14"/>
        <v>#REF!</v>
      </c>
      <c r="AE267" s="101" t="str">
        <f t="shared" ca="1" si="15"/>
        <v>#REF!</v>
      </c>
      <c r="AF267" s="235" t="str">
        <f t="shared" ref="AF267:AG267" ca="1" si="344">AD267/U267</f>
        <v>#REF!</v>
      </c>
      <c r="AG267" s="235" t="str">
        <f t="shared" ca="1" si="344"/>
        <v>#REF!</v>
      </c>
      <c r="AH267" s="212"/>
      <c r="AI267" s="213"/>
      <c r="AJ267" s="4"/>
      <c r="AK267" s="4"/>
      <c r="AL267" s="4"/>
      <c r="AM267" s="4"/>
      <c r="AN267" s="4"/>
      <c r="AO267" s="4"/>
      <c r="AP267" s="4"/>
      <c r="AQ267" s="4"/>
      <c r="AR267" s="4"/>
      <c r="AS267" s="4"/>
      <c r="AT267" s="4"/>
      <c r="AU267" s="4"/>
    </row>
    <row r="268" spans="1:47" ht="13.2">
      <c r="A268" s="120"/>
      <c r="B268" s="113"/>
      <c r="C268" s="117"/>
      <c r="D268" s="117"/>
      <c r="E268" s="117"/>
      <c r="F268" s="123"/>
      <c r="G268" s="93" t="s">
        <v>145</v>
      </c>
      <c r="H268" s="125"/>
      <c r="I268" s="125"/>
      <c r="J268" s="82" t="str">
        <f t="shared" ca="1" si="147"/>
        <v>#REF!</v>
      </c>
      <c r="K268" s="82" t="str">
        <f t="shared" ca="1" si="256"/>
        <v>#REF!</v>
      </c>
      <c r="L268" s="82" t="str">
        <f t="shared" ca="1" si="199"/>
        <v>#REF!</v>
      </c>
      <c r="M268" s="125"/>
      <c r="N268" s="125"/>
      <c r="O268" s="230">
        <f t="shared" si="2"/>
        <v>0</v>
      </c>
      <c r="P268" s="231">
        <f t="shared" si="3"/>
        <v>0</v>
      </c>
      <c r="Q268" s="232" t="str">
        <f ca="1">ROUNDUP(HLOOKUP(IF(CEILING(L268,0.5)&lt;1,1,CEILING(L268,0.5)),'배송비 조회'!A$32:AY$36,2,0),-2)</f>
        <v>#REF!</v>
      </c>
      <c r="R268" s="232">
        <v>0</v>
      </c>
      <c r="S268" s="231" t="str">
        <f t="shared" ca="1" si="250"/>
        <v>#REF!</v>
      </c>
      <c r="T268" s="231" t="str">
        <f t="shared" ca="1" si="200"/>
        <v>#REF!</v>
      </c>
      <c r="U268" s="233" t="str">
        <f t="shared" ca="1" si="142"/>
        <v>#REF!</v>
      </c>
      <c r="V268" s="233" t="str">
        <f t="shared" ca="1" si="7"/>
        <v>#REF!</v>
      </c>
      <c r="W268" s="234">
        <v>0</v>
      </c>
      <c r="X268" s="234" t="str">
        <f t="shared" ca="1" si="8"/>
        <v>#REF!</v>
      </c>
      <c r="Y268" s="234" t="str">
        <f t="shared" ca="1" si="9"/>
        <v>#REF!</v>
      </c>
      <c r="Z268" s="234" t="str">
        <f t="shared" ca="1" si="10"/>
        <v>#REF!</v>
      </c>
      <c r="AA268" s="234" t="str">
        <f t="shared" ca="1" si="11"/>
        <v>#REF!</v>
      </c>
      <c r="AB268" s="234" t="str">
        <f t="shared" ca="1" si="12"/>
        <v>#REF!</v>
      </c>
      <c r="AC268" s="234" t="str">
        <f t="shared" ca="1" si="13"/>
        <v>#REF!</v>
      </c>
      <c r="AD268" s="101" t="str">
        <f t="shared" ca="1" si="14"/>
        <v>#REF!</v>
      </c>
      <c r="AE268" s="101" t="str">
        <f t="shared" ca="1" si="15"/>
        <v>#REF!</v>
      </c>
      <c r="AF268" s="235" t="str">
        <f t="shared" ref="AF268:AG268" ca="1" si="345">AD268/U268</f>
        <v>#REF!</v>
      </c>
      <c r="AG268" s="235" t="str">
        <f t="shared" ca="1" si="345"/>
        <v>#REF!</v>
      </c>
      <c r="AH268" s="212"/>
      <c r="AI268" s="213"/>
      <c r="AJ268" s="4"/>
      <c r="AK268" s="4"/>
      <c r="AL268" s="4"/>
      <c r="AM268" s="4"/>
      <c r="AN268" s="4"/>
      <c r="AO268" s="4"/>
      <c r="AP268" s="4"/>
      <c r="AQ268" s="4"/>
      <c r="AR268" s="4"/>
      <c r="AS268" s="4"/>
      <c r="AT268" s="4"/>
      <c r="AU268" s="4"/>
    </row>
    <row r="269" spans="1:47" ht="13.2">
      <c r="A269" s="120"/>
      <c r="B269" s="113"/>
      <c r="C269" s="117"/>
      <c r="D269" s="117"/>
      <c r="E269" s="117"/>
      <c r="F269" s="123"/>
      <c r="G269" s="93" t="s">
        <v>145</v>
      </c>
      <c r="H269" s="125"/>
      <c r="I269" s="125"/>
      <c r="J269" s="82" t="str">
        <f t="shared" ca="1" si="147"/>
        <v>#REF!</v>
      </c>
      <c r="K269" s="82" t="str">
        <f t="shared" ca="1" si="256"/>
        <v>#REF!</v>
      </c>
      <c r="L269" s="82" t="str">
        <f t="shared" ca="1" si="199"/>
        <v>#REF!</v>
      </c>
      <c r="M269" s="125"/>
      <c r="N269" s="125"/>
      <c r="O269" s="230">
        <f t="shared" si="2"/>
        <v>0</v>
      </c>
      <c r="P269" s="231">
        <f t="shared" si="3"/>
        <v>0</v>
      </c>
      <c r="Q269" s="232" t="str">
        <f ca="1">ROUNDUP(HLOOKUP(IF(CEILING(L269,0.5)&lt;1,1,CEILING(L269,0.5)),'배송비 조회'!A$32:AY$36,2,0),-2)</f>
        <v>#REF!</v>
      </c>
      <c r="R269" s="232">
        <v>0</v>
      </c>
      <c r="S269" s="231" t="str">
        <f t="shared" ca="1" si="250"/>
        <v>#REF!</v>
      </c>
      <c r="T269" s="231" t="str">
        <f t="shared" ca="1" si="200"/>
        <v>#REF!</v>
      </c>
      <c r="U269" s="233" t="str">
        <f t="shared" ca="1" si="142"/>
        <v>#REF!</v>
      </c>
      <c r="V269" s="233" t="str">
        <f t="shared" ca="1" si="7"/>
        <v>#REF!</v>
      </c>
      <c r="W269" s="234">
        <v>0</v>
      </c>
      <c r="X269" s="234" t="str">
        <f t="shared" ca="1" si="8"/>
        <v>#REF!</v>
      </c>
      <c r="Y269" s="234" t="str">
        <f t="shared" ca="1" si="9"/>
        <v>#REF!</v>
      </c>
      <c r="Z269" s="234" t="str">
        <f t="shared" ca="1" si="10"/>
        <v>#REF!</v>
      </c>
      <c r="AA269" s="234" t="str">
        <f t="shared" ca="1" si="11"/>
        <v>#REF!</v>
      </c>
      <c r="AB269" s="234" t="str">
        <f t="shared" ca="1" si="12"/>
        <v>#REF!</v>
      </c>
      <c r="AC269" s="234" t="str">
        <f t="shared" ca="1" si="13"/>
        <v>#REF!</v>
      </c>
      <c r="AD269" s="101" t="str">
        <f t="shared" ca="1" si="14"/>
        <v>#REF!</v>
      </c>
      <c r="AE269" s="101" t="str">
        <f t="shared" ca="1" si="15"/>
        <v>#REF!</v>
      </c>
      <c r="AF269" s="235" t="str">
        <f t="shared" ref="AF269:AG269" ca="1" si="346">AD269/U269</f>
        <v>#REF!</v>
      </c>
      <c r="AG269" s="235" t="str">
        <f t="shared" ca="1" si="346"/>
        <v>#REF!</v>
      </c>
      <c r="AH269" s="212"/>
      <c r="AI269" s="213"/>
      <c r="AJ269" s="4"/>
      <c r="AK269" s="4"/>
      <c r="AL269" s="4"/>
      <c r="AM269" s="4"/>
      <c r="AN269" s="4"/>
      <c r="AO269" s="4"/>
      <c r="AP269" s="4"/>
      <c r="AQ269" s="4"/>
      <c r="AR269" s="4"/>
      <c r="AS269" s="4"/>
      <c r="AT269" s="4"/>
      <c r="AU269" s="4"/>
    </row>
    <row r="270" spans="1:47" ht="13.2">
      <c r="A270" s="120"/>
      <c r="B270" s="113"/>
      <c r="C270" s="117"/>
      <c r="D270" s="117"/>
      <c r="E270" s="117"/>
      <c r="F270" s="123"/>
      <c r="G270" s="93" t="s">
        <v>145</v>
      </c>
      <c r="H270" s="125"/>
      <c r="I270" s="125"/>
      <c r="J270" s="82" t="str">
        <f t="shared" ca="1" si="147"/>
        <v>#REF!</v>
      </c>
      <c r="K270" s="82" t="str">
        <f t="shared" ca="1" si="256"/>
        <v>#REF!</v>
      </c>
      <c r="L270" s="82" t="str">
        <f t="shared" ca="1" si="199"/>
        <v>#REF!</v>
      </c>
      <c r="M270" s="125"/>
      <c r="N270" s="125"/>
      <c r="O270" s="230">
        <f t="shared" si="2"/>
        <v>0</v>
      </c>
      <c r="P270" s="231">
        <f t="shared" si="3"/>
        <v>0</v>
      </c>
      <c r="Q270" s="232" t="str">
        <f ca="1">ROUNDUP(HLOOKUP(IF(CEILING(L270,0.5)&lt;1,1,CEILING(L270,0.5)),'배송비 조회'!A$32:AY$36,2,0),-2)</f>
        <v>#REF!</v>
      </c>
      <c r="R270" s="232">
        <v>0</v>
      </c>
      <c r="S270" s="231" t="str">
        <f t="shared" ca="1" si="250"/>
        <v>#REF!</v>
      </c>
      <c r="T270" s="231" t="str">
        <f t="shared" ca="1" si="200"/>
        <v>#REF!</v>
      </c>
      <c r="U270" s="233" t="str">
        <f t="shared" ca="1" si="142"/>
        <v>#REF!</v>
      </c>
      <c r="V270" s="233" t="str">
        <f t="shared" ca="1" si="7"/>
        <v>#REF!</v>
      </c>
      <c r="W270" s="234">
        <v>0</v>
      </c>
      <c r="X270" s="234" t="str">
        <f t="shared" ca="1" si="8"/>
        <v>#REF!</v>
      </c>
      <c r="Y270" s="234" t="str">
        <f t="shared" ca="1" si="9"/>
        <v>#REF!</v>
      </c>
      <c r="Z270" s="234" t="str">
        <f t="shared" ca="1" si="10"/>
        <v>#REF!</v>
      </c>
      <c r="AA270" s="234" t="str">
        <f t="shared" ca="1" si="11"/>
        <v>#REF!</v>
      </c>
      <c r="AB270" s="234" t="str">
        <f t="shared" ca="1" si="12"/>
        <v>#REF!</v>
      </c>
      <c r="AC270" s="234" t="str">
        <f t="shared" ca="1" si="13"/>
        <v>#REF!</v>
      </c>
      <c r="AD270" s="101" t="str">
        <f t="shared" ca="1" si="14"/>
        <v>#REF!</v>
      </c>
      <c r="AE270" s="101" t="str">
        <f t="shared" ca="1" si="15"/>
        <v>#REF!</v>
      </c>
      <c r="AF270" s="235" t="str">
        <f t="shared" ref="AF270:AG270" ca="1" si="347">AD270/U270</f>
        <v>#REF!</v>
      </c>
      <c r="AG270" s="235" t="str">
        <f t="shared" ca="1" si="347"/>
        <v>#REF!</v>
      </c>
      <c r="AH270" s="212"/>
      <c r="AI270" s="213"/>
      <c r="AJ270" s="4"/>
      <c r="AK270" s="4"/>
      <c r="AL270" s="4"/>
      <c r="AM270" s="4"/>
      <c r="AN270" s="4"/>
      <c r="AO270" s="4"/>
      <c r="AP270" s="4"/>
      <c r="AQ270" s="4"/>
      <c r="AR270" s="4"/>
      <c r="AS270" s="4"/>
      <c r="AT270" s="4"/>
      <c r="AU270" s="4"/>
    </row>
    <row r="271" spans="1:47" ht="13.2">
      <c r="A271" s="120"/>
      <c r="B271" s="113"/>
      <c r="C271" s="117"/>
      <c r="D271" s="117"/>
      <c r="E271" s="117"/>
      <c r="F271" s="123"/>
      <c r="G271" s="93" t="s">
        <v>145</v>
      </c>
      <c r="H271" s="125"/>
      <c r="I271" s="125"/>
      <c r="J271" s="82" t="str">
        <f t="shared" ca="1" si="147"/>
        <v>#REF!</v>
      </c>
      <c r="K271" s="82" t="str">
        <f t="shared" ca="1" si="256"/>
        <v>#REF!</v>
      </c>
      <c r="L271" s="82" t="str">
        <f t="shared" ca="1" si="199"/>
        <v>#REF!</v>
      </c>
      <c r="M271" s="125"/>
      <c r="N271" s="125"/>
      <c r="O271" s="230">
        <f t="shared" si="2"/>
        <v>0</v>
      </c>
      <c r="P271" s="231">
        <f t="shared" si="3"/>
        <v>0</v>
      </c>
      <c r="Q271" s="232" t="str">
        <f ca="1">ROUNDUP(HLOOKUP(IF(CEILING(L271,0.5)&lt;1,1,CEILING(L271,0.5)),'배송비 조회'!A$32:AY$36,2,0),-2)</f>
        <v>#REF!</v>
      </c>
      <c r="R271" s="232">
        <v>0</v>
      </c>
      <c r="S271" s="231" t="str">
        <f t="shared" ca="1" si="250"/>
        <v>#REF!</v>
      </c>
      <c r="T271" s="231" t="str">
        <f t="shared" ca="1" si="200"/>
        <v>#REF!</v>
      </c>
      <c r="U271" s="233" t="str">
        <f t="shared" ca="1" si="142"/>
        <v>#REF!</v>
      </c>
      <c r="V271" s="233" t="str">
        <f t="shared" ca="1" si="7"/>
        <v>#REF!</v>
      </c>
      <c r="W271" s="234">
        <v>0</v>
      </c>
      <c r="X271" s="234" t="str">
        <f t="shared" ca="1" si="8"/>
        <v>#REF!</v>
      </c>
      <c r="Y271" s="234" t="str">
        <f t="shared" ca="1" si="9"/>
        <v>#REF!</v>
      </c>
      <c r="Z271" s="234" t="str">
        <f t="shared" ca="1" si="10"/>
        <v>#REF!</v>
      </c>
      <c r="AA271" s="234" t="str">
        <f t="shared" ca="1" si="11"/>
        <v>#REF!</v>
      </c>
      <c r="AB271" s="234" t="str">
        <f t="shared" ca="1" si="12"/>
        <v>#REF!</v>
      </c>
      <c r="AC271" s="234" t="str">
        <f t="shared" ca="1" si="13"/>
        <v>#REF!</v>
      </c>
      <c r="AD271" s="101" t="str">
        <f t="shared" ca="1" si="14"/>
        <v>#REF!</v>
      </c>
      <c r="AE271" s="101" t="str">
        <f t="shared" ca="1" si="15"/>
        <v>#REF!</v>
      </c>
      <c r="AF271" s="235" t="str">
        <f t="shared" ref="AF271:AG271" ca="1" si="348">AD271/U271</f>
        <v>#REF!</v>
      </c>
      <c r="AG271" s="235" t="str">
        <f t="shared" ca="1" si="348"/>
        <v>#REF!</v>
      </c>
      <c r="AH271" s="212"/>
      <c r="AI271" s="213"/>
      <c r="AJ271" s="4"/>
      <c r="AK271" s="4"/>
      <c r="AL271" s="4"/>
      <c r="AM271" s="4"/>
      <c r="AN271" s="4"/>
      <c r="AO271" s="4"/>
      <c r="AP271" s="4"/>
      <c r="AQ271" s="4"/>
      <c r="AR271" s="4"/>
      <c r="AS271" s="4"/>
      <c r="AT271" s="4"/>
      <c r="AU271" s="4"/>
    </row>
    <row r="272" spans="1:47" ht="13.2">
      <c r="A272" s="120"/>
      <c r="B272" s="113"/>
      <c r="C272" s="117"/>
      <c r="D272" s="117"/>
      <c r="E272" s="117"/>
      <c r="F272" s="123"/>
      <c r="G272" s="93" t="s">
        <v>145</v>
      </c>
      <c r="H272" s="125"/>
      <c r="I272" s="125"/>
      <c r="J272" s="82" t="str">
        <f t="shared" ca="1" si="147"/>
        <v>#REF!</v>
      </c>
      <c r="K272" s="82" t="str">
        <f t="shared" ca="1" si="256"/>
        <v>#REF!</v>
      </c>
      <c r="L272" s="82" t="str">
        <f t="shared" ca="1" si="199"/>
        <v>#REF!</v>
      </c>
      <c r="M272" s="125"/>
      <c r="N272" s="125"/>
      <c r="O272" s="230">
        <f t="shared" si="2"/>
        <v>0</v>
      </c>
      <c r="P272" s="231">
        <f t="shared" si="3"/>
        <v>0</v>
      </c>
      <c r="Q272" s="232" t="str">
        <f ca="1">ROUNDUP(HLOOKUP(IF(CEILING(L272,0.5)&lt;1,1,CEILING(L272,0.5)),'배송비 조회'!A$32:AY$36,2,0),-2)</f>
        <v>#REF!</v>
      </c>
      <c r="R272" s="232">
        <v>0</v>
      </c>
      <c r="S272" s="231" t="str">
        <f t="shared" ca="1" si="250"/>
        <v>#REF!</v>
      </c>
      <c r="T272" s="231" t="str">
        <f t="shared" ca="1" si="200"/>
        <v>#REF!</v>
      </c>
      <c r="U272" s="233" t="str">
        <f t="shared" ca="1" si="142"/>
        <v>#REF!</v>
      </c>
      <c r="V272" s="233" t="str">
        <f t="shared" ca="1" si="7"/>
        <v>#REF!</v>
      </c>
      <c r="W272" s="234">
        <v>0</v>
      </c>
      <c r="X272" s="234" t="str">
        <f t="shared" ca="1" si="8"/>
        <v>#REF!</v>
      </c>
      <c r="Y272" s="234" t="str">
        <f t="shared" ca="1" si="9"/>
        <v>#REF!</v>
      </c>
      <c r="Z272" s="234" t="str">
        <f t="shared" ca="1" si="10"/>
        <v>#REF!</v>
      </c>
      <c r="AA272" s="234" t="str">
        <f t="shared" ca="1" si="11"/>
        <v>#REF!</v>
      </c>
      <c r="AB272" s="234" t="str">
        <f t="shared" ca="1" si="12"/>
        <v>#REF!</v>
      </c>
      <c r="AC272" s="234" t="str">
        <f t="shared" ca="1" si="13"/>
        <v>#REF!</v>
      </c>
      <c r="AD272" s="101" t="str">
        <f t="shared" ca="1" si="14"/>
        <v>#REF!</v>
      </c>
      <c r="AE272" s="101" t="str">
        <f t="shared" ca="1" si="15"/>
        <v>#REF!</v>
      </c>
      <c r="AF272" s="235" t="str">
        <f t="shared" ref="AF272:AG272" ca="1" si="349">AD272/U272</f>
        <v>#REF!</v>
      </c>
      <c r="AG272" s="235" t="str">
        <f t="shared" ca="1" si="349"/>
        <v>#REF!</v>
      </c>
      <c r="AH272" s="212"/>
      <c r="AI272" s="213"/>
      <c r="AJ272" s="4"/>
      <c r="AK272" s="4"/>
      <c r="AL272" s="4"/>
      <c r="AM272" s="4"/>
      <c r="AN272" s="4"/>
      <c r="AO272" s="4"/>
      <c r="AP272" s="4"/>
      <c r="AQ272" s="4"/>
      <c r="AR272" s="4"/>
      <c r="AS272" s="4"/>
      <c r="AT272" s="4"/>
      <c r="AU272" s="4"/>
    </row>
    <row r="273" spans="1:47" ht="13.2">
      <c r="A273" s="120"/>
      <c r="B273" s="113"/>
      <c r="C273" s="117"/>
      <c r="D273" s="117"/>
      <c r="E273" s="117"/>
      <c r="F273" s="123"/>
      <c r="G273" s="93" t="s">
        <v>145</v>
      </c>
      <c r="H273" s="125"/>
      <c r="I273" s="125"/>
      <c r="J273" s="82" t="str">
        <f t="shared" ca="1" si="147"/>
        <v>#REF!</v>
      </c>
      <c r="K273" s="82" t="str">
        <f t="shared" ca="1" si="256"/>
        <v>#REF!</v>
      </c>
      <c r="L273" s="82" t="str">
        <f t="shared" ca="1" si="199"/>
        <v>#REF!</v>
      </c>
      <c r="M273" s="125"/>
      <c r="N273" s="125"/>
      <c r="O273" s="230">
        <f t="shared" si="2"/>
        <v>0</v>
      </c>
      <c r="P273" s="231">
        <f t="shared" si="3"/>
        <v>0</v>
      </c>
      <c r="Q273" s="232" t="str">
        <f ca="1">ROUNDUP(HLOOKUP(IF(CEILING(L273,0.5)&lt;1,1,CEILING(L273,0.5)),'배송비 조회'!A$32:AY$36,2,0),-2)</f>
        <v>#REF!</v>
      </c>
      <c r="R273" s="232">
        <v>0</v>
      </c>
      <c r="S273" s="231" t="str">
        <f t="shared" ca="1" si="250"/>
        <v>#REF!</v>
      </c>
      <c r="T273" s="231" t="str">
        <f t="shared" ca="1" si="200"/>
        <v>#REF!</v>
      </c>
      <c r="U273" s="233" t="str">
        <f t="shared" ca="1" si="142"/>
        <v>#REF!</v>
      </c>
      <c r="V273" s="233" t="str">
        <f t="shared" ca="1" si="7"/>
        <v>#REF!</v>
      </c>
      <c r="W273" s="234">
        <v>0</v>
      </c>
      <c r="X273" s="234" t="str">
        <f t="shared" ca="1" si="8"/>
        <v>#REF!</v>
      </c>
      <c r="Y273" s="234" t="str">
        <f t="shared" ca="1" si="9"/>
        <v>#REF!</v>
      </c>
      <c r="Z273" s="234" t="str">
        <f t="shared" ca="1" si="10"/>
        <v>#REF!</v>
      </c>
      <c r="AA273" s="234" t="str">
        <f t="shared" ca="1" si="11"/>
        <v>#REF!</v>
      </c>
      <c r="AB273" s="234" t="str">
        <f t="shared" ca="1" si="12"/>
        <v>#REF!</v>
      </c>
      <c r="AC273" s="234" t="str">
        <f t="shared" ca="1" si="13"/>
        <v>#REF!</v>
      </c>
      <c r="AD273" s="101" t="str">
        <f t="shared" ca="1" si="14"/>
        <v>#REF!</v>
      </c>
      <c r="AE273" s="101" t="str">
        <f t="shared" ca="1" si="15"/>
        <v>#REF!</v>
      </c>
      <c r="AF273" s="235" t="str">
        <f t="shared" ref="AF273:AG273" ca="1" si="350">AD273/U273</f>
        <v>#REF!</v>
      </c>
      <c r="AG273" s="235" t="str">
        <f t="shared" ca="1" si="350"/>
        <v>#REF!</v>
      </c>
      <c r="AH273" s="212"/>
      <c r="AI273" s="213"/>
      <c r="AJ273" s="4"/>
      <c r="AK273" s="4"/>
      <c r="AL273" s="4"/>
      <c r="AM273" s="4"/>
      <c r="AN273" s="4"/>
      <c r="AO273" s="4"/>
      <c r="AP273" s="4"/>
      <c r="AQ273" s="4"/>
      <c r="AR273" s="4"/>
      <c r="AS273" s="4"/>
      <c r="AT273" s="4"/>
      <c r="AU273" s="4"/>
    </row>
    <row r="274" spans="1:47" ht="13.2">
      <c r="A274" s="120"/>
      <c r="B274" s="113"/>
      <c r="C274" s="117"/>
      <c r="D274" s="117"/>
      <c r="E274" s="117"/>
      <c r="F274" s="123"/>
      <c r="G274" s="93" t="s">
        <v>145</v>
      </c>
      <c r="H274" s="125"/>
      <c r="I274" s="125"/>
      <c r="J274" s="82" t="str">
        <f t="shared" ca="1" si="147"/>
        <v>#REF!</v>
      </c>
      <c r="K274" s="82" t="str">
        <f t="shared" ca="1" si="256"/>
        <v>#REF!</v>
      </c>
      <c r="L274" s="82" t="str">
        <f t="shared" ca="1" si="199"/>
        <v>#REF!</v>
      </c>
      <c r="M274" s="125"/>
      <c r="N274" s="125"/>
      <c r="O274" s="230">
        <f t="shared" si="2"/>
        <v>0</v>
      </c>
      <c r="P274" s="231">
        <f t="shared" si="3"/>
        <v>0</v>
      </c>
      <c r="Q274" s="232" t="str">
        <f ca="1">ROUNDUP(HLOOKUP(IF(CEILING(L274,0.5)&lt;1,1,CEILING(L274,0.5)),'배송비 조회'!A$32:AY$36,2,0),-2)</f>
        <v>#REF!</v>
      </c>
      <c r="R274" s="232">
        <v>0</v>
      </c>
      <c r="S274" s="231" t="str">
        <f t="shared" ca="1" si="250"/>
        <v>#REF!</v>
      </c>
      <c r="T274" s="231" t="str">
        <f t="shared" ca="1" si="200"/>
        <v>#REF!</v>
      </c>
      <c r="U274" s="233" t="str">
        <f t="shared" ca="1" si="142"/>
        <v>#REF!</v>
      </c>
      <c r="V274" s="233" t="str">
        <f t="shared" ca="1" si="7"/>
        <v>#REF!</v>
      </c>
      <c r="W274" s="234">
        <v>0</v>
      </c>
      <c r="X274" s="234" t="str">
        <f t="shared" ca="1" si="8"/>
        <v>#REF!</v>
      </c>
      <c r="Y274" s="234" t="str">
        <f t="shared" ca="1" si="9"/>
        <v>#REF!</v>
      </c>
      <c r="Z274" s="234" t="str">
        <f t="shared" ca="1" si="10"/>
        <v>#REF!</v>
      </c>
      <c r="AA274" s="234" t="str">
        <f t="shared" ca="1" si="11"/>
        <v>#REF!</v>
      </c>
      <c r="AB274" s="234" t="str">
        <f t="shared" ca="1" si="12"/>
        <v>#REF!</v>
      </c>
      <c r="AC274" s="234" t="str">
        <f t="shared" ca="1" si="13"/>
        <v>#REF!</v>
      </c>
      <c r="AD274" s="101" t="str">
        <f t="shared" ca="1" si="14"/>
        <v>#REF!</v>
      </c>
      <c r="AE274" s="101" t="str">
        <f t="shared" ca="1" si="15"/>
        <v>#REF!</v>
      </c>
      <c r="AF274" s="235" t="str">
        <f t="shared" ref="AF274:AG274" ca="1" si="351">AD274/U274</f>
        <v>#REF!</v>
      </c>
      <c r="AG274" s="235" t="str">
        <f t="shared" ca="1" si="351"/>
        <v>#REF!</v>
      </c>
      <c r="AH274" s="212"/>
      <c r="AI274" s="213"/>
      <c r="AJ274" s="4"/>
      <c r="AK274" s="4"/>
      <c r="AL274" s="4"/>
      <c r="AM274" s="4"/>
      <c r="AN274" s="4"/>
      <c r="AO274" s="4"/>
      <c r="AP274" s="4"/>
      <c r="AQ274" s="4"/>
      <c r="AR274" s="4"/>
      <c r="AS274" s="4"/>
      <c r="AT274" s="4"/>
      <c r="AU274" s="4"/>
    </row>
    <row r="275" spans="1:47" ht="13.2">
      <c r="A275" s="120"/>
      <c r="B275" s="113"/>
      <c r="C275" s="117"/>
      <c r="D275" s="117"/>
      <c r="E275" s="117"/>
      <c r="F275" s="123"/>
      <c r="G275" s="93" t="s">
        <v>145</v>
      </c>
      <c r="H275" s="125"/>
      <c r="I275" s="125"/>
      <c r="J275" s="82" t="str">
        <f t="shared" ca="1" si="147"/>
        <v>#REF!</v>
      </c>
      <c r="K275" s="82" t="str">
        <f t="shared" ca="1" si="256"/>
        <v>#REF!</v>
      </c>
      <c r="L275" s="82" t="str">
        <f t="shared" ca="1" si="199"/>
        <v>#REF!</v>
      </c>
      <c r="M275" s="125"/>
      <c r="N275" s="125"/>
      <c r="O275" s="230">
        <f t="shared" si="2"/>
        <v>0</v>
      </c>
      <c r="P275" s="231">
        <f t="shared" si="3"/>
        <v>0</v>
      </c>
      <c r="Q275" s="232" t="str">
        <f ca="1">ROUNDUP(HLOOKUP(IF(CEILING(L275,0.5)&lt;1,1,CEILING(L275,0.5)),'배송비 조회'!A$32:AY$36,2,0),-2)</f>
        <v>#REF!</v>
      </c>
      <c r="R275" s="232">
        <v>0</v>
      </c>
      <c r="S275" s="231" t="str">
        <f t="shared" ca="1" si="250"/>
        <v>#REF!</v>
      </c>
      <c r="T275" s="231" t="str">
        <f t="shared" ca="1" si="200"/>
        <v>#REF!</v>
      </c>
      <c r="U275" s="233" t="str">
        <f t="shared" ca="1" si="142"/>
        <v>#REF!</v>
      </c>
      <c r="V275" s="233" t="str">
        <f t="shared" ca="1" si="7"/>
        <v>#REF!</v>
      </c>
      <c r="W275" s="234">
        <v>0</v>
      </c>
      <c r="X275" s="234" t="str">
        <f t="shared" ca="1" si="8"/>
        <v>#REF!</v>
      </c>
      <c r="Y275" s="234" t="str">
        <f t="shared" ca="1" si="9"/>
        <v>#REF!</v>
      </c>
      <c r="Z275" s="234" t="str">
        <f t="shared" ca="1" si="10"/>
        <v>#REF!</v>
      </c>
      <c r="AA275" s="234" t="str">
        <f t="shared" ca="1" si="11"/>
        <v>#REF!</v>
      </c>
      <c r="AB275" s="234" t="str">
        <f t="shared" ca="1" si="12"/>
        <v>#REF!</v>
      </c>
      <c r="AC275" s="234" t="str">
        <f t="shared" ca="1" si="13"/>
        <v>#REF!</v>
      </c>
      <c r="AD275" s="101" t="str">
        <f t="shared" ca="1" si="14"/>
        <v>#REF!</v>
      </c>
      <c r="AE275" s="101" t="str">
        <f t="shared" ca="1" si="15"/>
        <v>#REF!</v>
      </c>
      <c r="AF275" s="235" t="str">
        <f t="shared" ref="AF275:AG275" ca="1" si="352">AD275/U275</f>
        <v>#REF!</v>
      </c>
      <c r="AG275" s="235" t="str">
        <f t="shared" ca="1" si="352"/>
        <v>#REF!</v>
      </c>
      <c r="AH275" s="212"/>
      <c r="AI275" s="213"/>
      <c r="AJ275" s="4"/>
      <c r="AK275" s="4"/>
      <c r="AL275" s="4"/>
      <c r="AM275" s="4"/>
      <c r="AN275" s="4"/>
      <c r="AO275" s="4"/>
      <c r="AP275" s="4"/>
      <c r="AQ275" s="4"/>
      <c r="AR275" s="4"/>
      <c r="AS275" s="4"/>
      <c r="AT275" s="4"/>
      <c r="AU275" s="4"/>
    </row>
    <row r="276" spans="1:47" ht="13.2">
      <c r="A276" s="120"/>
      <c r="B276" s="113"/>
      <c r="C276" s="117"/>
      <c r="D276" s="117"/>
      <c r="E276" s="117"/>
      <c r="F276" s="123"/>
      <c r="G276" s="93" t="s">
        <v>145</v>
      </c>
      <c r="H276" s="125"/>
      <c r="I276" s="125"/>
      <c r="J276" s="82" t="str">
        <f t="shared" ca="1" si="147"/>
        <v>#REF!</v>
      </c>
      <c r="K276" s="82" t="str">
        <f t="shared" ca="1" si="256"/>
        <v>#REF!</v>
      </c>
      <c r="L276" s="82" t="str">
        <f t="shared" ca="1" si="199"/>
        <v>#REF!</v>
      </c>
      <c r="M276" s="125"/>
      <c r="N276" s="125"/>
      <c r="O276" s="230">
        <f t="shared" si="2"/>
        <v>0</v>
      </c>
      <c r="P276" s="231">
        <f t="shared" si="3"/>
        <v>0</v>
      </c>
      <c r="Q276" s="232" t="str">
        <f ca="1">ROUNDUP(HLOOKUP(IF(CEILING(L276,0.5)&lt;1,1,CEILING(L276,0.5)),'배송비 조회'!A$32:AY$36,2,0),-2)</f>
        <v>#REF!</v>
      </c>
      <c r="R276" s="232">
        <v>0</v>
      </c>
      <c r="S276" s="231" t="str">
        <f t="shared" ca="1" si="250"/>
        <v>#REF!</v>
      </c>
      <c r="T276" s="231" t="str">
        <f t="shared" ca="1" si="200"/>
        <v>#REF!</v>
      </c>
      <c r="U276" s="233" t="str">
        <f t="shared" ca="1" si="142"/>
        <v>#REF!</v>
      </c>
      <c r="V276" s="233" t="str">
        <f t="shared" ca="1" si="7"/>
        <v>#REF!</v>
      </c>
      <c r="W276" s="234">
        <v>0</v>
      </c>
      <c r="X276" s="234" t="str">
        <f t="shared" ca="1" si="8"/>
        <v>#REF!</v>
      </c>
      <c r="Y276" s="234" t="str">
        <f t="shared" ca="1" si="9"/>
        <v>#REF!</v>
      </c>
      <c r="Z276" s="234" t="str">
        <f t="shared" ca="1" si="10"/>
        <v>#REF!</v>
      </c>
      <c r="AA276" s="234" t="str">
        <f t="shared" ca="1" si="11"/>
        <v>#REF!</v>
      </c>
      <c r="AB276" s="234" t="str">
        <f t="shared" ca="1" si="12"/>
        <v>#REF!</v>
      </c>
      <c r="AC276" s="234" t="str">
        <f t="shared" ca="1" si="13"/>
        <v>#REF!</v>
      </c>
      <c r="AD276" s="101" t="str">
        <f t="shared" ca="1" si="14"/>
        <v>#REF!</v>
      </c>
      <c r="AE276" s="101" t="str">
        <f t="shared" ca="1" si="15"/>
        <v>#REF!</v>
      </c>
      <c r="AF276" s="235" t="str">
        <f t="shared" ref="AF276:AG276" ca="1" si="353">AD276/U276</f>
        <v>#REF!</v>
      </c>
      <c r="AG276" s="235" t="str">
        <f t="shared" ca="1" si="353"/>
        <v>#REF!</v>
      </c>
      <c r="AH276" s="212"/>
      <c r="AI276" s="213"/>
      <c r="AJ276" s="4"/>
      <c r="AK276" s="4"/>
      <c r="AL276" s="4"/>
      <c r="AM276" s="4"/>
      <c r="AN276" s="4"/>
      <c r="AO276" s="4"/>
      <c r="AP276" s="4"/>
      <c r="AQ276" s="4"/>
      <c r="AR276" s="4"/>
      <c r="AS276" s="4"/>
      <c r="AT276" s="4"/>
      <c r="AU276" s="4"/>
    </row>
    <row r="277" spans="1:47" ht="13.2">
      <c r="A277" s="120"/>
      <c r="B277" s="113"/>
      <c r="C277" s="117"/>
      <c r="D277" s="117"/>
      <c r="E277" s="117"/>
      <c r="F277" s="123"/>
      <c r="G277" s="93" t="s">
        <v>145</v>
      </c>
      <c r="H277" s="125"/>
      <c r="I277" s="125"/>
      <c r="J277" s="82" t="str">
        <f t="shared" ca="1" si="147"/>
        <v>#REF!</v>
      </c>
      <c r="K277" s="82" t="str">
        <f t="shared" ca="1" si="256"/>
        <v>#REF!</v>
      </c>
      <c r="L277" s="82" t="str">
        <f t="shared" ca="1" si="199"/>
        <v>#REF!</v>
      </c>
      <c r="M277" s="125"/>
      <c r="N277" s="125"/>
      <c r="O277" s="230">
        <f t="shared" si="2"/>
        <v>0</v>
      </c>
      <c r="P277" s="231">
        <f t="shared" si="3"/>
        <v>0</v>
      </c>
      <c r="Q277" s="232" t="str">
        <f ca="1">ROUNDUP(HLOOKUP(IF(CEILING(L277,0.5)&lt;1,1,CEILING(L277,0.5)),'배송비 조회'!A$32:AY$36,2,0),-2)</f>
        <v>#REF!</v>
      </c>
      <c r="R277" s="232">
        <v>0</v>
      </c>
      <c r="S277" s="231" t="str">
        <f t="shared" ca="1" si="250"/>
        <v>#REF!</v>
      </c>
      <c r="T277" s="231" t="str">
        <f t="shared" ca="1" si="200"/>
        <v>#REF!</v>
      </c>
      <c r="U277" s="233" t="str">
        <f t="shared" ca="1" si="142"/>
        <v>#REF!</v>
      </c>
      <c r="V277" s="233" t="str">
        <f t="shared" ca="1" si="7"/>
        <v>#REF!</v>
      </c>
      <c r="W277" s="234">
        <v>0</v>
      </c>
      <c r="X277" s="234" t="str">
        <f t="shared" ca="1" si="8"/>
        <v>#REF!</v>
      </c>
      <c r="Y277" s="234" t="str">
        <f t="shared" ca="1" si="9"/>
        <v>#REF!</v>
      </c>
      <c r="Z277" s="234" t="str">
        <f t="shared" ca="1" si="10"/>
        <v>#REF!</v>
      </c>
      <c r="AA277" s="234" t="str">
        <f t="shared" ca="1" si="11"/>
        <v>#REF!</v>
      </c>
      <c r="AB277" s="234" t="str">
        <f t="shared" ca="1" si="12"/>
        <v>#REF!</v>
      </c>
      <c r="AC277" s="234" t="str">
        <f t="shared" ca="1" si="13"/>
        <v>#REF!</v>
      </c>
      <c r="AD277" s="101" t="str">
        <f t="shared" ca="1" si="14"/>
        <v>#REF!</v>
      </c>
      <c r="AE277" s="101" t="str">
        <f t="shared" ca="1" si="15"/>
        <v>#REF!</v>
      </c>
      <c r="AF277" s="235" t="str">
        <f t="shared" ref="AF277:AG277" ca="1" si="354">AD277/U277</f>
        <v>#REF!</v>
      </c>
      <c r="AG277" s="235" t="str">
        <f t="shared" ca="1" si="354"/>
        <v>#REF!</v>
      </c>
      <c r="AH277" s="212"/>
      <c r="AI277" s="213"/>
      <c r="AJ277" s="4"/>
      <c r="AK277" s="4"/>
      <c r="AL277" s="4"/>
      <c r="AM277" s="4"/>
      <c r="AN277" s="4"/>
      <c r="AO277" s="4"/>
      <c r="AP277" s="4"/>
      <c r="AQ277" s="4"/>
      <c r="AR277" s="4"/>
      <c r="AS277" s="4"/>
      <c r="AT277" s="4"/>
      <c r="AU277" s="4"/>
    </row>
    <row r="278" spans="1:47" ht="13.2">
      <c r="A278" s="120"/>
      <c r="B278" s="113"/>
      <c r="C278" s="117"/>
      <c r="D278" s="117"/>
      <c r="E278" s="117"/>
      <c r="F278" s="123"/>
      <c r="G278" s="93" t="s">
        <v>145</v>
      </c>
      <c r="H278" s="125"/>
      <c r="I278" s="125"/>
      <c r="J278" s="82" t="str">
        <f t="shared" ca="1" si="147"/>
        <v>#REF!</v>
      </c>
      <c r="K278" s="82" t="str">
        <f t="shared" ca="1" si="256"/>
        <v>#REF!</v>
      </c>
      <c r="L278" s="82" t="str">
        <f t="shared" ca="1" si="199"/>
        <v>#REF!</v>
      </c>
      <c r="M278" s="125"/>
      <c r="N278" s="125"/>
      <c r="O278" s="230">
        <f t="shared" si="2"/>
        <v>0</v>
      </c>
      <c r="P278" s="231">
        <f t="shared" si="3"/>
        <v>0</v>
      </c>
      <c r="Q278" s="232" t="str">
        <f ca="1">ROUNDUP(HLOOKUP(IF(CEILING(L278,0.5)&lt;1,1,CEILING(L278,0.5)),'배송비 조회'!A$32:AY$36,2,0),-2)</f>
        <v>#REF!</v>
      </c>
      <c r="R278" s="232">
        <v>0</v>
      </c>
      <c r="S278" s="231" t="str">
        <f t="shared" ca="1" si="250"/>
        <v>#REF!</v>
      </c>
      <c r="T278" s="231" t="str">
        <f t="shared" ca="1" si="200"/>
        <v>#REF!</v>
      </c>
      <c r="U278" s="233" t="str">
        <f t="shared" ca="1" si="142"/>
        <v>#REF!</v>
      </c>
      <c r="V278" s="233" t="str">
        <f t="shared" ca="1" si="7"/>
        <v>#REF!</v>
      </c>
      <c r="W278" s="234">
        <v>0</v>
      </c>
      <c r="X278" s="234" t="str">
        <f t="shared" ca="1" si="8"/>
        <v>#REF!</v>
      </c>
      <c r="Y278" s="234" t="str">
        <f t="shared" ca="1" si="9"/>
        <v>#REF!</v>
      </c>
      <c r="Z278" s="234" t="str">
        <f t="shared" ca="1" si="10"/>
        <v>#REF!</v>
      </c>
      <c r="AA278" s="234" t="str">
        <f t="shared" ca="1" si="11"/>
        <v>#REF!</v>
      </c>
      <c r="AB278" s="234" t="str">
        <f t="shared" ca="1" si="12"/>
        <v>#REF!</v>
      </c>
      <c r="AC278" s="234" t="str">
        <f t="shared" ca="1" si="13"/>
        <v>#REF!</v>
      </c>
      <c r="AD278" s="101" t="str">
        <f t="shared" ca="1" si="14"/>
        <v>#REF!</v>
      </c>
      <c r="AE278" s="101" t="str">
        <f t="shared" ca="1" si="15"/>
        <v>#REF!</v>
      </c>
      <c r="AF278" s="235" t="str">
        <f t="shared" ref="AF278:AG278" ca="1" si="355">AD278/U278</f>
        <v>#REF!</v>
      </c>
      <c r="AG278" s="235" t="str">
        <f t="shared" ca="1" si="355"/>
        <v>#REF!</v>
      </c>
      <c r="AH278" s="212"/>
      <c r="AI278" s="213"/>
      <c r="AJ278" s="4"/>
      <c r="AK278" s="4"/>
      <c r="AL278" s="4"/>
      <c r="AM278" s="4"/>
      <c r="AN278" s="4"/>
      <c r="AO278" s="4"/>
      <c r="AP278" s="4"/>
      <c r="AQ278" s="4"/>
      <c r="AR278" s="4"/>
      <c r="AS278" s="4"/>
      <c r="AT278" s="4"/>
      <c r="AU278" s="4"/>
    </row>
    <row r="279" spans="1:47" ht="13.2">
      <c r="A279" s="120"/>
      <c r="B279" s="113"/>
      <c r="C279" s="117"/>
      <c r="D279" s="117"/>
      <c r="E279" s="117"/>
      <c r="F279" s="123"/>
      <c r="G279" s="93" t="s">
        <v>145</v>
      </c>
      <c r="H279" s="125"/>
      <c r="I279" s="125"/>
      <c r="J279" s="82" t="str">
        <f t="shared" ca="1" si="147"/>
        <v>#REF!</v>
      </c>
      <c r="K279" s="82" t="str">
        <f t="shared" ca="1" si="256"/>
        <v>#REF!</v>
      </c>
      <c r="L279" s="82" t="str">
        <f t="shared" ca="1" si="199"/>
        <v>#REF!</v>
      </c>
      <c r="M279" s="125"/>
      <c r="N279" s="125"/>
      <c r="O279" s="230">
        <f t="shared" si="2"/>
        <v>0</v>
      </c>
      <c r="P279" s="231">
        <f t="shared" si="3"/>
        <v>0</v>
      </c>
      <c r="Q279" s="232" t="str">
        <f ca="1">ROUNDUP(HLOOKUP(IF(CEILING(L279,0.5)&lt;1,1,CEILING(L279,0.5)),'배송비 조회'!A$32:AY$36,2,0),-2)</f>
        <v>#REF!</v>
      </c>
      <c r="R279" s="232">
        <v>0</v>
      </c>
      <c r="S279" s="231" t="str">
        <f t="shared" ca="1" si="250"/>
        <v>#REF!</v>
      </c>
      <c r="T279" s="231" t="str">
        <f t="shared" ca="1" si="200"/>
        <v>#REF!</v>
      </c>
      <c r="U279" s="233" t="str">
        <f t="shared" ca="1" si="142"/>
        <v>#REF!</v>
      </c>
      <c r="V279" s="233" t="str">
        <f t="shared" ca="1" si="7"/>
        <v>#REF!</v>
      </c>
      <c r="W279" s="234">
        <v>0</v>
      </c>
      <c r="X279" s="234" t="str">
        <f t="shared" ca="1" si="8"/>
        <v>#REF!</v>
      </c>
      <c r="Y279" s="234" t="str">
        <f t="shared" ca="1" si="9"/>
        <v>#REF!</v>
      </c>
      <c r="Z279" s="234" t="str">
        <f t="shared" ca="1" si="10"/>
        <v>#REF!</v>
      </c>
      <c r="AA279" s="234" t="str">
        <f t="shared" ca="1" si="11"/>
        <v>#REF!</v>
      </c>
      <c r="AB279" s="234" t="str">
        <f t="shared" ca="1" si="12"/>
        <v>#REF!</v>
      </c>
      <c r="AC279" s="234" t="str">
        <f t="shared" ca="1" si="13"/>
        <v>#REF!</v>
      </c>
      <c r="AD279" s="101" t="str">
        <f t="shared" ca="1" si="14"/>
        <v>#REF!</v>
      </c>
      <c r="AE279" s="101" t="str">
        <f t="shared" ca="1" si="15"/>
        <v>#REF!</v>
      </c>
      <c r="AF279" s="235" t="str">
        <f t="shared" ref="AF279:AG279" ca="1" si="356">AD279/U279</f>
        <v>#REF!</v>
      </c>
      <c r="AG279" s="235" t="str">
        <f t="shared" ca="1" si="356"/>
        <v>#REF!</v>
      </c>
      <c r="AH279" s="212"/>
      <c r="AI279" s="213"/>
      <c r="AJ279" s="4"/>
      <c r="AK279" s="4"/>
      <c r="AL279" s="4"/>
      <c r="AM279" s="4"/>
      <c r="AN279" s="4"/>
      <c r="AO279" s="4"/>
      <c r="AP279" s="4"/>
      <c r="AQ279" s="4"/>
      <c r="AR279" s="4"/>
      <c r="AS279" s="4"/>
      <c r="AT279" s="4"/>
      <c r="AU279" s="4"/>
    </row>
    <row r="280" spans="1:47" ht="13.2">
      <c r="A280" s="120"/>
      <c r="B280" s="113"/>
      <c r="C280" s="117"/>
      <c r="D280" s="117"/>
      <c r="E280" s="117"/>
      <c r="F280" s="123"/>
      <c r="G280" s="93" t="s">
        <v>145</v>
      </c>
      <c r="H280" s="125"/>
      <c r="I280" s="125"/>
      <c r="J280" s="82" t="str">
        <f t="shared" ca="1" si="147"/>
        <v>#REF!</v>
      </c>
      <c r="K280" s="82" t="str">
        <f t="shared" ca="1" si="256"/>
        <v>#REF!</v>
      </c>
      <c r="L280" s="82" t="str">
        <f t="shared" ca="1" si="199"/>
        <v>#REF!</v>
      </c>
      <c r="M280" s="125"/>
      <c r="N280" s="125"/>
      <c r="O280" s="230">
        <f t="shared" si="2"/>
        <v>0</v>
      </c>
      <c r="P280" s="231">
        <f t="shared" si="3"/>
        <v>0</v>
      </c>
      <c r="Q280" s="232" t="str">
        <f ca="1">ROUNDUP(HLOOKUP(IF(CEILING(L280,0.5)&lt;1,1,CEILING(L280,0.5)),'배송비 조회'!A$32:AY$36,2,0),-2)</f>
        <v>#REF!</v>
      </c>
      <c r="R280" s="232">
        <v>0</v>
      </c>
      <c r="S280" s="231" t="str">
        <f t="shared" ca="1" si="250"/>
        <v>#REF!</v>
      </c>
      <c r="T280" s="231" t="str">
        <f t="shared" ca="1" si="200"/>
        <v>#REF!</v>
      </c>
      <c r="U280" s="233" t="str">
        <f t="shared" ca="1" si="142"/>
        <v>#REF!</v>
      </c>
      <c r="V280" s="233" t="str">
        <f t="shared" ca="1" si="7"/>
        <v>#REF!</v>
      </c>
      <c r="W280" s="234">
        <v>0</v>
      </c>
      <c r="X280" s="234" t="str">
        <f t="shared" ca="1" si="8"/>
        <v>#REF!</v>
      </c>
      <c r="Y280" s="234" t="str">
        <f t="shared" ca="1" si="9"/>
        <v>#REF!</v>
      </c>
      <c r="Z280" s="234" t="str">
        <f t="shared" ca="1" si="10"/>
        <v>#REF!</v>
      </c>
      <c r="AA280" s="234" t="str">
        <f t="shared" ca="1" si="11"/>
        <v>#REF!</v>
      </c>
      <c r="AB280" s="234" t="str">
        <f t="shared" ca="1" si="12"/>
        <v>#REF!</v>
      </c>
      <c r="AC280" s="234" t="str">
        <f t="shared" ca="1" si="13"/>
        <v>#REF!</v>
      </c>
      <c r="AD280" s="101" t="str">
        <f t="shared" ca="1" si="14"/>
        <v>#REF!</v>
      </c>
      <c r="AE280" s="101" t="str">
        <f t="shared" ca="1" si="15"/>
        <v>#REF!</v>
      </c>
      <c r="AF280" s="235" t="str">
        <f t="shared" ref="AF280:AG280" ca="1" si="357">AD280/U280</f>
        <v>#REF!</v>
      </c>
      <c r="AG280" s="235" t="str">
        <f t="shared" ca="1" si="357"/>
        <v>#REF!</v>
      </c>
      <c r="AH280" s="212"/>
      <c r="AI280" s="213"/>
      <c r="AJ280" s="4"/>
      <c r="AK280" s="4"/>
      <c r="AL280" s="4"/>
      <c r="AM280" s="4"/>
      <c r="AN280" s="4"/>
      <c r="AO280" s="4"/>
      <c r="AP280" s="4"/>
      <c r="AQ280" s="4"/>
      <c r="AR280" s="4"/>
      <c r="AS280" s="4"/>
      <c r="AT280" s="4"/>
      <c r="AU280" s="4"/>
    </row>
    <row r="281" spans="1:47" ht="13.2">
      <c r="A281" s="120"/>
      <c r="B281" s="113"/>
      <c r="C281" s="117"/>
      <c r="D281" s="117"/>
      <c r="E281" s="117"/>
      <c r="F281" s="123"/>
      <c r="G281" s="93" t="s">
        <v>145</v>
      </c>
      <c r="H281" s="125"/>
      <c r="I281" s="125"/>
      <c r="J281" s="82" t="str">
        <f t="shared" ca="1" si="147"/>
        <v>#REF!</v>
      </c>
      <c r="K281" s="82" t="str">
        <f t="shared" ca="1" si="256"/>
        <v>#REF!</v>
      </c>
      <c r="L281" s="82" t="str">
        <f t="shared" ca="1" si="199"/>
        <v>#REF!</v>
      </c>
      <c r="M281" s="125"/>
      <c r="N281" s="125"/>
      <c r="O281" s="230">
        <f t="shared" si="2"/>
        <v>0</v>
      </c>
      <c r="P281" s="231">
        <f t="shared" si="3"/>
        <v>0</v>
      </c>
      <c r="Q281" s="232" t="str">
        <f ca="1">ROUNDUP(HLOOKUP(IF(CEILING(L281,0.5)&lt;1,1,CEILING(L281,0.5)),'배송비 조회'!A$32:AY$36,2,0),-2)</f>
        <v>#REF!</v>
      </c>
      <c r="R281" s="232">
        <v>0</v>
      </c>
      <c r="S281" s="231" t="str">
        <f t="shared" ca="1" si="250"/>
        <v>#REF!</v>
      </c>
      <c r="T281" s="231" t="str">
        <f t="shared" ca="1" si="200"/>
        <v>#REF!</v>
      </c>
      <c r="U281" s="233" t="str">
        <f t="shared" ca="1" si="142"/>
        <v>#REF!</v>
      </c>
      <c r="V281" s="233" t="str">
        <f t="shared" ca="1" si="7"/>
        <v>#REF!</v>
      </c>
      <c r="W281" s="234">
        <v>0</v>
      </c>
      <c r="X281" s="234" t="str">
        <f t="shared" ca="1" si="8"/>
        <v>#REF!</v>
      </c>
      <c r="Y281" s="234" t="str">
        <f t="shared" ca="1" si="9"/>
        <v>#REF!</v>
      </c>
      <c r="Z281" s="234" t="str">
        <f t="shared" ca="1" si="10"/>
        <v>#REF!</v>
      </c>
      <c r="AA281" s="234" t="str">
        <f t="shared" ca="1" si="11"/>
        <v>#REF!</v>
      </c>
      <c r="AB281" s="234" t="str">
        <f t="shared" ca="1" si="12"/>
        <v>#REF!</v>
      </c>
      <c r="AC281" s="234" t="str">
        <f t="shared" ca="1" si="13"/>
        <v>#REF!</v>
      </c>
      <c r="AD281" s="101" t="str">
        <f t="shared" ca="1" si="14"/>
        <v>#REF!</v>
      </c>
      <c r="AE281" s="101" t="str">
        <f t="shared" ca="1" si="15"/>
        <v>#REF!</v>
      </c>
      <c r="AF281" s="235" t="str">
        <f t="shared" ref="AF281:AG281" ca="1" si="358">AD281/U281</f>
        <v>#REF!</v>
      </c>
      <c r="AG281" s="235" t="str">
        <f t="shared" ca="1" si="358"/>
        <v>#REF!</v>
      </c>
      <c r="AH281" s="212"/>
      <c r="AI281" s="213"/>
      <c r="AJ281" s="4"/>
      <c r="AK281" s="4"/>
      <c r="AL281" s="4"/>
      <c r="AM281" s="4"/>
      <c r="AN281" s="4"/>
      <c r="AO281" s="4"/>
      <c r="AP281" s="4"/>
      <c r="AQ281" s="4"/>
      <c r="AR281" s="4"/>
      <c r="AS281" s="4"/>
      <c r="AT281" s="4"/>
      <c r="AU281" s="4"/>
    </row>
    <row r="282" spans="1:47" ht="13.2">
      <c r="A282" s="120"/>
      <c r="B282" s="113"/>
      <c r="C282" s="117"/>
      <c r="D282" s="117"/>
      <c r="E282" s="117"/>
      <c r="F282" s="123"/>
      <c r="G282" s="93" t="s">
        <v>145</v>
      </c>
      <c r="H282" s="125"/>
      <c r="I282" s="125"/>
      <c r="J282" s="82" t="str">
        <f t="shared" ca="1" si="147"/>
        <v>#REF!</v>
      </c>
      <c r="K282" s="82" t="str">
        <f t="shared" ca="1" si="256"/>
        <v>#REF!</v>
      </c>
      <c r="L282" s="82" t="str">
        <f t="shared" ca="1" si="199"/>
        <v>#REF!</v>
      </c>
      <c r="M282" s="125"/>
      <c r="N282" s="125"/>
      <c r="O282" s="230">
        <f t="shared" si="2"/>
        <v>0</v>
      </c>
      <c r="P282" s="231">
        <f t="shared" si="3"/>
        <v>0</v>
      </c>
      <c r="Q282" s="232" t="str">
        <f ca="1">ROUNDUP(HLOOKUP(IF(CEILING(L282,0.5)&lt;1,1,CEILING(L282,0.5)),'배송비 조회'!A$32:AY$36,2,0),-2)</f>
        <v>#REF!</v>
      </c>
      <c r="R282" s="232">
        <v>0</v>
      </c>
      <c r="S282" s="231" t="str">
        <f t="shared" ca="1" si="250"/>
        <v>#REF!</v>
      </c>
      <c r="T282" s="231" t="str">
        <f t="shared" ca="1" si="200"/>
        <v>#REF!</v>
      </c>
      <c r="U282" s="233" t="str">
        <f t="shared" ca="1" si="142"/>
        <v>#REF!</v>
      </c>
      <c r="V282" s="233" t="str">
        <f t="shared" ca="1" si="7"/>
        <v>#REF!</v>
      </c>
      <c r="W282" s="234">
        <v>0</v>
      </c>
      <c r="X282" s="234" t="str">
        <f t="shared" ca="1" si="8"/>
        <v>#REF!</v>
      </c>
      <c r="Y282" s="234" t="str">
        <f t="shared" ca="1" si="9"/>
        <v>#REF!</v>
      </c>
      <c r="Z282" s="234" t="str">
        <f t="shared" ca="1" si="10"/>
        <v>#REF!</v>
      </c>
      <c r="AA282" s="234" t="str">
        <f t="shared" ca="1" si="11"/>
        <v>#REF!</v>
      </c>
      <c r="AB282" s="234" t="str">
        <f t="shared" ca="1" si="12"/>
        <v>#REF!</v>
      </c>
      <c r="AC282" s="234" t="str">
        <f t="shared" ca="1" si="13"/>
        <v>#REF!</v>
      </c>
      <c r="AD282" s="101" t="str">
        <f t="shared" ca="1" si="14"/>
        <v>#REF!</v>
      </c>
      <c r="AE282" s="101" t="str">
        <f t="shared" ca="1" si="15"/>
        <v>#REF!</v>
      </c>
      <c r="AF282" s="235" t="str">
        <f t="shared" ref="AF282:AG282" ca="1" si="359">AD282/U282</f>
        <v>#REF!</v>
      </c>
      <c r="AG282" s="235" t="str">
        <f t="shared" ca="1" si="359"/>
        <v>#REF!</v>
      </c>
      <c r="AH282" s="212"/>
      <c r="AI282" s="213"/>
      <c r="AJ282" s="4"/>
      <c r="AK282" s="4"/>
      <c r="AL282" s="4"/>
      <c r="AM282" s="4"/>
      <c r="AN282" s="4"/>
      <c r="AO282" s="4"/>
      <c r="AP282" s="4"/>
      <c r="AQ282" s="4"/>
      <c r="AR282" s="4"/>
      <c r="AS282" s="4"/>
      <c r="AT282" s="4"/>
      <c r="AU282" s="4"/>
    </row>
    <row r="283" spans="1:47" ht="13.2">
      <c r="A283" s="120"/>
      <c r="B283" s="113"/>
      <c r="C283" s="117"/>
      <c r="D283" s="117"/>
      <c r="E283" s="117"/>
      <c r="F283" s="123"/>
      <c r="G283" s="93" t="s">
        <v>145</v>
      </c>
      <c r="H283" s="125"/>
      <c r="I283" s="125"/>
      <c r="J283" s="82" t="str">
        <f t="shared" ca="1" si="147"/>
        <v>#REF!</v>
      </c>
      <c r="K283" s="82" t="str">
        <f t="shared" ca="1" si="256"/>
        <v>#REF!</v>
      </c>
      <c r="L283" s="82" t="str">
        <f t="shared" ca="1" si="199"/>
        <v>#REF!</v>
      </c>
      <c r="M283" s="125"/>
      <c r="N283" s="125"/>
      <c r="O283" s="230">
        <f t="shared" si="2"/>
        <v>0</v>
      </c>
      <c r="P283" s="231">
        <f t="shared" si="3"/>
        <v>0</v>
      </c>
      <c r="Q283" s="232" t="str">
        <f ca="1">ROUNDUP(HLOOKUP(IF(CEILING(L283,0.5)&lt;1,1,CEILING(L283,0.5)),'배송비 조회'!A$32:AY$36,2,0),-2)</f>
        <v>#REF!</v>
      </c>
      <c r="R283" s="232">
        <v>0</v>
      </c>
      <c r="S283" s="231" t="str">
        <f t="shared" ca="1" si="250"/>
        <v>#REF!</v>
      </c>
      <c r="T283" s="231" t="str">
        <f t="shared" ca="1" si="200"/>
        <v>#REF!</v>
      </c>
      <c r="U283" s="233" t="str">
        <f t="shared" ca="1" si="142"/>
        <v>#REF!</v>
      </c>
      <c r="V283" s="233" t="str">
        <f t="shared" ca="1" si="7"/>
        <v>#REF!</v>
      </c>
      <c r="W283" s="234">
        <v>0</v>
      </c>
      <c r="X283" s="234" t="str">
        <f t="shared" ca="1" si="8"/>
        <v>#REF!</v>
      </c>
      <c r="Y283" s="234" t="str">
        <f t="shared" ca="1" si="9"/>
        <v>#REF!</v>
      </c>
      <c r="Z283" s="234" t="str">
        <f t="shared" ca="1" si="10"/>
        <v>#REF!</v>
      </c>
      <c r="AA283" s="234" t="str">
        <f t="shared" ca="1" si="11"/>
        <v>#REF!</v>
      </c>
      <c r="AB283" s="234" t="str">
        <f t="shared" ca="1" si="12"/>
        <v>#REF!</v>
      </c>
      <c r="AC283" s="234" t="str">
        <f t="shared" ca="1" si="13"/>
        <v>#REF!</v>
      </c>
      <c r="AD283" s="101" t="str">
        <f t="shared" ca="1" si="14"/>
        <v>#REF!</v>
      </c>
      <c r="AE283" s="101" t="str">
        <f t="shared" ca="1" si="15"/>
        <v>#REF!</v>
      </c>
      <c r="AF283" s="235" t="str">
        <f t="shared" ref="AF283:AG283" ca="1" si="360">AD283/U283</f>
        <v>#REF!</v>
      </c>
      <c r="AG283" s="235" t="str">
        <f t="shared" ca="1" si="360"/>
        <v>#REF!</v>
      </c>
      <c r="AH283" s="212"/>
      <c r="AI283" s="213"/>
      <c r="AJ283" s="4"/>
      <c r="AK283" s="4"/>
      <c r="AL283" s="4"/>
      <c r="AM283" s="4"/>
      <c r="AN283" s="4"/>
      <c r="AO283" s="4"/>
      <c r="AP283" s="4"/>
      <c r="AQ283" s="4"/>
      <c r="AR283" s="4"/>
      <c r="AS283" s="4"/>
      <c r="AT283" s="4"/>
      <c r="AU283" s="4"/>
    </row>
    <row r="284" spans="1:47" ht="13.2">
      <c r="A284" s="120"/>
      <c r="B284" s="113"/>
      <c r="C284" s="117"/>
      <c r="D284" s="117"/>
      <c r="E284" s="117"/>
      <c r="F284" s="123"/>
      <c r="G284" s="93" t="s">
        <v>145</v>
      </c>
      <c r="H284" s="125"/>
      <c r="I284" s="125"/>
      <c r="J284" s="82" t="str">
        <f t="shared" ca="1" si="147"/>
        <v>#REF!</v>
      </c>
      <c r="K284" s="82" t="str">
        <f t="shared" ca="1" si="256"/>
        <v>#REF!</v>
      </c>
      <c r="L284" s="82" t="str">
        <f t="shared" ca="1" si="199"/>
        <v>#REF!</v>
      </c>
      <c r="M284" s="125"/>
      <c r="N284" s="125"/>
      <c r="O284" s="230">
        <f t="shared" si="2"/>
        <v>0</v>
      </c>
      <c r="P284" s="231">
        <f t="shared" si="3"/>
        <v>0</v>
      </c>
      <c r="Q284" s="232" t="str">
        <f ca="1">ROUNDUP(HLOOKUP(IF(CEILING(L284,0.5)&lt;1,1,CEILING(L284,0.5)),'배송비 조회'!A$32:AY$36,2,0),-2)</f>
        <v>#REF!</v>
      </c>
      <c r="R284" s="232">
        <v>0</v>
      </c>
      <c r="S284" s="231" t="str">
        <f t="shared" ca="1" si="250"/>
        <v>#REF!</v>
      </c>
      <c r="T284" s="231" t="str">
        <f t="shared" ca="1" si="200"/>
        <v>#REF!</v>
      </c>
      <c r="U284" s="233" t="str">
        <f t="shared" ca="1" si="142"/>
        <v>#REF!</v>
      </c>
      <c r="V284" s="233" t="str">
        <f t="shared" ca="1" si="7"/>
        <v>#REF!</v>
      </c>
      <c r="W284" s="234">
        <v>0</v>
      </c>
      <c r="X284" s="234" t="str">
        <f t="shared" ca="1" si="8"/>
        <v>#REF!</v>
      </c>
      <c r="Y284" s="234" t="str">
        <f t="shared" ca="1" si="9"/>
        <v>#REF!</v>
      </c>
      <c r="Z284" s="234" t="str">
        <f t="shared" ca="1" si="10"/>
        <v>#REF!</v>
      </c>
      <c r="AA284" s="234" t="str">
        <f t="shared" ca="1" si="11"/>
        <v>#REF!</v>
      </c>
      <c r="AB284" s="234" t="str">
        <f t="shared" ca="1" si="12"/>
        <v>#REF!</v>
      </c>
      <c r="AC284" s="234" t="str">
        <f t="shared" ca="1" si="13"/>
        <v>#REF!</v>
      </c>
      <c r="AD284" s="101" t="str">
        <f t="shared" ca="1" si="14"/>
        <v>#REF!</v>
      </c>
      <c r="AE284" s="101" t="str">
        <f t="shared" ca="1" si="15"/>
        <v>#REF!</v>
      </c>
      <c r="AF284" s="235" t="str">
        <f t="shared" ref="AF284:AG284" ca="1" si="361">AD284/U284</f>
        <v>#REF!</v>
      </c>
      <c r="AG284" s="235" t="str">
        <f t="shared" ca="1" si="361"/>
        <v>#REF!</v>
      </c>
      <c r="AH284" s="212"/>
      <c r="AI284" s="213"/>
      <c r="AJ284" s="4"/>
      <c r="AK284" s="4"/>
      <c r="AL284" s="4"/>
      <c r="AM284" s="4"/>
      <c r="AN284" s="4"/>
      <c r="AO284" s="4"/>
      <c r="AP284" s="4"/>
      <c r="AQ284" s="4"/>
      <c r="AR284" s="4"/>
      <c r="AS284" s="4"/>
      <c r="AT284" s="4"/>
      <c r="AU284" s="4"/>
    </row>
    <row r="285" spans="1:47" ht="13.2">
      <c r="A285" s="120"/>
      <c r="B285" s="113"/>
      <c r="C285" s="117"/>
      <c r="D285" s="117"/>
      <c r="E285" s="117"/>
      <c r="F285" s="123"/>
      <c r="G285" s="93" t="s">
        <v>145</v>
      </c>
      <c r="H285" s="125"/>
      <c r="I285" s="125"/>
      <c r="J285" s="82" t="str">
        <f t="shared" ca="1" si="147"/>
        <v>#REF!</v>
      </c>
      <c r="K285" s="82" t="str">
        <f t="shared" ca="1" si="256"/>
        <v>#REF!</v>
      </c>
      <c r="L285" s="82" t="str">
        <f t="shared" ca="1" si="199"/>
        <v>#REF!</v>
      </c>
      <c r="M285" s="125"/>
      <c r="N285" s="125"/>
      <c r="O285" s="230">
        <f t="shared" si="2"/>
        <v>0</v>
      </c>
      <c r="P285" s="231">
        <f t="shared" si="3"/>
        <v>0</v>
      </c>
      <c r="Q285" s="232" t="str">
        <f ca="1">ROUNDUP(HLOOKUP(IF(CEILING(L285,0.5)&lt;1,1,CEILING(L285,0.5)),'배송비 조회'!A$32:AY$36,2,0),-2)</f>
        <v>#REF!</v>
      </c>
      <c r="R285" s="232">
        <v>0</v>
      </c>
      <c r="S285" s="231" t="str">
        <f t="shared" ca="1" si="250"/>
        <v>#REF!</v>
      </c>
      <c r="T285" s="231" t="str">
        <f t="shared" ca="1" si="200"/>
        <v>#REF!</v>
      </c>
      <c r="U285" s="233" t="str">
        <f t="shared" ca="1" si="142"/>
        <v>#REF!</v>
      </c>
      <c r="V285" s="233" t="str">
        <f t="shared" ca="1" si="7"/>
        <v>#REF!</v>
      </c>
      <c r="W285" s="234">
        <v>0</v>
      </c>
      <c r="X285" s="234" t="str">
        <f t="shared" ca="1" si="8"/>
        <v>#REF!</v>
      </c>
      <c r="Y285" s="234" t="str">
        <f t="shared" ca="1" si="9"/>
        <v>#REF!</v>
      </c>
      <c r="Z285" s="234" t="str">
        <f t="shared" ca="1" si="10"/>
        <v>#REF!</v>
      </c>
      <c r="AA285" s="234" t="str">
        <f t="shared" ca="1" si="11"/>
        <v>#REF!</v>
      </c>
      <c r="AB285" s="234" t="str">
        <f t="shared" ca="1" si="12"/>
        <v>#REF!</v>
      </c>
      <c r="AC285" s="234" t="str">
        <f t="shared" ca="1" si="13"/>
        <v>#REF!</v>
      </c>
      <c r="AD285" s="101" t="str">
        <f t="shared" ca="1" si="14"/>
        <v>#REF!</v>
      </c>
      <c r="AE285" s="101" t="str">
        <f t="shared" ca="1" si="15"/>
        <v>#REF!</v>
      </c>
      <c r="AF285" s="235" t="str">
        <f t="shared" ref="AF285:AG285" ca="1" si="362">AD285/U285</f>
        <v>#REF!</v>
      </c>
      <c r="AG285" s="235" t="str">
        <f t="shared" ca="1" si="362"/>
        <v>#REF!</v>
      </c>
      <c r="AH285" s="212"/>
      <c r="AI285" s="213"/>
      <c r="AJ285" s="4"/>
      <c r="AK285" s="4"/>
      <c r="AL285" s="4"/>
      <c r="AM285" s="4"/>
      <c r="AN285" s="4"/>
      <c r="AO285" s="4"/>
      <c r="AP285" s="4"/>
      <c r="AQ285" s="4"/>
      <c r="AR285" s="4"/>
      <c r="AS285" s="4"/>
      <c r="AT285" s="4"/>
      <c r="AU285" s="4"/>
    </row>
    <row r="286" spans="1:47" ht="13.2">
      <c r="A286" s="120"/>
      <c r="B286" s="113"/>
      <c r="C286" s="117"/>
      <c r="D286" s="117"/>
      <c r="E286" s="117"/>
      <c r="F286" s="123"/>
      <c r="G286" s="93" t="s">
        <v>145</v>
      </c>
      <c r="H286" s="125"/>
      <c r="I286" s="125"/>
      <c r="J286" s="82" t="str">
        <f t="shared" ca="1" si="147"/>
        <v>#REF!</v>
      </c>
      <c r="K286" s="82" t="str">
        <f t="shared" ca="1" si="256"/>
        <v>#REF!</v>
      </c>
      <c r="L286" s="82" t="str">
        <f t="shared" ca="1" si="199"/>
        <v>#REF!</v>
      </c>
      <c r="M286" s="125"/>
      <c r="N286" s="125"/>
      <c r="O286" s="230">
        <f t="shared" si="2"/>
        <v>0</v>
      </c>
      <c r="P286" s="231">
        <f t="shared" si="3"/>
        <v>0</v>
      </c>
      <c r="Q286" s="232" t="str">
        <f ca="1">ROUNDUP(HLOOKUP(IF(CEILING(L286,0.5)&lt;1,1,CEILING(L286,0.5)),'배송비 조회'!A$32:AY$36,2,0),-2)</f>
        <v>#REF!</v>
      </c>
      <c r="R286" s="232">
        <v>0</v>
      </c>
      <c r="S286" s="231" t="str">
        <f t="shared" ca="1" si="250"/>
        <v>#REF!</v>
      </c>
      <c r="T286" s="231" t="str">
        <f t="shared" ca="1" si="200"/>
        <v>#REF!</v>
      </c>
      <c r="U286" s="233" t="str">
        <f t="shared" ca="1" si="142"/>
        <v>#REF!</v>
      </c>
      <c r="V286" s="233" t="str">
        <f t="shared" ca="1" si="7"/>
        <v>#REF!</v>
      </c>
      <c r="W286" s="234">
        <v>0</v>
      </c>
      <c r="X286" s="234" t="str">
        <f t="shared" ca="1" si="8"/>
        <v>#REF!</v>
      </c>
      <c r="Y286" s="234" t="str">
        <f t="shared" ca="1" si="9"/>
        <v>#REF!</v>
      </c>
      <c r="Z286" s="234" t="str">
        <f t="shared" ca="1" si="10"/>
        <v>#REF!</v>
      </c>
      <c r="AA286" s="234" t="str">
        <f t="shared" ca="1" si="11"/>
        <v>#REF!</v>
      </c>
      <c r="AB286" s="234" t="str">
        <f t="shared" ca="1" si="12"/>
        <v>#REF!</v>
      </c>
      <c r="AC286" s="234" t="str">
        <f t="shared" ca="1" si="13"/>
        <v>#REF!</v>
      </c>
      <c r="AD286" s="101" t="str">
        <f t="shared" ca="1" si="14"/>
        <v>#REF!</v>
      </c>
      <c r="AE286" s="101" t="str">
        <f t="shared" ca="1" si="15"/>
        <v>#REF!</v>
      </c>
      <c r="AF286" s="235" t="str">
        <f t="shared" ref="AF286:AG286" ca="1" si="363">AD286/U286</f>
        <v>#REF!</v>
      </c>
      <c r="AG286" s="235" t="str">
        <f t="shared" ca="1" si="363"/>
        <v>#REF!</v>
      </c>
      <c r="AH286" s="212"/>
      <c r="AI286" s="213"/>
      <c r="AJ286" s="4"/>
      <c r="AK286" s="4"/>
      <c r="AL286" s="4"/>
      <c r="AM286" s="4"/>
      <c r="AN286" s="4"/>
      <c r="AO286" s="4"/>
      <c r="AP286" s="4"/>
      <c r="AQ286" s="4"/>
      <c r="AR286" s="4"/>
      <c r="AS286" s="4"/>
      <c r="AT286" s="4"/>
      <c r="AU286" s="4"/>
    </row>
    <row r="287" spans="1:47" ht="13.2">
      <c r="A287" s="120"/>
      <c r="B287" s="113"/>
      <c r="C287" s="117"/>
      <c r="D287" s="117"/>
      <c r="E287" s="117"/>
      <c r="F287" s="123"/>
      <c r="G287" s="93" t="s">
        <v>145</v>
      </c>
      <c r="H287" s="125"/>
      <c r="I287" s="125"/>
      <c r="J287" s="82" t="str">
        <f t="shared" ca="1" si="147"/>
        <v>#REF!</v>
      </c>
      <c r="K287" s="82" t="str">
        <f t="shared" ca="1" si="256"/>
        <v>#REF!</v>
      </c>
      <c r="L287" s="82" t="str">
        <f t="shared" ca="1" si="199"/>
        <v>#REF!</v>
      </c>
      <c r="M287" s="125"/>
      <c r="N287" s="125"/>
      <c r="O287" s="230">
        <f t="shared" si="2"/>
        <v>0</v>
      </c>
      <c r="P287" s="231">
        <f t="shared" si="3"/>
        <v>0</v>
      </c>
      <c r="Q287" s="232" t="str">
        <f ca="1">ROUNDUP(HLOOKUP(IF(CEILING(L287,0.5)&lt;1,1,CEILING(L287,0.5)),'배송비 조회'!A$32:AY$36,2,0),-2)</f>
        <v>#REF!</v>
      </c>
      <c r="R287" s="232">
        <v>0</v>
      </c>
      <c r="S287" s="231" t="str">
        <f t="shared" ca="1" si="250"/>
        <v>#REF!</v>
      </c>
      <c r="T287" s="231" t="str">
        <f t="shared" ca="1" si="200"/>
        <v>#REF!</v>
      </c>
      <c r="U287" s="233" t="str">
        <f t="shared" ca="1" si="142"/>
        <v>#REF!</v>
      </c>
      <c r="V287" s="233" t="str">
        <f t="shared" ca="1" si="7"/>
        <v>#REF!</v>
      </c>
      <c r="W287" s="234">
        <v>0</v>
      </c>
      <c r="X287" s="234" t="str">
        <f t="shared" ca="1" si="8"/>
        <v>#REF!</v>
      </c>
      <c r="Y287" s="234" t="str">
        <f t="shared" ca="1" si="9"/>
        <v>#REF!</v>
      </c>
      <c r="Z287" s="234" t="str">
        <f t="shared" ca="1" si="10"/>
        <v>#REF!</v>
      </c>
      <c r="AA287" s="234" t="str">
        <f t="shared" ca="1" si="11"/>
        <v>#REF!</v>
      </c>
      <c r="AB287" s="234" t="str">
        <f t="shared" ca="1" si="12"/>
        <v>#REF!</v>
      </c>
      <c r="AC287" s="234" t="str">
        <f t="shared" ca="1" si="13"/>
        <v>#REF!</v>
      </c>
      <c r="AD287" s="101" t="str">
        <f t="shared" ca="1" si="14"/>
        <v>#REF!</v>
      </c>
      <c r="AE287" s="101" t="str">
        <f t="shared" ca="1" si="15"/>
        <v>#REF!</v>
      </c>
      <c r="AF287" s="235" t="str">
        <f t="shared" ref="AF287:AG287" ca="1" si="364">AD287/U287</f>
        <v>#REF!</v>
      </c>
      <c r="AG287" s="235" t="str">
        <f t="shared" ca="1" si="364"/>
        <v>#REF!</v>
      </c>
      <c r="AH287" s="212"/>
      <c r="AI287" s="213"/>
      <c r="AJ287" s="4"/>
      <c r="AK287" s="4"/>
      <c r="AL287" s="4"/>
      <c r="AM287" s="4"/>
      <c r="AN287" s="4"/>
      <c r="AO287" s="4"/>
      <c r="AP287" s="4"/>
      <c r="AQ287" s="4"/>
      <c r="AR287" s="4"/>
      <c r="AS287" s="4"/>
      <c r="AT287" s="4"/>
      <c r="AU287" s="4"/>
    </row>
    <row r="288" spans="1:47" ht="13.2">
      <c r="A288" s="120"/>
      <c r="B288" s="113"/>
      <c r="C288" s="117"/>
      <c r="D288" s="117"/>
      <c r="E288" s="117"/>
      <c r="F288" s="123"/>
      <c r="G288" s="93" t="s">
        <v>145</v>
      </c>
      <c r="H288" s="125"/>
      <c r="I288" s="125"/>
      <c r="J288" s="82" t="str">
        <f t="shared" ca="1" si="147"/>
        <v>#REF!</v>
      </c>
      <c r="K288" s="82" t="str">
        <f t="shared" ca="1" si="256"/>
        <v>#REF!</v>
      </c>
      <c r="L288" s="82" t="str">
        <f t="shared" ca="1" si="199"/>
        <v>#REF!</v>
      </c>
      <c r="M288" s="125"/>
      <c r="N288" s="125"/>
      <c r="O288" s="230">
        <f t="shared" si="2"/>
        <v>0</v>
      </c>
      <c r="P288" s="231">
        <f t="shared" si="3"/>
        <v>0</v>
      </c>
      <c r="Q288" s="232" t="str">
        <f ca="1">ROUNDUP(HLOOKUP(IF(CEILING(L288,0.5)&lt;1,1,CEILING(L288,0.5)),'배송비 조회'!A$32:AY$36,2,0),-2)</f>
        <v>#REF!</v>
      </c>
      <c r="R288" s="232">
        <v>0</v>
      </c>
      <c r="S288" s="231" t="str">
        <f t="shared" ca="1" si="250"/>
        <v>#REF!</v>
      </c>
      <c r="T288" s="231" t="str">
        <f t="shared" ca="1" si="200"/>
        <v>#REF!</v>
      </c>
      <c r="U288" s="233" t="str">
        <f t="shared" ca="1" si="142"/>
        <v>#REF!</v>
      </c>
      <c r="V288" s="233" t="str">
        <f t="shared" ca="1" si="7"/>
        <v>#REF!</v>
      </c>
      <c r="W288" s="234">
        <v>0</v>
      </c>
      <c r="X288" s="234" t="str">
        <f t="shared" ca="1" si="8"/>
        <v>#REF!</v>
      </c>
      <c r="Y288" s="234" t="str">
        <f t="shared" ca="1" si="9"/>
        <v>#REF!</v>
      </c>
      <c r="Z288" s="234" t="str">
        <f t="shared" ca="1" si="10"/>
        <v>#REF!</v>
      </c>
      <c r="AA288" s="234" t="str">
        <f t="shared" ca="1" si="11"/>
        <v>#REF!</v>
      </c>
      <c r="AB288" s="234" t="str">
        <f t="shared" ca="1" si="12"/>
        <v>#REF!</v>
      </c>
      <c r="AC288" s="234" t="str">
        <f t="shared" ca="1" si="13"/>
        <v>#REF!</v>
      </c>
      <c r="AD288" s="101" t="str">
        <f t="shared" ca="1" si="14"/>
        <v>#REF!</v>
      </c>
      <c r="AE288" s="101" t="str">
        <f t="shared" ca="1" si="15"/>
        <v>#REF!</v>
      </c>
      <c r="AF288" s="235" t="str">
        <f t="shared" ref="AF288:AG288" ca="1" si="365">AD288/U288</f>
        <v>#REF!</v>
      </c>
      <c r="AG288" s="235" t="str">
        <f t="shared" ca="1" si="365"/>
        <v>#REF!</v>
      </c>
      <c r="AH288" s="212"/>
      <c r="AI288" s="213"/>
      <c r="AJ288" s="4"/>
      <c r="AK288" s="4"/>
      <c r="AL288" s="4"/>
      <c r="AM288" s="4"/>
      <c r="AN288" s="4"/>
      <c r="AO288" s="4"/>
      <c r="AP288" s="4"/>
      <c r="AQ288" s="4"/>
      <c r="AR288" s="4"/>
      <c r="AS288" s="4"/>
      <c r="AT288" s="4"/>
      <c r="AU288" s="4"/>
    </row>
    <row r="289" spans="1:47" ht="13.2">
      <c r="A289" s="120"/>
      <c r="B289" s="113"/>
      <c r="C289" s="117"/>
      <c r="D289" s="117"/>
      <c r="E289" s="117"/>
      <c r="F289" s="123"/>
      <c r="G289" s="93" t="s">
        <v>145</v>
      </c>
      <c r="H289" s="125"/>
      <c r="I289" s="125"/>
      <c r="J289" s="82" t="str">
        <f t="shared" ca="1" si="147"/>
        <v>#REF!</v>
      </c>
      <c r="K289" s="82" t="str">
        <f t="shared" ca="1" si="256"/>
        <v>#REF!</v>
      </c>
      <c r="L289" s="82" t="str">
        <f t="shared" ca="1" si="199"/>
        <v>#REF!</v>
      </c>
      <c r="M289" s="125"/>
      <c r="N289" s="125"/>
      <c r="O289" s="230">
        <f t="shared" si="2"/>
        <v>0</v>
      </c>
      <c r="P289" s="231">
        <f t="shared" si="3"/>
        <v>0</v>
      </c>
      <c r="Q289" s="232" t="str">
        <f ca="1">ROUNDUP(HLOOKUP(IF(CEILING(L289,0.5)&lt;1,1,CEILING(L289,0.5)),'배송비 조회'!A$32:AY$36,2,0),-2)</f>
        <v>#REF!</v>
      </c>
      <c r="R289" s="232">
        <v>0</v>
      </c>
      <c r="S289" s="231" t="str">
        <f t="shared" ca="1" si="250"/>
        <v>#REF!</v>
      </c>
      <c r="T289" s="231" t="str">
        <f t="shared" ca="1" si="200"/>
        <v>#REF!</v>
      </c>
      <c r="U289" s="233" t="str">
        <f t="shared" ca="1" si="142"/>
        <v>#REF!</v>
      </c>
      <c r="V289" s="233" t="str">
        <f t="shared" ca="1" si="7"/>
        <v>#REF!</v>
      </c>
      <c r="W289" s="234">
        <v>0</v>
      </c>
      <c r="X289" s="234" t="str">
        <f t="shared" ca="1" si="8"/>
        <v>#REF!</v>
      </c>
      <c r="Y289" s="234" t="str">
        <f t="shared" ca="1" si="9"/>
        <v>#REF!</v>
      </c>
      <c r="Z289" s="234" t="str">
        <f t="shared" ca="1" si="10"/>
        <v>#REF!</v>
      </c>
      <c r="AA289" s="234" t="str">
        <f t="shared" ca="1" si="11"/>
        <v>#REF!</v>
      </c>
      <c r="AB289" s="234" t="str">
        <f t="shared" ca="1" si="12"/>
        <v>#REF!</v>
      </c>
      <c r="AC289" s="234" t="str">
        <f t="shared" ca="1" si="13"/>
        <v>#REF!</v>
      </c>
      <c r="AD289" s="101" t="str">
        <f t="shared" ca="1" si="14"/>
        <v>#REF!</v>
      </c>
      <c r="AE289" s="101" t="str">
        <f t="shared" ca="1" si="15"/>
        <v>#REF!</v>
      </c>
      <c r="AF289" s="235" t="str">
        <f t="shared" ref="AF289:AG289" ca="1" si="366">AD289/U289</f>
        <v>#REF!</v>
      </c>
      <c r="AG289" s="235" t="str">
        <f t="shared" ca="1" si="366"/>
        <v>#REF!</v>
      </c>
      <c r="AH289" s="212"/>
      <c r="AI289" s="213"/>
      <c r="AJ289" s="4"/>
      <c r="AK289" s="4"/>
      <c r="AL289" s="4"/>
      <c r="AM289" s="4"/>
      <c r="AN289" s="4"/>
      <c r="AO289" s="4"/>
      <c r="AP289" s="4"/>
      <c r="AQ289" s="4"/>
      <c r="AR289" s="4"/>
      <c r="AS289" s="4"/>
      <c r="AT289" s="4"/>
      <c r="AU289" s="4"/>
    </row>
    <row r="290" spans="1:47" ht="13.2">
      <c r="A290" s="120"/>
      <c r="B290" s="113"/>
      <c r="C290" s="117"/>
      <c r="D290" s="117"/>
      <c r="E290" s="117"/>
      <c r="F290" s="123"/>
      <c r="G290" s="93" t="s">
        <v>145</v>
      </c>
      <c r="H290" s="125"/>
      <c r="I290" s="125"/>
      <c r="J290" s="82" t="str">
        <f t="shared" ca="1" si="147"/>
        <v>#REF!</v>
      </c>
      <c r="K290" s="82" t="str">
        <f t="shared" ca="1" si="256"/>
        <v>#REF!</v>
      </c>
      <c r="L290" s="82" t="str">
        <f t="shared" ca="1" si="199"/>
        <v>#REF!</v>
      </c>
      <c r="M290" s="125"/>
      <c r="N290" s="125"/>
      <c r="O290" s="230">
        <f t="shared" si="2"/>
        <v>0</v>
      </c>
      <c r="P290" s="231">
        <f t="shared" si="3"/>
        <v>0</v>
      </c>
      <c r="Q290" s="232" t="str">
        <f ca="1">ROUNDUP(HLOOKUP(IF(CEILING(L290,0.5)&lt;1,1,CEILING(L290,0.5)),'배송비 조회'!A$32:AY$36,2,0),-2)</f>
        <v>#REF!</v>
      </c>
      <c r="R290" s="232">
        <v>0</v>
      </c>
      <c r="S290" s="231" t="str">
        <f t="shared" ca="1" si="250"/>
        <v>#REF!</v>
      </c>
      <c r="T290" s="231" t="str">
        <f t="shared" ca="1" si="200"/>
        <v>#REF!</v>
      </c>
      <c r="U290" s="233" t="str">
        <f t="shared" ca="1" si="142"/>
        <v>#REF!</v>
      </c>
      <c r="V290" s="233" t="str">
        <f t="shared" ca="1" si="7"/>
        <v>#REF!</v>
      </c>
      <c r="W290" s="234">
        <v>0</v>
      </c>
      <c r="X290" s="234" t="str">
        <f t="shared" ca="1" si="8"/>
        <v>#REF!</v>
      </c>
      <c r="Y290" s="234" t="str">
        <f t="shared" ca="1" si="9"/>
        <v>#REF!</v>
      </c>
      <c r="Z290" s="234" t="str">
        <f t="shared" ca="1" si="10"/>
        <v>#REF!</v>
      </c>
      <c r="AA290" s="234" t="str">
        <f t="shared" ca="1" si="11"/>
        <v>#REF!</v>
      </c>
      <c r="AB290" s="234" t="str">
        <f t="shared" ca="1" si="12"/>
        <v>#REF!</v>
      </c>
      <c r="AC290" s="234" t="str">
        <f t="shared" ca="1" si="13"/>
        <v>#REF!</v>
      </c>
      <c r="AD290" s="101" t="str">
        <f t="shared" ca="1" si="14"/>
        <v>#REF!</v>
      </c>
      <c r="AE290" s="101" t="str">
        <f t="shared" ca="1" si="15"/>
        <v>#REF!</v>
      </c>
      <c r="AF290" s="235" t="str">
        <f t="shared" ref="AF290:AG290" ca="1" si="367">AD290/U290</f>
        <v>#REF!</v>
      </c>
      <c r="AG290" s="235" t="str">
        <f t="shared" ca="1" si="367"/>
        <v>#REF!</v>
      </c>
      <c r="AH290" s="212"/>
      <c r="AI290" s="213"/>
      <c r="AJ290" s="4"/>
      <c r="AK290" s="4"/>
      <c r="AL290" s="4"/>
      <c r="AM290" s="4"/>
      <c r="AN290" s="4"/>
      <c r="AO290" s="4"/>
      <c r="AP290" s="4"/>
      <c r="AQ290" s="4"/>
      <c r="AR290" s="4"/>
      <c r="AS290" s="4"/>
      <c r="AT290" s="4"/>
      <c r="AU290" s="4"/>
    </row>
    <row r="291" spans="1:47" ht="13.2">
      <c r="A291" s="120"/>
      <c r="B291" s="113"/>
      <c r="C291" s="117"/>
      <c r="D291" s="117"/>
      <c r="E291" s="117"/>
      <c r="F291" s="123"/>
      <c r="G291" s="93" t="s">
        <v>145</v>
      </c>
      <c r="H291" s="125"/>
      <c r="I291" s="125"/>
      <c r="J291" s="82" t="str">
        <f t="shared" ca="1" si="147"/>
        <v>#REF!</v>
      </c>
      <c r="K291" s="82" t="str">
        <f t="shared" ca="1" si="256"/>
        <v>#REF!</v>
      </c>
      <c r="L291" s="82" t="str">
        <f t="shared" ca="1" si="199"/>
        <v>#REF!</v>
      </c>
      <c r="M291" s="125"/>
      <c r="N291" s="125"/>
      <c r="O291" s="230">
        <f t="shared" si="2"/>
        <v>0</v>
      </c>
      <c r="P291" s="231">
        <f t="shared" si="3"/>
        <v>0</v>
      </c>
      <c r="Q291" s="232" t="str">
        <f ca="1">ROUNDUP(HLOOKUP(IF(CEILING(L291,0.5)&lt;1,1,CEILING(L291,0.5)),'배송비 조회'!A$32:AY$36,2,0),-2)</f>
        <v>#REF!</v>
      </c>
      <c r="R291" s="232">
        <v>0</v>
      </c>
      <c r="S291" s="231" t="str">
        <f t="shared" ca="1" si="250"/>
        <v>#REF!</v>
      </c>
      <c r="T291" s="231" t="str">
        <f t="shared" ca="1" si="200"/>
        <v>#REF!</v>
      </c>
      <c r="U291" s="233" t="str">
        <f t="shared" ca="1" si="142"/>
        <v>#REF!</v>
      </c>
      <c r="V291" s="233" t="str">
        <f t="shared" ca="1" si="7"/>
        <v>#REF!</v>
      </c>
      <c r="W291" s="234">
        <v>0</v>
      </c>
      <c r="X291" s="234" t="str">
        <f t="shared" ca="1" si="8"/>
        <v>#REF!</v>
      </c>
      <c r="Y291" s="234" t="str">
        <f t="shared" ca="1" si="9"/>
        <v>#REF!</v>
      </c>
      <c r="Z291" s="234" t="str">
        <f t="shared" ca="1" si="10"/>
        <v>#REF!</v>
      </c>
      <c r="AA291" s="234" t="str">
        <f t="shared" ca="1" si="11"/>
        <v>#REF!</v>
      </c>
      <c r="AB291" s="234" t="str">
        <f t="shared" ca="1" si="12"/>
        <v>#REF!</v>
      </c>
      <c r="AC291" s="234" t="str">
        <f t="shared" ca="1" si="13"/>
        <v>#REF!</v>
      </c>
      <c r="AD291" s="101" t="str">
        <f t="shared" ca="1" si="14"/>
        <v>#REF!</v>
      </c>
      <c r="AE291" s="101" t="str">
        <f t="shared" ca="1" si="15"/>
        <v>#REF!</v>
      </c>
      <c r="AF291" s="235" t="str">
        <f t="shared" ref="AF291:AG291" ca="1" si="368">AD291/U291</f>
        <v>#REF!</v>
      </c>
      <c r="AG291" s="235" t="str">
        <f t="shared" ca="1" si="368"/>
        <v>#REF!</v>
      </c>
      <c r="AH291" s="212"/>
      <c r="AI291" s="213"/>
      <c r="AJ291" s="4"/>
      <c r="AK291" s="4"/>
      <c r="AL291" s="4"/>
      <c r="AM291" s="4"/>
      <c r="AN291" s="4"/>
      <c r="AO291" s="4"/>
      <c r="AP291" s="4"/>
      <c r="AQ291" s="4"/>
      <c r="AR291" s="4"/>
      <c r="AS291" s="4"/>
      <c r="AT291" s="4"/>
      <c r="AU291" s="4"/>
    </row>
    <row r="292" spans="1:47" ht="13.2">
      <c r="A292" s="120"/>
      <c r="B292" s="113"/>
      <c r="C292" s="117"/>
      <c r="D292" s="117"/>
      <c r="E292" s="117"/>
      <c r="F292" s="123"/>
      <c r="G292" s="93" t="s">
        <v>145</v>
      </c>
      <c r="H292" s="125"/>
      <c r="I292" s="125"/>
      <c r="J292" s="82" t="str">
        <f t="shared" ca="1" si="147"/>
        <v>#REF!</v>
      </c>
      <c r="K292" s="82" t="str">
        <f t="shared" ca="1" si="256"/>
        <v>#REF!</v>
      </c>
      <c r="L292" s="82" t="str">
        <f t="shared" ca="1" si="199"/>
        <v>#REF!</v>
      </c>
      <c r="M292" s="125"/>
      <c r="N292" s="125"/>
      <c r="O292" s="230">
        <f t="shared" si="2"/>
        <v>0</v>
      </c>
      <c r="P292" s="231">
        <f t="shared" si="3"/>
        <v>0</v>
      </c>
      <c r="Q292" s="232" t="str">
        <f ca="1">ROUNDUP(HLOOKUP(IF(CEILING(L292,0.5)&lt;1,1,CEILING(L292,0.5)),'배송비 조회'!A$32:AY$36,2,0),-2)</f>
        <v>#REF!</v>
      </c>
      <c r="R292" s="232">
        <v>0</v>
      </c>
      <c r="S292" s="231" t="str">
        <f t="shared" ca="1" si="250"/>
        <v>#REF!</v>
      </c>
      <c r="T292" s="231" t="str">
        <f t="shared" ca="1" si="200"/>
        <v>#REF!</v>
      </c>
      <c r="U292" s="233" t="str">
        <f t="shared" ca="1" si="142"/>
        <v>#REF!</v>
      </c>
      <c r="V292" s="233" t="str">
        <f t="shared" ca="1" si="7"/>
        <v>#REF!</v>
      </c>
      <c r="W292" s="234">
        <v>0</v>
      </c>
      <c r="X292" s="234" t="str">
        <f t="shared" ca="1" si="8"/>
        <v>#REF!</v>
      </c>
      <c r="Y292" s="234" t="str">
        <f t="shared" ca="1" si="9"/>
        <v>#REF!</v>
      </c>
      <c r="Z292" s="234" t="str">
        <f t="shared" ca="1" si="10"/>
        <v>#REF!</v>
      </c>
      <c r="AA292" s="234" t="str">
        <f t="shared" ca="1" si="11"/>
        <v>#REF!</v>
      </c>
      <c r="AB292" s="234" t="str">
        <f t="shared" ca="1" si="12"/>
        <v>#REF!</v>
      </c>
      <c r="AC292" s="234" t="str">
        <f t="shared" ca="1" si="13"/>
        <v>#REF!</v>
      </c>
      <c r="AD292" s="101" t="str">
        <f t="shared" ca="1" si="14"/>
        <v>#REF!</v>
      </c>
      <c r="AE292" s="101" t="str">
        <f t="shared" ca="1" si="15"/>
        <v>#REF!</v>
      </c>
      <c r="AF292" s="235" t="str">
        <f t="shared" ref="AF292:AG292" ca="1" si="369">AD292/U292</f>
        <v>#REF!</v>
      </c>
      <c r="AG292" s="235" t="str">
        <f t="shared" ca="1" si="369"/>
        <v>#REF!</v>
      </c>
      <c r="AH292" s="212"/>
      <c r="AI292" s="213"/>
      <c r="AJ292" s="4"/>
      <c r="AK292" s="4"/>
      <c r="AL292" s="4"/>
      <c r="AM292" s="4"/>
      <c r="AN292" s="4"/>
      <c r="AO292" s="4"/>
      <c r="AP292" s="4"/>
      <c r="AQ292" s="4"/>
      <c r="AR292" s="4"/>
      <c r="AS292" s="4"/>
      <c r="AT292" s="4"/>
      <c r="AU292" s="4"/>
    </row>
    <row r="293" spans="1:47" ht="13.2">
      <c r="A293" s="120"/>
      <c r="B293" s="113"/>
      <c r="C293" s="117"/>
      <c r="D293" s="117"/>
      <c r="E293" s="117"/>
      <c r="F293" s="123"/>
      <c r="G293" s="93" t="s">
        <v>145</v>
      </c>
      <c r="H293" s="125"/>
      <c r="I293" s="125"/>
      <c r="J293" s="82" t="str">
        <f t="shared" ca="1" si="147"/>
        <v>#REF!</v>
      </c>
      <c r="K293" s="82" t="str">
        <f t="shared" ca="1" si="256"/>
        <v>#REF!</v>
      </c>
      <c r="L293" s="82" t="str">
        <f t="shared" ca="1" si="199"/>
        <v>#REF!</v>
      </c>
      <c r="M293" s="125"/>
      <c r="N293" s="125"/>
      <c r="O293" s="230">
        <f t="shared" si="2"/>
        <v>0</v>
      </c>
      <c r="P293" s="231">
        <f t="shared" si="3"/>
        <v>0</v>
      </c>
      <c r="Q293" s="232" t="str">
        <f ca="1">ROUNDUP(HLOOKUP(IF(CEILING(L293,0.5)&lt;1,1,CEILING(L293,0.5)),'배송비 조회'!A$32:AY$36,2,0),-2)</f>
        <v>#REF!</v>
      </c>
      <c r="R293" s="232">
        <v>0</v>
      </c>
      <c r="S293" s="231" t="str">
        <f t="shared" ca="1" si="250"/>
        <v>#REF!</v>
      </c>
      <c r="T293" s="231" t="str">
        <f t="shared" ca="1" si="200"/>
        <v>#REF!</v>
      </c>
      <c r="U293" s="233" t="str">
        <f t="shared" ca="1" si="142"/>
        <v>#REF!</v>
      </c>
      <c r="V293" s="233" t="str">
        <f t="shared" ca="1" si="7"/>
        <v>#REF!</v>
      </c>
      <c r="W293" s="234">
        <v>0</v>
      </c>
      <c r="X293" s="234" t="str">
        <f t="shared" ca="1" si="8"/>
        <v>#REF!</v>
      </c>
      <c r="Y293" s="234" t="str">
        <f t="shared" ca="1" si="9"/>
        <v>#REF!</v>
      </c>
      <c r="Z293" s="234" t="str">
        <f t="shared" ca="1" si="10"/>
        <v>#REF!</v>
      </c>
      <c r="AA293" s="234" t="str">
        <f t="shared" ca="1" si="11"/>
        <v>#REF!</v>
      </c>
      <c r="AB293" s="234" t="str">
        <f t="shared" ca="1" si="12"/>
        <v>#REF!</v>
      </c>
      <c r="AC293" s="234" t="str">
        <f t="shared" ca="1" si="13"/>
        <v>#REF!</v>
      </c>
      <c r="AD293" s="101" t="str">
        <f t="shared" ca="1" si="14"/>
        <v>#REF!</v>
      </c>
      <c r="AE293" s="101" t="str">
        <f t="shared" ca="1" si="15"/>
        <v>#REF!</v>
      </c>
      <c r="AF293" s="235" t="str">
        <f t="shared" ref="AF293:AG293" ca="1" si="370">AD293/U293</f>
        <v>#REF!</v>
      </c>
      <c r="AG293" s="235" t="str">
        <f t="shared" ca="1" si="370"/>
        <v>#REF!</v>
      </c>
      <c r="AH293" s="212"/>
      <c r="AI293" s="213"/>
      <c r="AJ293" s="4"/>
      <c r="AK293" s="4"/>
      <c r="AL293" s="4"/>
      <c r="AM293" s="4"/>
      <c r="AN293" s="4"/>
      <c r="AO293" s="4"/>
      <c r="AP293" s="4"/>
      <c r="AQ293" s="4"/>
      <c r="AR293" s="4"/>
      <c r="AS293" s="4"/>
      <c r="AT293" s="4"/>
      <c r="AU293" s="4"/>
    </row>
    <row r="294" spans="1:47" ht="13.2">
      <c r="A294" s="120"/>
      <c r="B294" s="113"/>
      <c r="C294" s="117"/>
      <c r="D294" s="117"/>
      <c r="E294" s="117"/>
      <c r="F294" s="123"/>
      <c r="G294" s="93" t="s">
        <v>145</v>
      </c>
      <c r="H294" s="125"/>
      <c r="I294" s="125"/>
      <c r="J294" s="82" t="str">
        <f t="shared" ca="1" si="147"/>
        <v>#REF!</v>
      </c>
      <c r="K294" s="82" t="str">
        <f t="shared" ca="1" si="256"/>
        <v>#REF!</v>
      </c>
      <c r="L294" s="82" t="str">
        <f t="shared" ca="1" si="199"/>
        <v>#REF!</v>
      </c>
      <c r="M294" s="125"/>
      <c r="N294" s="125"/>
      <c r="O294" s="230">
        <f t="shared" si="2"/>
        <v>0</v>
      </c>
      <c r="P294" s="231">
        <f t="shared" si="3"/>
        <v>0</v>
      </c>
      <c r="Q294" s="232" t="str">
        <f ca="1">ROUNDUP(HLOOKUP(IF(CEILING(L294,0.5)&lt;1,1,CEILING(L294,0.5)),'배송비 조회'!A$32:AY$36,2,0),-2)</f>
        <v>#REF!</v>
      </c>
      <c r="R294" s="232">
        <v>0</v>
      </c>
      <c r="S294" s="231" t="str">
        <f t="shared" ca="1" si="250"/>
        <v>#REF!</v>
      </c>
      <c r="T294" s="231" t="str">
        <f t="shared" ca="1" si="200"/>
        <v>#REF!</v>
      </c>
      <c r="U294" s="233" t="str">
        <f t="shared" ca="1" si="142"/>
        <v>#REF!</v>
      </c>
      <c r="V294" s="233" t="str">
        <f t="shared" ca="1" si="7"/>
        <v>#REF!</v>
      </c>
      <c r="W294" s="234">
        <v>0</v>
      </c>
      <c r="X294" s="234" t="str">
        <f t="shared" ca="1" si="8"/>
        <v>#REF!</v>
      </c>
      <c r="Y294" s="234" t="str">
        <f t="shared" ca="1" si="9"/>
        <v>#REF!</v>
      </c>
      <c r="Z294" s="234" t="str">
        <f t="shared" ca="1" si="10"/>
        <v>#REF!</v>
      </c>
      <c r="AA294" s="234" t="str">
        <f t="shared" ca="1" si="11"/>
        <v>#REF!</v>
      </c>
      <c r="AB294" s="234" t="str">
        <f t="shared" ca="1" si="12"/>
        <v>#REF!</v>
      </c>
      <c r="AC294" s="234" t="str">
        <f t="shared" ca="1" si="13"/>
        <v>#REF!</v>
      </c>
      <c r="AD294" s="101" t="str">
        <f t="shared" ca="1" si="14"/>
        <v>#REF!</v>
      </c>
      <c r="AE294" s="101" t="str">
        <f t="shared" ca="1" si="15"/>
        <v>#REF!</v>
      </c>
      <c r="AF294" s="235" t="str">
        <f t="shared" ref="AF294:AG294" ca="1" si="371">AD294/U294</f>
        <v>#REF!</v>
      </c>
      <c r="AG294" s="235" t="str">
        <f t="shared" ca="1" si="371"/>
        <v>#REF!</v>
      </c>
      <c r="AH294" s="212"/>
      <c r="AI294" s="213"/>
      <c r="AJ294" s="4"/>
      <c r="AK294" s="4"/>
      <c r="AL294" s="4"/>
      <c r="AM294" s="4"/>
      <c r="AN294" s="4"/>
      <c r="AO294" s="4"/>
      <c r="AP294" s="4"/>
      <c r="AQ294" s="4"/>
      <c r="AR294" s="4"/>
      <c r="AS294" s="4"/>
      <c r="AT294" s="4"/>
      <c r="AU294" s="4"/>
    </row>
    <row r="295" spans="1:47" ht="13.2">
      <c r="A295" s="120"/>
      <c r="B295" s="113"/>
      <c r="C295" s="117"/>
      <c r="D295" s="117"/>
      <c r="E295" s="117"/>
      <c r="F295" s="123"/>
      <c r="G295" s="93" t="s">
        <v>145</v>
      </c>
      <c r="H295" s="125"/>
      <c r="I295" s="125"/>
      <c r="J295" s="82" t="str">
        <f t="shared" ca="1" si="147"/>
        <v>#REF!</v>
      </c>
      <c r="K295" s="82" t="str">
        <f t="shared" ca="1" si="256"/>
        <v>#REF!</v>
      </c>
      <c r="L295" s="82" t="str">
        <f t="shared" ca="1" si="199"/>
        <v>#REF!</v>
      </c>
      <c r="M295" s="125"/>
      <c r="N295" s="125"/>
      <c r="O295" s="230">
        <f t="shared" si="2"/>
        <v>0</v>
      </c>
      <c r="P295" s="231">
        <f t="shared" si="3"/>
        <v>0</v>
      </c>
      <c r="Q295" s="232" t="str">
        <f ca="1">ROUNDUP(HLOOKUP(IF(CEILING(L295,0.5)&lt;1,1,CEILING(L295,0.5)),'배송비 조회'!A$32:AY$36,2,0),-2)</f>
        <v>#REF!</v>
      </c>
      <c r="R295" s="232">
        <v>0</v>
      </c>
      <c r="S295" s="231" t="str">
        <f t="shared" ca="1" si="250"/>
        <v>#REF!</v>
      </c>
      <c r="T295" s="231" t="str">
        <f t="shared" ca="1" si="200"/>
        <v>#REF!</v>
      </c>
      <c r="U295" s="233" t="str">
        <f t="shared" ca="1" si="142"/>
        <v>#REF!</v>
      </c>
      <c r="V295" s="233" t="str">
        <f t="shared" ca="1" si="7"/>
        <v>#REF!</v>
      </c>
      <c r="W295" s="234">
        <v>0</v>
      </c>
      <c r="X295" s="234" t="str">
        <f t="shared" ca="1" si="8"/>
        <v>#REF!</v>
      </c>
      <c r="Y295" s="234" t="str">
        <f t="shared" ca="1" si="9"/>
        <v>#REF!</v>
      </c>
      <c r="Z295" s="234" t="str">
        <f t="shared" ca="1" si="10"/>
        <v>#REF!</v>
      </c>
      <c r="AA295" s="234" t="str">
        <f t="shared" ca="1" si="11"/>
        <v>#REF!</v>
      </c>
      <c r="AB295" s="234" t="str">
        <f t="shared" ca="1" si="12"/>
        <v>#REF!</v>
      </c>
      <c r="AC295" s="234" t="str">
        <f t="shared" ca="1" si="13"/>
        <v>#REF!</v>
      </c>
      <c r="AD295" s="101" t="str">
        <f t="shared" ca="1" si="14"/>
        <v>#REF!</v>
      </c>
      <c r="AE295" s="101" t="str">
        <f t="shared" ca="1" si="15"/>
        <v>#REF!</v>
      </c>
      <c r="AF295" s="235" t="str">
        <f t="shared" ref="AF295:AG295" ca="1" si="372">AD295/U295</f>
        <v>#REF!</v>
      </c>
      <c r="AG295" s="235" t="str">
        <f t="shared" ca="1" si="372"/>
        <v>#REF!</v>
      </c>
      <c r="AH295" s="212"/>
      <c r="AI295" s="213"/>
      <c r="AJ295" s="4"/>
      <c r="AK295" s="4"/>
      <c r="AL295" s="4"/>
      <c r="AM295" s="4"/>
      <c r="AN295" s="4"/>
      <c r="AO295" s="4"/>
      <c r="AP295" s="4"/>
      <c r="AQ295" s="4"/>
      <c r="AR295" s="4"/>
      <c r="AS295" s="4"/>
      <c r="AT295" s="4"/>
      <c r="AU295" s="4"/>
    </row>
    <row r="296" spans="1:47" ht="13.2">
      <c r="A296" s="120"/>
      <c r="B296" s="113"/>
      <c r="C296" s="117"/>
      <c r="D296" s="117"/>
      <c r="E296" s="117"/>
      <c r="F296" s="123"/>
      <c r="G296" s="93" t="s">
        <v>145</v>
      </c>
      <c r="H296" s="125"/>
      <c r="I296" s="125"/>
      <c r="J296" s="82" t="str">
        <f t="shared" ca="1" si="147"/>
        <v>#REF!</v>
      </c>
      <c r="K296" s="82" t="str">
        <f t="shared" ca="1" si="256"/>
        <v>#REF!</v>
      </c>
      <c r="L296" s="82" t="str">
        <f t="shared" ca="1" si="199"/>
        <v>#REF!</v>
      </c>
      <c r="M296" s="125"/>
      <c r="N296" s="125"/>
      <c r="O296" s="230">
        <f t="shared" si="2"/>
        <v>0</v>
      </c>
      <c r="P296" s="231">
        <f t="shared" si="3"/>
        <v>0</v>
      </c>
      <c r="Q296" s="232" t="str">
        <f ca="1">ROUNDUP(HLOOKUP(IF(CEILING(L296,0.5)&lt;1,1,CEILING(L296,0.5)),'배송비 조회'!A$32:AY$36,2,0),-2)</f>
        <v>#REF!</v>
      </c>
      <c r="R296" s="232">
        <v>0</v>
      </c>
      <c r="S296" s="231" t="str">
        <f t="shared" ca="1" si="250"/>
        <v>#REF!</v>
      </c>
      <c r="T296" s="231" t="str">
        <f t="shared" ca="1" si="200"/>
        <v>#REF!</v>
      </c>
      <c r="U296" s="233" t="str">
        <f t="shared" ca="1" si="142"/>
        <v>#REF!</v>
      </c>
      <c r="V296" s="233" t="str">
        <f t="shared" ca="1" si="7"/>
        <v>#REF!</v>
      </c>
      <c r="W296" s="234">
        <v>0</v>
      </c>
      <c r="X296" s="234" t="str">
        <f t="shared" ca="1" si="8"/>
        <v>#REF!</v>
      </c>
      <c r="Y296" s="234" t="str">
        <f t="shared" ca="1" si="9"/>
        <v>#REF!</v>
      </c>
      <c r="Z296" s="234" t="str">
        <f t="shared" ca="1" si="10"/>
        <v>#REF!</v>
      </c>
      <c r="AA296" s="234" t="str">
        <f t="shared" ca="1" si="11"/>
        <v>#REF!</v>
      </c>
      <c r="AB296" s="234" t="str">
        <f t="shared" ca="1" si="12"/>
        <v>#REF!</v>
      </c>
      <c r="AC296" s="234" t="str">
        <f t="shared" ca="1" si="13"/>
        <v>#REF!</v>
      </c>
      <c r="AD296" s="101" t="str">
        <f t="shared" ca="1" si="14"/>
        <v>#REF!</v>
      </c>
      <c r="AE296" s="101" t="str">
        <f t="shared" ca="1" si="15"/>
        <v>#REF!</v>
      </c>
      <c r="AF296" s="235" t="str">
        <f t="shared" ref="AF296:AG296" ca="1" si="373">AD296/U296</f>
        <v>#REF!</v>
      </c>
      <c r="AG296" s="235" t="str">
        <f t="shared" ca="1" si="373"/>
        <v>#REF!</v>
      </c>
      <c r="AH296" s="212"/>
      <c r="AI296" s="213"/>
      <c r="AJ296" s="4"/>
      <c r="AK296" s="4"/>
      <c r="AL296" s="4"/>
      <c r="AM296" s="4"/>
      <c r="AN296" s="4"/>
      <c r="AO296" s="4"/>
      <c r="AP296" s="4"/>
      <c r="AQ296" s="4"/>
      <c r="AR296" s="4"/>
      <c r="AS296" s="4"/>
      <c r="AT296" s="4"/>
      <c r="AU296" s="4"/>
    </row>
    <row r="297" spans="1:47" ht="13.2">
      <c r="A297" s="120"/>
      <c r="B297" s="113"/>
      <c r="C297" s="117"/>
      <c r="D297" s="117"/>
      <c r="E297" s="117"/>
      <c r="F297" s="123"/>
      <c r="G297" s="93" t="s">
        <v>145</v>
      </c>
      <c r="H297" s="125"/>
      <c r="I297" s="125"/>
      <c r="J297" s="82" t="str">
        <f t="shared" ca="1" si="147"/>
        <v>#REF!</v>
      </c>
      <c r="K297" s="82" t="str">
        <f t="shared" ca="1" si="256"/>
        <v>#REF!</v>
      </c>
      <c r="L297" s="82" t="str">
        <f t="shared" ca="1" si="199"/>
        <v>#REF!</v>
      </c>
      <c r="M297" s="125"/>
      <c r="N297" s="125"/>
      <c r="O297" s="230">
        <f t="shared" si="2"/>
        <v>0</v>
      </c>
      <c r="P297" s="231">
        <f t="shared" si="3"/>
        <v>0</v>
      </c>
      <c r="Q297" s="232" t="str">
        <f ca="1">ROUNDUP(HLOOKUP(IF(CEILING(L297,0.5)&lt;1,1,CEILING(L297,0.5)),'배송비 조회'!A$32:AY$36,2,0),-2)</f>
        <v>#REF!</v>
      </c>
      <c r="R297" s="232">
        <v>0</v>
      </c>
      <c r="S297" s="231" t="str">
        <f t="shared" ca="1" si="250"/>
        <v>#REF!</v>
      </c>
      <c r="T297" s="231" t="str">
        <f t="shared" ca="1" si="200"/>
        <v>#REF!</v>
      </c>
      <c r="U297" s="233" t="str">
        <f t="shared" ca="1" si="142"/>
        <v>#REF!</v>
      </c>
      <c r="V297" s="233" t="str">
        <f t="shared" ca="1" si="7"/>
        <v>#REF!</v>
      </c>
      <c r="W297" s="234">
        <v>0</v>
      </c>
      <c r="X297" s="234" t="str">
        <f t="shared" ca="1" si="8"/>
        <v>#REF!</v>
      </c>
      <c r="Y297" s="234" t="str">
        <f t="shared" ca="1" si="9"/>
        <v>#REF!</v>
      </c>
      <c r="Z297" s="234" t="str">
        <f t="shared" ca="1" si="10"/>
        <v>#REF!</v>
      </c>
      <c r="AA297" s="234" t="str">
        <f t="shared" ca="1" si="11"/>
        <v>#REF!</v>
      </c>
      <c r="AB297" s="234" t="str">
        <f t="shared" ca="1" si="12"/>
        <v>#REF!</v>
      </c>
      <c r="AC297" s="234" t="str">
        <f t="shared" ca="1" si="13"/>
        <v>#REF!</v>
      </c>
      <c r="AD297" s="101" t="str">
        <f t="shared" ca="1" si="14"/>
        <v>#REF!</v>
      </c>
      <c r="AE297" s="101" t="str">
        <f t="shared" ca="1" si="15"/>
        <v>#REF!</v>
      </c>
      <c r="AF297" s="235" t="str">
        <f t="shared" ref="AF297:AG297" ca="1" si="374">AD297/U297</f>
        <v>#REF!</v>
      </c>
      <c r="AG297" s="235" t="str">
        <f t="shared" ca="1" si="374"/>
        <v>#REF!</v>
      </c>
      <c r="AH297" s="212"/>
      <c r="AI297" s="213"/>
      <c r="AJ297" s="4"/>
      <c r="AK297" s="4"/>
      <c r="AL297" s="4"/>
      <c r="AM297" s="4"/>
      <c r="AN297" s="4"/>
      <c r="AO297" s="4"/>
      <c r="AP297" s="4"/>
      <c r="AQ297" s="4"/>
      <c r="AR297" s="4"/>
      <c r="AS297" s="4"/>
      <c r="AT297" s="4"/>
      <c r="AU297" s="4"/>
    </row>
    <row r="298" spans="1:47" ht="13.2">
      <c r="A298" s="120"/>
      <c r="B298" s="113"/>
      <c r="C298" s="117"/>
      <c r="D298" s="117"/>
      <c r="E298" s="117"/>
      <c r="F298" s="123"/>
      <c r="G298" s="93" t="s">
        <v>145</v>
      </c>
      <c r="H298" s="125"/>
      <c r="I298" s="125"/>
      <c r="J298" s="82" t="str">
        <f t="shared" ca="1" si="147"/>
        <v>#REF!</v>
      </c>
      <c r="K298" s="82" t="str">
        <f t="shared" ca="1" si="256"/>
        <v>#REF!</v>
      </c>
      <c r="L298" s="82" t="str">
        <f t="shared" ca="1" si="199"/>
        <v>#REF!</v>
      </c>
      <c r="M298" s="125"/>
      <c r="N298" s="125"/>
      <c r="O298" s="230">
        <f t="shared" si="2"/>
        <v>0</v>
      </c>
      <c r="P298" s="231">
        <f t="shared" si="3"/>
        <v>0</v>
      </c>
      <c r="Q298" s="232" t="str">
        <f ca="1">ROUNDUP(HLOOKUP(IF(CEILING(L298,0.5)&lt;1,1,CEILING(L298,0.5)),'배송비 조회'!A$32:AY$36,2,0),-2)</f>
        <v>#REF!</v>
      </c>
      <c r="R298" s="232">
        <v>0</v>
      </c>
      <c r="S298" s="231" t="str">
        <f t="shared" ca="1" si="250"/>
        <v>#REF!</v>
      </c>
      <c r="T298" s="231" t="str">
        <f t="shared" ca="1" si="200"/>
        <v>#REF!</v>
      </c>
      <c r="U298" s="233" t="str">
        <f t="shared" ca="1" si="142"/>
        <v>#REF!</v>
      </c>
      <c r="V298" s="233" t="str">
        <f t="shared" ca="1" si="7"/>
        <v>#REF!</v>
      </c>
      <c r="W298" s="234">
        <v>0</v>
      </c>
      <c r="X298" s="234" t="str">
        <f t="shared" ca="1" si="8"/>
        <v>#REF!</v>
      </c>
      <c r="Y298" s="234" t="str">
        <f t="shared" ca="1" si="9"/>
        <v>#REF!</v>
      </c>
      <c r="Z298" s="234" t="str">
        <f t="shared" ca="1" si="10"/>
        <v>#REF!</v>
      </c>
      <c r="AA298" s="234" t="str">
        <f t="shared" ca="1" si="11"/>
        <v>#REF!</v>
      </c>
      <c r="AB298" s="234" t="str">
        <f t="shared" ca="1" si="12"/>
        <v>#REF!</v>
      </c>
      <c r="AC298" s="234" t="str">
        <f t="shared" ca="1" si="13"/>
        <v>#REF!</v>
      </c>
      <c r="AD298" s="101" t="str">
        <f t="shared" ca="1" si="14"/>
        <v>#REF!</v>
      </c>
      <c r="AE298" s="101" t="str">
        <f t="shared" ca="1" si="15"/>
        <v>#REF!</v>
      </c>
      <c r="AF298" s="235" t="str">
        <f t="shared" ref="AF298:AG298" ca="1" si="375">AD298/U298</f>
        <v>#REF!</v>
      </c>
      <c r="AG298" s="235" t="str">
        <f t="shared" ca="1" si="375"/>
        <v>#REF!</v>
      </c>
      <c r="AH298" s="212"/>
      <c r="AI298" s="213"/>
      <c r="AJ298" s="4"/>
      <c r="AK298" s="4"/>
      <c r="AL298" s="4"/>
      <c r="AM298" s="4"/>
      <c r="AN298" s="4"/>
      <c r="AO298" s="4"/>
      <c r="AP298" s="4"/>
      <c r="AQ298" s="4"/>
      <c r="AR298" s="4"/>
      <c r="AS298" s="4"/>
      <c r="AT298" s="4"/>
      <c r="AU298" s="4"/>
    </row>
    <row r="299" spans="1:47" ht="13.2">
      <c r="A299" s="120"/>
      <c r="B299" s="113"/>
      <c r="C299" s="117"/>
      <c r="D299" s="117"/>
      <c r="E299" s="117"/>
      <c r="F299" s="123"/>
      <c r="G299" s="93" t="s">
        <v>145</v>
      </c>
      <c r="H299" s="125"/>
      <c r="I299" s="125"/>
      <c r="J299" s="82" t="str">
        <f t="shared" ca="1" si="147"/>
        <v>#REF!</v>
      </c>
      <c r="K299" s="82" t="str">
        <f t="shared" ca="1" si="256"/>
        <v>#REF!</v>
      </c>
      <c r="L299" s="82" t="str">
        <f t="shared" ca="1" si="199"/>
        <v>#REF!</v>
      </c>
      <c r="M299" s="125"/>
      <c r="N299" s="125"/>
      <c r="O299" s="230">
        <f t="shared" si="2"/>
        <v>0</v>
      </c>
      <c r="P299" s="231">
        <f t="shared" si="3"/>
        <v>0</v>
      </c>
      <c r="Q299" s="232" t="str">
        <f ca="1">ROUNDUP(HLOOKUP(IF(CEILING(L299,0.5)&lt;1,1,CEILING(L299,0.5)),'배송비 조회'!A$32:AY$36,2,0),-2)</f>
        <v>#REF!</v>
      </c>
      <c r="R299" s="232">
        <v>0</v>
      </c>
      <c r="S299" s="231" t="str">
        <f t="shared" ca="1" si="250"/>
        <v>#REF!</v>
      </c>
      <c r="T299" s="231" t="str">
        <f t="shared" ca="1" si="200"/>
        <v>#REF!</v>
      </c>
      <c r="U299" s="233" t="str">
        <f t="shared" ca="1" si="142"/>
        <v>#REF!</v>
      </c>
      <c r="V299" s="233" t="str">
        <f t="shared" ca="1" si="7"/>
        <v>#REF!</v>
      </c>
      <c r="W299" s="234">
        <v>0</v>
      </c>
      <c r="X299" s="234" t="str">
        <f t="shared" ca="1" si="8"/>
        <v>#REF!</v>
      </c>
      <c r="Y299" s="234" t="str">
        <f t="shared" ca="1" si="9"/>
        <v>#REF!</v>
      </c>
      <c r="Z299" s="234" t="str">
        <f t="shared" ca="1" si="10"/>
        <v>#REF!</v>
      </c>
      <c r="AA299" s="234" t="str">
        <f t="shared" ca="1" si="11"/>
        <v>#REF!</v>
      </c>
      <c r="AB299" s="234" t="str">
        <f t="shared" ca="1" si="12"/>
        <v>#REF!</v>
      </c>
      <c r="AC299" s="234" t="str">
        <f t="shared" ca="1" si="13"/>
        <v>#REF!</v>
      </c>
      <c r="AD299" s="101" t="str">
        <f t="shared" ca="1" si="14"/>
        <v>#REF!</v>
      </c>
      <c r="AE299" s="101" t="str">
        <f t="shared" ca="1" si="15"/>
        <v>#REF!</v>
      </c>
      <c r="AF299" s="235" t="str">
        <f t="shared" ref="AF299:AG299" ca="1" si="376">AD299/U299</f>
        <v>#REF!</v>
      </c>
      <c r="AG299" s="235" t="str">
        <f t="shared" ca="1" si="376"/>
        <v>#REF!</v>
      </c>
      <c r="AH299" s="212"/>
      <c r="AI299" s="213"/>
      <c r="AJ299" s="4"/>
      <c r="AK299" s="4"/>
      <c r="AL299" s="4"/>
      <c r="AM299" s="4"/>
      <c r="AN299" s="4"/>
      <c r="AO299" s="4"/>
      <c r="AP299" s="4"/>
      <c r="AQ299" s="4"/>
      <c r="AR299" s="4"/>
      <c r="AS299" s="4"/>
      <c r="AT299" s="4"/>
      <c r="AU299" s="4"/>
    </row>
    <row r="300" spans="1:47" ht="13.2">
      <c r="A300" s="120"/>
      <c r="B300" s="113"/>
      <c r="C300" s="117"/>
      <c r="D300" s="117"/>
      <c r="E300" s="117"/>
      <c r="F300" s="123"/>
      <c r="G300" s="93" t="s">
        <v>145</v>
      </c>
      <c r="H300" s="125"/>
      <c r="I300" s="125"/>
      <c r="J300" s="82" t="str">
        <f t="shared" ca="1" si="147"/>
        <v>#REF!</v>
      </c>
      <c r="K300" s="82" t="str">
        <f t="shared" ca="1" si="256"/>
        <v>#REF!</v>
      </c>
      <c r="L300" s="82" t="str">
        <f t="shared" ca="1" si="199"/>
        <v>#REF!</v>
      </c>
      <c r="M300" s="125"/>
      <c r="N300" s="125"/>
      <c r="O300" s="230">
        <f t="shared" si="2"/>
        <v>0</v>
      </c>
      <c r="P300" s="231">
        <f t="shared" si="3"/>
        <v>0</v>
      </c>
      <c r="Q300" s="232" t="str">
        <f ca="1">ROUNDUP(HLOOKUP(IF(CEILING(L300,0.5)&lt;1,1,CEILING(L300,0.5)),'배송비 조회'!A$32:AY$36,2,0),-2)</f>
        <v>#REF!</v>
      </c>
      <c r="R300" s="232">
        <v>0</v>
      </c>
      <c r="S300" s="231" t="str">
        <f t="shared" ca="1" si="250"/>
        <v>#REF!</v>
      </c>
      <c r="T300" s="231" t="str">
        <f t="shared" ca="1" si="200"/>
        <v>#REF!</v>
      </c>
      <c r="U300" s="233" t="str">
        <f t="shared" ca="1" si="142"/>
        <v>#REF!</v>
      </c>
      <c r="V300" s="233" t="str">
        <f t="shared" ca="1" si="7"/>
        <v>#REF!</v>
      </c>
      <c r="W300" s="234">
        <v>0</v>
      </c>
      <c r="X300" s="234" t="str">
        <f t="shared" ca="1" si="8"/>
        <v>#REF!</v>
      </c>
      <c r="Y300" s="234" t="str">
        <f t="shared" ca="1" si="9"/>
        <v>#REF!</v>
      </c>
      <c r="Z300" s="234" t="str">
        <f t="shared" ca="1" si="10"/>
        <v>#REF!</v>
      </c>
      <c r="AA300" s="234" t="str">
        <f t="shared" ca="1" si="11"/>
        <v>#REF!</v>
      </c>
      <c r="AB300" s="234" t="str">
        <f t="shared" ca="1" si="12"/>
        <v>#REF!</v>
      </c>
      <c r="AC300" s="234" t="str">
        <f t="shared" ca="1" si="13"/>
        <v>#REF!</v>
      </c>
      <c r="AD300" s="101" t="str">
        <f t="shared" ca="1" si="14"/>
        <v>#REF!</v>
      </c>
      <c r="AE300" s="101" t="str">
        <f t="shared" ca="1" si="15"/>
        <v>#REF!</v>
      </c>
      <c r="AF300" s="235" t="str">
        <f t="shared" ref="AF300:AG300" ca="1" si="377">AD300/U300</f>
        <v>#REF!</v>
      </c>
      <c r="AG300" s="235" t="str">
        <f t="shared" ca="1" si="377"/>
        <v>#REF!</v>
      </c>
      <c r="AH300" s="212"/>
      <c r="AI300" s="213"/>
      <c r="AJ300" s="4"/>
      <c r="AK300" s="4"/>
      <c r="AL300" s="4"/>
      <c r="AM300" s="4"/>
      <c r="AN300" s="4"/>
      <c r="AO300" s="4"/>
      <c r="AP300" s="4"/>
      <c r="AQ300" s="4"/>
      <c r="AR300" s="4"/>
      <c r="AS300" s="4"/>
      <c r="AT300" s="4"/>
      <c r="AU300" s="4"/>
    </row>
    <row r="301" spans="1:47" ht="13.2">
      <c r="A301" s="120"/>
      <c r="B301" s="113"/>
      <c r="C301" s="117"/>
      <c r="D301" s="117"/>
      <c r="E301" s="117"/>
      <c r="F301" s="123"/>
      <c r="G301" s="93" t="s">
        <v>145</v>
      </c>
      <c r="H301" s="125"/>
      <c r="I301" s="125"/>
      <c r="J301" s="82" t="str">
        <f t="shared" ca="1" si="147"/>
        <v>#REF!</v>
      </c>
      <c r="K301" s="82" t="str">
        <f t="shared" ca="1" si="256"/>
        <v>#REF!</v>
      </c>
      <c r="L301" s="82" t="str">
        <f t="shared" ca="1" si="199"/>
        <v>#REF!</v>
      </c>
      <c r="M301" s="125"/>
      <c r="N301" s="125"/>
      <c r="O301" s="230">
        <f t="shared" si="2"/>
        <v>0</v>
      </c>
      <c r="P301" s="231">
        <f t="shared" si="3"/>
        <v>0</v>
      </c>
      <c r="Q301" s="232" t="str">
        <f ca="1">ROUNDUP(HLOOKUP(IF(CEILING(L301,0.5)&lt;1,1,CEILING(L301,0.5)),'배송비 조회'!A$32:AY$36,2,0),-2)</f>
        <v>#REF!</v>
      </c>
      <c r="R301" s="232">
        <v>0</v>
      </c>
      <c r="S301" s="231" t="str">
        <f t="shared" ca="1" si="250"/>
        <v>#REF!</v>
      </c>
      <c r="T301" s="231" t="str">
        <f t="shared" ca="1" si="200"/>
        <v>#REF!</v>
      </c>
      <c r="U301" s="233" t="str">
        <f t="shared" ca="1" si="142"/>
        <v>#REF!</v>
      </c>
      <c r="V301" s="233" t="str">
        <f t="shared" ca="1" si="7"/>
        <v>#REF!</v>
      </c>
      <c r="W301" s="234">
        <v>0</v>
      </c>
      <c r="X301" s="234" t="str">
        <f t="shared" ca="1" si="8"/>
        <v>#REF!</v>
      </c>
      <c r="Y301" s="234" t="str">
        <f t="shared" ca="1" si="9"/>
        <v>#REF!</v>
      </c>
      <c r="Z301" s="234" t="str">
        <f t="shared" ca="1" si="10"/>
        <v>#REF!</v>
      </c>
      <c r="AA301" s="234" t="str">
        <f t="shared" ca="1" si="11"/>
        <v>#REF!</v>
      </c>
      <c r="AB301" s="234" t="str">
        <f t="shared" ca="1" si="12"/>
        <v>#REF!</v>
      </c>
      <c r="AC301" s="234" t="str">
        <f t="shared" ca="1" si="13"/>
        <v>#REF!</v>
      </c>
      <c r="AD301" s="101" t="str">
        <f t="shared" ca="1" si="14"/>
        <v>#REF!</v>
      </c>
      <c r="AE301" s="101" t="str">
        <f t="shared" ca="1" si="15"/>
        <v>#REF!</v>
      </c>
      <c r="AF301" s="235" t="str">
        <f t="shared" ref="AF301:AG301" ca="1" si="378">AD301/U301</f>
        <v>#REF!</v>
      </c>
      <c r="AG301" s="235" t="str">
        <f t="shared" ca="1" si="378"/>
        <v>#REF!</v>
      </c>
      <c r="AH301" s="212"/>
      <c r="AI301" s="213"/>
      <c r="AJ301" s="4"/>
      <c r="AK301" s="4"/>
      <c r="AL301" s="4"/>
      <c r="AM301" s="4"/>
      <c r="AN301" s="4"/>
      <c r="AO301" s="4"/>
      <c r="AP301" s="4"/>
      <c r="AQ301" s="4"/>
      <c r="AR301" s="4"/>
      <c r="AS301" s="4"/>
      <c r="AT301" s="4"/>
      <c r="AU301" s="4"/>
    </row>
    <row r="302" spans="1:47" ht="13.2">
      <c r="A302" s="120"/>
      <c r="B302" s="113"/>
      <c r="C302" s="117"/>
      <c r="D302" s="117"/>
      <c r="E302" s="117"/>
      <c r="F302" s="123"/>
      <c r="G302" s="93" t="s">
        <v>145</v>
      </c>
      <c r="H302" s="125"/>
      <c r="I302" s="125"/>
      <c r="J302" s="82" t="str">
        <f t="shared" ca="1" si="147"/>
        <v>#REF!</v>
      </c>
      <c r="K302" s="82" t="str">
        <f t="shared" ca="1" si="256"/>
        <v>#REF!</v>
      </c>
      <c r="L302" s="82" t="str">
        <f t="shared" ca="1" si="199"/>
        <v>#REF!</v>
      </c>
      <c r="M302" s="125"/>
      <c r="N302" s="125"/>
      <c r="O302" s="230">
        <f t="shared" si="2"/>
        <v>0</v>
      </c>
      <c r="P302" s="231">
        <f t="shared" si="3"/>
        <v>0</v>
      </c>
      <c r="Q302" s="232" t="str">
        <f ca="1">ROUNDUP(HLOOKUP(IF(CEILING(L302,0.5)&lt;1,1,CEILING(L302,0.5)),'배송비 조회'!A$32:AY$36,2,0),-2)</f>
        <v>#REF!</v>
      </c>
      <c r="R302" s="232">
        <v>0</v>
      </c>
      <c r="S302" s="231" t="str">
        <f t="shared" ca="1" si="250"/>
        <v>#REF!</v>
      </c>
      <c r="T302" s="231" t="str">
        <f t="shared" ca="1" si="200"/>
        <v>#REF!</v>
      </c>
      <c r="U302" s="233" t="str">
        <f t="shared" ca="1" si="142"/>
        <v>#REF!</v>
      </c>
      <c r="V302" s="233" t="str">
        <f t="shared" ca="1" si="7"/>
        <v>#REF!</v>
      </c>
      <c r="W302" s="234">
        <v>0</v>
      </c>
      <c r="X302" s="234" t="str">
        <f t="shared" ca="1" si="8"/>
        <v>#REF!</v>
      </c>
      <c r="Y302" s="234" t="str">
        <f t="shared" ca="1" si="9"/>
        <v>#REF!</v>
      </c>
      <c r="Z302" s="234" t="str">
        <f t="shared" ca="1" si="10"/>
        <v>#REF!</v>
      </c>
      <c r="AA302" s="234" t="str">
        <f t="shared" ca="1" si="11"/>
        <v>#REF!</v>
      </c>
      <c r="AB302" s="234" t="str">
        <f t="shared" ca="1" si="12"/>
        <v>#REF!</v>
      </c>
      <c r="AC302" s="234" t="str">
        <f t="shared" ca="1" si="13"/>
        <v>#REF!</v>
      </c>
      <c r="AD302" s="101" t="str">
        <f t="shared" ca="1" si="14"/>
        <v>#REF!</v>
      </c>
      <c r="AE302" s="101" t="str">
        <f t="shared" ca="1" si="15"/>
        <v>#REF!</v>
      </c>
      <c r="AF302" s="235" t="str">
        <f t="shared" ref="AF302:AG302" ca="1" si="379">AD302/U302</f>
        <v>#REF!</v>
      </c>
      <c r="AG302" s="235" t="str">
        <f t="shared" ca="1" si="379"/>
        <v>#REF!</v>
      </c>
      <c r="AH302" s="212"/>
      <c r="AI302" s="213"/>
      <c r="AJ302" s="4"/>
      <c r="AK302" s="4"/>
      <c r="AL302" s="4"/>
      <c r="AM302" s="4"/>
      <c r="AN302" s="4"/>
      <c r="AO302" s="4"/>
      <c r="AP302" s="4"/>
      <c r="AQ302" s="4"/>
      <c r="AR302" s="4"/>
      <c r="AS302" s="4"/>
      <c r="AT302" s="4"/>
      <c r="AU302" s="4"/>
    </row>
    <row r="303" spans="1:47" ht="13.2">
      <c r="A303" s="120"/>
      <c r="B303" s="113"/>
      <c r="C303" s="117"/>
      <c r="D303" s="117"/>
      <c r="E303" s="117"/>
      <c r="F303" s="123"/>
      <c r="G303" s="93" t="s">
        <v>145</v>
      </c>
      <c r="H303" s="125"/>
      <c r="I303" s="125"/>
      <c r="J303" s="82" t="str">
        <f t="shared" ca="1" si="147"/>
        <v>#REF!</v>
      </c>
      <c r="K303" s="82" t="str">
        <f t="shared" ca="1" si="256"/>
        <v>#REF!</v>
      </c>
      <c r="L303" s="82" t="str">
        <f t="shared" ca="1" si="199"/>
        <v>#REF!</v>
      </c>
      <c r="M303" s="125"/>
      <c r="N303" s="125"/>
      <c r="O303" s="230">
        <f t="shared" si="2"/>
        <v>0</v>
      </c>
      <c r="P303" s="231">
        <f t="shared" si="3"/>
        <v>0</v>
      </c>
      <c r="Q303" s="232" t="str">
        <f ca="1">ROUNDUP(HLOOKUP(IF(CEILING(L303,0.5)&lt;1,1,CEILING(L303,0.5)),'배송비 조회'!A$32:AY$36,2,0),-2)</f>
        <v>#REF!</v>
      </c>
      <c r="R303" s="232">
        <v>0</v>
      </c>
      <c r="S303" s="231" t="str">
        <f t="shared" ca="1" si="250"/>
        <v>#REF!</v>
      </c>
      <c r="T303" s="231" t="str">
        <f t="shared" ca="1" si="200"/>
        <v>#REF!</v>
      </c>
      <c r="U303" s="233" t="str">
        <f t="shared" ca="1" si="142"/>
        <v>#REF!</v>
      </c>
      <c r="V303" s="233" t="str">
        <f t="shared" ca="1" si="7"/>
        <v>#REF!</v>
      </c>
      <c r="W303" s="234">
        <v>0</v>
      </c>
      <c r="X303" s="234" t="str">
        <f t="shared" ca="1" si="8"/>
        <v>#REF!</v>
      </c>
      <c r="Y303" s="234" t="str">
        <f t="shared" ca="1" si="9"/>
        <v>#REF!</v>
      </c>
      <c r="Z303" s="234" t="str">
        <f t="shared" ca="1" si="10"/>
        <v>#REF!</v>
      </c>
      <c r="AA303" s="234" t="str">
        <f t="shared" ca="1" si="11"/>
        <v>#REF!</v>
      </c>
      <c r="AB303" s="234" t="str">
        <f t="shared" ca="1" si="12"/>
        <v>#REF!</v>
      </c>
      <c r="AC303" s="234" t="str">
        <f t="shared" ca="1" si="13"/>
        <v>#REF!</v>
      </c>
      <c r="AD303" s="101" t="str">
        <f t="shared" ca="1" si="14"/>
        <v>#REF!</v>
      </c>
      <c r="AE303" s="101" t="str">
        <f t="shared" ca="1" si="15"/>
        <v>#REF!</v>
      </c>
      <c r="AF303" s="235" t="str">
        <f t="shared" ref="AF303:AG303" ca="1" si="380">AD303/U303</f>
        <v>#REF!</v>
      </c>
      <c r="AG303" s="235" t="str">
        <f t="shared" ca="1" si="380"/>
        <v>#REF!</v>
      </c>
      <c r="AH303" s="212"/>
      <c r="AI303" s="213"/>
      <c r="AJ303" s="4"/>
      <c r="AK303" s="4"/>
      <c r="AL303" s="4"/>
      <c r="AM303" s="4"/>
      <c r="AN303" s="4"/>
      <c r="AO303" s="4"/>
      <c r="AP303" s="4"/>
      <c r="AQ303" s="4"/>
      <c r="AR303" s="4"/>
      <c r="AS303" s="4"/>
      <c r="AT303" s="4"/>
      <c r="AU303" s="4"/>
    </row>
    <row r="304" spans="1:47" ht="13.2">
      <c r="A304" s="120"/>
      <c r="B304" s="113"/>
      <c r="C304" s="117"/>
      <c r="D304" s="117"/>
      <c r="E304" s="117"/>
      <c r="F304" s="123"/>
      <c r="G304" s="93" t="s">
        <v>145</v>
      </c>
      <c r="H304" s="125"/>
      <c r="I304" s="125"/>
      <c r="J304" s="82" t="str">
        <f t="shared" ca="1" si="147"/>
        <v>#REF!</v>
      </c>
      <c r="K304" s="82" t="str">
        <f t="shared" ca="1" si="256"/>
        <v>#REF!</v>
      </c>
      <c r="L304" s="82" t="str">
        <f t="shared" ca="1" si="199"/>
        <v>#REF!</v>
      </c>
      <c r="M304" s="125"/>
      <c r="N304" s="125"/>
      <c r="O304" s="230">
        <f t="shared" si="2"/>
        <v>0</v>
      </c>
      <c r="P304" s="231">
        <f t="shared" si="3"/>
        <v>0</v>
      </c>
      <c r="Q304" s="232" t="str">
        <f ca="1">ROUNDUP(HLOOKUP(IF(CEILING(L304,0.5)&lt;1,1,CEILING(L304,0.5)),'배송비 조회'!A$32:AY$36,2,0),-2)</f>
        <v>#REF!</v>
      </c>
      <c r="R304" s="232">
        <v>0</v>
      </c>
      <c r="S304" s="231" t="str">
        <f t="shared" ca="1" si="250"/>
        <v>#REF!</v>
      </c>
      <c r="T304" s="231" t="str">
        <f t="shared" ca="1" si="200"/>
        <v>#REF!</v>
      </c>
      <c r="U304" s="233" t="str">
        <f t="shared" ca="1" si="142"/>
        <v>#REF!</v>
      </c>
      <c r="V304" s="233" t="str">
        <f t="shared" ca="1" si="7"/>
        <v>#REF!</v>
      </c>
      <c r="W304" s="234">
        <v>0</v>
      </c>
      <c r="X304" s="234" t="str">
        <f t="shared" ca="1" si="8"/>
        <v>#REF!</v>
      </c>
      <c r="Y304" s="234" t="str">
        <f t="shared" ca="1" si="9"/>
        <v>#REF!</v>
      </c>
      <c r="Z304" s="234" t="str">
        <f t="shared" ca="1" si="10"/>
        <v>#REF!</v>
      </c>
      <c r="AA304" s="234" t="str">
        <f t="shared" ca="1" si="11"/>
        <v>#REF!</v>
      </c>
      <c r="AB304" s="234" t="str">
        <f t="shared" ca="1" si="12"/>
        <v>#REF!</v>
      </c>
      <c r="AC304" s="234" t="str">
        <f t="shared" ca="1" si="13"/>
        <v>#REF!</v>
      </c>
      <c r="AD304" s="101" t="str">
        <f t="shared" ca="1" si="14"/>
        <v>#REF!</v>
      </c>
      <c r="AE304" s="101" t="str">
        <f t="shared" ca="1" si="15"/>
        <v>#REF!</v>
      </c>
      <c r="AF304" s="235" t="str">
        <f t="shared" ref="AF304:AG304" ca="1" si="381">AD304/U304</f>
        <v>#REF!</v>
      </c>
      <c r="AG304" s="235" t="str">
        <f t="shared" ca="1" si="381"/>
        <v>#REF!</v>
      </c>
      <c r="AH304" s="212"/>
      <c r="AI304" s="213"/>
      <c r="AJ304" s="4"/>
      <c r="AK304" s="4"/>
      <c r="AL304" s="4"/>
      <c r="AM304" s="4"/>
      <c r="AN304" s="4"/>
      <c r="AO304" s="4"/>
      <c r="AP304" s="4"/>
      <c r="AQ304" s="4"/>
      <c r="AR304" s="4"/>
      <c r="AS304" s="4"/>
      <c r="AT304" s="4"/>
      <c r="AU304" s="4"/>
    </row>
    <row r="305" spans="1:47" ht="13.2">
      <c r="A305" s="120"/>
      <c r="B305" s="113"/>
      <c r="C305" s="117"/>
      <c r="D305" s="117"/>
      <c r="E305" s="117"/>
      <c r="F305" s="123"/>
      <c r="G305" s="93" t="s">
        <v>145</v>
      </c>
      <c r="H305" s="125"/>
      <c r="I305" s="125"/>
      <c r="J305" s="82" t="str">
        <f t="shared" ca="1" si="147"/>
        <v>#REF!</v>
      </c>
      <c r="K305" s="82" t="str">
        <f t="shared" ca="1" si="256"/>
        <v>#REF!</v>
      </c>
      <c r="L305" s="82" t="str">
        <f t="shared" ca="1" si="199"/>
        <v>#REF!</v>
      </c>
      <c r="M305" s="125"/>
      <c r="N305" s="125"/>
      <c r="O305" s="230">
        <f t="shared" si="2"/>
        <v>0</v>
      </c>
      <c r="P305" s="231">
        <f t="shared" si="3"/>
        <v>0</v>
      </c>
      <c r="Q305" s="232" t="str">
        <f ca="1">ROUNDUP(HLOOKUP(IF(CEILING(L305,0.5)&lt;1,1,CEILING(L305,0.5)),'배송비 조회'!A$32:AY$36,2,0),-2)</f>
        <v>#REF!</v>
      </c>
      <c r="R305" s="232">
        <v>0</v>
      </c>
      <c r="S305" s="231" t="str">
        <f t="shared" ca="1" si="250"/>
        <v>#REF!</v>
      </c>
      <c r="T305" s="231" t="str">
        <f t="shared" ca="1" si="200"/>
        <v>#REF!</v>
      </c>
      <c r="U305" s="233" t="str">
        <f t="shared" ca="1" si="142"/>
        <v>#REF!</v>
      </c>
      <c r="V305" s="233" t="str">
        <f t="shared" ca="1" si="7"/>
        <v>#REF!</v>
      </c>
      <c r="W305" s="234">
        <v>0</v>
      </c>
      <c r="X305" s="234" t="str">
        <f t="shared" ca="1" si="8"/>
        <v>#REF!</v>
      </c>
      <c r="Y305" s="234" t="str">
        <f t="shared" ca="1" si="9"/>
        <v>#REF!</v>
      </c>
      <c r="Z305" s="234" t="str">
        <f t="shared" ca="1" si="10"/>
        <v>#REF!</v>
      </c>
      <c r="AA305" s="234" t="str">
        <f t="shared" ca="1" si="11"/>
        <v>#REF!</v>
      </c>
      <c r="AB305" s="234" t="str">
        <f t="shared" ca="1" si="12"/>
        <v>#REF!</v>
      </c>
      <c r="AC305" s="234" t="str">
        <f t="shared" ca="1" si="13"/>
        <v>#REF!</v>
      </c>
      <c r="AD305" s="101" t="str">
        <f t="shared" ca="1" si="14"/>
        <v>#REF!</v>
      </c>
      <c r="AE305" s="101" t="str">
        <f t="shared" ca="1" si="15"/>
        <v>#REF!</v>
      </c>
      <c r="AF305" s="235" t="str">
        <f t="shared" ref="AF305:AG305" ca="1" si="382">AD305/U305</f>
        <v>#REF!</v>
      </c>
      <c r="AG305" s="235" t="str">
        <f t="shared" ca="1" si="382"/>
        <v>#REF!</v>
      </c>
      <c r="AH305" s="212"/>
      <c r="AI305" s="213"/>
      <c r="AJ305" s="4"/>
      <c r="AK305" s="4"/>
      <c r="AL305" s="4"/>
      <c r="AM305" s="4"/>
      <c r="AN305" s="4"/>
      <c r="AO305" s="4"/>
      <c r="AP305" s="4"/>
      <c r="AQ305" s="4"/>
      <c r="AR305" s="4"/>
      <c r="AS305" s="4"/>
      <c r="AT305" s="4"/>
      <c r="AU305" s="4"/>
    </row>
    <row r="306" spans="1:47" ht="13.2">
      <c r="A306" s="120"/>
      <c r="B306" s="113"/>
      <c r="C306" s="117"/>
      <c r="D306" s="117"/>
      <c r="E306" s="117"/>
      <c r="F306" s="123"/>
      <c r="G306" s="93" t="s">
        <v>145</v>
      </c>
      <c r="H306" s="125"/>
      <c r="I306" s="125"/>
      <c r="J306" s="82" t="str">
        <f t="shared" ca="1" si="147"/>
        <v>#REF!</v>
      </c>
      <c r="K306" s="82" t="str">
        <f t="shared" ca="1" si="256"/>
        <v>#REF!</v>
      </c>
      <c r="L306" s="82" t="str">
        <f t="shared" ca="1" si="199"/>
        <v>#REF!</v>
      </c>
      <c r="M306" s="125"/>
      <c r="N306" s="125"/>
      <c r="O306" s="230">
        <f t="shared" si="2"/>
        <v>0</v>
      </c>
      <c r="P306" s="231">
        <f t="shared" si="3"/>
        <v>0</v>
      </c>
      <c r="Q306" s="232" t="str">
        <f ca="1">ROUNDUP(HLOOKUP(IF(CEILING(L306,0.5)&lt;1,1,CEILING(L306,0.5)),'배송비 조회'!A$32:AY$36,2,0),-2)</f>
        <v>#REF!</v>
      </c>
      <c r="R306" s="232">
        <v>0</v>
      </c>
      <c r="S306" s="231" t="str">
        <f t="shared" ca="1" si="250"/>
        <v>#REF!</v>
      </c>
      <c r="T306" s="231" t="str">
        <f t="shared" ca="1" si="200"/>
        <v>#REF!</v>
      </c>
      <c r="U306" s="233" t="str">
        <f t="shared" ca="1" si="142"/>
        <v>#REF!</v>
      </c>
      <c r="V306" s="233" t="str">
        <f t="shared" ca="1" si="7"/>
        <v>#REF!</v>
      </c>
      <c r="W306" s="234">
        <v>0</v>
      </c>
      <c r="X306" s="234" t="str">
        <f t="shared" ca="1" si="8"/>
        <v>#REF!</v>
      </c>
      <c r="Y306" s="234" t="str">
        <f t="shared" ca="1" si="9"/>
        <v>#REF!</v>
      </c>
      <c r="Z306" s="234" t="str">
        <f t="shared" ca="1" si="10"/>
        <v>#REF!</v>
      </c>
      <c r="AA306" s="234" t="str">
        <f t="shared" ca="1" si="11"/>
        <v>#REF!</v>
      </c>
      <c r="AB306" s="234" t="str">
        <f t="shared" ca="1" si="12"/>
        <v>#REF!</v>
      </c>
      <c r="AC306" s="234" t="str">
        <f t="shared" ca="1" si="13"/>
        <v>#REF!</v>
      </c>
      <c r="AD306" s="101" t="str">
        <f t="shared" ca="1" si="14"/>
        <v>#REF!</v>
      </c>
      <c r="AE306" s="101" t="str">
        <f t="shared" ca="1" si="15"/>
        <v>#REF!</v>
      </c>
      <c r="AF306" s="235" t="str">
        <f t="shared" ref="AF306:AG306" ca="1" si="383">AD306/U306</f>
        <v>#REF!</v>
      </c>
      <c r="AG306" s="235" t="str">
        <f t="shared" ca="1" si="383"/>
        <v>#REF!</v>
      </c>
      <c r="AH306" s="212"/>
      <c r="AI306" s="213"/>
      <c r="AJ306" s="4"/>
      <c r="AK306" s="4"/>
      <c r="AL306" s="4"/>
      <c r="AM306" s="4"/>
      <c r="AN306" s="4"/>
      <c r="AO306" s="4"/>
      <c r="AP306" s="4"/>
      <c r="AQ306" s="4"/>
      <c r="AR306" s="4"/>
      <c r="AS306" s="4"/>
      <c r="AT306" s="4"/>
      <c r="AU306" s="4"/>
    </row>
    <row r="307" spans="1:47" ht="13.2">
      <c r="A307" s="120"/>
      <c r="B307" s="113"/>
      <c r="C307" s="117"/>
      <c r="D307" s="117"/>
      <c r="E307" s="117"/>
      <c r="F307" s="123"/>
      <c r="G307" s="93" t="s">
        <v>145</v>
      </c>
      <c r="H307" s="125"/>
      <c r="I307" s="125"/>
      <c r="J307" s="82" t="str">
        <f t="shared" ca="1" si="147"/>
        <v>#REF!</v>
      </c>
      <c r="K307" s="82" t="str">
        <f t="shared" ca="1" si="256"/>
        <v>#REF!</v>
      </c>
      <c r="L307" s="82" t="str">
        <f t="shared" ca="1" si="199"/>
        <v>#REF!</v>
      </c>
      <c r="M307" s="125"/>
      <c r="N307" s="125"/>
      <c r="O307" s="230">
        <f t="shared" si="2"/>
        <v>0</v>
      </c>
      <c r="P307" s="231">
        <f t="shared" si="3"/>
        <v>0</v>
      </c>
      <c r="Q307" s="232" t="str">
        <f ca="1">ROUNDUP(HLOOKUP(IF(CEILING(L307,0.5)&lt;1,1,CEILING(L307,0.5)),'배송비 조회'!A$32:AY$36,2,0),-2)</f>
        <v>#REF!</v>
      </c>
      <c r="R307" s="232">
        <v>0</v>
      </c>
      <c r="S307" s="231" t="str">
        <f t="shared" ca="1" si="250"/>
        <v>#REF!</v>
      </c>
      <c r="T307" s="231" t="str">
        <f t="shared" ca="1" si="200"/>
        <v>#REF!</v>
      </c>
      <c r="U307" s="233" t="str">
        <f t="shared" ca="1" si="142"/>
        <v>#REF!</v>
      </c>
      <c r="V307" s="233" t="str">
        <f t="shared" ca="1" si="7"/>
        <v>#REF!</v>
      </c>
      <c r="W307" s="234">
        <v>0</v>
      </c>
      <c r="X307" s="234" t="str">
        <f t="shared" ca="1" si="8"/>
        <v>#REF!</v>
      </c>
      <c r="Y307" s="234" t="str">
        <f t="shared" ca="1" si="9"/>
        <v>#REF!</v>
      </c>
      <c r="Z307" s="234" t="str">
        <f t="shared" ca="1" si="10"/>
        <v>#REF!</v>
      </c>
      <c r="AA307" s="234" t="str">
        <f t="shared" ca="1" si="11"/>
        <v>#REF!</v>
      </c>
      <c r="AB307" s="234" t="str">
        <f t="shared" ca="1" si="12"/>
        <v>#REF!</v>
      </c>
      <c r="AC307" s="234" t="str">
        <f t="shared" ca="1" si="13"/>
        <v>#REF!</v>
      </c>
      <c r="AD307" s="101" t="str">
        <f t="shared" ca="1" si="14"/>
        <v>#REF!</v>
      </c>
      <c r="AE307" s="101" t="str">
        <f t="shared" ca="1" si="15"/>
        <v>#REF!</v>
      </c>
      <c r="AF307" s="235" t="str">
        <f t="shared" ref="AF307:AG307" ca="1" si="384">AD307/U307</f>
        <v>#REF!</v>
      </c>
      <c r="AG307" s="235" t="str">
        <f t="shared" ca="1" si="384"/>
        <v>#REF!</v>
      </c>
      <c r="AH307" s="212"/>
      <c r="AI307" s="213"/>
      <c r="AJ307" s="4"/>
      <c r="AK307" s="4"/>
      <c r="AL307" s="4"/>
      <c r="AM307" s="4"/>
      <c r="AN307" s="4"/>
      <c r="AO307" s="4"/>
      <c r="AP307" s="4"/>
      <c r="AQ307" s="4"/>
      <c r="AR307" s="4"/>
      <c r="AS307" s="4"/>
      <c r="AT307" s="4"/>
      <c r="AU307" s="4"/>
    </row>
    <row r="308" spans="1:47" ht="13.2">
      <c r="A308" s="120"/>
      <c r="B308" s="113"/>
      <c r="C308" s="117"/>
      <c r="D308" s="117"/>
      <c r="E308" s="117"/>
      <c r="F308" s="123"/>
      <c r="G308" s="93" t="s">
        <v>145</v>
      </c>
      <c r="H308" s="125"/>
      <c r="I308" s="125"/>
      <c r="J308" s="82" t="str">
        <f t="shared" ca="1" si="147"/>
        <v>#REF!</v>
      </c>
      <c r="K308" s="82" t="str">
        <f t="shared" ca="1" si="256"/>
        <v>#REF!</v>
      </c>
      <c r="L308" s="82" t="str">
        <f t="shared" ca="1" si="199"/>
        <v>#REF!</v>
      </c>
      <c r="M308" s="125"/>
      <c r="N308" s="125"/>
      <c r="O308" s="230">
        <f t="shared" si="2"/>
        <v>0</v>
      </c>
      <c r="P308" s="231">
        <f t="shared" si="3"/>
        <v>0</v>
      </c>
      <c r="Q308" s="232" t="str">
        <f ca="1">ROUNDUP(HLOOKUP(IF(CEILING(L308,0.5)&lt;1,1,CEILING(L308,0.5)),'배송비 조회'!A$32:AY$36,2,0),-2)</f>
        <v>#REF!</v>
      </c>
      <c r="R308" s="232">
        <v>0</v>
      </c>
      <c r="S308" s="231" t="str">
        <f t="shared" ca="1" si="250"/>
        <v>#REF!</v>
      </c>
      <c r="T308" s="231" t="str">
        <f t="shared" ca="1" si="200"/>
        <v>#REF!</v>
      </c>
      <c r="U308" s="233" t="str">
        <f t="shared" ca="1" si="142"/>
        <v>#REF!</v>
      </c>
      <c r="V308" s="233" t="str">
        <f t="shared" ca="1" si="7"/>
        <v>#REF!</v>
      </c>
      <c r="W308" s="234">
        <v>0</v>
      </c>
      <c r="X308" s="234" t="str">
        <f t="shared" ca="1" si="8"/>
        <v>#REF!</v>
      </c>
      <c r="Y308" s="234" t="str">
        <f t="shared" ca="1" si="9"/>
        <v>#REF!</v>
      </c>
      <c r="Z308" s="234" t="str">
        <f t="shared" ca="1" si="10"/>
        <v>#REF!</v>
      </c>
      <c r="AA308" s="234" t="str">
        <f t="shared" ca="1" si="11"/>
        <v>#REF!</v>
      </c>
      <c r="AB308" s="234" t="str">
        <f t="shared" ca="1" si="12"/>
        <v>#REF!</v>
      </c>
      <c r="AC308" s="234" t="str">
        <f t="shared" ca="1" si="13"/>
        <v>#REF!</v>
      </c>
      <c r="AD308" s="101" t="str">
        <f t="shared" ca="1" si="14"/>
        <v>#REF!</v>
      </c>
      <c r="AE308" s="101" t="str">
        <f t="shared" ca="1" si="15"/>
        <v>#REF!</v>
      </c>
      <c r="AF308" s="235" t="str">
        <f t="shared" ref="AF308:AG308" ca="1" si="385">AD308/U308</f>
        <v>#REF!</v>
      </c>
      <c r="AG308" s="235" t="str">
        <f t="shared" ca="1" si="385"/>
        <v>#REF!</v>
      </c>
      <c r="AH308" s="212"/>
      <c r="AI308" s="213"/>
      <c r="AJ308" s="4"/>
      <c r="AK308" s="4"/>
      <c r="AL308" s="4"/>
      <c r="AM308" s="4"/>
      <c r="AN308" s="4"/>
      <c r="AO308" s="4"/>
      <c r="AP308" s="4"/>
      <c r="AQ308" s="4"/>
      <c r="AR308" s="4"/>
      <c r="AS308" s="4"/>
      <c r="AT308" s="4"/>
      <c r="AU308" s="4"/>
    </row>
    <row r="309" spans="1:47" ht="13.2">
      <c r="A309" s="120"/>
      <c r="B309" s="113"/>
      <c r="C309" s="117"/>
      <c r="D309" s="117"/>
      <c r="E309" s="117"/>
      <c r="F309" s="123"/>
      <c r="G309" s="93" t="s">
        <v>145</v>
      </c>
      <c r="H309" s="125"/>
      <c r="I309" s="125"/>
      <c r="J309" s="82" t="str">
        <f t="shared" ca="1" si="147"/>
        <v>#REF!</v>
      </c>
      <c r="K309" s="82" t="str">
        <f t="shared" ca="1" si="256"/>
        <v>#REF!</v>
      </c>
      <c r="L309" s="82" t="str">
        <f t="shared" ca="1" si="199"/>
        <v>#REF!</v>
      </c>
      <c r="M309" s="125"/>
      <c r="N309" s="125"/>
      <c r="O309" s="230">
        <f t="shared" si="2"/>
        <v>0</v>
      </c>
      <c r="P309" s="231">
        <f t="shared" si="3"/>
        <v>0</v>
      </c>
      <c r="Q309" s="232" t="str">
        <f ca="1">ROUNDUP(HLOOKUP(IF(CEILING(L309,0.5)&lt;1,1,CEILING(L309,0.5)),'배송비 조회'!A$32:AY$36,2,0),-2)</f>
        <v>#REF!</v>
      </c>
      <c r="R309" s="232">
        <v>0</v>
      </c>
      <c r="S309" s="231" t="str">
        <f t="shared" ca="1" si="250"/>
        <v>#REF!</v>
      </c>
      <c r="T309" s="231" t="str">
        <f t="shared" ca="1" si="200"/>
        <v>#REF!</v>
      </c>
      <c r="U309" s="233" t="str">
        <f t="shared" ca="1" si="142"/>
        <v>#REF!</v>
      </c>
      <c r="V309" s="233" t="str">
        <f t="shared" ca="1" si="7"/>
        <v>#REF!</v>
      </c>
      <c r="W309" s="234">
        <v>0</v>
      </c>
      <c r="X309" s="234" t="str">
        <f t="shared" ca="1" si="8"/>
        <v>#REF!</v>
      </c>
      <c r="Y309" s="234" t="str">
        <f t="shared" ca="1" si="9"/>
        <v>#REF!</v>
      </c>
      <c r="Z309" s="234" t="str">
        <f t="shared" ca="1" si="10"/>
        <v>#REF!</v>
      </c>
      <c r="AA309" s="234" t="str">
        <f t="shared" ca="1" si="11"/>
        <v>#REF!</v>
      </c>
      <c r="AB309" s="234" t="str">
        <f t="shared" ca="1" si="12"/>
        <v>#REF!</v>
      </c>
      <c r="AC309" s="234" t="str">
        <f t="shared" ca="1" si="13"/>
        <v>#REF!</v>
      </c>
      <c r="AD309" s="101" t="str">
        <f t="shared" ca="1" si="14"/>
        <v>#REF!</v>
      </c>
      <c r="AE309" s="101" t="str">
        <f t="shared" ca="1" si="15"/>
        <v>#REF!</v>
      </c>
      <c r="AF309" s="235" t="str">
        <f t="shared" ref="AF309:AG309" ca="1" si="386">AD309/U309</f>
        <v>#REF!</v>
      </c>
      <c r="AG309" s="235" t="str">
        <f t="shared" ca="1" si="386"/>
        <v>#REF!</v>
      </c>
      <c r="AH309" s="212"/>
      <c r="AI309" s="213"/>
      <c r="AJ309" s="4"/>
      <c r="AK309" s="4"/>
      <c r="AL309" s="4"/>
      <c r="AM309" s="4"/>
      <c r="AN309" s="4"/>
      <c r="AO309" s="4"/>
      <c r="AP309" s="4"/>
      <c r="AQ309" s="4"/>
      <c r="AR309" s="4"/>
      <c r="AS309" s="4"/>
      <c r="AT309" s="4"/>
      <c r="AU309" s="4"/>
    </row>
    <row r="310" spans="1:47" ht="13.2">
      <c r="A310" s="120"/>
      <c r="B310" s="113"/>
      <c r="C310" s="117"/>
      <c r="D310" s="117"/>
      <c r="E310" s="117"/>
      <c r="F310" s="123"/>
      <c r="G310" s="93" t="s">
        <v>145</v>
      </c>
      <c r="H310" s="125"/>
      <c r="I310" s="125"/>
      <c r="J310" s="82" t="str">
        <f t="shared" ca="1" si="147"/>
        <v>#REF!</v>
      </c>
      <c r="K310" s="82" t="str">
        <f t="shared" ca="1" si="256"/>
        <v>#REF!</v>
      </c>
      <c r="L310" s="82" t="str">
        <f t="shared" ca="1" si="199"/>
        <v>#REF!</v>
      </c>
      <c r="M310" s="125"/>
      <c r="N310" s="125"/>
      <c r="O310" s="230">
        <f t="shared" si="2"/>
        <v>0</v>
      </c>
      <c r="P310" s="231">
        <f t="shared" si="3"/>
        <v>0</v>
      </c>
      <c r="Q310" s="232" t="str">
        <f ca="1">ROUNDUP(HLOOKUP(IF(CEILING(L310,0.5)&lt;1,1,CEILING(L310,0.5)),'배송비 조회'!A$32:AY$36,2,0),-2)</f>
        <v>#REF!</v>
      </c>
      <c r="R310" s="232">
        <v>0</v>
      </c>
      <c r="S310" s="231" t="str">
        <f t="shared" ca="1" si="250"/>
        <v>#REF!</v>
      </c>
      <c r="T310" s="231" t="str">
        <f t="shared" ca="1" si="200"/>
        <v>#REF!</v>
      </c>
      <c r="U310" s="233" t="str">
        <f t="shared" ca="1" si="142"/>
        <v>#REF!</v>
      </c>
      <c r="V310" s="233" t="str">
        <f t="shared" ca="1" si="7"/>
        <v>#REF!</v>
      </c>
      <c r="W310" s="234">
        <v>0</v>
      </c>
      <c r="X310" s="234" t="str">
        <f t="shared" ca="1" si="8"/>
        <v>#REF!</v>
      </c>
      <c r="Y310" s="234" t="str">
        <f t="shared" ca="1" si="9"/>
        <v>#REF!</v>
      </c>
      <c r="Z310" s="234" t="str">
        <f t="shared" ca="1" si="10"/>
        <v>#REF!</v>
      </c>
      <c r="AA310" s="234" t="str">
        <f t="shared" ca="1" si="11"/>
        <v>#REF!</v>
      </c>
      <c r="AB310" s="234" t="str">
        <f t="shared" ca="1" si="12"/>
        <v>#REF!</v>
      </c>
      <c r="AC310" s="234" t="str">
        <f t="shared" ca="1" si="13"/>
        <v>#REF!</v>
      </c>
      <c r="AD310" s="101" t="str">
        <f t="shared" ca="1" si="14"/>
        <v>#REF!</v>
      </c>
      <c r="AE310" s="101" t="str">
        <f t="shared" ca="1" si="15"/>
        <v>#REF!</v>
      </c>
      <c r="AF310" s="235" t="str">
        <f t="shared" ref="AF310:AG310" ca="1" si="387">AD310/U310</f>
        <v>#REF!</v>
      </c>
      <c r="AG310" s="235" t="str">
        <f t="shared" ca="1" si="387"/>
        <v>#REF!</v>
      </c>
      <c r="AH310" s="212"/>
      <c r="AI310" s="213"/>
      <c r="AJ310" s="4"/>
      <c r="AK310" s="4"/>
      <c r="AL310" s="4"/>
      <c r="AM310" s="4"/>
      <c r="AN310" s="4"/>
      <c r="AO310" s="4"/>
      <c r="AP310" s="4"/>
      <c r="AQ310" s="4"/>
      <c r="AR310" s="4"/>
      <c r="AS310" s="4"/>
      <c r="AT310" s="4"/>
      <c r="AU310" s="4"/>
    </row>
    <row r="311" spans="1:47" ht="13.2">
      <c r="A311" s="120"/>
      <c r="B311" s="113"/>
      <c r="C311" s="117"/>
      <c r="D311" s="117"/>
      <c r="E311" s="117"/>
      <c r="F311" s="123"/>
      <c r="G311" s="93" t="s">
        <v>145</v>
      </c>
      <c r="H311" s="125"/>
      <c r="I311" s="125"/>
      <c r="J311" s="82" t="str">
        <f t="shared" ca="1" si="147"/>
        <v>#REF!</v>
      </c>
      <c r="K311" s="82" t="str">
        <f t="shared" ca="1" si="256"/>
        <v>#REF!</v>
      </c>
      <c r="L311" s="82" t="str">
        <f t="shared" ca="1" si="199"/>
        <v>#REF!</v>
      </c>
      <c r="M311" s="125"/>
      <c r="N311" s="125"/>
      <c r="O311" s="230">
        <f t="shared" si="2"/>
        <v>0</v>
      </c>
      <c r="P311" s="231">
        <f t="shared" si="3"/>
        <v>0</v>
      </c>
      <c r="Q311" s="232" t="str">
        <f ca="1">ROUNDUP(HLOOKUP(IF(CEILING(L311,0.5)&lt;1,1,CEILING(L311,0.5)),'배송비 조회'!A$32:AY$36,2,0),-2)</f>
        <v>#REF!</v>
      </c>
      <c r="R311" s="232">
        <v>0</v>
      </c>
      <c r="S311" s="231" t="str">
        <f t="shared" ca="1" si="250"/>
        <v>#REF!</v>
      </c>
      <c r="T311" s="231" t="str">
        <f t="shared" ca="1" si="200"/>
        <v>#REF!</v>
      </c>
      <c r="U311" s="233" t="str">
        <f t="shared" ca="1" si="142"/>
        <v>#REF!</v>
      </c>
      <c r="V311" s="233" t="str">
        <f t="shared" ca="1" si="7"/>
        <v>#REF!</v>
      </c>
      <c r="W311" s="234">
        <v>0</v>
      </c>
      <c r="X311" s="234" t="str">
        <f t="shared" ca="1" si="8"/>
        <v>#REF!</v>
      </c>
      <c r="Y311" s="234" t="str">
        <f t="shared" ca="1" si="9"/>
        <v>#REF!</v>
      </c>
      <c r="Z311" s="234" t="str">
        <f t="shared" ca="1" si="10"/>
        <v>#REF!</v>
      </c>
      <c r="AA311" s="234" t="str">
        <f t="shared" ca="1" si="11"/>
        <v>#REF!</v>
      </c>
      <c r="AB311" s="234" t="str">
        <f t="shared" ca="1" si="12"/>
        <v>#REF!</v>
      </c>
      <c r="AC311" s="234" t="str">
        <f t="shared" ca="1" si="13"/>
        <v>#REF!</v>
      </c>
      <c r="AD311" s="101" t="str">
        <f t="shared" ca="1" si="14"/>
        <v>#REF!</v>
      </c>
      <c r="AE311" s="101" t="str">
        <f t="shared" ca="1" si="15"/>
        <v>#REF!</v>
      </c>
      <c r="AF311" s="235" t="str">
        <f t="shared" ref="AF311:AG311" ca="1" si="388">AD311/U311</f>
        <v>#REF!</v>
      </c>
      <c r="AG311" s="235" t="str">
        <f t="shared" ca="1" si="388"/>
        <v>#REF!</v>
      </c>
      <c r="AH311" s="212"/>
      <c r="AI311" s="213"/>
      <c r="AJ311" s="4"/>
      <c r="AK311" s="4"/>
      <c r="AL311" s="4"/>
      <c r="AM311" s="4"/>
      <c r="AN311" s="4"/>
      <c r="AO311" s="4"/>
      <c r="AP311" s="4"/>
      <c r="AQ311" s="4"/>
      <c r="AR311" s="4"/>
      <c r="AS311" s="4"/>
      <c r="AT311" s="4"/>
      <c r="AU311" s="4"/>
    </row>
    <row r="312" spans="1:47" ht="13.2">
      <c r="A312" s="120"/>
      <c r="B312" s="113"/>
      <c r="C312" s="117"/>
      <c r="D312" s="117"/>
      <c r="E312" s="117"/>
      <c r="F312" s="123"/>
      <c r="G312" s="93" t="s">
        <v>145</v>
      </c>
      <c r="H312" s="125"/>
      <c r="I312" s="125"/>
      <c r="J312" s="82" t="str">
        <f t="shared" ca="1" si="147"/>
        <v>#REF!</v>
      </c>
      <c r="K312" s="82" t="str">
        <f t="shared" ca="1" si="256"/>
        <v>#REF!</v>
      </c>
      <c r="L312" s="82" t="str">
        <f t="shared" ca="1" si="199"/>
        <v>#REF!</v>
      </c>
      <c r="M312" s="125"/>
      <c r="N312" s="125"/>
      <c r="O312" s="230">
        <f t="shared" si="2"/>
        <v>0</v>
      </c>
      <c r="P312" s="231">
        <f t="shared" si="3"/>
        <v>0</v>
      </c>
      <c r="Q312" s="232" t="str">
        <f ca="1">ROUNDUP(HLOOKUP(IF(CEILING(L312,0.5)&lt;1,1,CEILING(L312,0.5)),'배송비 조회'!A$32:AY$36,2,0),-2)</f>
        <v>#REF!</v>
      </c>
      <c r="R312" s="232">
        <v>0</v>
      </c>
      <c r="S312" s="231" t="str">
        <f t="shared" ca="1" si="250"/>
        <v>#REF!</v>
      </c>
      <c r="T312" s="231" t="str">
        <f t="shared" ca="1" si="200"/>
        <v>#REF!</v>
      </c>
      <c r="U312" s="233" t="str">
        <f t="shared" ca="1" si="142"/>
        <v>#REF!</v>
      </c>
      <c r="V312" s="233" t="str">
        <f t="shared" ca="1" si="7"/>
        <v>#REF!</v>
      </c>
      <c r="W312" s="234">
        <v>0</v>
      </c>
      <c r="X312" s="234" t="str">
        <f t="shared" ca="1" si="8"/>
        <v>#REF!</v>
      </c>
      <c r="Y312" s="234" t="str">
        <f t="shared" ca="1" si="9"/>
        <v>#REF!</v>
      </c>
      <c r="Z312" s="234" t="str">
        <f t="shared" ca="1" si="10"/>
        <v>#REF!</v>
      </c>
      <c r="AA312" s="234" t="str">
        <f t="shared" ca="1" si="11"/>
        <v>#REF!</v>
      </c>
      <c r="AB312" s="234" t="str">
        <f t="shared" ca="1" si="12"/>
        <v>#REF!</v>
      </c>
      <c r="AC312" s="234" t="str">
        <f t="shared" ca="1" si="13"/>
        <v>#REF!</v>
      </c>
      <c r="AD312" s="101" t="str">
        <f t="shared" ca="1" si="14"/>
        <v>#REF!</v>
      </c>
      <c r="AE312" s="101" t="str">
        <f t="shared" ca="1" si="15"/>
        <v>#REF!</v>
      </c>
      <c r="AF312" s="235" t="str">
        <f t="shared" ref="AF312:AG312" ca="1" si="389">AD312/U312</f>
        <v>#REF!</v>
      </c>
      <c r="AG312" s="235" t="str">
        <f t="shared" ca="1" si="389"/>
        <v>#REF!</v>
      </c>
      <c r="AH312" s="212"/>
      <c r="AI312" s="213"/>
      <c r="AJ312" s="4"/>
      <c r="AK312" s="4"/>
      <c r="AL312" s="4"/>
      <c r="AM312" s="4"/>
      <c r="AN312" s="4"/>
      <c r="AO312" s="4"/>
      <c r="AP312" s="4"/>
      <c r="AQ312" s="4"/>
      <c r="AR312" s="4"/>
      <c r="AS312" s="4"/>
      <c r="AT312" s="4"/>
      <c r="AU312" s="4"/>
    </row>
    <row r="313" spans="1:47" ht="13.2">
      <c r="A313" s="120"/>
      <c r="B313" s="113"/>
      <c r="C313" s="117"/>
      <c r="D313" s="117"/>
      <c r="E313" s="117"/>
      <c r="F313" s="123"/>
      <c r="G313" s="93" t="s">
        <v>145</v>
      </c>
      <c r="H313" s="125"/>
      <c r="I313" s="125"/>
      <c r="J313" s="82" t="str">
        <f t="shared" ca="1" si="147"/>
        <v>#REF!</v>
      </c>
      <c r="K313" s="82" t="str">
        <f t="shared" ca="1" si="256"/>
        <v>#REF!</v>
      </c>
      <c r="L313" s="82" t="str">
        <f t="shared" ca="1" si="199"/>
        <v>#REF!</v>
      </c>
      <c r="M313" s="125"/>
      <c r="N313" s="125"/>
      <c r="O313" s="230">
        <f t="shared" si="2"/>
        <v>0</v>
      </c>
      <c r="P313" s="231">
        <f t="shared" si="3"/>
        <v>0</v>
      </c>
      <c r="Q313" s="232" t="str">
        <f ca="1">ROUNDUP(HLOOKUP(IF(CEILING(L313,0.5)&lt;1,1,CEILING(L313,0.5)),'배송비 조회'!A$32:AY$36,2,0),-2)</f>
        <v>#REF!</v>
      </c>
      <c r="R313" s="232">
        <v>0</v>
      </c>
      <c r="S313" s="231" t="str">
        <f t="shared" ca="1" si="250"/>
        <v>#REF!</v>
      </c>
      <c r="T313" s="231" t="str">
        <f t="shared" ca="1" si="200"/>
        <v>#REF!</v>
      </c>
      <c r="U313" s="233" t="str">
        <f t="shared" ca="1" si="142"/>
        <v>#REF!</v>
      </c>
      <c r="V313" s="233" t="str">
        <f t="shared" ca="1" si="7"/>
        <v>#REF!</v>
      </c>
      <c r="W313" s="234">
        <v>0</v>
      </c>
      <c r="X313" s="234" t="str">
        <f t="shared" ca="1" si="8"/>
        <v>#REF!</v>
      </c>
      <c r="Y313" s="234" t="str">
        <f t="shared" ca="1" si="9"/>
        <v>#REF!</v>
      </c>
      <c r="Z313" s="234" t="str">
        <f t="shared" ca="1" si="10"/>
        <v>#REF!</v>
      </c>
      <c r="AA313" s="234" t="str">
        <f t="shared" ca="1" si="11"/>
        <v>#REF!</v>
      </c>
      <c r="AB313" s="234" t="str">
        <f t="shared" ca="1" si="12"/>
        <v>#REF!</v>
      </c>
      <c r="AC313" s="234" t="str">
        <f t="shared" ca="1" si="13"/>
        <v>#REF!</v>
      </c>
      <c r="AD313" s="101" t="str">
        <f t="shared" ca="1" si="14"/>
        <v>#REF!</v>
      </c>
      <c r="AE313" s="101" t="str">
        <f t="shared" ca="1" si="15"/>
        <v>#REF!</v>
      </c>
      <c r="AF313" s="235" t="str">
        <f t="shared" ref="AF313:AG313" ca="1" si="390">AD313/U313</f>
        <v>#REF!</v>
      </c>
      <c r="AG313" s="235" t="str">
        <f t="shared" ca="1" si="390"/>
        <v>#REF!</v>
      </c>
      <c r="AH313" s="212"/>
      <c r="AI313" s="213"/>
      <c r="AJ313" s="4"/>
      <c r="AK313" s="4"/>
      <c r="AL313" s="4"/>
      <c r="AM313" s="4"/>
      <c r="AN313" s="4"/>
      <c r="AO313" s="4"/>
      <c r="AP313" s="4"/>
      <c r="AQ313" s="4"/>
      <c r="AR313" s="4"/>
      <c r="AS313" s="4"/>
      <c r="AT313" s="4"/>
      <c r="AU313" s="4"/>
    </row>
    <row r="314" spans="1:47" ht="13.2">
      <c r="A314" s="120"/>
      <c r="B314" s="113"/>
      <c r="C314" s="117"/>
      <c r="D314" s="117"/>
      <c r="E314" s="117"/>
      <c r="F314" s="123"/>
      <c r="G314" s="93" t="s">
        <v>145</v>
      </c>
      <c r="H314" s="125"/>
      <c r="I314" s="125"/>
      <c r="J314" s="82" t="str">
        <f t="shared" ca="1" si="147"/>
        <v>#REF!</v>
      </c>
      <c r="K314" s="82" t="str">
        <f t="shared" ca="1" si="256"/>
        <v>#REF!</v>
      </c>
      <c r="L314" s="82" t="str">
        <f t="shared" ca="1" si="199"/>
        <v>#REF!</v>
      </c>
      <c r="M314" s="125"/>
      <c r="N314" s="125"/>
      <c r="O314" s="230">
        <f t="shared" si="2"/>
        <v>0</v>
      </c>
      <c r="P314" s="231">
        <f t="shared" si="3"/>
        <v>0</v>
      </c>
      <c r="Q314" s="232" t="str">
        <f ca="1">ROUNDUP(HLOOKUP(IF(CEILING(L314,0.5)&lt;1,1,CEILING(L314,0.5)),'배송비 조회'!A$32:AY$36,2,0),-2)</f>
        <v>#REF!</v>
      </c>
      <c r="R314" s="232">
        <v>0</v>
      </c>
      <c r="S314" s="231" t="str">
        <f t="shared" ca="1" si="250"/>
        <v>#REF!</v>
      </c>
      <c r="T314" s="231" t="str">
        <f t="shared" ca="1" si="200"/>
        <v>#REF!</v>
      </c>
      <c r="U314" s="233" t="str">
        <f t="shared" ca="1" si="142"/>
        <v>#REF!</v>
      </c>
      <c r="V314" s="233" t="str">
        <f t="shared" ca="1" si="7"/>
        <v>#REF!</v>
      </c>
      <c r="W314" s="234">
        <v>0</v>
      </c>
      <c r="X314" s="234" t="str">
        <f t="shared" ca="1" si="8"/>
        <v>#REF!</v>
      </c>
      <c r="Y314" s="234" t="str">
        <f t="shared" ca="1" si="9"/>
        <v>#REF!</v>
      </c>
      <c r="Z314" s="234" t="str">
        <f t="shared" ca="1" si="10"/>
        <v>#REF!</v>
      </c>
      <c r="AA314" s="234" t="str">
        <f t="shared" ca="1" si="11"/>
        <v>#REF!</v>
      </c>
      <c r="AB314" s="234" t="str">
        <f t="shared" ca="1" si="12"/>
        <v>#REF!</v>
      </c>
      <c r="AC314" s="234" t="str">
        <f t="shared" ca="1" si="13"/>
        <v>#REF!</v>
      </c>
      <c r="AD314" s="101" t="str">
        <f t="shared" ca="1" si="14"/>
        <v>#REF!</v>
      </c>
      <c r="AE314" s="101" t="str">
        <f t="shared" ca="1" si="15"/>
        <v>#REF!</v>
      </c>
      <c r="AF314" s="235" t="str">
        <f t="shared" ref="AF314:AG314" ca="1" si="391">AD314/U314</f>
        <v>#REF!</v>
      </c>
      <c r="AG314" s="235" t="str">
        <f t="shared" ca="1" si="391"/>
        <v>#REF!</v>
      </c>
      <c r="AH314" s="212"/>
      <c r="AI314" s="213"/>
      <c r="AJ314" s="4"/>
      <c r="AK314" s="4"/>
      <c r="AL314" s="4"/>
      <c r="AM314" s="4"/>
      <c r="AN314" s="4"/>
      <c r="AO314" s="4"/>
      <c r="AP314" s="4"/>
      <c r="AQ314" s="4"/>
      <c r="AR314" s="4"/>
      <c r="AS314" s="4"/>
      <c r="AT314" s="4"/>
      <c r="AU314" s="4"/>
    </row>
    <row r="315" spans="1:47" ht="13.2">
      <c r="A315" s="120"/>
      <c r="B315" s="113"/>
      <c r="C315" s="117"/>
      <c r="D315" s="117"/>
      <c r="E315" s="117"/>
      <c r="F315" s="123"/>
      <c r="G315" s="93" t="s">
        <v>145</v>
      </c>
      <c r="H315" s="125"/>
      <c r="I315" s="125"/>
      <c r="J315" s="82" t="str">
        <f t="shared" ca="1" si="147"/>
        <v>#REF!</v>
      </c>
      <c r="K315" s="82" t="str">
        <f t="shared" ca="1" si="256"/>
        <v>#REF!</v>
      </c>
      <c r="L315" s="82" t="str">
        <f t="shared" ca="1" si="199"/>
        <v>#REF!</v>
      </c>
      <c r="M315" s="125"/>
      <c r="N315" s="125"/>
      <c r="O315" s="230">
        <f t="shared" si="2"/>
        <v>0</v>
      </c>
      <c r="P315" s="231">
        <f t="shared" si="3"/>
        <v>0</v>
      </c>
      <c r="Q315" s="232" t="str">
        <f ca="1">ROUNDUP(HLOOKUP(IF(CEILING(L315,0.5)&lt;1,1,CEILING(L315,0.5)),'배송비 조회'!A$32:AY$36,2,0),-2)</f>
        <v>#REF!</v>
      </c>
      <c r="R315" s="232">
        <v>0</v>
      </c>
      <c r="S315" s="231" t="str">
        <f t="shared" ca="1" si="250"/>
        <v>#REF!</v>
      </c>
      <c r="T315" s="231" t="str">
        <f t="shared" ca="1" si="200"/>
        <v>#REF!</v>
      </c>
      <c r="U315" s="233" t="str">
        <f t="shared" ca="1" si="142"/>
        <v>#REF!</v>
      </c>
      <c r="V315" s="233" t="str">
        <f t="shared" ca="1" si="7"/>
        <v>#REF!</v>
      </c>
      <c r="W315" s="234">
        <v>0</v>
      </c>
      <c r="X315" s="234" t="str">
        <f t="shared" ca="1" si="8"/>
        <v>#REF!</v>
      </c>
      <c r="Y315" s="234" t="str">
        <f t="shared" ca="1" si="9"/>
        <v>#REF!</v>
      </c>
      <c r="Z315" s="234" t="str">
        <f t="shared" ca="1" si="10"/>
        <v>#REF!</v>
      </c>
      <c r="AA315" s="234" t="str">
        <f t="shared" ca="1" si="11"/>
        <v>#REF!</v>
      </c>
      <c r="AB315" s="234" t="str">
        <f t="shared" ca="1" si="12"/>
        <v>#REF!</v>
      </c>
      <c r="AC315" s="234" t="str">
        <f t="shared" ca="1" si="13"/>
        <v>#REF!</v>
      </c>
      <c r="AD315" s="101" t="str">
        <f t="shared" ca="1" si="14"/>
        <v>#REF!</v>
      </c>
      <c r="AE315" s="101" t="str">
        <f t="shared" ca="1" si="15"/>
        <v>#REF!</v>
      </c>
      <c r="AF315" s="235" t="str">
        <f t="shared" ref="AF315:AG315" ca="1" si="392">AD315/U315</f>
        <v>#REF!</v>
      </c>
      <c r="AG315" s="235" t="str">
        <f t="shared" ca="1" si="392"/>
        <v>#REF!</v>
      </c>
      <c r="AH315" s="212"/>
      <c r="AI315" s="213"/>
      <c r="AJ315" s="4"/>
      <c r="AK315" s="4"/>
      <c r="AL315" s="4"/>
      <c r="AM315" s="4"/>
      <c r="AN315" s="4"/>
      <c r="AO315" s="4"/>
      <c r="AP315" s="4"/>
      <c r="AQ315" s="4"/>
      <c r="AR315" s="4"/>
      <c r="AS315" s="4"/>
      <c r="AT315" s="4"/>
      <c r="AU315" s="4"/>
    </row>
    <row r="316" spans="1:47" ht="13.2">
      <c r="A316" s="120"/>
      <c r="B316" s="113"/>
      <c r="C316" s="117"/>
      <c r="D316" s="117"/>
      <c r="E316" s="117"/>
      <c r="F316" s="123"/>
      <c r="G316" s="93" t="s">
        <v>145</v>
      </c>
      <c r="H316" s="125"/>
      <c r="I316" s="125"/>
      <c r="J316" s="82" t="str">
        <f t="shared" ca="1" si="147"/>
        <v>#REF!</v>
      </c>
      <c r="K316" s="82" t="str">
        <f t="shared" ca="1" si="256"/>
        <v>#REF!</v>
      </c>
      <c r="L316" s="82" t="str">
        <f t="shared" ca="1" si="199"/>
        <v>#REF!</v>
      </c>
      <c r="M316" s="125"/>
      <c r="N316" s="125"/>
      <c r="O316" s="230">
        <f t="shared" si="2"/>
        <v>0</v>
      </c>
      <c r="P316" s="231">
        <f t="shared" si="3"/>
        <v>0</v>
      </c>
      <c r="Q316" s="232" t="str">
        <f ca="1">ROUNDUP(HLOOKUP(IF(CEILING(L316,0.5)&lt;1,1,CEILING(L316,0.5)),'배송비 조회'!A$32:AY$36,2,0),-2)</f>
        <v>#REF!</v>
      </c>
      <c r="R316" s="232">
        <v>0</v>
      </c>
      <c r="S316" s="231" t="str">
        <f t="shared" ca="1" si="250"/>
        <v>#REF!</v>
      </c>
      <c r="T316" s="231" t="str">
        <f t="shared" ca="1" si="200"/>
        <v>#REF!</v>
      </c>
      <c r="U316" s="233" t="str">
        <f t="shared" ca="1" si="142"/>
        <v>#REF!</v>
      </c>
      <c r="V316" s="233" t="str">
        <f t="shared" ca="1" si="7"/>
        <v>#REF!</v>
      </c>
      <c r="W316" s="234">
        <v>0</v>
      </c>
      <c r="X316" s="234" t="str">
        <f t="shared" ca="1" si="8"/>
        <v>#REF!</v>
      </c>
      <c r="Y316" s="234" t="str">
        <f t="shared" ca="1" si="9"/>
        <v>#REF!</v>
      </c>
      <c r="Z316" s="234" t="str">
        <f t="shared" ca="1" si="10"/>
        <v>#REF!</v>
      </c>
      <c r="AA316" s="234" t="str">
        <f t="shared" ca="1" si="11"/>
        <v>#REF!</v>
      </c>
      <c r="AB316" s="234" t="str">
        <f t="shared" ca="1" si="12"/>
        <v>#REF!</v>
      </c>
      <c r="AC316" s="234" t="str">
        <f t="shared" ca="1" si="13"/>
        <v>#REF!</v>
      </c>
      <c r="AD316" s="101" t="str">
        <f t="shared" ca="1" si="14"/>
        <v>#REF!</v>
      </c>
      <c r="AE316" s="101" t="str">
        <f t="shared" ca="1" si="15"/>
        <v>#REF!</v>
      </c>
      <c r="AF316" s="235" t="str">
        <f t="shared" ref="AF316:AG316" ca="1" si="393">AD316/U316</f>
        <v>#REF!</v>
      </c>
      <c r="AG316" s="235" t="str">
        <f t="shared" ca="1" si="393"/>
        <v>#REF!</v>
      </c>
      <c r="AH316" s="212"/>
      <c r="AI316" s="213"/>
      <c r="AJ316" s="4"/>
      <c r="AK316" s="4"/>
      <c r="AL316" s="4"/>
      <c r="AM316" s="4"/>
      <c r="AN316" s="4"/>
      <c r="AO316" s="4"/>
      <c r="AP316" s="4"/>
      <c r="AQ316" s="4"/>
      <c r="AR316" s="4"/>
      <c r="AS316" s="4"/>
      <c r="AT316" s="4"/>
      <c r="AU316" s="4"/>
    </row>
    <row r="317" spans="1:47" ht="13.2">
      <c r="A317" s="120"/>
      <c r="B317" s="113"/>
      <c r="C317" s="117"/>
      <c r="D317" s="117"/>
      <c r="E317" s="117"/>
      <c r="F317" s="123"/>
      <c r="G317" s="93" t="s">
        <v>145</v>
      </c>
      <c r="H317" s="125"/>
      <c r="I317" s="125"/>
      <c r="J317" s="82" t="str">
        <f t="shared" ca="1" si="147"/>
        <v>#REF!</v>
      </c>
      <c r="K317" s="82" t="str">
        <f t="shared" ca="1" si="256"/>
        <v>#REF!</v>
      </c>
      <c r="L317" s="82" t="str">
        <f t="shared" ca="1" si="199"/>
        <v>#REF!</v>
      </c>
      <c r="M317" s="125"/>
      <c r="N317" s="125"/>
      <c r="O317" s="230">
        <f t="shared" si="2"/>
        <v>0</v>
      </c>
      <c r="P317" s="231">
        <f t="shared" si="3"/>
        <v>0</v>
      </c>
      <c r="Q317" s="232" t="str">
        <f ca="1">ROUNDUP(HLOOKUP(IF(CEILING(L317,0.5)&lt;1,1,CEILING(L317,0.5)),'배송비 조회'!A$32:AY$36,2,0),-2)</f>
        <v>#REF!</v>
      </c>
      <c r="R317" s="232">
        <v>0</v>
      </c>
      <c r="S317" s="231" t="str">
        <f t="shared" ca="1" si="250"/>
        <v>#REF!</v>
      </c>
      <c r="T317" s="231" t="str">
        <f t="shared" ca="1" si="200"/>
        <v>#REF!</v>
      </c>
      <c r="U317" s="233" t="str">
        <f t="shared" ca="1" si="142"/>
        <v>#REF!</v>
      </c>
      <c r="V317" s="233" t="str">
        <f t="shared" ca="1" si="7"/>
        <v>#REF!</v>
      </c>
      <c r="W317" s="234">
        <v>0</v>
      </c>
      <c r="X317" s="234" t="str">
        <f t="shared" ca="1" si="8"/>
        <v>#REF!</v>
      </c>
      <c r="Y317" s="234" t="str">
        <f t="shared" ca="1" si="9"/>
        <v>#REF!</v>
      </c>
      <c r="Z317" s="234" t="str">
        <f t="shared" ca="1" si="10"/>
        <v>#REF!</v>
      </c>
      <c r="AA317" s="234" t="str">
        <f t="shared" ca="1" si="11"/>
        <v>#REF!</v>
      </c>
      <c r="AB317" s="234" t="str">
        <f t="shared" ca="1" si="12"/>
        <v>#REF!</v>
      </c>
      <c r="AC317" s="234" t="str">
        <f t="shared" ca="1" si="13"/>
        <v>#REF!</v>
      </c>
      <c r="AD317" s="101" t="str">
        <f t="shared" ca="1" si="14"/>
        <v>#REF!</v>
      </c>
      <c r="AE317" s="101" t="str">
        <f t="shared" ca="1" si="15"/>
        <v>#REF!</v>
      </c>
      <c r="AF317" s="235" t="str">
        <f t="shared" ref="AF317:AG317" ca="1" si="394">AD317/U317</f>
        <v>#REF!</v>
      </c>
      <c r="AG317" s="235" t="str">
        <f t="shared" ca="1" si="394"/>
        <v>#REF!</v>
      </c>
      <c r="AH317" s="212"/>
      <c r="AI317" s="213"/>
      <c r="AJ317" s="4"/>
      <c r="AK317" s="4"/>
      <c r="AL317" s="4"/>
      <c r="AM317" s="4"/>
      <c r="AN317" s="4"/>
      <c r="AO317" s="4"/>
      <c r="AP317" s="4"/>
      <c r="AQ317" s="4"/>
      <c r="AR317" s="4"/>
      <c r="AS317" s="4"/>
      <c r="AT317" s="4"/>
      <c r="AU317" s="4"/>
    </row>
    <row r="318" spans="1:47" ht="13.2">
      <c r="A318" s="120"/>
      <c r="B318" s="113"/>
      <c r="C318" s="117"/>
      <c r="D318" s="117"/>
      <c r="E318" s="117"/>
      <c r="F318" s="123"/>
      <c r="G318" s="93" t="s">
        <v>145</v>
      </c>
      <c r="H318" s="125"/>
      <c r="I318" s="125"/>
      <c r="J318" s="82" t="str">
        <f t="shared" ca="1" si="147"/>
        <v>#REF!</v>
      </c>
      <c r="K318" s="82" t="str">
        <f t="shared" ca="1" si="256"/>
        <v>#REF!</v>
      </c>
      <c r="L318" s="82" t="str">
        <f t="shared" ca="1" si="199"/>
        <v>#REF!</v>
      </c>
      <c r="M318" s="125"/>
      <c r="N318" s="125"/>
      <c r="O318" s="230">
        <f t="shared" si="2"/>
        <v>0</v>
      </c>
      <c r="P318" s="231">
        <f t="shared" si="3"/>
        <v>0</v>
      </c>
      <c r="Q318" s="232" t="str">
        <f ca="1">ROUNDUP(HLOOKUP(IF(CEILING(L318,0.5)&lt;1,1,CEILING(L318,0.5)),'배송비 조회'!A$32:AY$36,2,0),-2)</f>
        <v>#REF!</v>
      </c>
      <c r="R318" s="232">
        <v>0</v>
      </c>
      <c r="S318" s="231" t="str">
        <f t="shared" ca="1" si="250"/>
        <v>#REF!</v>
      </c>
      <c r="T318" s="231" t="str">
        <f t="shared" ca="1" si="200"/>
        <v>#REF!</v>
      </c>
      <c r="U318" s="233" t="str">
        <f t="shared" ca="1" si="142"/>
        <v>#REF!</v>
      </c>
      <c r="V318" s="233" t="str">
        <f t="shared" ca="1" si="7"/>
        <v>#REF!</v>
      </c>
      <c r="W318" s="234">
        <v>0</v>
      </c>
      <c r="X318" s="234" t="str">
        <f t="shared" ca="1" si="8"/>
        <v>#REF!</v>
      </c>
      <c r="Y318" s="234" t="str">
        <f t="shared" ca="1" si="9"/>
        <v>#REF!</v>
      </c>
      <c r="Z318" s="234" t="str">
        <f t="shared" ca="1" si="10"/>
        <v>#REF!</v>
      </c>
      <c r="AA318" s="234" t="str">
        <f t="shared" ca="1" si="11"/>
        <v>#REF!</v>
      </c>
      <c r="AB318" s="234" t="str">
        <f t="shared" ca="1" si="12"/>
        <v>#REF!</v>
      </c>
      <c r="AC318" s="234" t="str">
        <f t="shared" ca="1" si="13"/>
        <v>#REF!</v>
      </c>
      <c r="AD318" s="101" t="str">
        <f t="shared" ca="1" si="14"/>
        <v>#REF!</v>
      </c>
      <c r="AE318" s="101" t="str">
        <f t="shared" ca="1" si="15"/>
        <v>#REF!</v>
      </c>
      <c r="AF318" s="235" t="str">
        <f t="shared" ref="AF318:AG318" ca="1" si="395">AD318/U318</f>
        <v>#REF!</v>
      </c>
      <c r="AG318" s="235" t="str">
        <f t="shared" ca="1" si="395"/>
        <v>#REF!</v>
      </c>
      <c r="AH318" s="212"/>
      <c r="AI318" s="213"/>
      <c r="AJ318" s="4"/>
      <c r="AK318" s="4"/>
      <c r="AL318" s="4"/>
      <c r="AM318" s="4"/>
      <c r="AN318" s="4"/>
      <c r="AO318" s="4"/>
      <c r="AP318" s="4"/>
      <c r="AQ318" s="4"/>
      <c r="AR318" s="4"/>
      <c r="AS318" s="4"/>
      <c r="AT318" s="4"/>
      <c r="AU318" s="4"/>
    </row>
    <row r="319" spans="1:47" ht="13.2">
      <c r="A319" s="120"/>
      <c r="B319" s="113"/>
      <c r="C319" s="117"/>
      <c r="D319" s="117"/>
      <c r="E319" s="117"/>
      <c r="F319" s="123"/>
      <c r="G319" s="93" t="s">
        <v>145</v>
      </c>
      <c r="H319" s="125"/>
      <c r="I319" s="125"/>
      <c r="J319" s="82" t="str">
        <f t="shared" ca="1" si="147"/>
        <v>#REF!</v>
      </c>
      <c r="K319" s="82" t="str">
        <f t="shared" ca="1" si="256"/>
        <v>#REF!</v>
      </c>
      <c r="L319" s="82" t="str">
        <f t="shared" ca="1" si="199"/>
        <v>#REF!</v>
      </c>
      <c r="M319" s="125"/>
      <c r="N319" s="125"/>
      <c r="O319" s="230">
        <f t="shared" si="2"/>
        <v>0</v>
      </c>
      <c r="P319" s="231">
        <f t="shared" si="3"/>
        <v>0</v>
      </c>
      <c r="Q319" s="232" t="str">
        <f ca="1">ROUNDUP(HLOOKUP(IF(CEILING(L319,0.5)&lt;1,1,CEILING(L319,0.5)),'배송비 조회'!A$32:AY$36,2,0),-2)</f>
        <v>#REF!</v>
      </c>
      <c r="R319" s="232">
        <v>0</v>
      </c>
      <c r="S319" s="231" t="str">
        <f t="shared" ca="1" si="250"/>
        <v>#REF!</v>
      </c>
      <c r="T319" s="231" t="str">
        <f t="shared" ca="1" si="200"/>
        <v>#REF!</v>
      </c>
      <c r="U319" s="233" t="str">
        <f t="shared" ca="1" si="142"/>
        <v>#REF!</v>
      </c>
      <c r="V319" s="233" t="str">
        <f t="shared" ca="1" si="7"/>
        <v>#REF!</v>
      </c>
      <c r="W319" s="234">
        <v>0</v>
      </c>
      <c r="X319" s="234" t="str">
        <f t="shared" ca="1" si="8"/>
        <v>#REF!</v>
      </c>
      <c r="Y319" s="234" t="str">
        <f t="shared" ca="1" si="9"/>
        <v>#REF!</v>
      </c>
      <c r="Z319" s="234" t="str">
        <f t="shared" ca="1" si="10"/>
        <v>#REF!</v>
      </c>
      <c r="AA319" s="234" t="str">
        <f t="shared" ca="1" si="11"/>
        <v>#REF!</v>
      </c>
      <c r="AB319" s="234" t="str">
        <f t="shared" ca="1" si="12"/>
        <v>#REF!</v>
      </c>
      <c r="AC319" s="234" t="str">
        <f t="shared" ca="1" si="13"/>
        <v>#REF!</v>
      </c>
      <c r="AD319" s="101" t="str">
        <f t="shared" ca="1" si="14"/>
        <v>#REF!</v>
      </c>
      <c r="AE319" s="101" t="str">
        <f t="shared" ca="1" si="15"/>
        <v>#REF!</v>
      </c>
      <c r="AF319" s="235" t="str">
        <f t="shared" ref="AF319:AG319" ca="1" si="396">AD319/U319</f>
        <v>#REF!</v>
      </c>
      <c r="AG319" s="235" t="str">
        <f t="shared" ca="1" si="396"/>
        <v>#REF!</v>
      </c>
      <c r="AH319" s="212"/>
      <c r="AI319" s="213"/>
      <c r="AJ319" s="4"/>
      <c r="AK319" s="4"/>
      <c r="AL319" s="4"/>
      <c r="AM319" s="4"/>
      <c r="AN319" s="4"/>
      <c r="AO319" s="4"/>
      <c r="AP319" s="4"/>
      <c r="AQ319" s="4"/>
      <c r="AR319" s="4"/>
      <c r="AS319" s="4"/>
      <c r="AT319" s="4"/>
      <c r="AU319" s="4"/>
    </row>
    <row r="320" spans="1:47" ht="13.2">
      <c r="A320" s="120"/>
      <c r="B320" s="113"/>
      <c r="C320" s="117"/>
      <c r="D320" s="117"/>
      <c r="E320" s="117"/>
      <c r="F320" s="123"/>
      <c r="G320" s="93" t="s">
        <v>145</v>
      </c>
      <c r="H320" s="125"/>
      <c r="I320" s="125"/>
      <c r="J320" s="82" t="str">
        <f t="shared" ca="1" si="147"/>
        <v>#REF!</v>
      </c>
      <c r="K320" s="82" t="str">
        <f t="shared" ca="1" si="256"/>
        <v>#REF!</v>
      </c>
      <c r="L320" s="82" t="str">
        <f t="shared" ca="1" si="199"/>
        <v>#REF!</v>
      </c>
      <c r="M320" s="125"/>
      <c r="N320" s="125"/>
      <c r="O320" s="230">
        <f t="shared" si="2"/>
        <v>0</v>
      </c>
      <c r="P320" s="231">
        <f t="shared" si="3"/>
        <v>0</v>
      </c>
      <c r="Q320" s="232" t="str">
        <f ca="1">ROUNDUP(HLOOKUP(IF(CEILING(L320,0.5)&lt;1,1,CEILING(L320,0.5)),'배송비 조회'!A$32:AY$36,2,0),-2)</f>
        <v>#REF!</v>
      </c>
      <c r="R320" s="232">
        <v>0</v>
      </c>
      <c r="S320" s="231" t="str">
        <f t="shared" ca="1" si="250"/>
        <v>#REF!</v>
      </c>
      <c r="T320" s="231" t="str">
        <f t="shared" ca="1" si="200"/>
        <v>#REF!</v>
      </c>
      <c r="U320" s="233" t="str">
        <f t="shared" ca="1" si="142"/>
        <v>#REF!</v>
      </c>
      <c r="V320" s="233" t="str">
        <f t="shared" ca="1" si="7"/>
        <v>#REF!</v>
      </c>
      <c r="W320" s="234">
        <v>0</v>
      </c>
      <c r="X320" s="234" t="str">
        <f t="shared" ca="1" si="8"/>
        <v>#REF!</v>
      </c>
      <c r="Y320" s="234" t="str">
        <f t="shared" ca="1" si="9"/>
        <v>#REF!</v>
      </c>
      <c r="Z320" s="234" t="str">
        <f t="shared" ca="1" si="10"/>
        <v>#REF!</v>
      </c>
      <c r="AA320" s="234" t="str">
        <f t="shared" ca="1" si="11"/>
        <v>#REF!</v>
      </c>
      <c r="AB320" s="234" t="str">
        <f t="shared" ca="1" si="12"/>
        <v>#REF!</v>
      </c>
      <c r="AC320" s="234" t="str">
        <f t="shared" ca="1" si="13"/>
        <v>#REF!</v>
      </c>
      <c r="AD320" s="101" t="str">
        <f t="shared" ca="1" si="14"/>
        <v>#REF!</v>
      </c>
      <c r="AE320" s="101" t="str">
        <f t="shared" ca="1" si="15"/>
        <v>#REF!</v>
      </c>
      <c r="AF320" s="235" t="str">
        <f t="shared" ref="AF320:AG320" ca="1" si="397">AD320/U320</f>
        <v>#REF!</v>
      </c>
      <c r="AG320" s="235" t="str">
        <f t="shared" ca="1" si="397"/>
        <v>#REF!</v>
      </c>
      <c r="AH320" s="212"/>
      <c r="AI320" s="213"/>
      <c r="AJ320" s="4"/>
      <c r="AK320" s="4"/>
      <c r="AL320" s="4"/>
      <c r="AM320" s="4"/>
      <c r="AN320" s="4"/>
      <c r="AO320" s="4"/>
      <c r="AP320" s="4"/>
      <c r="AQ320" s="4"/>
      <c r="AR320" s="4"/>
      <c r="AS320" s="4"/>
      <c r="AT320" s="4"/>
      <c r="AU320" s="4"/>
    </row>
    <row r="321" spans="1:47" ht="13.2">
      <c r="A321" s="120"/>
      <c r="B321" s="113"/>
      <c r="C321" s="117"/>
      <c r="D321" s="117"/>
      <c r="E321" s="117"/>
      <c r="F321" s="123"/>
      <c r="G321" s="93" t="s">
        <v>145</v>
      </c>
      <c r="H321" s="125"/>
      <c r="I321" s="125"/>
      <c r="J321" s="82" t="str">
        <f t="shared" ca="1" si="147"/>
        <v>#REF!</v>
      </c>
      <c r="K321" s="82" t="str">
        <f t="shared" ca="1" si="256"/>
        <v>#REF!</v>
      </c>
      <c r="L321" s="82" t="str">
        <f t="shared" ca="1" si="199"/>
        <v>#REF!</v>
      </c>
      <c r="M321" s="125"/>
      <c r="N321" s="125"/>
      <c r="O321" s="230">
        <f t="shared" si="2"/>
        <v>0</v>
      </c>
      <c r="P321" s="231">
        <f t="shared" si="3"/>
        <v>0</v>
      </c>
      <c r="Q321" s="232" t="str">
        <f ca="1">ROUNDUP(HLOOKUP(IF(CEILING(L321,0.5)&lt;1,1,CEILING(L321,0.5)),'배송비 조회'!A$32:AY$36,2,0),-2)</f>
        <v>#REF!</v>
      </c>
      <c r="R321" s="232">
        <v>0</v>
      </c>
      <c r="S321" s="231" t="str">
        <f t="shared" ca="1" si="250"/>
        <v>#REF!</v>
      </c>
      <c r="T321" s="231" t="str">
        <f t="shared" ca="1" si="200"/>
        <v>#REF!</v>
      </c>
      <c r="U321" s="233" t="str">
        <f t="shared" ca="1" si="142"/>
        <v>#REF!</v>
      </c>
      <c r="V321" s="233" t="str">
        <f t="shared" ca="1" si="7"/>
        <v>#REF!</v>
      </c>
      <c r="W321" s="234">
        <v>0</v>
      </c>
      <c r="X321" s="234" t="str">
        <f t="shared" ca="1" si="8"/>
        <v>#REF!</v>
      </c>
      <c r="Y321" s="234" t="str">
        <f t="shared" ca="1" si="9"/>
        <v>#REF!</v>
      </c>
      <c r="Z321" s="234" t="str">
        <f t="shared" ca="1" si="10"/>
        <v>#REF!</v>
      </c>
      <c r="AA321" s="234" t="str">
        <f t="shared" ca="1" si="11"/>
        <v>#REF!</v>
      </c>
      <c r="AB321" s="234" t="str">
        <f t="shared" ca="1" si="12"/>
        <v>#REF!</v>
      </c>
      <c r="AC321" s="234" t="str">
        <f t="shared" ca="1" si="13"/>
        <v>#REF!</v>
      </c>
      <c r="AD321" s="101" t="str">
        <f t="shared" ca="1" si="14"/>
        <v>#REF!</v>
      </c>
      <c r="AE321" s="101" t="str">
        <f t="shared" ca="1" si="15"/>
        <v>#REF!</v>
      </c>
      <c r="AF321" s="235" t="str">
        <f t="shared" ref="AF321:AG321" ca="1" si="398">AD321/U321</f>
        <v>#REF!</v>
      </c>
      <c r="AG321" s="235" t="str">
        <f t="shared" ca="1" si="398"/>
        <v>#REF!</v>
      </c>
      <c r="AH321" s="212"/>
      <c r="AI321" s="213"/>
      <c r="AJ321" s="4"/>
      <c r="AK321" s="4"/>
      <c r="AL321" s="4"/>
      <c r="AM321" s="4"/>
      <c r="AN321" s="4"/>
      <c r="AO321" s="4"/>
      <c r="AP321" s="4"/>
      <c r="AQ321" s="4"/>
      <c r="AR321" s="4"/>
      <c r="AS321" s="4"/>
      <c r="AT321" s="4"/>
      <c r="AU321" s="4"/>
    </row>
    <row r="322" spans="1:47" ht="13.2">
      <c r="A322" s="120"/>
      <c r="B322" s="113"/>
      <c r="C322" s="117"/>
      <c r="D322" s="117"/>
      <c r="E322" s="117"/>
      <c r="F322" s="123"/>
      <c r="G322" s="93" t="s">
        <v>145</v>
      </c>
      <c r="H322" s="125"/>
      <c r="I322" s="125"/>
      <c r="J322" s="82" t="str">
        <f t="shared" ca="1" si="147"/>
        <v>#REF!</v>
      </c>
      <c r="K322" s="82" t="str">
        <f t="shared" ca="1" si="256"/>
        <v>#REF!</v>
      </c>
      <c r="L322" s="82" t="str">
        <f t="shared" ca="1" si="199"/>
        <v>#REF!</v>
      </c>
      <c r="M322" s="125"/>
      <c r="N322" s="125"/>
      <c r="O322" s="230">
        <f t="shared" si="2"/>
        <v>0</v>
      </c>
      <c r="P322" s="231">
        <f t="shared" si="3"/>
        <v>0</v>
      </c>
      <c r="Q322" s="232" t="str">
        <f ca="1">ROUNDUP(HLOOKUP(IF(CEILING(L322,0.5)&lt;1,1,CEILING(L322,0.5)),'배송비 조회'!A$32:AY$36,2,0),-2)</f>
        <v>#REF!</v>
      </c>
      <c r="R322" s="232">
        <v>0</v>
      </c>
      <c r="S322" s="231" t="str">
        <f t="shared" ca="1" si="250"/>
        <v>#REF!</v>
      </c>
      <c r="T322" s="231" t="str">
        <f t="shared" ca="1" si="200"/>
        <v>#REF!</v>
      </c>
      <c r="U322" s="233" t="str">
        <f t="shared" ca="1" si="142"/>
        <v>#REF!</v>
      </c>
      <c r="V322" s="233" t="str">
        <f t="shared" ca="1" si="7"/>
        <v>#REF!</v>
      </c>
      <c r="W322" s="234">
        <v>0</v>
      </c>
      <c r="X322" s="234" t="str">
        <f t="shared" ca="1" si="8"/>
        <v>#REF!</v>
      </c>
      <c r="Y322" s="234" t="str">
        <f t="shared" ca="1" si="9"/>
        <v>#REF!</v>
      </c>
      <c r="Z322" s="234" t="str">
        <f t="shared" ca="1" si="10"/>
        <v>#REF!</v>
      </c>
      <c r="AA322" s="234" t="str">
        <f t="shared" ca="1" si="11"/>
        <v>#REF!</v>
      </c>
      <c r="AB322" s="234" t="str">
        <f t="shared" ca="1" si="12"/>
        <v>#REF!</v>
      </c>
      <c r="AC322" s="234" t="str">
        <f t="shared" ca="1" si="13"/>
        <v>#REF!</v>
      </c>
      <c r="AD322" s="101" t="str">
        <f t="shared" ca="1" si="14"/>
        <v>#REF!</v>
      </c>
      <c r="AE322" s="101" t="str">
        <f t="shared" ca="1" si="15"/>
        <v>#REF!</v>
      </c>
      <c r="AF322" s="235" t="str">
        <f t="shared" ref="AF322:AG322" ca="1" si="399">AD322/U322</f>
        <v>#REF!</v>
      </c>
      <c r="AG322" s="235" t="str">
        <f t="shared" ca="1" si="399"/>
        <v>#REF!</v>
      </c>
      <c r="AH322" s="212"/>
      <c r="AI322" s="213"/>
      <c r="AJ322" s="4"/>
      <c r="AK322" s="4"/>
      <c r="AL322" s="4"/>
      <c r="AM322" s="4"/>
      <c r="AN322" s="4"/>
      <c r="AO322" s="4"/>
      <c r="AP322" s="4"/>
      <c r="AQ322" s="4"/>
      <c r="AR322" s="4"/>
      <c r="AS322" s="4"/>
      <c r="AT322" s="4"/>
      <c r="AU322" s="4"/>
    </row>
    <row r="323" spans="1:47" ht="13.2">
      <c r="A323" s="120"/>
      <c r="B323" s="113"/>
      <c r="C323" s="117"/>
      <c r="D323" s="117"/>
      <c r="E323" s="117"/>
      <c r="F323" s="123"/>
      <c r="G323" s="93" t="s">
        <v>145</v>
      </c>
      <c r="H323" s="125"/>
      <c r="I323" s="125"/>
      <c r="J323" s="82" t="str">
        <f t="shared" ca="1" si="147"/>
        <v>#REF!</v>
      </c>
      <c r="K323" s="82" t="str">
        <f t="shared" ca="1" si="256"/>
        <v>#REF!</v>
      </c>
      <c r="L323" s="82" t="str">
        <f t="shared" ca="1" si="199"/>
        <v>#REF!</v>
      </c>
      <c r="M323" s="125"/>
      <c r="N323" s="125"/>
      <c r="O323" s="230">
        <f t="shared" si="2"/>
        <v>0</v>
      </c>
      <c r="P323" s="231">
        <f t="shared" si="3"/>
        <v>0</v>
      </c>
      <c r="Q323" s="232" t="str">
        <f ca="1">ROUNDUP(HLOOKUP(IF(CEILING(L323,0.5)&lt;1,1,CEILING(L323,0.5)),'배송비 조회'!A$32:AY$36,2,0),-2)</f>
        <v>#REF!</v>
      </c>
      <c r="R323" s="232">
        <v>0</v>
      </c>
      <c r="S323" s="231" t="str">
        <f t="shared" ca="1" si="250"/>
        <v>#REF!</v>
      </c>
      <c r="T323" s="231" t="str">
        <f t="shared" ca="1" si="200"/>
        <v>#REF!</v>
      </c>
      <c r="U323" s="233" t="str">
        <f t="shared" ca="1" si="142"/>
        <v>#REF!</v>
      </c>
      <c r="V323" s="233" t="str">
        <f t="shared" ca="1" si="7"/>
        <v>#REF!</v>
      </c>
      <c r="W323" s="234">
        <v>0</v>
      </c>
      <c r="X323" s="234" t="str">
        <f t="shared" ca="1" si="8"/>
        <v>#REF!</v>
      </c>
      <c r="Y323" s="234" t="str">
        <f t="shared" ca="1" si="9"/>
        <v>#REF!</v>
      </c>
      <c r="Z323" s="234" t="str">
        <f t="shared" ca="1" si="10"/>
        <v>#REF!</v>
      </c>
      <c r="AA323" s="234" t="str">
        <f t="shared" ca="1" si="11"/>
        <v>#REF!</v>
      </c>
      <c r="AB323" s="234" t="str">
        <f t="shared" ca="1" si="12"/>
        <v>#REF!</v>
      </c>
      <c r="AC323" s="234" t="str">
        <f t="shared" ca="1" si="13"/>
        <v>#REF!</v>
      </c>
      <c r="AD323" s="101" t="str">
        <f t="shared" ca="1" si="14"/>
        <v>#REF!</v>
      </c>
      <c r="AE323" s="101" t="str">
        <f t="shared" ca="1" si="15"/>
        <v>#REF!</v>
      </c>
      <c r="AF323" s="235" t="str">
        <f t="shared" ref="AF323:AG323" ca="1" si="400">AD323/U323</f>
        <v>#REF!</v>
      </c>
      <c r="AG323" s="235" t="str">
        <f t="shared" ca="1" si="400"/>
        <v>#REF!</v>
      </c>
      <c r="AH323" s="212"/>
      <c r="AI323" s="213"/>
      <c r="AJ323" s="4"/>
      <c r="AK323" s="4"/>
      <c r="AL323" s="4"/>
      <c r="AM323" s="4"/>
      <c r="AN323" s="4"/>
      <c r="AO323" s="4"/>
      <c r="AP323" s="4"/>
      <c r="AQ323" s="4"/>
      <c r="AR323" s="4"/>
      <c r="AS323" s="4"/>
      <c r="AT323" s="4"/>
      <c r="AU323" s="4"/>
    </row>
    <row r="324" spans="1:47" ht="13.2">
      <c r="A324" s="120"/>
      <c r="B324" s="113"/>
      <c r="C324" s="117"/>
      <c r="D324" s="117"/>
      <c r="E324" s="117"/>
      <c r="F324" s="123"/>
      <c r="G324" s="93" t="s">
        <v>145</v>
      </c>
      <c r="H324" s="125"/>
      <c r="I324" s="125"/>
      <c r="J324" s="82" t="str">
        <f t="shared" ca="1" si="147"/>
        <v>#REF!</v>
      </c>
      <c r="K324" s="82" t="str">
        <f t="shared" ca="1" si="256"/>
        <v>#REF!</v>
      </c>
      <c r="L324" s="82" t="str">
        <f t="shared" ca="1" si="199"/>
        <v>#REF!</v>
      </c>
      <c r="M324" s="125"/>
      <c r="N324" s="125"/>
      <c r="O324" s="230">
        <f t="shared" si="2"/>
        <v>0</v>
      </c>
      <c r="P324" s="231">
        <f t="shared" si="3"/>
        <v>0</v>
      </c>
      <c r="Q324" s="232" t="str">
        <f ca="1">ROUNDUP(HLOOKUP(IF(CEILING(L324,0.5)&lt;1,1,CEILING(L324,0.5)),'배송비 조회'!A$32:AY$36,2,0),-2)</f>
        <v>#REF!</v>
      </c>
      <c r="R324" s="232">
        <v>0</v>
      </c>
      <c r="S324" s="231" t="str">
        <f t="shared" ca="1" si="250"/>
        <v>#REF!</v>
      </c>
      <c r="T324" s="231" t="str">
        <f t="shared" ca="1" si="200"/>
        <v>#REF!</v>
      </c>
      <c r="U324" s="233" t="str">
        <f t="shared" ca="1" si="142"/>
        <v>#REF!</v>
      </c>
      <c r="V324" s="233" t="str">
        <f t="shared" ca="1" si="7"/>
        <v>#REF!</v>
      </c>
      <c r="W324" s="234">
        <v>0</v>
      </c>
      <c r="X324" s="234" t="str">
        <f t="shared" ca="1" si="8"/>
        <v>#REF!</v>
      </c>
      <c r="Y324" s="234" t="str">
        <f t="shared" ca="1" si="9"/>
        <v>#REF!</v>
      </c>
      <c r="Z324" s="234" t="str">
        <f t="shared" ca="1" si="10"/>
        <v>#REF!</v>
      </c>
      <c r="AA324" s="234" t="str">
        <f t="shared" ca="1" si="11"/>
        <v>#REF!</v>
      </c>
      <c r="AB324" s="234" t="str">
        <f t="shared" ca="1" si="12"/>
        <v>#REF!</v>
      </c>
      <c r="AC324" s="234" t="str">
        <f t="shared" ca="1" si="13"/>
        <v>#REF!</v>
      </c>
      <c r="AD324" s="101" t="str">
        <f t="shared" ca="1" si="14"/>
        <v>#REF!</v>
      </c>
      <c r="AE324" s="101" t="str">
        <f t="shared" ca="1" si="15"/>
        <v>#REF!</v>
      </c>
      <c r="AF324" s="235" t="str">
        <f t="shared" ref="AF324:AG324" ca="1" si="401">AD324/U324</f>
        <v>#REF!</v>
      </c>
      <c r="AG324" s="235" t="str">
        <f t="shared" ca="1" si="401"/>
        <v>#REF!</v>
      </c>
      <c r="AH324" s="212"/>
      <c r="AI324" s="213"/>
      <c r="AJ324" s="4"/>
      <c r="AK324" s="4"/>
      <c r="AL324" s="4"/>
      <c r="AM324" s="4"/>
      <c r="AN324" s="4"/>
      <c r="AO324" s="4"/>
      <c r="AP324" s="4"/>
      <c r="AQ324" s="4"/>
      <c r="AR324" s="4"/>
      <c r="AS324" s="4"/>
      <c r="AT324" s="4"/>
      <c r="AU324" s="4"/>
    </row>
    <row r="325" spans="1:47" ht="13.2">
      <c r="A325" s="120"/>
      <c r="B325" s="113"/>
      <c r="C325" s="117"/>
      <c r="D325" s="117"/>
      <c r="E325" s="117"/>
      <c r="F325" s="123"/>
      <c r="G325" s="93" t="s">
        <v>145</v>
      </c>
      <c r="H325" s="125"/>
      <c r="I325" s="125"/>
      <c r="J325" s="82" t="str">
        <f t="shared" ca="1" si="147"/>
        <v>#REF!</v>
      </c>
      <c r="K325" s="82" t="str">
        <f t="shared" ca="1" si="256"/>
        <v>#REF!</v>
      </c>
      <c r="L325" s="82" t="str">
        <f t="shared" ca="1" si="199"/>
        <v>#REF!</v>
      </c>
      <c r="M325" s="125"/>
      <c r="N325" s="125"/>
      <c r="O325" s="230">
        <f t="shared" si="2"/>
        <v>0</v>
      </c>
      <c r="P325" s="231">
        <f t="shared" si="3"/>
        <v>0</v>
      </c>
      <c r="Q325" s="232" t="str">
        <f ca="1">ROUNDUP(HLOOKUP(IF(CEILING(L325,0.5)&lt;1,1,CEILING(L325,0.5)),'배송비 조회'!A$32:AY$36,2,0),-2)</f>
        <v>#REF!</v>
      </c>
      <c r="R325" s="232">
        <v>0</v>
      </c>
      <c r="S325" s="231" t="str">
        <f t="shared" ca="1" si="250"/>
        <v>#REF!</v>
      </c>
      <c r="T325" s="231" t="str">
        <f t="shared" ca="1" si="200"/>
        <v>#REF!</v>
      </c>
      <c r="U325" s="233" t="str">
        <f t="shared" ca="1" si="142"/>
        <v>#REF!</v>
      </c>
      <c r="V325" s="233" t="str">
        <f t="shared" ca="1" si="7"/>
        <v>#REF!</v>
      </c>
      <c r="W325" s="234">
        <v>0</v>
      </c>
      <c r="X325" s="234" t="str">
        <f t="shared" ca="1" si="8"/>
        <v>#REF!</v>
      </c>
      <c r="Y325" s="234" t="str">
        <f t="shared" ca="1" si="9"/>
        <v>#REF!</v>
      </c>
      <c r="Z325" s="234" t="str">
        <f t="shared" ca="1" si="10"/>
        <v>#REF!</v>
      </c>
      <c r="AA325" s="234" t="str">
        <f t="shared" ca="1" si="11"/>
        <v>#REF!</v>
      </c>
      <c r="AB325" s="234" t="str">
        <f t="shared" ca="1" si="12"/>
        <v>#REF!</v>
      </c>
      <c r="AC325" s="234" t="str">
        <f t="shared" ca="1" si="13"/>
        <v>#REF!</v>
      </c>
      <c r="AD325" s="101" t="str">
        <f t="shared" ca="1" si="14"/>
        <v>#REF!</v>
      </c>
      <c r="AE325" s="101" t="str">
        <f t="shared" ca="1" si="15"/>
        <v>#REF!</v>
      </c>
      <c r="AF325" s="235" t="str">
        <f t="shared" ref="AF325:AG325" ca="1" si="402">AD325/U325</f>
        <v>#REF!</v>
      </c>
      <c r="AG325" s="235" t="str">
        <f t="shared" ca="1" si="402"/>
        <v>#REF!</v>
      </c>
      <c r="AH325" s="212"/>
      <c r="AI325" s="213"/>
      <c r="AJ325" s="4"/>
      <c r="AK325" s="4"/>
      <c r="AL325" s="4"/>
      <c r="AM325" s="4"/>
      <c r="AN325" s="4"/>
      <c r="AO325" s="4"/>
      <c r="AP325" s="4"/>
      <c r="AQ325" s="4"/>
      <c r="AR325" s="4"/>
      <c r="AS325" s="4"/>
      <c r="AT325" s="4"/>
      <c r="AU325" s="4"/>
    </row>
    <row r="326" spans="1:47" ht="13.2">
      <c r="A326" s="120"/>
      <c r="B326" s="113"/>
      <c r="C326" s="117"/>
      <c r="D326" s="117"/>
      <c r="E326" s="117"/>
      <c r="F326" s="123"/>
      <c r="G326" s="93" t="s">
        <v>145</v>
      </c>
      <c r="H326" s="125"/>
      <c r="I326" s="125"/>
      <c r="J326" s="82" t="str">
        <f t="shared" ca="1" si="147"/>
        <v>#REF!</v>
      </c>
      <c r="K326" s="82" t="str">
        <f t="shared" ca="1" si="256"/>
        <v>#REF!</v>
      </c>
      <c r="L326" s="82" t="str">
        <f t="shared" ca="1" si="199"/>
        <v>#REF!</v>
      </c>
      <c r="M326" s="125"/>
      <c r="N326" s="125"/>
      <c r="O326" s="230">
        <f t="shared" si="2"/>
        <v>0</v>
      </c>
      <c r="P326" s="231">
        <f t="shared" si="3"/>
        <v>0</v>
      </c>
      <c r="Q326" s="232" t="str">
        <f ca="1">ROUNDUP(HLOOKUP(IF(CEILING(L326,0.5)&lt;1,1,CEILING(L326,0.5)),'배송비 조회'!A$32:AY$36,2,0),-2)</f>
        <v>#REF!</v>
      </c>
      <c r="R326" s="232">
        <v>0</v>
      </c>
      <c r="S326" s="231" t="str">
        <f t="shared" ca="1" si="250"/>
        <v>#REF!</v>
      </c>
      <c r="T326" s="231" t="str">
        <f t="shared" ca="1" si="200"/>
        <v>#REF!</v>
      </c>
      <c r="U326" s="233" t="str">
        <f t="shared" ca="1" si="142"/>
        <v>#REF!</v>
      </c>
      <c r="V326" s="233" t="str">
        <f t="shared" ca="1" si="7"/>
        <v>#REF!</v>
      </c>
      <c r="W326" s="234">
        <v>0</v>
      </c>
      <c r="X326" s="234" t="str">
        <f t="shared" ca="1" si="8"/>
        <v>#REF!</v>
      </c>
      <c r="Y326" s="234" t="str">
        <f t="shared" ca="1" si="9"/>
        <v>#REF!</v>
      </c>
      <c r="Z326" s="234" t="str">
        <f t="shared" ca="1" si="10"/>
        <v>#REF!</v>
      </c>
      <c r="AA326" s="234" t="str">
        <f t="shared" ca="1" si="11"/>
        <v>#REF!</v>
      </c>
      <c r="AB326" s="234" t="str">
        <f t="shared" ca="1" si="12"/>
        <v>#REF!</v>
      </c>
      <c r="AC326" s="234" t="str">
        <f t="shared" ca="1" si="13"/>
        <v>#REF!</v>
      </c>
      <c r="AD326" s="101" t="str">
        <f t="shared" ca="1" si="14"/>
        <v>#REF!</v>
      </c>
      <c r="AE326" s="101" t="str">
        <f t="shared" ca="1" si="15"/>
        <v>#REF!</v>
      </c>
      <c r="AF326" s="235" t="str">
        <f t="shared" ref="AF326:AG326" ca="1" si="403">AD326/U326</f>
        <v>#REF!</v>
      </c>
      <c r="AG326" s="235" t="str">
        <f t="shared" ca="1" si="403"/>
        <v>#REF!</v>
      </c>
      <c r="AH326" s="212"/>
      <c r="AI326" s="213"/>
      <c r="AJ326" s="4"/>
      <c r="AK326" s="4"/>
      <c r="AL326" s="4"/>
      <c r="AM326" s="4"/>
      <c r="AN326" s="4"/>
      <c r="AO326" s="4"/>
      <c r="AP326" s="4"/>
      <c r="AQ326" s="4"/>
      <c r="AR326" s="4"/>
      <c r="AS326" s="4"/>
      <c r="AT326" s="4"/>
      <c r="AU326" s="4"/>
    </row>
    <row r="327" spans="1:47" ht="13.2">
      <c r="A327" s="120"/>
      <c r="B327" s="113"/>
      <c r="C327" s="117"/>
      <c r="D327" s="117"/>
      <c r="E327" s="117"/>
      <c r="F327" s="123"/>
      <c r="G327" s="93" t="s">
        <v>145</v>
      </c>
      <c r="H327" s="125"/>
      <c r="I327" s="125"/>
      <c r="J327" s="82" t="str">
        <f t="shared" ca="1" si="147"/>
        <v>#REF!</v>
      </c>
      <c r="K327" s="82" t="str">
        <f t="shared" ca="1" si="256"/>
        <v>#REF!</v>
      </c>
      <c r="L327" s="82" t="str">
        <f t="shared" ca="1" si="199"/>
        <v>#REF!</v>
      </c>
      <c r="M327" s="125"/>
      <c r="N327" s="125"/>
      <c r="O327" s="230">
        <f t="shared" si="2"/>
        <v>0</v>
      </c>
      <c r="P327" s="231">
        <f t="shared" si="3"/>
        <v>0</v>
      </c>
      <c r="Q327" s="232" t="str">
        <f ca="1">ROUNDUP(HLOOKUP(IF(CEILING(L327,0.5)&lt;1,1,CEILING(L327,0.5)),'배송비 조회'!A$32:AY$36,2,0),-2)</f>
        <v>#REF!</v>
      </c>
      <c r="R327" s="232">
        <v>0</v>
      </c>
      <c r="S327" s="231" t="str">
        <f t="shared" ca="1" si="250"/>
        <v>#REF!</v>
      </c>
      <c r="T327" s="231" t="str">
        <f t="shared" ca="1" si="200"/>
        <v>#REF!</v>
      </c>
      <c r="U327" s="233" t="str">
        <f t="shared" ca="1" si="142"/>
        <v>#REF!</v>
      </c>
      <c r="V327" s="233" t="str">
        <f t="shared" ca="1" si="7"/>
        <v>#REF!</v>
      </c>
      <c r="W327" s="234">
        <v>0</v>
      </c>
      <c r="X327" s="234" t="str">
        <f t="shared" ca="1" si="8"/>
        <v>#REF!</v>
      </c>
      <c r="Y327" s="234" t="str">
        <f t="shared" ca="1" si="9"/>
        <v>#REF!</v>
      </c>
      <c r="Z327" s="234" t="str">
        <f t="shared" ca="1" si="10"/>
        <v>#REF!</v>
      </c>
      <c r="AA327" s="234" t="str">
        <f t="shared" ca="1" si="11"/>
        <v>#REF!</v>
      </c>
      <c r="AB327" s="234" t="str">
        <f t="shared" ca="1" si="12"/>
        <v>#REF!</v>
      </c>
      <c r="AC327" s="234" t="str">
        <f t="shared" ca="1" si="13"/>
        <v>#REF!</v>
      </c>
      <c r="AD327" s="101" t="str">
        <f t="shared" ca="1" si="14"/>
        <v>#REF!</v>
      </c>
      <c r="AE327" s="101" t="str">
        <f t="shared" ca="1" si="15"/>
        <v>#REF!</v>
      </c>
      <c r="AF327" s="235" t="str">
        <f t="shared" ref="AF327:AG327" ca="1" si="404">AD327/U327</f>
        <v>#REF!</v>
      </c>
      <c r="AG327" s="235" t="str">
        <f t="shared" ca="1" si="404"/>
        <v>#REF!</v>
      </c>
      <c r="AH327" s="212"/>
      <c r="AI327" s="213"/>
      <c r="AJ327" s="4"/>
      <c r="AK327" s="4"/>
      <c r="AL327" s="4"/>
      <c r="AM327" s="4"/>
      <c r="AN327" s="4"/>
      <c r="AO327" s="4"/>
      <c r="AP327" s="4"/>
      <c r="AQ327" s="4"/>
      <c r="AR327" s="4"/>
      <c r="AS327" s="4"/>
      <c r="AT327" s="4"/>
      <c r="AU327" s="4"/>
    </row>
    <row r="328" spans="1:47" ht="13.2">
      <c r="A328" s="120"/>
      <c r="B328" s="113"/>
      <c r="C328" s="117"/>
      <c r="D328" s="117"/>
      <c r="E328" s="117"/>
      <c r="F328" s="123"/>
      <c r="G328" s="93" t="s">
        <v>145</v>
      </c>
      <c r="H328" s="125"/>
      <c r="I328" s="125"/>
      <c r="J328" s="82" t="str">
        <f t="shared" ca="1" si="147"/>
        <v>#REF!</v>
      </c>
      <c r="K328" s="82" t="str">
        <f t="shared" ca="1" si="256"/>
        <v>#REF!</v>
      </c>
      <c r="L328" s="82" t="str">
        <f t="shared" ca="1" si="199"/>
        <v>#REF!</v>
      </c>
      <c r="M328" s="125"/>
      <c r="N328" s="125"/>
      <c r="O328" s="230">
        <f t="shared" si="2"/>
        <v>0</v>
      </c>
      <c r="P328" s="231">
        <f t="shared" si="3"/>
        <v>0</v>
      </c>
      <c r="Q328" s="232" t="str">
        <f ca="1">ROUNDUP(HLOOKUP(IF(CEILING(L328,0.5)&lt;1,1,CEILING(L328,0.5)),'배송비 조회'!A$32:AY$36,2,0),-2)</f>
        <v>#REF!</v>
      </c>
      <c r="R328" s="232">
        <v>0</v>
      </c>
      <c r="S328" s="231" t="str">
        <f t="shared" ca="1" si="250"/>
        <v>#REF!</v>
      </c>
      <c r="T328" s="231" t="str">
        <f t="shared" ca="1" si="200"/>
        <v>#REF!</v>
      </c>
      <c r="U328" s="233" t="str">
        <f t="shared" ca="1" si="142"/>
        <v>#REF!</v>
      </c>
      <c r="V328" s="233" t="str">
        <f t="shared" ca="1" si="7"/>
        <v>#REF!</v>
      </c>
      <c r="W328" s="234">
        <v>0</v>
      </c>
      <c r="X328" s="234" t="str">
        <f t="shared" ca="1" si="8"/>
        <v>#REF!</v>
      </c>
      <c r="Y328" s="234" t="str">
        <f t="shared" ca="1" si="9"/>
        <v>#REF!</v>
      </c>
      <c r="Z328" s="234" t="str">
        <f t="shared" ca="1" si="10"/>
        <v>#REF!</v>
      </c>
      <c r="AA328" s="234" t="str">
        <f t="shared" ca="1" si="11"/>
        <v>#REF!</v>
      </c>
      <c r="AB328" s="234" t="str">
        <f t="shared" ca="1" si="12"/>
        <v>#REF!</v>
      </c>
      <c r="AC328" s="234" t="str">
        <f t="shared" ca="1" si="13"/>
        <v>#REF!</v>
      </c>
      <c r="AD328" s="101" t="str">
        <f t="shared" ca="1" si="14"/>
        <v>#REF!</v>
      </c>
      <c r="AE328" s="101" t="str">
        <f t="shared" ca="1" si="15"/>
        <v>#REF!</v>
      </c>
      <c r="AF328" s="235" t="str">
        <f t="shared" ref="AF328:AG328" ca="1" si="405">AD328/U328</f>
        <v>#REF!</v>
      </c>
      <c r="AG328" s="235" t="str">
        <f t="shared" ca="1" si="405"/>
        <v>#REF!</v>
      </c>
      <c r="AH328" s="212"/>
      <c r="AI328" s="213"/>
      <c r="AJ328" s="4"/>
      <c r="AK328" s="4"/>
      <c r="AL328" s="4"/>
      <c r="AM328" s="4"/>
      <c r="AN328" s="4"/>
      <c r="AO328" s="4"/>
      <c r="AP328" s="4"/>
      <c r="AQ328" s="4"/>
      <c r="AR328" s="4"/>
      <c r="AS328" s="4"/>
      <c r="AT328" s="4"/>
      <c r="AU328" s="4"/>
    </row>
    <row r="329" spans="1:47" ht="13.2">
      <c r="A329" s="120"/>
      <c r="B329" s="113"/>
      <c r="C329" s="117"/>
      <c r="D329" s="117"/>
      <c r="E329" s="117"/>
      <c r="F329" s="123"/>
      <c r="G329" s="93" t="s">
        <v>145</v>
      </c>
      <c r="H329" s="125"/>
      <c r="I329" s="125"/>
      <c r="J329" s="82" t="str">
        <f t="shared" ca="1" si="147"/>
        <v>#REF!</v>
      </c>
      <c r="K329" s="82" t="str">
        <f t="shared" ca="1" si="256"/>
        <v>#REF!</v>
      </c>
      <c r="L329" s="82" t="str">
        <f t="shared" ca="1" si="199"/>
        <v>#REF!</v>
      </c>
      <c r="M329" s="125"/>
      <c r="N329" s="125"/>
      <c r="O329" s="230">
        <f t="shared" si="2"/>
        <v>0</v>
      </c>
      <c r="P329" s="231">
        <f t="shared" si="3"/>
        <v>0</v>
      </c>
      <c r="Q329" s="232" t="str">
        <f ca="1">ROUNDUP(HLOOKUP(IF(CEILING(L329,0.5)&lt;1,1,CEILING(L329,0.5)),'배송비 조회'!A$32:AY$36,2,0),-2)</f>
        <v>#REF!</v>
      </c>
      <c r="R329" s="232">
        <v>0</v>
      </c>
      <c r="S329" s="231" t="str">
        <f t="shared" ca="1" si="250"/>
        <v>#REF!</v>
      </c>
      <c r="T329" s="231" t="str">
        <f t="shared" ca="1" si="200"/>
        <v>#REF!</v>
      </c>
      <c r="U329" s="233" t="str">
        <f t="shared" ca="1" si="142"/>
        <v>#REF!</v>
      </c>
      <c r="V329" s="233" t="str">
        <f t="shared" ca="1" si="7"/>
        <v>#REF!</v>
      </c>
      <c r="W329" s="234">
        <v>0</v>
      </c>
      <c r="X329" s="234" t="str">
        <f t="shared" ca="1" si="8"/>
        <v>#REF!</v>
      </c>
      <c r="Y329" s="234" t="str">
        <f t="shared" ca="1" si="9"/>
        <v>#REF!</v>
      </c>
      <c r="Z329" s="234" t="str">
        <f t="shared" ca="1" si="10"/>
        <v>#REF!</v>
      </c>
      <c r="AA329" s="234" t="str">
        <f t="shared" ca="1" si="11"/>
        <v>#REF!</v>
      </c>
      <c r="AB329" s="234" t="str">
        <f t="shared" ca="1" si="12"/>
        <v>#REF!</v>
      </c>
      <c r="AC329" s="234" t="str">
        <f t="shared" ca="1" si="13"/>
        <v>#REF!</v>
      </c>
      <c r="AD329" s="101" t="str">
        <f t="shared" ca="1" si="14"/>
        <v>#REF!</v>
      </c>
      <c r="AE329" s="101" t="str">
        <f t="shared" ca="1" si="15"/>
        <v>#REF!</v>
      </c>
      <c r="AF329" s="235" t="str">
        <f t="shared" ref="AF329:AG329" ca="1" si="406">AD329/U329</f>
        <v>#REF!</v>
      </c>
      <c r="AG329" s="235" t="str">
        <f t="shared" ca="1" si="406"/>
        <v>#REF!</v>
      </c>
      <c r="AH329" s="212"/>
      <c r="AI329" s="213"/>
      <c r="AJ329" s="4"/>
      <c r="AK329" s="4"/>
      <c r="AL329" s="4"/>
      <c r="AM329" s="4"/>
      <c r="AN329" s="4"/>
      <c r="AO329" s="4"/>
      <c r="AP329" s="4"/>
      <c r="AQ329" s="4"/>
      <c r="AR329" s="4"/>
      <c r="AS329" s="4"/>
      <c r="AT329" s="4"/>
      <c r="AU329" s="4"/>
    </row>
    <row r="330" spans="1:47" ht="13.2">
      <c r="A330" s="120"/>
      <c r="B330" s="113"/>
      <c r="C330" s="117"/>
      <c r="D330" s="117"/>
      <c r="E330" s="117"/>
      <c r="F330" s="123"/>
      <c r="G330" s="93" t="s">
        <v>145</v>
      </c>
      <c r="H330" s="125"/>
      <c r="I330" s="125"/>
      <c r="J330" s="82" t="str">
        <f t="shared" ca="1" si="147"/>
        <v>#REF!</v>
      </c>
      <c r="K330" s="82" t="str">
        <f t="shared" ca="1" si="256"/>
        <v>#REF!</v>
      </c>
      <c r="L330" s="82" t="str">
        <f t="shared" ca="1" si="199"/>
        <v>#REF!</v>
      </c>
      <c r="M330" s="125"/>
      <c r="N330" s="125"/>
      <c r="O330" s="230">
        <f t="shared" si="2"/>
        <v>0</v>
      </c>
      <c r="P330" s="231">
        <f t="shared" si="3"/>
        <v>0</v>
      </c>
      <c r="Q330" s="232" t="str">
        <f ca="1">ROUNDUP(HLOOKUP(IF(CEILING(L330,0.5)&lt;1,1,CEILING(L330,0.5)),'배송비 조회'!A$32:AY$36,2,0),-2)</f>
        <v>#REF!</v>
      </c>
      <c r="R330" s="232">
        <v>0</v>
      </c>
      <c r="S330" s="231" t="str">
        <f t="shared" ca="1" si="250"/>
        <v>#REF!</v>
      </c>
      <c r="T330" s="231" t="str">
        <f t="shared" ca="1" si="200"/>
        <v>#REF!</v>
      </c>
      <c r="U330" s="233" t="str">
        <f t="shared" ca="1" si="142"/>
        <v>#REF!</v>
      </c>
      <c r="V330" s="233" t="str">
        <f t="shared" ca="1" si="7"/>
        <v>#REF!</v>
      </c>
      <c r="W330" s="234">
        <v>0</v>
      </c>
      <c r="X330" s="234" t="str">
        <f t="shared" ca="1" si="8"/>
        <v>#REF!</v>
      </c>
      <c r="Y330" s="234" t="str">
        <f t="shared" ca="1" si="9"/>
        <v>#REF!</v>
      </c>
      <c r="Z330" s="234" t="str">
        <f t="shared" ca="1" si="10"/>
        <v>#REF!</v>
      </c>
      <c r="AA330" s="234" t="str">
        <f t="shared" ca="1" si="11"/>
        <v>#REF!</v>
      </c>
      <c r="AB330" s="234" t="str">
        <f t="shared" ca="1" si="12"/>
        <v>#REF!</v>
      </c>
      <c r="AC330" s="234" t="str">
        <f t="shared" ca="1" si="13"/>
        <v>#REF!</v>
      </c>
      <c r="AD330" s="101" t="str">
        <f t="shared" ca="1" si="14"/>
        <v>#REF!</v>
      </c>
      <c r="AE330" s="101" t="str">
        <f t="shared" ca="1" si="15"/>
        <v>#REF!</v>
      </c>
      <c r="AF330" s="235" t="str">
        <f t="shared" ref="AF330:AG330" ca="1" si="407">AD330/U330</f>
        <v>#REF!</v>
      </c>
      <c r="AG330" s="235" t="str">
        <f t="shared" ca="1" si="407"/>
        <v>#REF!</v>
      </c>
      <c r="AH330" s="212"/>
      <c r="AI330" s="213"/>
      <c r="AJ330" s="4"/>
      <c r="AK330" s="4"/>
      <c r="AL330" s="4"/>
      <c r="AM330" s="4"/>
      <c r="AN330" s="4"/>
      <c r="AO330" s="4"/>
      <c r="AP330" s="4"/>
      <c r="AQ330" s="4"/>
      <c r="AR330" s="4"/>
      <c r="AS330" s="4"/>
      <c r="AT330" s="4"/>
      <c r="AU330" s="4"/>
    </row>
    <row r="331" spans="1:47" ht="13.2">
      <c r="A331" s="120"/>
      <c r="B331" s="113"/>
      <c r="C331" s="117"/>
      <c r="D331" s="117"/>
      <c r="E331" s="117"/>
      <c r="F331" s="123"/>
      <c r="G331" s="93" t="s">
        <v>145</v>
      </c>
      <c r="H331" s="125"/>
      <c r="I331" s="125"/>
      <c r="J331" s="82" t="str">
        <f t="shared" ca="1" si="147"/>
        <v>#REF!</v>
      </c>
      <c r="K331" s="82" t="str">
        <f t="shared" ca="1" si="256"/>
        <v>#REF!</v>
      </c>
      <c r="L331" s="82" t="str">
        <f t="shared" ca="1" si="199"/>
        <v>#REF!</v>
      </c>
      <c r="M331" s="125"/>
      <c r="N331" s="125"/>
      <c r="O331" s="230">
        <f t="shared" si="2"/>
        <v>0</v>
      </c>
      <c r="P331" s="231">
        <f t="shared" si="3"/>
        <v>0</v>
      </c>
      <c r="Q331" s="232" t="str">
        <f ca="1">ROUNDUP(HLOOKUP(IF(CEILING(L331,0.5)&lt;1,1,CEILING(L331,0.5)),'배송비 조회'!A$32:AY$36,2,0),-2)</f>
        <v>#REF!</v>
      </c>
      <c r="R331" s="232">
        <v>0</v>
      </c>
      <c r="S331" s="231" t="str">
        <f t="shared" ca="1" si="250"/>
        <v>#REF!</v>
      </c>
      <c r="T331" s="231" t="str">
        <f t="shared" ca="1" si="200"/>
        <v>#REF!</v>
      </c>
      <c r="U331" s="233" t="str">
        <f t="shared" ca="1" si="142"/>
        <v>#REF!</v>
      </c>
      <c r="V331" s="233" t="str">
        <f t="shared" ca="1" si="7"/>
        <v>#REF!</v>
      </c>
      <c r="W331" s="234">
        <v>0</v>
      </c>
      <c r="X331" s="234" t="str">
        <f t="shared" ca="1" si="8"/>
        <v>#REF!</v>
      </c>
      <c r="Y331" s="234" t="str">
        <f t="shared" ca="1" si="9"/>
        <v>#REF!</v>
      </c>
      <c r="Z331" s="234" t="str">
        <f t="shared" ca="1" si="10"/>
        <v>#REF!</v>
      </c>
      <c r="AA331" s="234" t="str">
        <f t="shared" ca="1" si="11"/>
        <v>#REF!</v>
      </c>
      <c r="AB331" s="234" t="str">
        <f t="shared" ca="1" si="12"/>
        <v>#REF!</v>
      </c>
      <c r="AC331" s="234" t="str">
        <f t="shared" ca="1" si="13"/>
        <v>#REF!</v>
      </c>
      <c r="AD331" s="101" t="str">
        <f t="shared" ca="1" si="14"/>
        <v>#REF!</v>
      </c>
      <c r="AE331" s="101" t="str">
        <f t="shared" ca="1" si="15"/>
        <v>#REF!</v>
      </c>
      <c r="AF331" s="235" t="str">
        <f t="shared" ref="AF331:AG331" ca="1" si="408">AD331/U331</f>
        <v>#REF!</v>
      </c>
      <c r="AG331" s="235" t="str">
        <f t="shared" ca="1" si="408"/>
        <v>#REF!</v>
      </c>
      <c r="AH331" s="212"/>
      <c r="AI331" s="213"/>
      <c r="AJ331" s="4"/>
      <c r="AK331" s="4"/>
      <c r="AL331" s="4"/>
      <c r="AM331" s="4"/>
      <c r="AN331" s="4"/>
      <c r="AO331" s="4"/>
      <c r="AP331" s="4"/>
      <c r="AQ331" s="4"/>
      <c r="AR331" s="4"/>
      <c r="AS331" s="4"/>
      <c r="AT331" s="4"/>
      <c r="AU331" s="4"/>
    </row>
    <row r="332" spans="1:47" ht="13.2">
      <c r="A332" s="120"/>
      <c r="B332" s="113"/>
      <c r="C332" s="117"/>
      <c r="D332" s="117"/>
      <c r="E332" s="117"/>
      <c r="F332" s="123"/>
      <c r="G332" s="93" t="s">
        <v>145</v>
      </c>
      <c r="H332" s="125"/>
      <c r="I332" s="125"/>
      <c r="J332" s="82" t="str">
        <f t="shared" ca="1" si="147"/>
        <v>#REF!</v>
      </c>
      <c r="K332" s="82" t="str">
        <f t="shared" ca="1" si="256"/>
        <v>#REF!</v>
      </c>
      <c r="L332" s="82" t="str">
        <f t="shared" ca="1" si="199"/>
        <v>#REF!</v>
      </c>
      <c r="M332" s="125"/>
      <c r="N332" s="125"/>
      <c r="O332" s="230">
        <f t="shared" si="2"/>
        <v>0</v>
      </c>
      <c r="P332" s="231">
        <f t="shared" si="3"/>
        <v>0</v>
      </c>
      <c r="Q332" s="232" t="str">
        <f ca="1">ROUNDUP(HLOOKUP(IF(CEILING(L332,0.5)&lt;1,1,CEILING(L332,0.5)),'배송비 조회'!A$32:AY$36,2,0),-2)</f>
        <v>#REF!</v>
      </c>
      <c r="R332" s="232">
        <v>0</v>
      </c>
      <c r="S332" s="231" t="str">
        <f t="shared" ca="1" si="250"/>
        <v>#REF!</v>
      </c>
      <c r="T332" s="231" t="str">
        <f t="shared" ca="1" si="200"/>
        <v>#REF!</v>
      </c>
      <c r="U332" s="233" t="str">
        <f t="shared" ca="1" si="142"/>
        <v>#REF!</v>
      </c>
      <c r="V332" s="233" t="str">
        <f t="shared" ca="1" si="7"/>
        <v>#REF!</v>
      </c>
      <c r="W332" s="234">
        <v>0</v>
      </c>
      <c r="X332" s="234" t="str">
        <f t="shared" ca="1" si="8"/>
        <v>#REF!</v>
      </c>
      <c r="Y332" s="234" t="str">
        <f t="shared" ca="1" si="9"/>
        <v>#REF!</v>
      </c>
      <c r="Z332" s="234" t="str">
        <f t="shared" ca="1" si="10"/>
        <v>#REF!</v>
      </c>
      <c r="AA332" s="234" t="str">
        <f t="shared" ca="1" si="11"/>
        <v>#REF!</v>
      </c>
      <c r="AB332" s="234" t="str">
        <f t="shared" ca="1" si="12"/>
        <v>#REF!</v>
      </c>
      <c r="AC332" s="234" t="str">
        <f t="shared" ca="1" si="13"/>
        <v>#REF!</v>
      </c>
      <c r="AD332" s="101" t="str">
        <f t="shared" ca="1" si="14"/>
        <v>#REF!</v>
      </c>
      <c r="AE332" s="101" t="str">
        <f t="shared" ca="1" si="15"/>
        <v>#REF!</v>
      </c>
      <c r="AF332" s="235" t="str">
        <f t="shared" ref="AF332:AG332" ca="1" si="409">AD332/U332</f>
        <v>#REF!</v>
      </c>
      <c r="AG332" s="235" t="str">
        <f t="shared" ca="1" si="409"/>
        <v>#REF!</v>
      </c>
      <c r="AH332" s="212"/>
      <c r="AI332" s="213"/>
      <c r="AJ332" s="4"/>
      <c r="AK332" s="4"/>
      <c r="AL332" s="4"/>
      <c r="AM332" s="4"/>
      <c r="AN332" s="4"/>
      <c r="AO332" s="4"/>
      <c r="AP332" s="4"/>
      <c r="AQ332" s="4"/>
      <c r="AR332" s="4"/>
      <c r="AS332" s="4"/>
      <c r="AT332" s="4"/>
      <c r="AU332" s="4"/>
    </row>
    <row r="333" spans="1:47" ht="13.2">
      <c r="A333" s="120"/>
      <c r="B333" s="113"/>
      <c r="C333" s="117"/>
      <c r="D333" s="117"/>
      <c r="E333" s="117"/>
      <c r="F333" s="123"/>
      <c r="G333" s="93" t="s">
        <v>145</v>
      </c>
      <c r="H333" s="125"/>
      <c r="I333" s="125"/>
      <c r="J333" s="82" t="str">
        <f t="shared" ca="1" si="147"/>
        <v>#REF!</v>
      </c>
      <c r="K333" s="82" t="str">
        <f t="shared" ca="1" si="256"/>
        <v>#REF!</v>
      </c>
      <c r="L333" s="82" t="str">
        <f t="shared" ca="1" si="199"/>
        <v>#REF!</v>
      </c>
      <c r="M333" s="125"/>
      <c r="N333" s="125"/>
      <c r="O333" s="230">
        <f t="shared" si="2"/>
        <v>0</v>
      </c>
      <c r="P333" s="231">
        <f t="shared" si="3"/>
        <v>0</v>
      </c>
      <c r="Q333" s="232" t="str">
        <f ca="1">ROUNDUP(HLOOKUP(IF(CEILING(L333,0.5)&lt;1,1,CEILING(L333,0.5)),'배송비 조회'!A$32:AY$36,2,0),-2)</f>
        <v>#REF!</v>
      </c>
      <c r="R333" s="232">
        <v>0</v>
      </c>
      <c r="S333" s="231" t="str">
        <f t="shared" ca="1" si="250"/>
        <v>#REF!</v>
      </c>
      <c r="T333" s="231" t="str">
        <f t="shared" ca="1" si="200"/>
        <v>#REF!</v>
      </c>
      <c r="U333" s="233" t="str">
        <f t="shared" ca="1" si="142"/>
        <v>#REF!</v>
      </c>
      <c r="V333" s="233" t="str">
        <f t="shared" ca="1" si="7"/>
        <v>#REF!</v>
      </c>
      <c r="W333" s="234">
        <v>0</v>
      </c>
      <c r="X333" s="234" t="str">
        <f t="shared" ca="1" si="8"/>
        <v>#REF!</v>
      </c>
      <c r="Y333" s="234" t="str">
        <f t="shared" ca="1" si="9"/>
        <v>#REF!</v>
      </c>
      <c r="Z333" s="234" t="str">
        <f t="shared" ca="1" si="10"/>
        <v>#REF!</v>
      </c>
      <c r="AA333" s="234" t="str">
        <f t="shared" ca="1" si="11"/>
        <v>#REF!</v>
      </c>
      <c r="AB333" s="234" t="str">
        <f t="shared" ca="1" si="12"/>
        <v>#REF!</v>
      </c>
      <c r="AC333" s="234" t="str">
        <f t="shared" ca="1" si="13"/>
        <v>#REF!</v>
      </c>
      <c r="AD333" s="101" t="str">
        <f t="shared" ca="1" si="14"/>
        <v>#REF!</v>
      </c>
      <c r="AE333" s="101" t="str">
        <f t="shared" ca="1" si="15"/>
        <v>#REF!</v>
      </c>
      <c r="AF333" s="235" t="str">
        <f t="shared" ref="AF333:AG333" ca="1" si="410">AD333/U333</f>
        <v>#REF!</v>
      </c>
      <c r="AG333" s="235" t="str">
        <f t="shared" ca="1" si="410"/>
        <v>#REF!</v>
      </c>
      <c r="AH333" s="212"/>
      <c r="AI333" s="213"/>
      <c r="AJ333" s="4"/>
      <c r="AK333" s="4"/>
      <c r="AL333" s="4"/>
      <c r="AM333" s="4"/>
      <c r="AN333" s="4"/>
      <c r="AO333" s="4"/>
      <c r="AP333" s="4"/>
      <c r="AQ333" s="4"/>
      <c r="AR333" s="4"/>
      <c r="AS333" s="4"/>
      <c r="AT333" s="4"/>
      <c r="AU333" s="4"/>
    </row>
    <row r="334" spans="1:47" ht="13.2">
      <c r="A334" s="120"/>
      <c r="B334" s="113"/>
      <c r="C334" s="117"/>
      <c r="D334" s="117"/>
      <c r="E334" s="117"/>
      <c r="F334" s="123"/>
      <c r="G334" s="93" t="s">
        <v>145</v>
      </c>
      <c r="H334" s="125"/>
      <c r="I334" s="125"/>
      <c r="J334" s="82" t="str">
        <f t="shared" ca="1" si="147"/>
        <v>#REF!</v>
      </c>
      <c r="K334" s="82" t="str">
        <f t="shared" ca="1" si="256"/>
        <v>#REF!</v>
      </c>
      <c r="L334" s="82" t="str">
        <f t="shared" ca="1" si="199"/>
        <v>#REF!</v>
      </c>
      <c r="M334" s="125"/>
      <c r="N334" s="125"/>
      <c r="O334" s="230">
        <f t="shared" si="2"/>
        <v>0</v>
      </c>
      <c r="P334" s="231">
        <f t="shared" si="3"/>
        <v>0</v>
      </c>
      <c r="Q334" s="232" t="str">
        <f ca="1">ROUNDUP(HLOOKUP(IF(CEILING(L334,0.5)&lt;1,1,CEILING(L334,0.5)),'배송비 조회'!A$32:AY$36,2,0),-2)</f>
        <v>#REF!</v>
      </c>
      <c r="R334" s="232">
        <v>0</v>
      </c>
      <c r="S334" s="231" t="str">
        <f t="shared" ca="1" si="250"/>
        <v>#REF!</v>
      </c>
      <c r="T334" s="231" t="str">
        <f t="shared" ca="1" si="200"/>
        <v>#REF!</v>
      </c>
      <c r="U334" s="233" t="str">
        <f t="shared" ca="1" si="142"/>
        <v>#REF!</v>
      </c>
      <c r="V334" s="233" t="str">
        <f t="shared" ca="1" si="7"/>
        <v>#REF!</v>
      </c>
      <c r="W334" s="234">
        <v>0</v>
      </c>
      <c r="X334" s="234" t="str">
        <f t="shared" ca="1" si="8"/>
        <v>#REF!</v>
      </c>
      <c r="Y334" s="234" t="str">
        <f t="shared" ca="1" si="9"/>
        <v>#REF!</v>
      </c>
      <c r="Z334" s="234" t="str">
        <f t="shared" ca="1" si="10"/>
        <v>#REF!</v>
      </c>
      <c r="AA334" s="234" t="str">
        <f t="shared" ca="1" si="11"/>
        <v>#REF!</v>
      </c>
      <c r="AB334" s="234" t="str">
        <f t="shared" ca="1" si="12"/>
        <v>#REF!</v>
      </c>
      <c r="AC334" s="234" t="str">
        <f t="shared" ca="1" si="13"/>
        <v>#REF!</v>
      </c>
      <c r="AD334" s="101" t="str">
        <f t="shared" ca="1" si="14"/>
        <v>#REF!</v>
      </c>
      <c r="AE334" s="101" t="str">
        <f t="shared" ca="1" si="15"/>
        <v>#REF!</v>
      </c>
      <c r="AF334" s="235" t="str">
        <f t="shared" ref="AF334:AG334" ca="1" si="411">AD334/U334</f>
        <v>#REF!</v>
      </c>
      <c r="AG334" s="235" t="str">
        <f t="shared" ca="1" si="411"/>
        <v>#REF!</v>
      </c>
      <c r="AH334" s="212"/>
      <c r="AI334" s="213"/>
      <c r="AJ334" s="4"/>
      <c r="AK334" s="4"/>
      <c r="AL334" s="4"/>
      <c r="AM334" s="4"/>
      <c r="AN334" s="4"/>
      <c r="AO334" s="4"/>
      <c r="AP334" s="4"/>
      <c r="AQ334" s="4"/>
      <c r="AR334" s="4"/>
      <c r="AS334" s="4"/>
      <c r="AT334" s="4"/>
      <c r="AU334" s="4"/>
    </row>
    <row r="335" spans="1:47" ht="13.2">
      <c r="A335" s="120"/>
      <c r="B335" s="113"/>
      <c r="C335" s="117"/>
      <c r="D335" s="117"/>
      <c r="E335" s="117"/>
      <c r="F335" s="123"/>
      <c r="G335" s="93" t="s">
        <v>145</v>
      </c>
      <c r="H335" s="125"/>
      <c r="I335" s="125"/>
      <c r="J335" s="82" t="str">
        <f t="shared" ca="1" si="147"/>
        <v>#REF!</v>
      </c>
      <c r="K335" s="82" t="str">
        <f t="shared" ca="1" si="256"/>
        <v>#REF!</v>
      </c>
      <c r="L335" s="82" t="str">
        <f t="shared" ca="1" si="199"/>
        <v>#REF!</v>
      </c>
      <c r="M335" s="125"/>
      <c r="N335" s="125"/>
      <c r="O335" s="230">
        <f t="shared" si="2"/>
        <v>0</v>
      </c>
      <c r="P335" s="231">
        <f t="shared" si="3"/>
        <v>0</v>
      </c>
      <c r="Q335" s="232" t="str">
        <f ca="1">ROUNDUP(HLOOKUP(IF(CEILING(L335,0.5)&lt;1,1,CEILING(L335,0.5)),'배송비 조회'!A$32:AY$36,2,0),-2)</f>
        <v>#REF!</v>
      </c>
      <c r="R335" s="232">
        <v>0</v>
      </c>
      <c r="S335" s="231" t="str">
        <f t="shared" ca="1" si="250"/>
        <v>#REF!</v>
      </c>
      <c r="T335" s="231" t="str">
        <f t="shared" ca="1" si="200"/>
        <v>#REF!</v>
      </c>
      <c r="U335" s="233" t="str">
        <f t="shared" ca="1" si="142"/>
        <v>#REF!</v>
      </c>
      <c r="V335" s="233" t="str">
        <f t="shared" ca="1" si="7"/>
        <v>#REF!</v>
      </c>
      <c r="W335" s="234">
        <v>0</v>
      </c>
      <c r="X335" s="234" t="str">
        <f t="shared" ca="1" si="8"/>
        <v>#REF!</v>
      </c>
      <c r="Y335" s="234" t="str">
        <f t="shared" ca="1" si="9"/>
        <v>#REF!</v>
      </c>
      <c r="Z335" s="234" t="str">
        <f t="shared" ca="1" si="10"/>
        <v>#REF!</v>
      </c>
      <c r="AA335" s="234" t="str">
        <f t="shared" ca="1" si="11"/>
        <v>#REF!</v>
      </c>
      <c r="AB335" s="234" t="str">
        <f t="shared" ca="1" si="12"/>
        <v>#REF!</v>
      </c>
      <c r="AC335" s="234" t="str">
        <f t="shared" ca="1" si="13"/>
        <v>#REF!</v>
      </c>
      <c r="AD335" s="101" t="str">
        <f t="shared" ca="1" si="14"/>
        <v>#REF!</v>
      </c>
      <c r="AE335" s="101" t="str">
        <f t="shared" ca="1" si="15"/>
        <v>#REF!</v>
      </c>
      <c r="AF335" s="235" t="str">
        <f t="shared" ref="AF335:AG335" ca="1" si="412">AD335/U335</f>
        <v>#REF!</v>
      </c>
      <c r="AG335" s="235" t="str">
        <f t="shared" ca="1" si="412"/>
        <v>#REF!</v>
      </c>
      <c r="AH335" s="212"/>
      <c r="AI335" s="213"/>
      <c r="AJ335" s="4"/>
      <c r="AK335" s="4"/>
      <c r="AL335" s="4"/>
      <c r="AM335" s="4"/>
      <c r="AN335" s="4"/>
      <c r="AO335" s="4"/>
      <c r="AP335" s="4"/>
      <c r="AQ335" s="4"/>
      <c r="AR335" s="4"/>
      <c r="AS335" s="4"/>
      <c r="AT335" s="4"/>
      <c r="AU335" s="4"/>
    </row>
    <row r="336" spans="1:47" ht="13.2">
      <c r="A336" s="120"/>
      <c r="B336" s="113"/>
      <c r="C336" s="117"/>
      <c r="D336" s="117"/>
      <c r="E336" s="117"/>
      <c r="F336" s="123"/>
      <c r="G336" s="93" t="s">
        <v>145</v>
      </c>
      <c r="H336" s="125"/>
      <c r="I336" s="125"/>
      <c r="J336" s="82" t="str">
        <f t="shared" ca="1" si="147"/>
        <v>#REF!</v>
      </c>
      <c r="K336" s="82" t="str">
        <f t="shared" ca="1" si="256"/>
        <v>#REF!</v>
      </c>
      <c r="L336" s="82" t="str">
        <f t="shared" ca="1" si="199"/>
        <v>#REF!</v>
      </c>
      <c r="M336" s="125"/>
      <c r="N336" s="125"/>
      <c r="O336" s="230">
        <f t="shared" si="2"/>
        <v>0</v>
      </c>
      <c r="P336" s="231">
        <f t="shared" si="3"/>
        <v>0</v>
      </c>
      <c r="Q336" s="232" t="str">
        <f ca="1">ROUNDUP(HLOOKUP(IF(CEILING(L336,0.5)&lt;1,1,CEILING(L336,0.5)),'배송비 조회'!A$32:AY$36,2,0),-2)</f>
        <v>#REF!</v>
      </c>
      <c r="R336" s="232">
        <v>0</v>
      </c>
      <c r="S336" s="231" t="str">
        <f t="shared" ca="1" si="250"/>
        <v>#REF!</v>
      </c>
      <c r="T336" s="231" t="str">
        <f t="shared" ca="1" si="200"/>
        <v>#REF!</v>
      </c>
      <c r="U336" s="233" t="str">
        <f t="shared" ca="1" si="142"/>
        <v>#REF!</v>
      </c>
      <c r="V336" s="233" t="str">
        <f t="shared" ca="1" si="7"/>
        <v>#REF!</v>
      </c>
      <c r="W336" s="234">
        <v>0</v>
      </c>
      <c r="X336" s="234" t="str">
        <f t="shared" ca="1" si="8"/>
        <v>#REF!</v>
      </c>
      <c r="Y336" s="234" t="str">
        <f t="shared" ca="1" si="9"/>
        <v>#REF!</v>
      </c>
      <c r="Z336" s="234" t="str">
        <f t="shared" ca="1" si="10"/>
        <v>#REF!</v>
      </c>
      <c r="AA336" s="234" t="str">
        <f t="shared" ca="1" si="11"/>
        <v>#REF!</v>
      </c>
      <c r="AB336" s="234" t="str">
        <f t="shared" ca="1" si="12"/>
        <v>#REF!</v>
      </c>
      <c r="AC336" s="234" t="str">
        <f t="shared" ca="1" si="13"/>
        <v>#REF!</v>
      </c>
      <c r="AD336" s="101" t="str">
        <f t="shared" ca="1" si="14"/>
        <v>#REF!</v>
      </c>
      <c r="AE336" s="101" t="str">
        <f t="shared" ca="1" si="15"/>
        <v>#REF!</v>
      </c>
      <c r="AF336" s="235" t="str">
        <f t="shared" ref="AF336:AG336" ca="1" si="413">AD336/U336</f>
        <v>#REF!</v>
      </c>
      <c r="AG336" s="235" t="str">
        <f t="shared" ca="1" si="413"/>
        <v>#REF!</v>
      </c>
      <c r="AH336" s="212"/>
      <c r="AI336" s="213"/>
      <c r="AJ336" s="4"/>
      <c r="AK336" s="4"/>
      <c r="AL336" s="4"/>
      <c r="AM336" s="4"/>
      <c r="AN336" s="4"/>
      <c r="AO336" s="4"/>
      <c r="AP336" s="4"/>
      <c r="AQ336" s="4"/>
      <c r="AR336" s="4"/>
      <c r="AS336" s="4"/>
      <c r="AT336" s="4"/>
      <c r="AU336" s="4"/>
    </row>
    <row r="337" spans="1:47" ht="13.2">
      <c r="A337" s="120"/>
      <c r="B337" s="113"/>
      <c r="C337" s="117"/>
      <c r="D337" s="117"/>
      <c r="E337" s="117"/>
      <c r="F337" s="123"/>
      <c r="G337" s="93" t="s">
        <v>145</v>
      </c>
      <c r="H337" s="125"/>
      <c r="I337" s="125"/>
      <c r="J337" s="82" t="str">
        <f t="shared" ca="1" si="147"/>
        <v>#REF!</v>
      </c>
      <c r="K337" s="82" t="str">
        <f t="shared" ca="1" si="256"/>
        <v>#REF!</v>
      </c>
      <c r="L337" s="82" t="str">
        <f t="shared" ca="1" si="199"/>
        <v>#REF!</v>
      </c>
      <c r="M337" s="125"/>
      <c r="N337" s="125"/>
      <c r="O337" s="230">
        <f t="shared" si="2"/>
        <v>0</v>
      </c>
      <c r="P337" s="231">
        <f t="shared" si="3"/>
        <v>0</v>
      </c>
      <c r="Q337" s="232" t="str">
        <f ca="1">ROUNDUP(HLOOKUP(IF(CEILING(L337,0.5)&lt;1,1,CEILING(L337,0.5)),'배송비 조회'!A$32:AY$36,2,0),-2)</f>
        <v>#REF!</v>
      </c>
      <c r="R337" s="232">
        <v>0</v>
      </c>
      <c r="S337" s="231" t="str">
        <f t="shared" ca="1" si="250"/>
        <v>#REF!</v>
      </c>
      <c r="T337" s="231" t="str">
        <f t="shared" ca="1" si="200"/>
        <v>#REF!</v>
      </c>
      <c r="U337" s="233" t="str">
        <f t="shared" ca="1" si="142"/>
        <v>#REF!</v>
      </c>
      <c r="V337" s="233" t="str">
        <f t="shared" ca="1" si="7"/>
        <v>#REF!</v>
      </c>
      <c r="W337" s="234">
        <v>0</v>
      </c>
      <c r="X337" s="234" t="str">
        <f t="shared" ca="1" si="8"/>
        <v>#REF!</v>
      </c>
      <c r="Y337" s="234" t="str">
        <f t="shared" ca="1" si="9"/>
        <v>#REF!</v>
      </c>
      <c r="Z337" s="234" t="str">
        <f t="shared" ca="1" si="10"/>
        <v>#REF!</v>
      </c>
      <c r="AA337" s="234" t="str">
        <f t="shared" ca="1" si="11"/>
        <v>#REF!</v>
      </c>
      <c r="AB337" s="234" t="str">
        <f t="shared" ca="1" si="12"/>
        <v>#REF!</v>
      </c>
      <c r="AC337" s="234" t="str">
        <f t="shared" ca="1" si="13"/>
        <v>#REF!</v>
      </c>
      <c r="AD337" s="101" t="str">
        <f t="shared" ca="1" si="14"/>
        <v>#REF!</v>
      </c>
      <c r="AE337" s="101" t="str">
        <f t="shared" ca="1" si="15"/>
        <v>#REF!</v>
      </c>
      <c r="AF337" s="235" t="str">
        <f t="shared" ref="AF337:AG337" ca="1" si="414">AD337/U337</f>
        <v>#REF!</v>
      </c>
      <c r="AG337" s="235" t="str">
        <f t="shared" ca="1" si="414"/>
        <v>#REF!</v>
      </c>
      <c r="AH337" s="212"/>
      <c r="AI337" s="213"/>
      <c r="AJ337" s="4"/>
      <c r="AK337" s="4"/>
      <c r="AL337" s="4"/>
      <c r="AM337" s="4"/>
      <c r="AN337" s="4"/>
      <c r="AO337" s="4"/>
      <c r="AP337" s="4"/>
      <c r="AQ337" s="4"/>
      <c r="AR337" s="4"/>
      <c r="AS337" s="4"/>
      <c r="AT337" s="4"/>
      <c r="AU337" s="4"/>
    </row>
    <row r="338" spans="1:47" ht="13.2">
      <c r="A338" s="120"/>
      <c r="B338" s="113"/>
      <c r="C338" s="117"/>
      <c r="D338" s="117"/>
      <c r="E338" s="117"/>
      <c r="F338" s="123"/>
      <c r="G338" s="93" t="s">
        <v>145</v>
      </c>
      <c r="H338" s="125"/>
      <c r="I338" s="125"/>
      <c r="J338" s="82" t="str">
        <f t="shared" ca="1" si="147"/>
        <v>#REF!</v>
      </c>
      <c r="K338" s="82" t="str">
        <f t="shared" ca="1" si="256"/>
        <v>#REF!</v>
      </c>
      <c r="L338" s="82" t="str">
        <f t="shared" ca="1" si="199"/>
        <v>#REF!</v>
      </c>
      <c r="M338" s="125"/>
      <c r="N338" s="125"/>
      <c r="O338" s="230">
        <f t="shared" si="2"/>
        <v>0</v>
      </c>
      <c r="P338" s="231">
        <f t="shared" si="3"/>
        <v>0</v>
      </c>
      <c r="Q338" s="232" t="str">
        <f ca="1">ROUNDUP(HLOOKUP(IF(CEILING(L338,0.5)&lt;1,1,CEILING(L338,0.5)),'배송비 조회'!A$32:AY$36,2,0),-2)</f>
        <v>#REF!</v>
      </c>
      <c r="R338" s="232">
        <v>0</v>
      </c>
      <c r="S338" s="231" t="str">
        <f t="shared" ca="1" si="250"/>
        <v>#REF!</v>
      </c>
      <c r="T338" s="231" t="str">
        <f t="shared" ca="1" si="200"/>
        <v>#REF!</v>
      </c>
      <c r="U338" s="233" t="str">
        <f t="shared" ca="1" si="142"/>
        <v>#REF!</v>
      </c>
      <c r="V338" s="233" t="str">
        <f t="shared" ca="1" si="7"/>
        <v>#REF!</v>
      </c>
      <c r="W338" s="234">
        <v>0</v>
      </c>
      <c r="X338" s="234" t="str">
        <f t="shared" ca="1" si="8"/>
        <v>#REF!</v>
      </c>
      <c r="Y338" s="234" t="str">
        <f t="shared" ca="1" si="9"/>
        <v>#REF!</v>
      </c>
      <c r="Z338" s="234" t="str">
        <f t="shared" ca="1" si="10"/>
        <v>#REF!</v>
      </c>
      <c r="AA338" s="234" t="str">
        <f t="shared" ca="1" si="11"/>
        <v>#REF!</v>
      </c>
      <c r="AB338" s="234" t="str">
        <f t="shared" ca="1" si="12"/>
        <v>#REF!</v>
      </c>
      <c r="AC338" s="234" t="str">
        <f t="shared" ca="1" si="13"/>
        <v>#REF!</v>
      </c>
      <c r="AD338" s="101" t="str">
        <f t="shared" ca="1" si="14"/>
        <v>#REF!</v>
      </c>
      <c r="AE338" s="101" t="str">
        <f t="shared" ca="1" si="15"/>
        <v>#REF!</v>
      </c>
      <c r="AF338" s="235" t="str">
        <f t="shared" ref="AF338:AG338" ca="1" si="415">AD338/U338</f>
        <v>#REF!</v>
      </c>
      <c r="AG338" s="235" t="str">
        <f t="shared" ca="1" si="415"/>
        <v>#REF!</v>
      </c>
      <c r="AH338" s="212"/>
      <c r="AI338" s="213"/>
      <c r="AJ338" s="4"/>
      <c r="AK338" s="4"/>
      <c r="AL338" s="4"/>
      <c r="AM338" s="4"/>
      <c r="AN338" s="4"/>
      <c r="AO338" s="4"/>
      <c r="AP338" s="4"/>
      <c r="AQ338" s="4"/>
      <c r="AR338" s="4"/>
      <c r="AS338" s="4"/>
      <c r="AT338" s="4"/>
      <c r="AU338" s="4"/>
    </row>
    <row r="339" spans="1:47" ht="13.2">
      <c r="A339" s="120"/>
      <c r="B339" s="113"/>
      <c r="C339" s="117"/>
      <c r="D339" s="117"/>
      <c r="E339" s="117"/>
      <c r="F339" s="123"/>
      <c r="G339" s="93" t="s">
        <v>145</v>
      </c>
      <c r="H339" s="125"/>
      <c r="I339" s="125"/>
      <c r="J339" s="82" t="str">
        <f t="shared" ca="1" si="147"/>
        <v>#REF!</v>
      </c>
      <c r="K339" s="82" t="str">
        <f t="shared" ca="1" si="256"/>
        <v>#REF!</v>
      </c>
      <c r="L339" s="82" t="str">
        <f t="shared" ca="1" si="199"/>
        <v>#REF!</v>
      </c>
      <c r="M339" s="125"/>
      <c r="N339" s="125"/>
      <c r="O339" s="230">
        <f t="shared" si="2"/>
        <v>0</v>
      </c>
      <c r="P339" s="231">
        <f t="shared" si="3"/>
        <v>0</v>
      </c>
      <c r="Q339" s="232" t="str">
        <f ca="1">ROUNDUP(HLOOKUP(IF(CEILING(L339,0.5)&lt;1,1,CEILING(L339,0.5)),'배송비 조회'!A$32:AY$36,2,0),-2)</f>
        <v>#REF!</v>
      </c>
      <c r="R339" s="232">
        <v>0</v>
      </c>
      <c r="S339" s="231" t="str">
        <f t="shared" ca="1" si="250"/>
        <v>#REF!</v>
      </c>
      <c r="T339" s="231" t="str">
        <f t="shared" ca="1" si="200"/>
        <v>#REF!</v>
      </c>
      <c r="U339" s="233" t="str">
        <f t="shared" ca="1" si="142"/>
        <v>#REF!</v>
      </c>
      <c r="V339" s="233" t="str">
        <f t="shared" ca="1" si="7"/>
        <v>#REF!</v>
      </c>
      <c r="W339" s="234">
        <v>0</v>
      </c>
      <c r="X339" s="234" t="str">
        <f t="shared" ca="1" si="8"/>
        <v>#REF!</v>
      </c>
      <c r="Y339" s="234" t="str">
        <f t="shared" ca="1" si="9"/>
        <v>#REF!</v>
      </c>
      <c r="Z339" s="234" t="str">
        <f t="shared" ca="1" si="10"/>
        <v>#REF!</v>
      </c>
      <c r="AA339" s="234" t="str">
        <f t="shared" ca="1" si="11"/>
        <v>#REF!</v>
      </c>
      <c r="AB339" s="234" t="str">
        <f t="shared" ca="1" si="12"/>
        <v>#REF!</v>
      </c>
      <c r="AC339" s="234" t="str">
        <f t="shared" ca="1" si="13"/>
        <v>#REF!</v>
      </c>
      <c r="AD339" s="101" t="str">
        <f t="shared" ca="1" si="14"/>
        <v>#REF!</v>
      </c>
      <c r="AE339" s="101" t="str">
        <f t="shared" ca="1" si="15"/>
        <v>#REF!</v>
      </c>
      <c r="AF339" s="235" t="str">
        <f t="shared" ref="AF339:AG339" ca="1" si="416">AD339/U339</f>
        <v>#REF!</v>
      </c>
      <c r="AG339" s="235" t="str">
        <f t="shared" ca="1" si="416"/>
        <v>#REF!</v>
      </c>
      <c r="AH339" s="212"/>
      <c r="AI339" s="213"/>
      <c r="AJ339" s="4"/>
      <c r="AK339" s="4"/>
      <c r="AL339" s="4"/>
      <c r="AM339" s="4"/>
      <c r="AN339" s="4"/>
      <c r="AO339" s="4"/>
      <c r="AP339" s="4"/>
      <c r="AQ339" s="4"/>
      <c r="AR339" s="4"/>
      <c r="AS339" s="4"/>
      <c r="AT339" s="4"/>
      <c r="AU339" s="4"/>
    </row>
    <row r="340" spans="1:47" ht="13.2">
      <c r="A340" s="120"/>
      <c r="B340" s="113"/>
      <c r="C340" s="117"/>
      <c r="D340" s="117"/>
      <c r="E340" s="117"/>
      <c r="F340" s="123"/>
      <c r="G340" s="93" t="s">
        <v>145</v>
      </c>
      <c r="H340" s="125"/>
      <c r="I340" s="125"/>
      <c r="J340" s="82" t="str">
        <f t="shared" ca="1" si="147"/>
        <v>#REF!</v>
      </c>
      <c r="K340" s="82" t="str">
        <f t="shared" ca="1" si="256"/>
        <v>#REF!</v>
      </c>
      <c r="L340" s="82" t="str">
        <f t="shared" ca="1" si="199"/>
        <v>#REF!</v>
      </c>
      <c r="M340" s="125"/>
      <c r="N340" s="125"/>
      <c r="O340" s="230">
        <f t="shared" si="2"/>
        <v>0</v>
      </c>
      <c r="P340" s="231">
        <f t="shared" si="3"/>
        <v>0</v>
      </c>
      <c r="Q340" s="232" t="str">
        <f ca="1">ROUNDUP(HLOOKUP(IF(CEILING(L340,0.5)&lt;1,1,CEILING(L340,0.5)),'배송비 조회'!A$32:AY$36,2,0),-2)</f>
        <v>#REF!</v>
      </c>
      <c r="R340" s="232">
        <v>0</v>
      </c>
      <c r="S340" s="231" t="str">
        <f t="shared" ca="1" si="250"/>
        <v>#REF!</v>
      </c>
      <c r="T340" s="231" t="str">
        <f t="shared" ca="1" si="200"/>
        <v>#REF!</v>
      </c>
      <c r="U340" s="233" t="str">
        <f t="shared" ca="1" si="142"/>
        <v>#REF!</v>
      </c>
      <c r="V340" s="233" t="str">
        <f t="shared" ca="1" si="7"/>
        <v>#REF!</v>
      </c>
      <c r="W340" s="234">
        <v>0</v>
      </c>
      <c r="X340" s="234" t="str">
        <f t="shared" ca="1" si="8"/>
        <v>#REF!</v>
      </c>
      <c r="Y340" s="234" t="str">
        <f t="shared" ca="1" si="9"/>
        <v>#REF!</v>
      </c>
      <c r="Z340" s="234" t="str">
        <f t="shared" ca="1" si="10"/>
        <v>#REF!</v>
      </c>
      <c r="AA340" s="234" t="str">
        <f t="shared" ca="1" si="11"/>
        <v>#REF!</v>
      </c>
      <c r="AB340" s="234" t="str">
        <f t="shared" ca="1" si="12"/>
        <v>#REF!</v>
      </c>
      <c r="AC340" s="234" t="str">
        <f t="shared" ca="1" si="13"/>
        <v>#REF!</v>
      </c>
      <c r="AD340" s="101" t="str">
        <f t="shared" ca="1" si="14"/>
        <v>#REF!</v>
      </c>
      <c r="AE340" s="101" t="str">
        <f t="shared" ca="1" si="15"/>
        <v>#REF!</v>
      </c>
      <c r="AF340" s="235" t="str">
        <f t="shared" ref="AF340:AG340" ca="1" si="417">AD340/U340</f>
        <v>#REF!</v>
      </c>
      <c r="AG340" s="235" t="str">
        <f t="shared" ca="1" si="417"/>
        <v>#REF!</v>
      </c>
      <c r="AH340" s="212"/>
      <c r="AI340" s="213"/>
      <c r="AJ340" s="4"/>
      <c r="AK340" s="4"/>
      <c r="AL340" s="4"/>
      <c r="AM340" s="4"/>
      <c r="AN340" s="4"/>
      <c r="AO340" s="4"/>
      <c r="AP340" s="4"/>
      <c r="AQ340" s="4"/>
      <c r="AR340" s="4"/>
      <c r="AS340" s="4"/>
      <c r="AT340" s="4"/>
      <c r="AU340" s="4"/>
    </row>
    <row r="341" spans="1:47" ht="13.2">
      <c r="A341" s="120"/>
      <c r="B341" s="113"/>
      <c r="C341" s="117"/>
      <c r="D341" s="117"/>
      <c r="E341" s="117"/>
      <c r="F341" s="123"/>
      <c r="G341" s="93" t="s">
        <v>145</v>
      </c>
      <c r="H341" s="125"/>
      <c r="I341" s="125"/>
      <c r="J341" s="82" t="str">
        <f t="shared" ca="1" si="147"/>
        <v>#REF!</v>
      </c>
      <c r="K341" s="82" t="str">
        <f t="shared" ca="1" si="256"/>
        <v>#REF!</v>
      </c>
      <c r="L341" s="82" t="str">
        <f t="shared" ca="1" si="199"/>
        <v>#REF!</v>
      </c>
      <c r="M341" s="125"/>
      <c r="N341" s="125"/>
      <c r="O341" s="230">
        <f t="shared" si="2"/>
        <v>0</v>
      </c>
      <c r="P341" s="231">
        <f t="shared" si="3"/>
        <v>0</v>
      </c>
      <c r="Q341" s="232" t="str">
        <f ca="1">ROUNDUP(HLOOKUP(IF(CEILING(L341,0.5)&lt;1,1,CEILING(L341,0.5)),'배송비 조회'!A$32:AY$36,2,0),-2)</f>
        <v>#REF!</v>
      </c>
      <c r="R341" s="232">
        <v>0</v>
      </c>
      <c r="S341" s="231" t="str">
        <f t="shared" ca="1" si="250"/>
        <v>#REF!</v>
      </c>
      <c r="T341" s="231" t="str">
        <f t="shared" ca="1" si="200"/>
        <v>#REF!</v>
      </c>
      <c r="U341" s="233" t="str">
        <f t="shared" ca="1" si="142"/>
        <v>#REF!</v>
      </c>
      <c r="V341" s="233" t="str">
        <f t="shared" ca="1" si="7"/>
        <v>#REF!</v>
      </c>
      <c r="W341" s="234">
        <v>0</v>
      </c>
      <c r="X341" s="234" t="str">
        <f t="shared" ca="1" si="8"/>
        <v>#REF!</v>
      </c>
      <c r="Y341" s="234" t="str">
        <f t="shared" ca="1" si="9"/>
        <v>#REF!</v>
      </c>
      <c r="Z341" s="234" t="str">
        <f t="shared" ca="1" si="10"/>
        <v>#REF!</v>
      </c>
      <c r="AA341" s="234" t="str">
        <f t="shared" ca="1" si="11"/>
        <v>#REF!</v>
      </c>
      <c r="AB341" s="234" t="str">
        <f t="shared" ca="1" si="12"/>
        <v>#REF!</v>
      </c>
      <c r="AC341" s="234" t="str">
        <f t="shared" ca="1" si="13"/>
        <v>#REF!</v>
      </c>
      <c r="AD341" s="101" t="str">
        <f t="shared" ca="1" si="14"/>
        <v>#REF!</v>
      </c>
      <c r="AE341" s="101" t="str">
        <f t="shared" ca="1" si="15"/>
        <v>#REF!</v>
      </c>
      <c r="AF341" s="235" t="str">
        <f t="shared" ref="AF341:AG341" ca="1" si="418">AD341/U341</f>
        <v>#REF!</v>
      </c>
      <c r="AG341" s="235" t="str">
        <f t="shared" ca="1" si="418"/>
        <v>#REF!</v>
      </c>
      <c r="AH341" s="212"/>
      <c r="AI341" s="213"/>
      <c r="AJ341" s="4"/>
      <c r="AK341" s="4"/>
      <c r="AL341" s="4"/>
      <c r="AM341" s="4"/>
      <c r="AN341" s="4"/>
      <c r="AO341" s="4"/>
      <c r="AP341" s="4"/>
      <c r="AQ341" s="4"/>
      <c r="AR341" s="4"/>
      <c r="AS341" s="4"/>
      <c r="AT341" s="4"/>
      <c r="AU341" s="4"/>
    </row>
    <row r="342" spans="1:47" ht="13.2">
      <c r="A342" s="120"/>
      <c r="B342" s="113"/>
      <c r="C342" s="117"/>
      <c r="D342" s="117"/>
      <c r="E342" s="117"/>
      <c r="F342" s="123"/>
      <c r="G342" s="93" t="s">
        <v>145</v>
      </c>
      <c r="H342" s="125"/>
      <c r="I342" s="125"/>
      <c r="J342" s="82" t="str">
        <f t="shared" ca="1" si="147"/>
        <v>#REF!</v>
      </c>
      <c r="K342" s="82" t="str">
        <f t="shared" ca="1" si="256"/>
        <v>#REF!</v>
      </c>
      <c r="L342" s="82" t="str">
        <f t="shared" ca="1" si="199"/>
        <v>#REF!</v>
      </c>
      <c r="M342" s="125"/>
      <c r="N342" s="125"/>
      <c r="O342" s="230">
        <f t="shared" si="2"/>
        <v>0</v>
      </c>
      <c r="P342" s="231">
        <f t="shared" si="3"/>
        <v>0</v>
      </c>
      <c r="Q342" s="232" t="str">
        <f ca="1">ROUNDUP(HLOOKUP(IF(CEILING(L342,0.5)&lt;1,1,CEILING(L342,0.5)),'배송비 조회'!A$32:AY$36,2,0),-2)</f>
        <v>#REF!</v>
      </c>
      <c r="R342" s="232">
        <v>0</v>
      </c>
      <c r="S342" s="231" t="str">
        <f t="shared" ca="1" si="250"/>
        <v>#REF!</v>
      </c>
      <c r="T342" s="231" t="str">
        <f t="shared" ca="1" si="200"/>
        <v>#REF!</v>
      </c>
      <c r="U342" s="233" t="str">
        <f t="shared" ca="1" si="142"/>
        <v>#REF!</v>
      </c>
      <c r="V342" s="233" t="str">
        <f t="shared" ca="1" si="7"/>
        <v>#REF!</v>
      </c>
      <c r="W342" s="234">
        <v>0</v>
      </c>
      <c r="X342" s="234" t="str">
        <f t="shared" ca="1" si="8"/>
        <v>#REF!</v>
      </c>
      <c r="Y342" s="234" t="str">
        <f t="shared" ca="1" si="9"/>
        <v>#REF!</v>
      </c>
      <c r="Z342" s="234" t="str">
        <f t="shared" ca="1" si="10"/>
        <v>#REF!</v>
      </c>
      <c r="AA342" s="234" t="str">
        <f t="shared" ca="1" si="11"/>
        <v>#REF!</v>
      </c>
      <c r="AB342" s="234" t="str">
        <f t="shared" ca="1" si="12"/>
        <v>#REF!</v>
      </c>
      <c r="AC342" s="234" t="str">
        <f t="shared" ca="1" si="13"/>
        <v>#REF!</v>
      </c>
      <c r="AD342" s="101" t="str">
        <f t="shared" ca="1" si="14"/>
        <v>#REF!</v>
      </c>
      <c r="AE342" s="101" t="str">
        <f t="shared" ca="1" si="15"/>
        <v>#REF!</v>
      </c>
      <c r="AF342" s="235" t="str">
        <f t="shared" ref="AF342:AG342" ca="1" si="419">AD342/U342</f>
        <v>#REF!</v>
      </c>
      <c r="AG342" s="235" t="str">
        <f t="shared" ca="1" si="419"/>
        <v>#REF!</v>
      </c>
      <c r="AH342" s="212"/>
      <c r="AI342" s="213"/>
      <c r="AJ342" s="4"/>
      <c r="AK342" s="4"/>
      <c r="AL342" s="4"/>
      <c r="AM342" s="4"/>
      <c r="AN342" s="4"/>
      <c r="AO342" s="4"/>
      <c r="AP342" s="4"/>
      <c r="AQ342" s="4"/>
      <c r="AR342" s="4"/>
      <c r="AS342" s="4"/>
      <c r="AT342" s="4"/>
      <c r="AU342" s="4"/>
    </row>
    <row r="343" spans="1:47" ht="13.2">
      <c r="A343" s="120"/>
      <c r="B343" s="113"/>
      <c r="C343" s="117"/>
      <c r="D343" s="117"/>
      <c r="E343" s="117"/>
      <c r="F343" s="123"/>
      <c r="G343" s="93" t="s">
        <v>145</v>
      </c>
      <c r="H343" s="125"/>
      <c r="I343" s="125"/>
      <c r="J343" s="82" t="str">
        <f t="shared" ca="1" si="147"/>
        <v>#REF!</v>
      </c>
      <c r="K343" s="82" t="str">
        <f t="shared" ca="1" si="256"/>
        <v>#REF!</v>
      </c>
      <c r="L343" s="82" t="str">
        <f t="shared" ca="1" si="199"/>
        <v>#REF!</v>
      </c>
      <c r="M343" s="125"/>
      <c r="N343" s="125"/>
      <c r="O343" s="230">
        <f t="shared" si="2"/>
        <v>0</v>
      </c>
      <c r="P343" s="231">
        <f t="shared" si="3"/>
        <v>0</v>
      </c>
      <c r="Q343" s="232" t="str">
        <f ca="1">ROUNDUP(HLOOKUP(IF(CEILING(L343,0.5)&lt;1,1,CEILING(L343,0.5)),'배송비 조회'!A$32:AY$36,2,0),-2)</f>
        <v>#REF!</v>
      </c>
      <c r="R343" s="232">
        <v>0</v>
      </c>
      <c r="S343" s="231" t="str">
        <f t="shared" ca="1" si="250"/>
        <v>#REF!</v>
      </c>
      <c r="T343" s="231" t="str">
        <f t="shared" ca="1" si="200"/>
        <v>#REF!</v>
      </c>
      <c r="U343" s="233" t="str">
        <f t="shared" ca="1" si="142"/>
        <v>#REF!</v>
      </c>
      <c r="V343" s="233" t="str">
        <f t="shared" ca="1" si="7"/>
        <v>#REF!</v>
      </c>
      <c r="W343" s="234">
        <v>0</v>
      </c>
      <c r="X343" s="234" t="str">
        <f t="shared" ca="1" si="8"/>
        <v>#REF!</v>
      </c>
      <c r="Y343" s="234" t="str">
        <f t="shared" ca="1" si="9"/>
        <v>#REF!</v>
      </c>
      <c r="Z343" s="234" t="str">
        <f t="shared" ca="1" si="10"/>
        <v>#REF!</v>
      </c>
      <c r="AA343" s="234" t="str">
        <f t="shared" ca="1" si="11"/>
        <v>#REF!</v>
      </c>
      <c r="AB343" s="234" t="str">
        <f t="shared" ca="1" si="12"/>
        <v>#REF!</v>
      </c>
      <c r="AC343" s="234" t="str">
        <f t="shared" ca="1" si="13"/>
        <v>#REF!</v>
      </c>
      <c r="AD343" s="101" t="str">
        <f t="shared" ca="1" si="14"/>
        <v>#REF!</v>
      </c>
      <c r="AE343" s="101" t="str">
        <f t="shared" ca="1" si="15"/>
        <v>#REF!</v>
      </c>
      <c r="AF343" s="235" t="str">
        <f t="shared" ref="AF343:AG343" ca="1" si="420">AD343/U343</f>
        <v>#REF!</v>
      </c>
      <c r="AG343" s="235" t="str">
        <f t="shared" ca="1" si="420"/>
        <v>#REF!</v>
      </c>
      <c r="AH343" s="212"/>
      <c r="AI343" s="213"/>
      <c r="AJ343" s="4"/>
      <c r="AK343" s="4"/>
      <c r="AL343" s="4"/>
      <c r="AM343" s="4"/>
      <c r="AN343" s="4"/>
      <c r="AO343" s="4"/>
      <c r="AP343" s="4"/>
      <c r="AQ343" s="4"/>
      <c r="AR343" s="4"/>
      <c r="AS343" s="4"/>
      <c r="AT343" s="4"/>
      <c r="AU343" s="4"/>
    </row>
    <row r="344" spans="1:47" ht="13.2">
      <c r="A344" s="120"/>
      <c r="B344" s="113"/>
      <c r="C344" s="117"/>
      <c r="D344" s="117"/>
      <c r="E344" s="117"/>
      <c r="F344" s="123"/>
      <c r="G344" s="93" t="s">
        <v>145</v>
      </c>
      <c r="H344" s="125"/>
      <c r="I344" s="125"/>
      <c r="J344" s="82" t="str">
        <f t="shared" ca="1" si="147"/>
        <v>#REF!</v>
      </c>
      <c r="K344" s="82" t="str">
        <f t="shared" ca="1" si="256"/>
        <v>#REF!</v>
      </c>
      <c r="L344" s="82" t="str">
        <f t="shared" ca="1" si="199"/>
        <v>#REF!</v>
      </c>
      <c r="M344" s="125"/>
      <c r="N344" s="125"/>
      <c r="O344" s="230">
        <f t="shared" si="2"/>
        <v>0</v>
      </c>
      <c r="P344" s="231">
        <f t="shared" si="3"/>
        <v>0</v>
      </c>
      <c r="Q344" s="232" t="str">
        <f ca="1">ROUNDUP(HLOOKUP(IF(CEILING(L344,0.5)&lt;1,1,CEILING(L344,0.5)),'배송비 조회'!A$32:AY$36,2,0),-2)</f>
        <v>#REF!</v>
      </c>
      <c r="R344" s="232">
        <v>0</v>
      </c>
      <c r="S344" s="231" t="str">
        <f t="shared" ca="1" si="250"/>
        <v>#REF!</v>
      </c>
      <c r="T344" s="231" t="str">
        <f t="shared" ca="1" si="200"/>
        <v>#REF!</v>
      </c>
      <c r="U344" s="233" t="str">
        <f t="shared" ca="1" si="142"/>
        <v>#REF!</v>
      </c>
      <c r="V344" s="233" t="str">
        <f t="shared" ca="1" si="7"/>
        <v>#REF!</v>
      </c>
      <c r="W344" s="234">
        <v>0</v>
      </c>
      <c r="X344" s="234" t="str">
        <f t="shared" ca="1" si="8"/>
        <v>#REF!</v>
      </c>
      <c r="Y344" s="234" t="str">
        <f t="shared" ca="1" si="9"/>
        <v>#REF!</v>
      </c>
      <c r="Z344" s="234" t="str">
        <f t="shared" ca="1" si="10"/>
        <v>#REF!</v>
      </c>
      <c r="AA344" s="234" t="str">
        <f t="shared" ca="1" si="11"/>
        <v>#REF!</v>
      </c>
      <c r="AB344" s="234" t="str">
        <f t="shared" ca="1" si="12"/>
        <v>#REF!</v>
      </c>
      <c r="AC344" s="234" t="str">
        <f t="shared" ca="1" si="13"/>
        <v>#REF!</v>
      </c>
      <c r="AD344" s="101" t="str">
        <f t="shared" ca="1" si="14"/>
        <v>#REF!</v>
      </c>
      <c r="AE344" s="101" t="str">
        <f t="shared" ca="1" si="15"/>
        <v>#REF!</v>
      </c>
      <c r="AF344" s="235" t="str">
        <f t="shared" ref="AF344:AG344" ca="1" si="421">AD344/U344</f>
        <v>#REF!</v>
      </c>
      <c r="AG344" s="235" t="str">
        <f t="shared" ca="1" si="421"/>
        <v>#REF!</v>
      </c>
      <c r="AH344" s="212"/>
      <c r="AI344" s="213"/>
      <c r="AJ344" s="4"/>
      <c r="AK344" s="4"/>
      <c r="AL344" s="4"/>
      <c r="AM344" s="4"/>
      <c r="AN344" s="4"/>
      <c r="AO344" s="4"/>
      <c r="AP344" s="4"/>
      <c r="AQ344" s="4"/>
      <c r="AR344" s="4"/>
      <c r="AS344" s="4"/>
      <c r="AT344" s="4"/>
      <c r="AU344" s="4"/>
    </row>
    <row r="345" spans="1:47" ht="13.2">
      <c r="A345" s="120"/>
      <c r="B345" s="113"/>
      <c r="C345" s="117"/>
      <c r="D345" s="117"/>
      <c r="E345" s="117"/>
      <c r="F345" s="123"/>
      <c r="G345" s="93" t="s">
        <v>145</v>
      </c>
      <c r="H345" s="125"/>
      <c r="I345" s="125"/>
      <c r="J345" s="82" t="str">
        <f t="shared" ca="1" si="147"/>
        <v>#REF!</v>
      </c>
      <c r="K345" s="82" t="str">
        <f t="shared" ca="1" si="256"/>
        <v>#REF!</v>
      </c>
      <c r="L345" s="82" t="str">
        <f t="shared" ca="1" si="199"/>
        <v>#REF!</v>
      </c>
      <c r="M345" s="125"/>
      <c r="N345" s="125"/>
      <c r="O345" s="230">
        <f t="shared" si="2"/>
        <v>0</v>
      </c>
      <c r="P345" s="231">
        <f t="shared" si="3"/>
        <v>0</v>
      </c>
      <c r="Q345" s="232" t="str">
        <f ca="1">ROUNDUP(HLOOKUP(IF(CEILING(L345,0.5)&lt;1,1,CEILING(L345,0.5)),'배송비 조회'!A$32:AY$36,2,0),-2)</f>
        <v>#REF!</v>
      </c>
      <c r="R345" s="232">
        <v>0</v>
      </c>
      <c r="S345" s="231" t="str">
        <f t="shared" ca="1" si="250"/>
        <v>#REF!</v>
      </c>
      <c r="T345" s="231" t="str">
        <f t="shared" ca="1" si="200"/>
        <v>#REF!</v>
      </c>
      <c r="U345" s="233" t="str">
        <f t="shared" ca="1" si="142"/>
        <v>#REF!</v>
      </c>
      <c r="V345" s="233" t="str">
        <f t="shared" ca="1" si="7"/>
        <v>#REF!</v>
      </c>
      <c r="W345" s="234">
        <v>0</v>
      </c>
      <c r="X345" s="234" t="str">
        <f t="shared" ca="1" si="8"/>
        <v>#REF!</v>
      </c>
      <c r="Y345" s="234" t="str">
        <f t="shared" ca="1" si="9"/>
        <v>#REF!</v>
      </c>
      <c r="Z345" s="234" t="str">
        <f t="shared" ca="1" si="10"/>
        <v>#REF!</v>
      </c>
      <c r="AA345" s="234" t="str">
        <f t="shared" ca="1" si="11"/>
        <v>#REF!</v>
      </c>
      <c r="AB345" s="234" t="str">
        <f t="shared" ca="1" si="12"/>
        <v>#REF!</v>
      </c>
      <c r="AC345" s="234" t="str">
        <f t="shared" ca="1" si="13"/>
        <v>#REF!</v>
      </c>
      <c r="AD345" s="101" t="str">
        <f t="shared" ca="1" si="14"/>
        <v>#REF!</v>
      </c>
      <c r="AE345" s="101" t="str">
        <f t="shared" ca="1" si="15"/>
        <v>#REF!</v>
      </c>
      <c r="AF345" s="235" t="str">
        <f t="shared" ref="AF345:AG345" ca="1" si="422">AD345/U345</f>
        <v>#REF!</v>
      </c>
      <c r="AG345" s="235" t="str">
        <f t="shared" ca="1" si="422"/>
        <v>#REF!</v>
      </c>
      <c r="AH345" s="212"/>
      <c r="AI345" s="213"/>
      <c r="AJ345" s="4"/>
      <c r="AK345" s="4"/>
      <c r="AL345" s="4"/>
      <c r="AM345" s="4"/>
      <c r="AN345" s="4"/>
      <c r="AO345" s="4"/>
      <c r="AP345" s="4"/>
      <c r="AQ345" s="4"/>
      <c r="AR345" s="4"/>
      <c r="AS345" s="4"/>
      <c r="AT345" s="4"/>
      <c r="AU345" s="4"/>
    </row>
    <row r="346" spans="1:47" ht="13.2">
      <c r="A346" s="120"/>
      <c r="B346" s="113"/>
      <c r="C346" s="117"/>
      <c r="D346" s="117"/>
      <c r="E346" s="117"/>
      <c r="F346" s="123"/>
      <c r="G346" s="93" t="s">
        <v>145</v>
      </c>
      <c r="H346" s="125"/>
      <c r="I346" s="125"/>
      <c r="J346" s="82" t="str">
        <f t="shared" ca="1" si="147"/>
        <v>#REF!</v>
      </c>
      <c r="K346" s="82" t="str">
        <f t="shared" ca="1" si="256"/>
        <v>#REF!</v>
      </c>
      <c r="L346" s="82" t="str">
        <f t="shared" ca="1" si="199"/>
        <v>#REF!</v>
      </c>
      <c r="M346" s="125"/>
      <c r="N346" s="125"/>
      <c r="O346" s="230">
        <f t="shared" si="2"/>
        <v>0</v>
      </c>
      <c r="P346" s="231">
        <f t="shared" si="3"/>
        <v>0</v>
      </c>
      <c r="Q346" s="232" t="str">
        <f ca="1">ROUNDUP(HLOOKUP(IF(CEILING(L346,0.5)&lt;1,1,CEILING(L346,0.5)),'배송비 조회'!A$32:AY$36,2,0),-2)</f>
        <v>#REF!</v>
      </c>
      <c r="R346" s="232">
        <v>0</v>
      </c>
      <c r="S346" s="231" t="str">
        <f t="shared" ca="1" si="250"/>
        <v>#REF!</v>
      </c>
      <c r="T346" s="231" t="str">
        <f t="shared" ca="1" si="200"/>
        <v>#REF!</v>
      </c>
      <c r="U346" s="233" t="str">
        <f t="shared" ca="1" si="142"/>
        <v>#REF!</v>
      </c>
      <c r="V346" s="233" t="str">
        <f t="shared" ca="1" si="7"/>
        <v>#REF!</v>
      </c>
      <c r="W346" s="234">
        <v>0</v>
      </c>
      <c r="X346" s="234" t="str">
        <f t="shared" ca="1" si="8"/>
        <v>#REF!</v>
      </c>
      <c r="Y346" s="234" t="str">
        <f t="shared" ca="1" si="9"/>
        <v>#REF!</v>
      </c>
      <c r="Z346" s="234" t="str">
        <f t="shared" ca="1" si="10"/>
        <v>#REF!</v>
      </c>
      <c r="AA346" s="234" t="str">
        <f t="shared" ca="1" si="11"/>
        <v>#REF!</v>
      </c>
      <c r="AB346" s="234" t="str">
        <f t="shared" ca="1" si="12"/>
        <v>#REF!</v>
      </c>
      <c r="AC346" s="234" t="str">
        <f t="shared" ca="1" si="13"/>
        <v>#REF!</v>
      </c>
      <c r="AD346" s="101" t="str">
        <f t="shared" ca="1" si="14"/>
        <v>#REF!</v>
      </c>
      <c r="AE346" s="101" t="str">
        <f t="shared" ca="1" si="15"/>
        <v>#REF!</v>
      </c>
      <c r="AF346" s="235" t="str">
        <f t="shared" ref="AF346:AG346" ca="1" si="423">AD346/U346</f>
        <v>#REF!</v>
      </c>
      <c r="AG346" s="235" t="str">
        <f t="shared" ca="1" si="423"/>
        <v>#REF!</v>
      </c>
      <c r="AH346" s="212"/>
      <c r="AI346" s="213"/>
      <c r="AJ346" s="4"/>
      <c r="AK346" s="4"/>
      <c r="AL346" s="4"/>
      <c r="AM346" s="4"/>
      <c r="AN346" s="4"/>
      <c r="AO346" s="4"/>
      <c r="AP346" s="4"/>
      <c r="AQ346" s="4"/>
      <c r="AR346" s="4"/>
      <c r="AS346" s="4"/>
      <c r="AT346" s="4"/>
      <c r="AU346" s="4"/>
    </row>
    <row r="347" spans="1:47" ht="13.2">
      <c r="A347" s="120"/>
      <c r="B347" s="113"/>
      <c r="C347" s="117"/>
      <c r="D347" s="117"/>
      <c r="E347" s="117"/>
      <c r="F347" s="123"/>
      <c r="G347" s="93" t="s">
        <v>145</v>
      </c>
      <c r="H347" s="125"/>
      <c r="I347" s="125"/>
      <c r="J347" s="82" t="str">
        <f t="shared" ca="1" si="147"/>
        <v>#REF!</v>
      </c>
      <c r="K347" s="82" t="str">
        <f t="shared" ca="1" si="256"/>
        <v>#REF!</v>
      </c>
      <c r="L347" s="82" t="str">
        <f t="shared" ca="1" si="199"/>
        <v>#REF!</v>
      </c>
      <c r="M347" s="125"/>
      <c r="N347" s="125"/>
      <c r="O347" s="230">
        <f t="shared" si="2"/>
        <v>0</v>
      </c>
      <c r="P347" s="231">
        <f t="shared" si="3"/>
        <v>0</v>
      </c>
      <c r="Q347" s="232" t="str">
        <f ca="1">ROUNDUP(HLOOKUP(IF(CEILING(L347,0.5)&lt;1,1,CEILING(L347,0.5)),'배송비 조회'!A$32:AY$36,2,0),-2)</f>
        <v>#REF!</v>
      </c>
      <c r="R347" s="232">
        <v>0</v>
      </c>
      <c r="S347" s="231" t="str">
        <f t="shared" ca="1" si="250"/>
        <v>#REF!</v>
      </c>
      <c r="T347" s="231" t="str">
        <f t="shared" ca="1" si="200"/>
        <v>#REF!</v>
      </c>
      <c r="U347" s="233" t="str">
        <f t="shared" ca="1" si="142"/>
        <v>#REF!</v>
      </c>
      <c r="V347" s="233" t="str">
        <f t="shared" ca="1" si="7"/>
        <v>#REF!</v>
      </c>
      <c r="W347" s="234">
        <v>0</v>
      </c>
      <c r="X347" s="234" t="str">
        <f t="shared" ca="1" si="8"/>
        <v>#REF!</v>
      </c>
      <c r="Y347" s="234" t="str">
        <f t="shared" ca="1" si="9"/>
        <v>#REF!</v>
      </c>
      <c r="Z347" s="234" t="str">
        <f t="shared" ca="1" si="10"/>
        <v>#REF!</v>
      </c>
      <c r="AA347" s="234" t="str">
        <f t="shared" ca="1" si="11"/>
        <v>#REF!</v>
      </c>
      <c r="AB347" s="234" t="str">
        <f t="shared" ca="1" si="12"/>
        <v>#REF!</v>
      </c>
      <c r="AC347" s="234" t="str">
        <f t="shared" ca="1" si="13"/>
        <v>#REF!</v>
      </c>
      <c r="AD347" s="101" t="str">
        <f t="shared" ca="1" si="14"/>
        <v>#REF!</v>
      </c>
      <c r="AE347" s="101" t="str">
        <f t="shared" ca="1" si="15"/>
        <v>#REF!</v>
      </c>
      <c r="AF347" s="235" t="str">
        <f t="shared" ref="AF347:AG347" ca="1" si="424">AD347/U347</f>
        <v>#REF!</v>
      </c>
      <c r="AG347" s="235" t="str">
        <f t="shared" ca="1" si="424"/>
        <v>#REF!</v>
      </c>
      <c r="AH347" s="212"/>
      <c r="AI347" s="213"/>
      <c r="AJ347" s="4"/>
      <c r="AK347" s="4"/>
      <c r="AL347" s="4"/>
      <c r="AM347" s="4"/>
      <c r="AN347" s="4"/>
      <c r="AO347" s="4"/>
      <c r="AP347" s="4"/>
      <c r="AQ347" s="4"/>
      <c r="AR347" s="4"/>
      <c r="AS347" s="4"/>
      <c r="AT347" s="4"/>
      <c r="AU347" s="4"/>
    </row>
    <row r="348" spans="1:47" ht="13.2">
      <c r="A348" s="120"/>
      <c r="B348" s="113"/>
      <c r="C348" s="117"/>
      <c r="D348" s="117"/>
      <c r="E348" s="117"/>
      <c r="F348" s="123"/>
      <c r="G348" s="93" t="s">
        <v>145</v>
      </c>
      <c r="H348" s="125"/>
      <c r="I348" s="125"/>
      <c r="J348" s="82" t="str">
        <f t="shared" ca="1" si="147"/>
        <v>#REF!</v>
      </c>
      <c r="K348" s="82" t="str">
        <f t="shared" ca="1" si="256"/>
        <v>#REF!</v>
      </c>
      <c r="L348" s="82" t="str">
        <f t="shared" ca="1" si="199"/>
        <v>#REF!</v>
      </c>
      <c r="M348" s="125"/>
      <c r="N348" s="125"/>
      <c r="O348" s="230">
        <f t="shared" si="2"/>
        <v>0</v>
      </c>
      <c r="P348" s="231">
        <f t="shared" si="3"/>
        <v>0</v>
      </c>
      <c r="Q348" s="232" t="str">
        <f ca="1">ROUNDUP(HLOOKUP(IF(CEILING(L348,0.5)&lt;1,1,CEILING(L348,0.5)),'배송비 조회'!A$32:AY$36,2,0),-2)</f>
        <v>#REF!</v>
      </c>
      <c r="R348" s="232">
        <v>0</v>
      </c>
      <c r="S348" s="231" t="str">
        <f t="shared" ca="1" si="250"/>
        <v>#REF!</v>
      </c>
      <c r="T348" s="231" t="str">
        <f t="shared" ca="1" si="200"/>
        <v>#REF!</v>
      </c>
      <c r="U348" s="233" t="str">
        <f t="shared" ca="1" si="142"/>
        <v>#REF!</v>
      </c>
      <c r="V348" s="233" t="str">
        <f t="shared" ca="1" si="7"/>
        <v>#REF!</v>
      </c>
      <c r="W348" s="234">
        <v>0</v>
      </c>
      <c r="X348" s="234" t="str">
        <f t="shared" ca="1" si="8"/>
        <v>#REF!</v>
      </c>
      <c r="Y348" s="234" t="str">
        <f t="shared" ca="1" si="9"/>
        <v>#REF!</v>
      </c>
      <c r="Z348" s="234" t="str">
        <f t="shared" ca="1" si="10"/>
        <v>#REF!</v>
      </c>
      <c r="AA348" s="234" t="str">
        <f t="shared" ca="1" si="11"/>
        <v>#REF!</v>
      </c>
      <c r="AB348" s="234" t="str">
        <f t="shared" ca="1" si="12"/>
        <v>#REF!</v>
      </c>
      <c r="AC348" s="234" t="str">
        <f t="shared" ca="1" si="13"/>
        <v>#REF!</v>
      </c>
      <c r="AD348" s="101" t="str">
        <f t="shared" ca="1" si="14"/>
        <v>#REF!</v>
      </c>
      <c r="AE348" s="101" t="str">
        <f t="shared" ca="1" si="15"/>
        <v>#REF!</v>
      </c>
      <c r="AF348" s="235" t="str">
        <f t="shared" ref="AF348:AG348" ca="1" si="425">AD348/U348</f>
        <v>#REF!</v>
      </c>
      <c r="AG348" s="235" t="str">
        <f t="shared" ca="1" si="425"/>
        <v>#REF!</v>
      </c>
      <c r="AH348" s="212"/>
      <c r="AI348" s="213"/>
      <c r="AJ348" s="4"/>
      <c r="AK348" s="4"/>
      <c r="AL348" s="4"/>
      <c r="AM348" s="4"/>
      <c r="AN348" s="4"/>
      <c r="AO348" s="4"/>
      <c r="AP348" s="4"/>
      <c r="AQ348" s="4"/>
      <c r="AR348" s="4"/>
      <c r="AS348" s="4"/>
      <c r="AT348" s="4"/>
      <c r="AU348" s="4"/>
    </row>
    <row r="349" spans="1:47" ht="13.2">
      <c r="A349" s="120"/>
      <c r="B349" s="113"/>
      <c r="C349" s="117"/>
      <c r="D349" s="117"/>
      <c r="E349" s="117"/>
      <c r="F349" s="123"/>
      <c r="G349" s="93" t="s">
        <v>145</v>
      </c>
      <c r="H349" s="125"/>
      <c r="I349" s="125"/>
      <c r="J349" s="82" t="str">
        <f t="shared" ca="1" si="147"/>
        <v>#REF!</v>
      </c>
      <c r="K349" s="82" t="str">
        <f t="shared" ca="1" si="256"/>
        <v>#REF!</v>
      </c>
      <c r="L349" s="82" t="str">
        <f t="shared" ca="1" si="199"/>
        <v>#REF!</v>
      </c>
      <c r="M349" s="125"/>
      <c r="N349" s="125"/>
      <c r="O349" s="230">
        <f t="shared" si="2"/>
        <v>0</v>
      </c>
      <c r="P349" s="231">
        <f t="shared" si="3"/>
        <v>0</v>
      </c>
      <c r="Q349" s="232" t="str">
        <f ca="1">ROUNDUP(HLOOKUP(IF(CEILING(L349,0.5)&lt;1,1,CEILING(L349,0.5)),'배송비 조회'!A$32:AY$36,2,0),-2)</f>
        <v>#REF!</v>
      </c>
      <c r="R349" s="232">
        <v>0</v>
      </c>
      <c r="S349" s="231" t="str">
        <f t="shared" ca="1" si="250"/>
        <v>#REF!</v>
      </c>
      <c r="T349" s="231" t="str">
        <f t="shared" ca="1" si="200"/>
        <v>#REF!</v>
      </c>
      <c r="U349" s="233" t="str">
        <f t="shared" ca="1" si="142"/>
        <v>#REF!</v>
      </c>
      <c r="V349" s="233" t="str">
        <f t="shared" ca="1" si="7"/>
        <v>#REF!</v>
      </c>
      <c r="W349" s="234">
        <v>0</v>
      </c>
      <c r="X349" s="234" t="str">
        <f t="shared" ca="1" si="8"/>
        <v>#REF!</v>
      </c>
      <c r="Y349" s="234" t="str">
        <f t="shared" ca="1" si="9"/>
        <v>#REF!</v>
      </c>
      <c r="Z349" s="234" t="str">
        <f t="shared" ca="1" si="10"/>
        <v>#REF!</v>
      </c>
      <c r="AA349" s="234" t="str">
        <f t="shared" ca="1" si="11"/>
        <v>#REF!</v>
      </c>
      <c r="AB349" s="234" t="str">
        <f t="shared" ca="1" si="12"/>
        <v>#REF!</v>
      </c>
      <c r="AC349" s="234" t="str">
        <f t="shared" ca="1" si="13"/>
        <v>#REF!</v>
      </c>
      <c r="AD349" s="101" t="str">
        <f t="shared" ca="1" si="14"/>
        <v>#REF!</v>
      </c>
      <c r="AE349" s="101" t="str">
        <f t="shared" ca="1" si="15"/>
        <v>#REF!</v>
      </c>
      <c r="AF349" s="235" t="str">
        <f t="shared" ref="AF349:AG349" ca="1" si="426">AD349/U349</f>
        <v>#REF!</v>
      </c>
      <c r="AG349" s="235" t="str">
        <f t="shared" ca="1" si="426"/>
        <v>#REF!</v>
      </c>
      <c r="AH349" s="212"/>
      <c r="AI349" s="213"/>
      <c r="AJ349" s="4"/>
      <c r="AK349" s="4"/>
      <c r="AL349" s="4"/>
      <c r="AM349" s="4"/>
      <c r="AN349" s="4"/>
      <c r="AO349" s="4"/>
      <c r="AP349" s="4"/>
      <c r="AQ349" s="4"/>
      <c r="AR349" s="4"/>
      <c r="AS349" s="4"/>
      <c r="AT349" s="4"/>
      <c r="AU349" s="4"/>
    </row>
    <row r="350" spans="1:47" ht="13.2">
      <c r="A350" s="120"/>
      <c r="B350" s="113"/>
      <c r="C350" s="117"/>
      <c r="D350" s="117"/>
      <c r="E350" s="117"/>
      <c r="F350" s="123"/>
      <c r="G350" s="93" t="s">
        <v>145</v>
      </c>
      <c r="H350" s="125"/>
      <c r="I350" s="125"/>
      <c r="J350" s="82" t="str">
        <f t="shared" ca="1" si="147"/>
        <v>#REF!</v>
      </c>
      <c r="K350" s="82" t="str">
        <f t="shared" ca="1" si="256"/>
        <v>#REF!</v>
      </c>
      <c r="L350" s="82" t="str">
        <f t="shared" ca="1" si="199"/>
        <v>#REF!</v>
      </c>
      <c r="M350" s="125"/>
      <c r="N350" s="125"/>
      <c r="O350" s="230">
        <f t="shared" si="2"/>
        <v>0</v>
      </c>
      <c r="P350" s="231">
        <f t="shared" si="3"/>
        <v>0</v>
      </c>
      <c r="Q350" s="232" t="str">
        <f ca="1">ROUNDUP(HLOOKUP(IF(CEILING(L350,0.5)&lt;1,1,CEILING(L350,0.5)),'배송비 조회'!A$32:AY$36,2,0),-2)</f>
        <v>#REF!</v>
      </c>
      <c r="R350" s="232">
        <v>0</v>
      </c>
      <c r="S350" s="231" t="str">
        <f t="shared" ca="1" si="250"/>
        <v>#REF!</v>
      </c>
      <c r="T350" s="231" t="str">
        <f t="shared" ca="1" si="200"/>
        <v>#REF!</v>
      </c>
      <c r="U350" s="233" t="str">
        <f t="shared" ca="1" si="142"/>
        <v>#REF!</v>
      </c>
      <c r="V350" s="233" t="str">
        <f t="shared" ca="1" si="7"/>
        <v>#REF!</v>
      </c>
      <c r="W350" s="234">
        <v>0</v>
      </c>
      <c r="X350" s="234" t="str">
        <f t="shared" ca="1" si="8"/>
        <v>#REF!</v>
      </c>
      <c r="Y350" s="234" t="str">
        <f t="shared" ca="1" si="9"/>
        <v>#REF!</v>
      </c>
      <c r="Z350" s="234" t="str">
        <f t="shared" ca="1" si="10"/>
        <v>#REF!</v>
      </c>
      <c r="AA350" s="234" t="str">
        <f t="shared" ca="1" si="11"/>
        <v>#REF!</v>
      </c>
      <c r="AB350" s="234" t="str">
        <f t="shared" ca="1" si="12"/>
        <v>#REF!</v>
      </c>
      <c r="AC350" s="234" t="str">
        <f t="shared" ca="1" si="13"/>
        <v>#REF!</v>
      </c>
      <c r="AD350" s="101" t="str">
        <f t="shared" ca="1" si="14"/>
        <v>#REF!</v>
      </c>
      <c r="AE350" s="101" t="str">
        <f t="shared" ca="1" si="15"/>
        <v>#REF!</v>
      </c>
      <c r="AF350" s="235" t="str">
        <f t="shared" ref="AF350:AG350" ca="1" si="427">AD350/U350</f>
        <v>#REF!</v>
      </c>
      <c r="AG350" s="235" t="str">
        <f t="shared" ca="1" si="427"/>
        <v>#REF!</v>
      </c>
      <c r="AH350" s="212"/>
      <c r="AI350" s="213"/>
      <c r="AJ350" s="4"/>
      <c r="AK350" s="4"/>
      <c r="AL350" s="4"/>
      <c r="AM350" s="4"/>
      <c r="AN350" s="4"/>
      <c r="AO350" s="4"/>
      <c r="AP350" s="4"/>
      <c r="AQ350" s="4"/>
      <c r="AR350" s="4"/>
      <c r="AS350" s="4"/>
      <c r="AT350" s="4"/>
      <c r="AU350" s="4"/>
    </row>
    <row r="351" spans="1:47" ht="13.2">
      <c r="A351" s="120"/>
      <c r="B351" s="113"/>
      <c r="C351" s="117"/>
      <c r="D351" s="117"/>
      <c r="E351" s="117"/>
      <c r="F351" s="123"/>
      <c r="G351" s="93" t="s">
        <v>145</v>
      </c>
      <c r="H351" s="125"/>
      <c r="I351" s="125"/>
      <c r="J351" s="82" t="str">
        <f t="shared" ca="1" si="147"/>
        <v>#REF!</v>
      </c>
      <c r="K351" s="82" t="str">
        <f t="shared" ca="1" si="256"/>
        <v>#REF!</v>
      </c>
      <c r="L351" s="82" t="str">
        <f t="shared" ca="1" si="199"/>
        <v>#REF!</v>
      </c>
      <c r="M351" s="125"/>
      <c r="N351" s="125"/>
      <c r="O351" s="230">
        <f t="shared" si="2"/>
        <v>0</v>
      </c>
      <c r="P351" s="231">
        <f t="shared" si="3"/>
        <v>0</v>
      </c>
      <c r="Q351" s="232" t="str">
        <f ca="1">ROUNDUP(HLOOKUP(IF(CEILING(L351,0.5)&lt;1,1,CEILING(L351,0.5)),'배송비 조회'!A$32:AY$36,2,0),-2)</f>
        <v>#REF!</v>
      </c>
      <c r="R351" s="232">
        <v>0</v>
      </c>
      <c r="S351" s="231" t="str">
        <f t="shared" ca="1" si="250"/>
        <v>#REF!</v>
      </c>
      <c r="T351" s="231" t="str">
        <f t="shared" ca="1" si="200"/>
        <v>#REF!</v>
      </c>
      <c r="U351" s="233" t="str">
        <f t="shared" ca="1" si="142"/>
        <v>#REF!</v>
      </c>
      <c r="V351" s="233" t="str">
        <f t="shared" ca="1" si="7"/>
        <v>#REF!</v>
      </c>
      <c r="W351" s="234">
        <v>0</v>
      </c>
      <c r="X351" s="234" t="str">
        <f t="shared" ca="1" si="8"/>
        <v>#REF!</v>
      </c>
      <c r="Y351" s="234" t="str">
        <f t="shared" ca="1" si="9"/>
        <v>#REF!</v>
      </c>
      <c r="Z351" s="234" t="str">
        <f t="shared" ca="1" si="10"/>
        <v>#REF!</v>
      </c>
      <c r="AA351" s="234" t="str">
        <f t="shared" ca="1" si="11"/>
        <v>#REF!</v>
      </c>
      <c r="AB351" s="234" t="str">
        <f t="shared" ca="1" si="12"/>
        <v>#REF!</v>
      </c>
      <c r="AC351" s="234" t="str">
        <f t="shared" ca="1" si="13"/>
        <v>#REF!</v>
      </c>
      <c r="AD351" s="101" t="str">
        <f t="shared" ca="1" si="14"/>
        <v>#REF!</v>
      </c>
      <c r="AE351" s="101" t="str">
        <f t="shared" ca="1" si="15"/>
        <v>#REF!</v>
      </c>
      <c r="AF351" s="235" t="str">
        <f t="shared" ref="AF351:AG351" ca="1" si="428">AD351/U351</f>
        <v>#REF!</v>
      </c>
      <c r="AG351" s="235" t="str">
        <f t="shared" ca="1" si="428"/>
        <v>#REF!</v>
      </c>
      <c r="AH351" s="212"/>
      <c r="AI351" s="213"/>
      <c r="AJ351" s="4"/>
      <c r="AK351" s="4"/>
      <c r="AL351" s="4"/>
      <c r="AM351" s="4"/>
      <c r="AN351" s="4"/>
      <c r="AO351" s="4"/>
      <c r="AP351" s="4"/>
      <c r="AQ351" s="4"/>
      <c r="AR351" s="4"/>
      <c r="AS351" s="4"/>
      <c r="AT351" s="4"/>
      <c r="AU351" s="4"/>
    </row>
    <row r="352" spans="1:47" ht="13.2">
      <c r="A352" s="120"/>
      <c r="B352" s="113"/>
      <c r="C352" s="117"/>
      <c r="D352" s="117"/>
      <c r="E352" s="117"/>
      <c r="F352" s="123"/>
      <c r="G352" s="93" t="s">
        <v>145</v>
      </c>
      <c r="H352" s="125"/>
      <c r="I352" s="125"/>
      <c r="J352" s="82" t="str">
        <f t="shared" ca="1" si="147"/>
        <v>#REF!</v>
      </c>
      <c r="K352" s="82" t="str">
        <f t="shared" ca="1" si="256"/>
        <v>#REF!</v>
      </c>
      <c r="L352" s="82" t="str">
        <f t="shared" ca="1" si="199"/>
        <v>#REF!</v>
      </c>
      <c r="M352" s="125"/>
      <c r="N352" s="125"/>
      <c r="O352" s="230">
        <f t="shared" si="2"/>
        <v>0</v>
      </c>
      <c r="P352" s="231">
        <f t="shared" si="3"/>
        <v>0</v>
      </c>
      <c r="Q352" s="232" t="str">
        <f ca="1">ROUNDUP(HLOOKUP(IF(CEILING(L352,0.5)&lt;1,1,CEILING(L352,0.5)),'배송비 조회'!A$32:AY$36,2,0),-2)</f>
        <v>#REF!</v>
      </c>
      <c r="R352" s="232">
        <v>0</v>
      </c>
      <c r="S352" s="231" t="str">
        <f t="shared" ca="1" si="250"/>
        <v>#REF!</v>
      </c>
      <c r="T352" s="231" t="str">
        <f t="shared" ca="1" si="200"/>
        <v>#REF!</v>
      </c>
      <c r="U352" s="233" t="str">
        <f t="shared" ca="1" si="142"/>
        <v>#REF!</v>
      </c>
      <c r="V352" s="233" t="str">
        <f t="shared" ca="1" si="7"/>
        <v>#REF!</v>
      </c>
      <c r="W352" s="234">
        <v>0</v>
      </c>
      <c r="X352" s="234" t="str">
        <f t="shared" ca="1" si="8"/>
        <v>#REF!</v>
      </c>
      <c r="Y352" s="234" t="str">
        <f t="shared" ca="1" si="9"/>
        <v>#REF!</v>
      </c>
      <c r="Z352" s="234" t="str">
        <f t="shared" ca="1" si="10"/>
        <v>#REF!</v>
      </c>
      <c r="AA352" s="234" t="str">
        <f t="shared" ca="1" si="11"/>
        <v>#REF!</v>
      </c>
      <c r="AB352" s="234" t="str">
        <f t="shared" ca="1" si="12"/>
        <v>#REF!</v>
      </c>
      <c r="AC352" s="234" t="str">
        <f t="shared" ca="1" si="13"/>
        <v>#REF!</v>
      </c>
      <c r="AD352" s="101" t="str">
        <f t="shared" ca="1" si="14"/>
        <v>#REF!</v>
      </c>
      <c r="AE352" s="101" t="str">
        <f t="shared" ca="1" si="15"/>
        <v>#REF!</v>
      </c>
      <c r="AF352" s="235" t="str">
        <f t="shared" ref="AF352:AG352" ca="1" si="429">AD352/U352</f>
        <v>#REF!</v>
      </c>
      <c r="AG352" s="235" t="str">
        <f t="shared" ca="1" si="429"/>
        <v>#REF!</v>
      </c>
      <c r="AH352" s="212"/>
      <c r="AI352" s="213"/>
      <c r="AJ352" s="4"/>
      <c r="AK352" s="4"/>
      <c r="AL352" s="4"/>
      <c r="AM352" s="4"/>
      <c r="AN352" s="4"/>
      <c r="AO352" s="4"/>
      <c r="AP352" s="4"/>
      <c r="AQ352" s="4"/>
      <c r="AR352" s="4"/>
      <c r="AS352" s="4"/>
      <c r="AT352" s="4"/>
      <c r="AU352" s="4"/>
    </row>
    <row r="353" spans="1:47" ht="13.2">
      <c r="A353" s="120"/>
      <c r="B353" s="113"/>
      <c r="C353" s="117"/>
      <c r="D353" s="117"/>
      <c r="E353" s="117"/>
      <c r="F353" s="123"/>
      <c r="G353" s="93" t="s">
        <v>145</v>
      </c>
      <c r="H353" s="125"/>
      <c r="I353" s="125"/>
      <c r="J353" s="82" t="str">
        <f t="shared" ca="1" si="147"/>
        <v>#REF!</v>
      </c>
      <c r="K353" s="82" t="str">
        <f t="shared" ca="1" si="256"/>
        <v>#REF!</v>
      </c>
      <c r="L353" s="82" t="str">
        <f t="shared" ca="1" si="199"/>
        <v>#REF!</v>
      </c>
      <c r="M353" s="125"/>
      <c r="N353" s="125"/>
      <c r="O353" s="230">
        <f t="shared" si="2"/>
        <v>0</v>
      </c>
      <c r="P353" s="231">
        <f t="shared" si="3"/>
        <v>0</v>
      </c>
      <c r="Q353" s="232" t="str">
        <f ca="1">ROUNDUP(HLOOKUP(IF(CEILING(L353,0.5)&lt;1,1,CEILING(L353,0.5)),'배송비 조회'!A$32:AY$36,2,0),-2)</f>
        <v>#REF!</v>
      </c>
      <c r="R353" s="232">
        <v>0</v>
      </c>
      <c r="S353" s="231" t="str">
        <f t="shared" ca="1" si="250"/>
        <v>#REF!</v>
      </c>
      <c r="T353" s="231" t="str">
        <f t="shared" ca="1" si="200"/>
        <v>#REF!</v>
      </c>
      <c r="U353" s="233" t="str">
        <f t="shared" ca="1" si="142"/>
        <v>#REF!</v>
      </c>
      <c r="V353" s="233" t="str">
        <f t="shared" ca="1" si="7"/>
        <v>#REF!</v>
      </c>
      <c r="W353" s="234">
        <v>0</v>
      </c>
      <c r="X353" s="234" t="str">
        <f t="shared" ca="1" si="8"/>
        <v>#REF!</v>
      </c>
      <c r="Y353" s="234" t="str">
        <f t="shared" ca="1" si="9"/>
        <v>#REF!</v>
      </c>
      <c r="Z353" s="234" t="str">
        <f t="shared" ca="1" si="10"/>
        <v>#REF!</v>
      </c>
      <c r="AA353" s="234" t="str">
        <f t="shared" ca="1" si="11"/>
        <v>#REF!</v>
      </c>
      <c r="AB353" s="234" t="str">
        <f t="shared" ca="1" si="12"/>
        <v>#REF!</v>
      </c>
      <c r="AC353" s="234" t="str">
        <f t="shared" ca="1" si="13"/>
        <v>#REF!</v>
      </c>
      <c r="AD353" s="101" t="str">
        <f t="shared" ca="1" si="14"/>
        <v>#REF!</v>
      </c>
      <c r="AE353" s="101" t="str">
        <f t="shared" ca="1" si="15"/>
        <v>#REF!</v>
      </c>
      <c r="AF353" s="235" t="str">
        <f t="shared" ref="AF353:AG353" ca="1" si="430">AD353/U353</f>
        <v>#REF!</v>
      </c>
      <c r="AG353" s="235" t="str">
        <f t="shared" ca="1" si="430"/>
        <v>#REF!</v>
      </c>
      <c r="AH353" s="212"/>
      <c r="AI353" s="213"/>
      <c r="AJ353" s="4"/>
      <c r="AK353" s="4"/>
      <c r="AL353" s="4"/>
      <c r="AM353" s="4"/>
      <c r="AN353" s="4"/>
      <c r="AO353" s="4"/>
      <c r="AP353" s="4"/>
      <c r="AQ353" s="4"/>
      <c r="AR353" s="4"/>
      <c r="AS353" s="4"/>
      <c r="AT353" s="4"/>
      <c r="AU353" s="4"/>
    </row>
    <row r="354" spans="1:47" ht="13.2">
      <c r="A354" s="120"/>
      <c r="B354" s="113"/>
      <c r="C354" s="117"/>
      <c r="D354" s="117"/>
      <c r="E354" s="117"/>
      <c r="F354" s="123"/>
      <c r="G354" s="93" t="s">
        <v>145</v>
      </c>
      <c r="H354" s="125"/>
      <c r="I354" s="125"/>
      <c r="J354" s="82" t="str">
        <f t="shared" ca="1" si="147"/>
        <v>#REF!</v>
      </c>
      <c r="K354" s="82" t="str">
        <f t="shared" ca="1" si="256"/>
        <v>#REF!</v>
      </c>
      <c r="L354" s="82" t="str">
        <f t="shared" ca="1" si="199"/>
        <v>#REF!</v>
      </c>
      <c r="M354" s="125"/>
      <c r="N354" s="125"/>
      <c r="O354" s="230">
        <f t="shared" si="2"/>
        <v>0</v>
      </c>
      <c r="P354" s="231">
        <f t="shared" si="3"/>
        <v>0</v>
      </c>
      <c r="Q354" s="232" t="str">
        <f ca="1">ROUNDUP(HLOOKUP(IF(CEILING(L354,0.5)&lt;1,1,CEILING(L354,0.5)),'배송비 조회'!A$32:AY$36,2,0),-2)</f>
        <v>#REF!</v>
      </c>
      <c r="R354" s="232">
        <v>0</v>
      </c>
      <c r="S354" s="231" t="str">
        <f t="shared" ca="1" si="250"/>
        <v>#REF!</v>
      </c>
      <c r="T354" s="231" t="str">
        <f t="shared" ca="1" si="200"/>
        <v>#REF!</v>
      </c>
      <c r="U354" s="233" t="str">
        <f t="shared" ca="1" si="142"/>
        <v>#REF!</v>
      </c>
      <c r="V354" s="233" t="str">
        <f t="shared" ca="1" si="7"/>
        <v>#REF!</v>
      </c>
      <c r="W354" s="234">
        <v>0</v>
      </c>
      <c r="X354" s="234" t="str">
        <f t="shared" ca="1" si="8"/>
        <v>#REF!</v>
      </c>
      <c r="Y354" s="234" t="str">
        <f t="shared" ca="1" si="9"/>
        <v>#REF!</v>
      </c>
      <c r="Z354" s="234" t="str">
        <f t="shared" ca="1" si="10"/>
        <v>#REF!</v>
      </c>
      <c r="AA354" s="234" t="str">
        <f t="shared" ca="1" si="11"/>
        <v>#REF!</v>
      </c>
      <c r="AB354" s="234" t="str">
        <f t="shared" ca="1" si="12"/>
        <v>#REF!</v>
      </c>
      <c r="AC354" s="234" t="str">
        <f t="shared" ca="1" si="13"/>
        <v>#REF!</v>
      </c>
      <c r="AD354" s="101" t="str">
        <f t="shared" ca="1" si="14"/>
        <v>#REF!</v>
      </c>
      <c r="AE354" s="101" t="str">
        <f t="shared" ca="1" si="15"/>
        <v>#REF!</v>
      </c>
      <c r="AF354" s="235" t="str">
        <f t="shared" ref="AF354:AG354" ca="1" si="431">AD354/U354</f>
        <v>#REF!</v>
      </c>
      <c r="AG354" s="235" t="str">
        <f t="shared" ca="1" si="431"/>
        <v>#REF!</v>
      </c>
      <c r="AH354" s="212"/>
      <c r="AI354" s="213"/>
      <c r="AJ354" s="4"/>
      <c r="AK354" s="4"/>
      <c r="AL354" s="4"/>
      <c r="AM354" s="4"/>
      <c r="AN354" s="4"/>
      <c r="AO354" s="4"/>
      <c r="AP354" s="4"/>
      <c r="AQ354" s="4"/>
      <c r="AR354" s="4"/>
      <c r="AS354" s="4"/>
      <c r="AT354" s="4"/>
      <c r="AU354" s="4"/>
    </row>
    <row r="355" spans="1:47" ht="13.2">
      <c r="A355" s="120"/>
      <c r="B355" s="113"/>
      <c r="C355" s="117"/>
      <c r="D355" s="117"/>
      <c r="E355" s="117"/>
      <c r="F355" s="123"/>
      <c r="G355" s="93" t="s">
        <v>145</v>
      </c>
      <c r="H355" s="125"/>
      <c r="I355" s="125"/>
      <c r="J355" s="82" t="str">
        <f t="shared" ca="1" si="147"/>
        <v>#REF!</v>
      </c>
      <c r="K355" s="82" t="str">
        <f t="shared" ca="1" si="256"/>
        <v>#REF!</v>
      </c>
      <c r="L355" s="82" t="str">
        <f t="shared" ca="1" si="199"/>
        <v>#REF!</v>
      </c>
      <c r="M355" s="125"/>
      <c r="N355" s="125"/>
      <c r="O355" s="230">
        <f t="shared" si="2"/>
        <v>0</v>
      </c>
      <c r="P355" s="231">
        <f t="shared" si="3"/>
        <v>0</v>
      </c>
      <c r="Q355" s="232" t="str">
        <f ca="1">ROUNDUP(HLOOKUP(IF(CEILING(L355,0.5)&lt;1,1,CEILING(L355,0.5)),'배송비 조회'!A$32:AY$36,2,0),-2)</f>
        <v>#REF!</v>
      </c>
      <c r="R355" s="232">
        <v>0</v>
      </c>
      <c r="S355" s="231" t="str">
        <f t="shared" ca="1" si="250"/>
        <v>#REF!</v>
      </c>
      <c r="T355" s="231" t="str">
        <f t="shared" ca="1" si="200"/>
        <v>#REF!</v>
      </c>
      <c r="U355" s="233" t="str">
        <f t="shared" ca="1" si="142"/>
        <v>#REF!</v>
      </c>
      <c r="V355" s="233" t="str">
        <f t="shared" ca="1" si="7"/>
        <v>#REF!</v>
      </c>
      <c r="W355" s="234">
        <v>0</v>
      </c>
      <c r="X355" s="234" t="str">
        <f t="shared" ca="1" si="8"/>
        <v>#REF!</v>
      </c>
      <c r="Y355" s="234" t="str">
        <f t="shared" ca="1" si="9"/>
        <v>#REF!</v>
      </c>
      <c r="Z355" s="234" t="str">
        <f t="shared" ca="1" si="10"/>
        <v>#REF!</v>
      </c>
      <c r="AA355" s="234" t="str">
        <f t="shared" ca="1" si="11"/>
        <v>#REF!</v>
      </c>
      <c r="AB355" s="234" t="str">
        <f t="shared" ca="1" si="12"/>
        <v>#REF!</v>
      </c>
      <c r="AC355" s="234" t="str">
        <f t="shared" ca="1" si="13"/>
        <v>#REF!</v>
      </c>
      <c r="AD355" s="101" t="str">
        <f t="shared" ca="1" si="14"/>
        <v>#REF!</v>
      </c>
      <c r="AE355" s="101" t="str">
        <f t="shared" ca="1" si="15"/>
        <v>#REF!</v>
      </c>
      <c r="AF355" s="235" t="str">
        <f t="shared" ref="AF355:AG355" ca="1" si="432">AD355/U355</f>
        <v>#REF!</v>
      </c>
      <c r="AG355" s="235" t="str">
        <f t="shared" ca="1" si="432"/>
        <v>#REF!</v>
      </c>
      <c r="AH355" s="212"/>
      <c r="AI355" s="213"/>
      <c r="AJ355" s="4"/>
      <c r="AK355" s="4"/>
      <c r="AL355" s="4"/>
      <c r="AM355" s="4"/>
      <c r="AN355" s="4"/>
      <c r="AO355" s="4"/>
      <c r="AP355" s="4"/>
      <c r="AQ355" s="4"/>
      <c r="AR355" s="4"/>
      <c r="AS355" s="4"/>
      <c r="AT355" s="4"/>
      <c r="AU355" s="4"/>
    </row>
    <row r="356" spans="1:47" ht="13.2">
      <c r="A356" s="120"/>
      <c r="B356" s="113"/>
      <c r="C356" s="117"/>
      <c r="D356" s="117"/>
      <c r="E356" s="117"/>
      <c r="F356" s="123"/>
      <c r="G356" s="93" t="s">
        <v>145</v>
      </c>
      <c r="H356" s="125"/>
      <c r="I356" s="125"/>
      <c r="J356" s="82" t="str">
        <f t="shared" ca="1" si="147"/>
        <v>#REF!</v>
      </c>
      <c r="K356" s="82" t="str">
        <f t="shared" ca="1" si="256"/>
        <v>#REF!</v>
      </c>
      <c r="L356" s="82" t="str">
        <f t="shared" ca="1" si="199"/>
        <v>#REF!</v>
      </c>
      <c r="M356" s="125"/>
      <c r="N356" s="125"/>
      <c r="O356" s="230">
        <f t="shared" si="2"/>
        <v>0</v>
      </c>
      <c r="P356" s="231">
        <f t="shared" si="3"/>
        <v>0</v>
      </c>
      <c r="Q356" s="232" t="str">
        <f ca="1">ROUNDUP(HLOOKUP(IF(CEILING(L356,0.5)&lt;1,1,CEILING(L356,0.5)),'배송비 조회'!A$32:AY$36,2,0),-2)</f>
        <v>#REF!</v>
      </c>
      <c r="R356" s="232">
        <v>0</v>
      </c>
      <c r="S356" s="231" t="str">
        <f t="shared" ca="1" si="250"/>
        <v>#REF!</v>
      </c>
      <c r="T356" s="231" t="str">
        <f t="shared" ca="1" si="200"/>
        <v>#REF!</v>
      </c>
      <c r="U356" s="233" t="str">
        <f t="shared" ca="1" si="142"/>
        <v>#REF!</v>
      </c>
      <c r="V356" s="233" t="str">
        <f t="shared" ca="1" si="7"/>
        <v>#REF!</v>
      </c>
      <c r="W356" s="234">
        <v>0</v>
      </c>
      <c r="X356" s="234" t="str">
        <f t="shared" ca="1" si="8"/>
        <v>#REF!</v>
      </c>
      <c r="Y356" s="234" t="str">
        <f t="shared" ca="1" si="9"/>
        <v>#REF!</v>
      </c>
      <c r="Z356" s="234" t="str">
        <f t="shared" ca="1" si="10"/>
        <v>#REF!</v>
      </c>
      <c r="AA356" s="234" t="str">
        <f t="shared" ca="1" si="11"/>
        <v>#REF!</v>
      </c>
      <c r="AB356" s="234" t="str">
        <f t="shared" ca="1" si="12"/>
        <v>#REF!</v>
      </c>
      <c r="AC356" s="234" t="str">
        <f t="shared" ca="1" si="13"/>
        <v>#REF!</v>
      </c>
      <c r="AD356" s="101" t="str">
        <f t="shared" ca="1" si="14"/>
        <v>#REF!</v>
      </c>
      <c r="AE356" s="101" t="str">
        <f t="shared" ca="1" si="15"/>
        <v>#REF!</v>
      </c>
      <c r="AF356" s="235" t="str">
        <f t="shared" ref="AF356:AG356" ca="1" si="433">AD356/U356</f>
        <v>#REF!</v>
      </c>
      <c r="AG356" s="235" t="str">
        <f t="shared" ca="1" si="433"/>
        <v>#REF!</v>
      </c>
      <c r="AH356" s="212"/>
      <c r="AI356" s="213"/>
      <c r="AJ356" s="4"/>
      <c r="AK356" s="4"/>
      <c r="AL356" s="4"/>
      <c r="AM356" s="4"/>
      <c r="AN356" s="4"/>
      <c r="AO356" s="4"/>
      <c r="AP356" s="4"/>
      <c r="AQ356" s="4"/>
      <c r="AR356" s="4"/>
      <c r="AS356" s="4"/>
      <c r="AT356" s="4"/>
      <c r="AU356" s="4"/>
    </row>
    <row r="357" spans="1:47" ht="13.2">
      <c r="A357" s="120"/>
      <c r="B357" s="113"/>
      <c r="C357" s="117"/>
      <c r="D357" s="117"/>
      <c r="E357" s="117"/>
      <c r="F357" s="123"/>
      <c r="G357" s="93" t="s">
        <v>145</v>
      </c>
      <c r="H357" s="125"/>
      <c r="I357" s="125"/>
      <c r="J357" s="82" t="str">
        <f t="shared" ca="1" si="147"/>
        <v>#REF!</v>
      </c>
      <c r="K357" s="82" t="str">
        <f t="shared" ca="1" si="256"/>
        <v>#REF!</v>
      </c>
      <c r="L357" s="82" t="str">
        <f t="shared" ca="1" si="199"/>
        <v>#REF!</v>
      </c>
      <c r="M357" s="125"/>
      <c r="N357" s="125"/>
      <c r="O357" s="230">
        <f t="shared" si="2"/>
        <v>0</v>
      </c>
      <c r="P357" s="231">
        <f t="shared" si="3"/>
        <v>0</v>
      </c>
      <c r="Q357" s="232" t="str">
        <f ca="1">ROUNDUP(HLOOKUP(IF(CEILING(L357,0.5)&lt;1,1,CEILING(L357,0.5)),'배송비 조회'!A$32:AY$36,2,0),-2)</f>
        <v>#REF!</v>
      </c>
      <c r="R357" s="232">
        <v>0</v>
      </c>
      <c r="S357" s="231" t="str">
        <f t="shared" ca="1" si="250"/>
        <v>#REF!</v>
      </c>
      <c r="T357" s="231" t="str">
        <f t="shared" ca="1" si="200"/>
        <v>#REF!</v>
      </c>
      <c r="U357" s="233" t="str">
        <f t="shared" ca="1" si="142"/>
        <v>#REF!</v>
      </c>
      <c r="V357" s="233" t="str">
        <f t="shared" ca="1" si="7"/>
        <v>#REF!</v>
      </c>
      <c r="W357" s="234">
        <v>0</v>
      </c>
      <c r="X357" s="234" t="str">
        <f t="shared" ca="1" si="8"/>
        <v>#REF!</v>
      </c>
      <c r="Y357" s="234" t="str">
        <f t="shared" ca="1" si="9"/>
        <v>#REF!</v>
      </c>
      <c r="Z357" s="234" t="str">
        <f t="shared" ca="1" si="10"/>
        <v>#REF!</v>
      </c>
      <c r="AA357" s="234" t="str">
        <f t="shared" ca="1" si="11"/>
        <v>#REF!</v>
      </c>
      <c r="AB357" s="234" t="str">
        <f t="shared" ca="1" si="12"/>
        <v>#REF!</v>
      </c>
      <c r="AC357" s="234" t="str">
        <f t="shared" ca="1" si="13"/>
        <v>#REF!</v>
      </c>
      <c r="AD357" s="101" t="str">
        <f t="shared" ca="1" si="14"/>
        <v>#REF!</v>
      </c>
      <c r="AE357" s="101" t="str">
        <f t="shared" ca="1" si="15"/>
        <v>#REF!</v>
      </c>
      <c r="AF357" s="235" t="str">
        <f t="shared" ref="AF357:AG357" ca="1" si="434">AD357/U357</f>
        <v>#REF!</v>
      </c>
      <c r="AG357" s="235" t="str">
        <f t="shared" ca="1" si="434"/>
        <v>#REF!</v>
      </c>
      <c r="AH357" s="212"/>
      <c r="AI357" s="213"/>
      <c r="AJ357" s="4"/>
      <c r="AK357" s="4"/>
      <c r="AL357" s="4"/>
      <c r="AM357" s="4"/>
      <c r="AN357" s="4"/>
      <c r="AO357" s="4"/>
      <c r="AP357" s="4"/>
      <c r="AQ357" s="4"/>
      <c r="AR357" s="4"/>
      <c r="AS357" s="4"/>
      <c r="AT357" s="4"/>
      <c r="AU357" s="4"/>
    </row>
    <row r="358" spans="1:47" ht="13.2">
      <c r="A358" s="120"/>
      <c r="B358" s="113"/>
      <c r="C358" s="117"/>
      <c r="D358" s="117"/>
      <c r="E358" s="117"/>
      <c r="F358" s="123"/>
      <c r="G358" s="93" t="s">
        <v>145</v>
      </c>
      <c r="H358" s="125"/>
      <c r="I358" s="125"/>
      <c r="J358" s="82" t="str">
        <f t="shared" ca="1" si="147"/>
        <v>#REF!</v>
      </c>
      <c r="K358" s="82" t="str">
        <f t="shared" ca="1" si="256"/>
        <v>#REF!</v>
      </c>
      <c r="L358" s="82" t="str">
        <f t="shared" ca="1" si="199"/>
        <v>#REF!</v>
      </c>
      <c r="M358" s="125"/>
      <c r="N358" s="125"/>
      <c r="O358" s="230">
        <f t="shared" si="2"/>
        <v>0</v>
      </c>
      <c r="P358" s="231">
        <f t="shared" si="3"/>
        <v>0</v>
      </c>
      <c r="Q358" s="232" t="str">
        <f ca="1">ROUNDUP(HLOOKUP(IF(CEILING(L358,0.5)&lt;1,1,CEILING(L358,0.5)),'배송비 조회'!A$32:AY$36,2,0),-2)</f>
        <v>#REF!</v>
      </c>
      <c r="R358" s="232">
        <v>0</v>
      </c>
      <c r="S358" s="231" t="str">
        <f t="shared" ca="1" si="250"/>
        <v>#REF!</v>
      </c>
      <c r="T358" s="231" t="str">
        <f t="shared" ca="1" si="200"/>
        <v>#REF!</v>
      </c>
      <c r="U358" s="233" t="str">
        <f t="shared" ca="1" si="142"/>
        <v>#REF!</v>
      </c>
      <c r="V358" s="233" t="str">
        <f t="shared" ca="1" si="7"/>
        <v>#REF!</v>
      </c>
      <c r="W358" s="234">
        <v>0</v>
      </c>
      <c r="X358" s="234" t="str">
        <f t="shared" ca="1" si="8"/>
        <v>#REF!</v>
      </c>
      <c r="Y358" s="234" t="str">
        <f t="shared" ca="1" si="9"/>
        <v>#REF!</v>
      </c>
      <c r="Z358" s="234" t="str">
        <f t="shared" ca="1" si="10"/>
        <v>#REF!</v>
      </c>
      <c r="AA358" s="234" t="str">
        <f t="shared" ca="1" si="11"/>
        <v>#REF!</v>
      </c>
      <c r="AB358" s="234" t="str">
        <f t="shared" ca="1" si="12"/>
        <v>#REF!</v>
      </c>
      <c r="AC358" s="234" t="str">
        <f t="shared" ca="1" si="13"/>
        <v>#REF!</v>
      </c>
      <c r="AD358" s="101" t="str">
        <f t="shared" ca="1" si="14"/>
        <v>#REF!</v>
      </c>
      <c r="AE358" s="101" t="str">
        <f t="shared" ca="1" si="15"/>
        <v>#REF!</v>
      </c>
      <c r="AF358" s="235" t="str">
        <f t="shared" ref="AF358:AG358" ca="1" si="435">AD358/U358</f>
        <v>#REF!</v>
      </c>
      <c r="AG358" s="235" t="str">
        <f t="shared" ca="1" si="435"/>
        <v>#REF!</v>
      </c>
      <c r="AH358" s="212"/>
      <c r="AI358" s="213"/>
      <c r="AJ358" s="4"/>
      <c r="AK358" s="4"/>
      <c r="AL358" s="4"/>
      <c r="AM358" s="4"/>
      <c r="AN358" s="4"/>
      <c r="AO358" s="4"/>
      <c r="AP358" s="4"/>
      <c r="AQ358" s="4"/>
      <c r="AR358" s="4"/>
      <c r="AS358" s="4"/>
      <c r="AT358" s="4"/>
      <c r="AU358" s="4"/>
    </row>
    <row r="359" spans="1:47" ht="13.2">
      <c r="A359" s="120"/>
      <c r="B359" s="113"/>
      <c r="C359" s="117"/>
      <c r="D359" s="117"/>
      <c r="E359" s="117"/>
      <c r="F359" s="123"/>
      <c r="G359" s="93" t="s">
        <v>145</v>
      </c>
      <c r="H359" s="125"/>
      <c r="I359" s="125"/>
      <c r="J359" s="82" t="str">
        <f t="shared" ca="1" si="147"/>
        <v>#REF!</v>
      </c>
      <c r="K359" s="82" t="str">
        <f t="shared" ca="1" si="256"/>
        <v>#REF!</v>
      </c>
      <c r="L359" s="82" t="str">
        <f t="shared" ca="1" si="199"/>
        <v>#REF!</v>
      </c>
      <c r="M359" s="125"/>
      <c r="N359" s="125"/>
      <c r="O359" s="230">
        <f t="shared" si="2"/>
        <v>0</v>
      </c>
      <c r="P359" s="231">
        <f t="shared" si="3"/>
        <v>0</v>
      </c>
      <c r="Q359" s="232" t="str">
        <f ca="1">ROUNDUP(HLOOKUP(IF(CEILING(L359,0.5)&lt;1,1,CEILING(L359,0.5)),'배송비 조회'!A$32:AY$36,2,0),-2)</f>
        <v>#REF!</v>
      </c>
      <c r="R359" s="232">
        <v>0</v>
      </c>
      <c r="S359" s="231" t="str">
        <f t="shared" ca="1" si="250"/>
        <v>#REF!</v>
      </c>
      <c r="T359" s="231" t="str">
        <f t="shared" ca="1" si="200"/>
        <v>#REF!</v>
      </c>
      <c r="U359" s="233" t="str">
        <f t="shared" ca="1" si="142"/>
        <v>#REF!</v>
      </c>
      <c r="V359" s="233" t="str">
        <f t="shared" ca="1" si="7"/>
        <v>#REF!</v>
      </c>
      <c r="W359" s="234">
        <v>0</v>
      </c>
      <c r="X359" s="234" t="str">
        <f t="shared" ca="1" si="8"/>
        <v>#REF!</v>
      </c>
      <c r="Y359" s="234" t="str">
        <f t="shared" ca="1" si="9"/>
        <v>#REF!</v>
      </c>
      <c r="Z359" s="234" t="str">
        <f t="shared" ca="1" si="10"/>
        <v>#REF!</v>
      </c>
      <c r="AA359" s="234" t="str">
        <f t="shared" ca="1" si="11"/>
        <v>#REF!</v>
      </c>
      <c r="AB359" s="234" t="str">
        <f t="shared" ca="1" si="12"/>
        <v>#REF!</v>
      </c>
      <c r="AC359" s="234" t="str">
        <f t="shared" ca="1" si="13"/>
        <v>#REF!</v>
      </c>
      <c r="AD359" s="101" t="str">
        <f t="shared" ca="1" si="14"/>
        <v>#REF!</v>
      </c>
      <c r="AE359" s="101" t="str">
        <f t="shared" ca="1" si="15"/>
        <v>#REF!</v>
      </c>
      <c r="AF359" s="235" t="str">
        <f t="shared" ref="AF359:AG359" ca="1" si="436">AD359/U359</f>
        <v>#REF!</v>
      </c>
      <c r="AG359" s="235" t="str">
        <f t="shared" ca="1" si="436"/>
        <v>#REF!</v>
      </c>
      <c r="AH359" s="212"/>
      <c r="AI359" s="213"/>
      <c r="AJ359" s="4"/>
      <c r="AK359" s="4"/>
      <c r="AL359" s="4"/>
      <c r="AM359" s="4"/>
      <c r="AN359" s="4"/>
      <c r="AO359" s="4"/>
      <c r="AP359" s="4"/>
      <c r="AQ359" s="4"/>
      <c r="AR359" s="4"/>
      <c r="AS359" s="4"/>
      <c r="AT359" s="4"/>
      <c r="AU359" s="4"/>
    </row>
    <row r="360" spans="1:47" ht="13.2">
      <c r="A360" s="120"/>
      <c r="B360" s="113"/>
      <c r="C360" s="117"/>
      <c r="D360" s="117"/>
      <c r="E360" s="117"/>
      <c r="F360" s="123"/>
      <c r="G360" s="93" t="s">
        <v>145</v>
      </c>
      <c r="H360" s="125"/>
      <c r="I360" s="125"/>
      <c r="J360" s="82" t="str">
        <f t="shared" ca="1" si="147"/>
        <v>#REF!</v>
      </c>
      <c r="K360" s="82" t="str">
        <f t="shared" ca="1" si="256"/>
        <v>#REF!</v>
      </c>
      <c r="L360" s="82" t="str">
        <f t="shared" ca="1" si="199"/>
        <v>#REF!</v>
      </c>
      <c r="M360" s="125"/>
      <c r="N360" s="125"/>
      <c r="O360" s="230">
        <f t="shared" si="2"/>
        <v>0</v>
      </c>
      <c r="P360" s="231">
        <f t="shared" si="3"/>
        <v>0</v>
      </c>
      <c r="Q360" s="232" t="str">
        <f ca="1">ROUNDUP(HLOOKUP(IF(CEILING(L360,0.5)&lt;1,1,CEILING(L360,0.5)),'배송비 조회'!A$32:AY$36,2,0),-2)</f>
        <v>#REF!</v>
      </c>
      <c r="R360" s="232">
        <v>0</v>
      </c>
      <c r="S360" s="231" t="str">
        <f t="shared" ca="1" si="250"/>
        <v>#REF!</v>
      </c>
      <c r="T360" s="231" t="str">
        <f t="shared" ca="1" si="200"/>
        <v>#REF!</v>
      </c>
      <c r="U360" s="233" t="str">
        <f t="shared" ca="1" si="142"/>
        <v>#REF!</v>
      </c>
      <c r="V360" s="233" t="str">
        <f t="shared" ca="1" si="7"/>
        <v>#REF!</v>
      </c>
      <c r="W360" s="234">
        <v>0</v>
      </c>
      <c r="X360" s="234" t="str">
        <f t="shared" ca="1" si="8"/>
        <v>#REF!</v>
      </c>
      <c r="Y360" s="234" t="str">
        <f t="shared" ca="1" si="9"/>
        <v>#REF!</v>
      </c>
      <c r="Z360" s="234" t="str">
        <f t="shared" ca="1" si="10"/>
        <v>#REF!</v>
      </c>
      <c r="AA360" s="234" t="str">
        <f t="shared" ca="1" si="11"/>
        <v>#REF!</v>
      </c>
      <c r="AB360" s="234" t="str">
        <f t="shared" ca="1" si="12"/>
        <v>#REF!</v>
      </c>
      <c r="AC360" s="234" t="str">
        <f t="shared" ca="1" si="13"/>
        <v>#REF!</v>
      </c>
      <c r="AD360" s="101" t="str">
        <f t="shared" ca="1" si="14"/>
        <v>#REF!</v>
      </c>
      <c r="AE360" s="101" t="str">
        <f t="shared" ca="1" si="15"/>
        <v>#REF!</v>
      </c>
      <c r="AF360" s="235" t="str">
        <f t="shared" ref="AF360:AG360" ca="1" si="437">AD360/U360</f>
        <v>#REF!</v>
      </c>
      <c r="AG360" s="235" t="str">
        <f t="shared" ca="1" si="437"/>
        <v>#REF!</v>
      </c>
      <c r="AH360" s="212"/>
      <c r="AI360" s="213"/>
      <c r="AJ360" s="4"/>
      <c r="AK360" s="4"/>
      <c r="AL360" s="4"/>
      <c r="AM360" s="4"/>
      <c r="AN360" s="4"/>
      <c r="AO360" s="4"/>
      <c r="AP360" s="4"/>
      <c r="AQ360" s="4"/>
      <c r="AR360" s="4"/>
      <c r="AS360" s="4"/>
      <c r="AT360" s="4"/>
      <c r="AU360" s="4"/>
    </row>
    <row r="361" spans="1:47" ht="13.2">
      <c r="A361" s="120"/>
      <c r="B361" s="113"/>
      <c r="C361" s="117"/>
      <c r="D361" s="117"/>
      <c r="E361" s="117"/>
      <c r="F361" s="123"/>
      <c r="G361" s="93" t="s">
        <v>145</v>
      </c>
      <c r="H361" s="125"/>
      <c r="I361" s="125"/>
      <c r="J361" s="82" t="str">
        <f t="shared" ca="1" si="147"/>
        <v>#REF!</v>
      </c>
      <c r="K361" s="82" t="str">
        <f t="shared" ca="1" si="256"/>
        <v>#REF!</v>
      </c>
      <c r="L361" s="82" t="str">
        <f t="shared" ca="1" si="199"/>
        <v>#REF!</v>
      </c>
      <c r="M361" s="125"/>
      <c r="N361" s="125"/>
      <c r="O361" s="230">
        <f t="shared" si="2"/>
        <v>0</v>
      </c>
      <c r="P361" s="231">
        <f t="shared" si="3"/>
        <v>0</v>
      </c>
      <c r="Q361" s="232" t="str">
        <f ca="1">ROUNDUP(HLOOKUP(IF(CEILING(L361,0.5)&lt;1,1,CEILING(L361,0.5)),'배송비 조회'!A$32:AY$36,2,0),-2)</f>
        <v>#REF!</v>
      </c>
      <c r="R361" s="232">
        <v>0</v>
      </c>
      <c r="S361" s="231" t="str">
        <f t="shared" ca="1" si="250"/>
        <v>#REF!</v>
      </c>
      <c r="T361" s="231" t="str">
        <f t="shared" ca="1" si="200"/>
        <v>#REF!</v>
      </c>
      <c r="U361" s="233" t="str">
        <f t="shared" ca="1" si="142"/>
        <v>#REF!</v>
      </c>
      <c r="V361" s="233" t="str">
        <f t="shared" ca="1" si="7"/>
        <v>#REF!</v>
      </c>
      <c r="W361" s="234">
        <v>0</v>
      </c>
      <c r="X361" s="234" t="str">
        <f t="shared" ca="1" si="8"/>
        <v>#REF!</v>
      </c>
      <c r="Y361" s="234" t="str">
        <f t="shared" ca="1" si="9"/>
        <v>#REF!</v>
      </c>
      <c r="Z361" s="234" t="str">
        <f t="shared" ca="1" si="10"/>
        <v>#REF!</v>
      </c>
      <c r="AA361" s="234" t="str">
        <f t="shared" ca="1" si="11"/>
        <v>#REF!</v>
      </c>
      <c r="AB361" s="234" t="str">
        <f t="shared" ca="1" si="12"/>
        <v>#REF!</v>
      </c>
      <c r="AC361" s="234" t="str">
        <f t="shared" ca="1" si="13"/>
        <v>#REF!</v>
      </c>
      <c r="AD361" s="101" t="str">
        <f t="shared" ca="1" si="14"/>
        <v>#REF!</v>
      </c>
      <c r="AE361" s="101" t="str">
        <f t="shared" ca="1" si="15"/>
        <v>#REF!</v>
      </c>
      <c r="AF361" s="235" t="str">
        <f t="shared" ref="AF361:AG361" ca="1" si="438">AD361/U361</f>
        <v>#REF!</v>
      </c>
      <c r="AG361" s="235" t="str">
        <f t="shared" ca="1" si="438"/>
        <v>#REF!</v>
      </c>
      <c r="AH361" s="212"/>
      <c r="AI361" s="213"/>
      <c r="AJ361" s="4"/>
      <c r="AK361" s="4"/>
      <c r="AL361" s="4"/>
      <c r="AM361" s="4"/>
      <c r="AN361" s="4"/>
      <c r="AO361" s="4"/>
      <c r="AP361" s="4"/>
      <c r="AQ361" s="4"/>
      <c r="AR361" s="4"/>
      <c r="AS361" s="4"/>
      <c r="AT361" s="4"/>
      <c r="AU361" s="4"/>
    </row>
    <row r="362" spans="1:47" ht="13.2">
      <c r="A362" s="120"/>
      <c r="B362" s="113"/>
      <c r="C362" s="117"/>
      <c r="D362" s="117"/>
      <c r="E362" s="117"/>
      <c r="F362" s="123"/>
      <c r="G362" s="93" t="s">
        <v>145</v>
      </c>
      <c r="H362" s="125"/>
      <c r="I362" s="125"/>
      <c r="J362" s="82" t="str">
        <f t="shared" ca="1" si="147"/>
        <v>#REF!</v>
      </c>
      <c r="K362" s="82" t="str">
        <f t="shared" ca="1" si="256"/>
        <v>#REF!</v>
      </c>
      <c r="L362" s="82" t="str">
        <f t="shared" ca="1" si="199"/>
        <v>#REF!</v>
      </c>
      <c r="M362" s="125"/>
      <c r="N362" s="125"/>
      <c r="O362" s="230">
        <f t="shared" si="2"/>
        <v>0</v>
      </c>
      <c r="P362" s="231">
        <f t="shared" si="3"/>
        <v>0</v>
      </c>
      <c r="Q362" s="232" t="str">
        <f ca="1">ROUNDUP(HLOOKUP(IF(CEILING(L362,0.5)&lt;1,1,CEILING(L362,0.5)),'배송비 조회'!A$32:AY$36,2,0),-2)</f>
        <v>#REF!</v>
      </c>
      <c r="R362" s="232">
        <v>0</v>
      </c>
      <c r="S362" s="231" t="str">
        <f t="shared" ca="1" si="250"/>
        <v>#REF!</v>
      </c>
      <c r="T362" s="231" t="str">
        <f t="shared" ca="1" si="200"/>
        <v>#REF!</v>
      </c>
      <c r="U362" s="233" t="str">
        <f t="shared" ca="1" si="142"/>
        <v>#REF!</v>
      </c>
      <c r="V362" s="233" t="str">
        <f t="shared" ca="1" si="7"/>
        <v>#REF!</v>
      </c>
      <c r="W362" s="234">
        <v>0</v>
      </c>
      <c r="X362" s="234" t="str">
        <f t="shared" ca="1" si="8"/>
        <v>#REF!</v>
      </c>
      <c r="Y362" s="234" t="str">
        <f t="shared" ca="1" si="9"/>
        <v>#REF!</v>
      </c>
      <c r="Z362" s="234" t="str">
        <f t="shared" ca="1" si="10"/>
        <v>#REF!</v>
      </c>
      <c r="AA362" s="234" t="str">
        <f t="shared" ca="1" si="11"/>
        <v>#REF!</v>
      </c>
      <c r="AB362" s="234" t="str">
        <f t="shared" ca="1" si="12"/>
        <v>#REF!</v>
      </c>
      <c r="AC362" s="234" t="str">
        <f t="shared" ca="1" si="13"/>
        <v>#REF!</v>
      </c>
      <c r="AD362" s="101" t="str">
        <f t="shared" ca="1" si="14"/>
        <v>#REF!</v>
      </c>
      <c r="AE362" s="101" t="str">
        <f t="shared" ca="1" si="15"/>
        <v>#REF!</v>
      </c>
      <c r="AF362" s="235" t="str">
        <f t="shared" ref="AF362:AG362" ca="1" si="439">AD362/U362</f>
        <v>#REF!</v>
      </c>
      <c r="AG362" s="235" t="str">
        <f t="shared" ca="1" si="439"/>
        <v>#REF!</v>
      </c>
      <c r="AH362" s="212"/>
      <c r="AI362" s="213"/>
      <c r="AJ362" s="4"/>
      <c r="AK362" s="4"/>
      <c r="AL362" s="4"/>
      <c r="AM362" s="4"/>
      <c r="AN362" s="4"/>
      <c r="AO362" s="4"/>
      <c r="AP362" s="4"/>
      <c r="AQ362" s="4"/>
      <c r="AR362" s="4"/>
      <c r="AS362" s="4"/>
      <c r="AT362" s="4"/>
      <c r="AU362" s="4"/>
    </row>
    <row r="363" spans="1:47" ht="13.2">
      <c r="A363" s="120"/>
      <c r="B363" s="113"/>
      <c r="C363" s="117"/>
      <c r="D363" s="117"/>
      <c r="E363" s="117"/>
      <c r="F363" s="123"/>
      <c r="G363" s="93" t="s">
        <v>145</v>
      </c>
      <c r="H363" s="125"/>
      <c r="I363" s="125"/>
      <c r="J363" s="82" t="str">
        <f t="shared" ca="1" si="147"/>
        <v>#REF!</v>
      </c>
      <c r="K363" s="82" t="str">
        <f t="shared" ca="1" si="256"/>
        <v>#REF!</v>
      </c>
      <c r="L363" s="82" t="str">
        <f t="shared" ca="1" si="199"/>
        <v>#REF!</v>
      </c>
      <c r="M363" s="125"/>
      <c r="N363" s="125"/>
      <c r="O363" s="230">
        <f t="shared" si="2"/>
        <v>0</v>
      </c>
      <c r="P363" s="231">
        <f t="shared" si="3"/>
        <v>0</v>
      </c>
      <c r="Q363" s="232" t="str">
        <f ca="1">ROUNDUP(HLOOKUP(IF(CEILING(L363,0.5)&lt;1,1,CEILING(L363,0.5)),'배송비 조회'!A$32:AY$36,2,0),-2)</f>
        <v>#REF!</v>
      </c>
      <c r="R363" s="232">
        <v>0</v>
      </c>
      <c r="S363" s="231" t="str">
        <f t="shared" ca="1" si="250"/>
        <v>#REF!</v>
      </c>
      <c r="T363" s="231" t="str">
        <f t="shared" ca="1" si="200"/>
        <v>#REF!</v>
      </c>
      <c r="U363" s="233" t="str">
        <f t="shared" ca="1" si="142"/>
        <v>#REF!</v>
      </c>
      <c r="V363" s="233" t="str">
        <f t="shared" ca="1" si="7"/>
        <v>#REF!</v>
      </c>
      <c r="W363" s="234">
        <v>0</v>
      </c>
      <c r="X363" s="234" t="str">
        <f t="shared" ca="1" si="8"/>
        <v>#REF!</v>
      </c>
      <c r="Y363" s="234" t="str">
        <f t="shared" ca="1" si="9"/>
        <v>#REF!</v>
      </c>
      <c r="Z363" s="234" t="str">
        <f t="shared" ca="1" si="10"/>
        <v>#REF!</v>
      </c>
      <c r="AA363" s="234" t="str">
        <f t="shared" ca="1" si="11"/>
        <v>#REF!</v>
      </c>
      <c r="AB363" s="234" t="str">
        <f t="shared" ca="1" si="12"/>
        <v>#REF!</v>
      </c>
      <c r="AC363" s="234" t="str">
        <f t="shared" ca="1" si="13"/>
        <v>#REF!</v>
      </c>
      <c r="AD363" s="101" t="str">
        <f t="shared" ca="1" si="14"/>
        <v>#REF!</v>
      </c>
      <c r="AE363" s="101" t="str">
        <f t="shared" ca="1" si="15"/>
        <v>#REF!</v>
      </c>
      <c r="AF363" s="235" t="str">
        <f t="shared" ref="AF363:AG363" ca="1" si="440">AD363/U363</f>
        <v>#REF!</v>
      </c>
      <c r="AG363" s="235" t="str">
        <f t="shared" ca="1" si="440"/>
        <v>#REF!</v>
      </c>
      <c r="AH363" s="212"/>
      <c r="AI363" s="213"/>
      <c r="AJ363" s="4"/>
      <c r="AK363" s="4"/>
      <c r="AL363" s="4"/>
      <c r="AM363" s="4"/>
      <c r="AN363" s="4"/>
      <c r="AO363" s="4"/>
      <c r="AP363" s="4"/>
      <c r="AQ363" s="4"/>
      <c r="AR363" s="4"/>
      <c r="AS363" s="4"/>
      <c r="AT363" s="4"/>
      <c r="AU363" s="4"/>
    </row>
    <row r="364" spans="1:47" ht="13.2">
      <c r="A364" s="120"/>
      <c r="B364" s="113"/>
      <c r="C364" s="117"/>
      <c r="D364" s="117"/>
      <c r="E364" s="117"/>
      <c r="F364" s="123"/>
      <c r="G364" s="93" t="s">
        <v>145</v>
      </c>
      <c r="H364" s="125"/>
      <c r="I364" s="125"/>
      <c r="J364" s="82" t="str">
        <f t="shared" ca="1" si="147"/>
        <v>#REF!</v>
      </c>
      <c r="K364" s="82" t="str">
        <f t="shared" ca="1" si="256"/>
        <v>#REF!</v>
      </c>
      <c r="L364" s="82" t="str">
        <f t="shared" ca="1" si="199"/>
        <v>#REF!</v>
      </c>
      <c r="M364" s="125"/>
      <c r="N364" s="125"/>
      <c r="O364" s="230">
        <f t="shared" si="2"/>
        <v>0</v>
      </c>
      <c r="P364" s="231">
        <f t="shared" si="3"/>
        <v>0</v>
      </c>
      <c r="Q364" s="232" t="str">
        <f ca="1">ROUNDUP(HLOOKUP(IF(CEILING(L364,0.5)&lt;1,1,CEILING(L364,0.5)),'배송비 조회'!A$32:AY$36,2,0),-2)</f>
        <v>#REF!</v>
      </c>
      <c r="R364" s="232">
        <v>0</v>
      </c>
      <c r="S364" s="231" t="str">
        <f t="shared" ca="1" si="250"/>
        <v>#REF!</v>
      </c>
      <c r="T364" s="231" t="str">
        <f t="shared" ca="1" si="200"/>
        <v>#REF!</v>
      </c>
      <c r="U364" s="233" t="str">
        <f t="shared" ca="1" si="142"/>
        <v>#REF!</v>
      </c>
      <c r="V364" s="233" t="str">
        <f t="shared" ca="1" si="7"/>
        <v>#REF!</v>
      </c>
      <c r="W364" s="234">
        <v>0</v>
      </c>
      <c r="X364" s="234" t="str">
        <f t="shared" ca="1" si="8"/>
        <v>#REF!</v>
      </c>
      <c r="Y364" s="234" t="str">
        <f t="shared" ca="1" si="9"/>
        <v>#REF!</v>
      </c>
      <c r="Z364" s="234" t="str">
        <f t="shared" ca="1" si="10"/>
        <v>#REF!</v>
      </c>
      <c r="AA364" s="234" t="str">
        <f t="shared" ca="1" si="11"/>
        <v>#REF!</v>
      </c>
      <c r="AB364" s="234" t="str">
        <f t="shared" ca="1" si="12"/>
        <v>#REF!</v>
      </c>
      <c r="AC364" s="234" t="str">
        <f t="shared" ca="1" si="13"/>
        <v>#REF!</v>
      </c>
      <c r="AD364" s="101" t="str">
        <f t="shared" ca="1" si="14"/>
        <v>#REF!</v>
      </c>
      <c r="AE364" s="101" t="str">
        <f t="shared" ca="1" si="15"/>
        <v>#REF!</v>
      </c>
      <c r="AF364" s="235" t="str">
        <f t="shared" ref="AF364:AG364" ca="1" si="441">AD364/U364</f>
        <v>#REF!</v>
      </c>
      <c r="AG364" s="235" t="str">
        <f t="shared" ca="1" si="441"/>
        <v>#REF!</v>
      </c>
      <c r="AH364" s="212"/>
      <c r="AI364" s="213"/>
      <c r="AJ364" s="4"/>
      <c r="AK364" s="4"/>
      <c r="AL364" s="4"/>
      <c r="AM364" s="4"/>
      <c r="AN364" s="4"/>
      <c r="AO364" s="4"/>
      <c r="AP364" s="4"/>
      <c r="AQ364" s="4"/>
      <c r="AR364" s="4"/>
      <c r="AS364" s="4"/>
      <c r="AT364" s="4"/>
      <c r="AU364" s="4"/>
    </row>
    <row r="365" spans="1:47" ht="13.2">
      <c r="A365" s="120"/>
      <c r="B365" s="113"/>
      <c r="C365" s="117"/>
      <c r="D365" s="117"/>
      <c r="E365" s="117"/>
      <c r="F365" s="123"/>
      <c r="G365" s="93" t="s">
        <v>145</v>
      </c>
      <c r="H365" s="125"/>
      <c r="I365" s="125"/>
      <c r="J365" s="82" t="str">
        <f t="shared" ca="1" si="147"/>
        <v>#REF!</v>
      </c>
      <c r="K365" s="82" t="str">
        <f t="shared" ca="1" si="256"/>
        <v>#REF!</v>
      </c>
      <c r="L365" s="82" t="str">
        <f t="shared" ca="1" si="199"/>
        <v>#REF!</v>
      </c>
      <c r="M365" s="125"/>
      <c r="N365" s="125"/>
      <c r="O365" s="230">
        <f t="shared" si="2"/>
        <v>0</v>
      </c>
      <c r="P365" s="231">
        <f t="shared" si="3"/>
        <v>0</v>
      </c>
      <c r="Q365" s="232" t="str">
        <f ca="1">ROUNDUP(HLOOKUP(IF(CEILING(L365,0.5)&lt;1,1,CEILING(L365,0.5)),'배송비 조회'!A$32:AY$36,2,0),-2)</f>
        <v>#REF!</v>
      </c>
      <c r="R365" s="232">
        <v>0</v>
      </c>
      <c r="S365" s="231" t="str">
        <f t="shared" ca="1" si="250"/>
        <v>#REF!</v>
      </c>
      <c r="T365" s="231" t="str">
        <f t="shared" ca="1" si="200"/>
        <v>#REF!</v>
      </c>
      <c r="U365" s="233" t="str">
        <f t="shared" ca="1" si="142"/>
        <v>#REF!</v>
      </c>
      <c r="V365" s="233" t="str">
        <f t="shared" ca="1" si="7"/>
        <v>#REF!</v>
      </c>
      <c r="W365" s="234">
        <v>0</v>
      </c>
      <c r="X365" s="234" t="str">
        <f t="shared" ca="1" si="8"/>
        <v>#REF!</v>
      </c>
      <c r="Y365" s="234" t="str">
        <f t="shared" ca="1" si="9"/>
        <v>#REF!</v>
      </c>
      <c r="Z365" s="234" t="str">
        <f t="shared" ca="1" si="10"/>
        <v>#REF!</v>
      </c>
      <c r="AA365" s="234" t="str">
        <f t="shared" ca="1" si="11"/>
        <v>#REF!</v>
      </c>
      <c r="AB365" s="234" t="str">
        <f t="shared" ca="1" si="12"/>
        <v>#REF!</v>
      </c>
      <c r="AC365" s="234" t="str">
        <f t="shared" ca="1" si="13"/>
        <v>#REF!</v>
      </c>
      <c r="AD365" s="101" t="str">
        <f t="shared" ca="1" si="14"/>
        <v>#REF!</v>
      </c>
      <c r="AE365" s="101" t="str">
        <f t="shared" ca="1" si="15"/>
        <v>#REF!</v>
      </c>
      <c r="AF365" s="235" t="str">
        <f t="shared" ref="AF365:AG365" ca="1" si="442">AD365/U365</f>
        <v>#REF!</v>
      </c>
      <c r="AG365" s="235" t="str">
        <f t="shared" ca="1" si="442"/>
        <v>#REF!</v>
      </c>
      <c r="AH365" s="212"/>
      <c r="AI365" s="213"/>
      <c r="AJ365" s="4"/>
      <c r="AK365" s="4"/>
      <c r="AL365" s="4"/>
      <c r="AM365" s="4"/>
      <c r="AN365" s="4"/>
      <c r="AO365" s="4"/>
      <c r="AP365" s="4"/>
      <c r="AQ365" s="4"/>
      <c r="AR365" s="4"/>
      <c r="AS365" s="4"/>
      <c r="AT365" s="4"/>
      <c r="AU365" s="4"/>
    </row>
    <row r="366" spans="1:47" ht="13.2">
      <c r="A366" s="120"/>
      <c r="B366" s="113"/>
      <c r="C366" s="117"/>
      <c r="D366" s="117"/>
      <c r="E366" s="117"/>
      <c r="F366" s="123"/>
      <c r="G366" s="93" t="s">
        <v>145</v>
      </c>
      <c r="H366" s="125"/>
      <c r="I366" s="125"/>
      <c r="J366" s="82" t="str">
        <f t="shared" ca="1" si="147"/>
        <v>#REF!</v>
      </c>
      <c r="K366" s="82" t="str">
        <f t="shared" ca="1" si="256"/>
        <v>#REF!</v>
      </c>
      <c r="L366" s="82" t="str">
        <f t="shared" ca="1" si="199"/>
        <v>#REF!</v>
      </c>
      <c r="M366" s="125"/>
      <c r="N366" s="125"/>
      <c r="O366" s="230">
        <f t="shared" si="2"/>
        <v>0</v>
      </c>
      <c r="P366" s="231">
        <f t="shared" si="3"/>
        <v>0</v>
      </c>
      <c r="Q366" s="232" t="str">
        <f ca="1">ROUNDUP(HLOOKUP(IF(CEILING(L366,0.5)&lt;1,1,CEILING(L366,0.5)),'배송비 조회'!A$32:AY$36,2,0),-2)</f>
        <v>#REF!</v>
      </c>
      <c r="R366" s="232">
        <v>0</v>
      </c>
      <c r="S366" s="231" t="str">
        <f t="shared" ca="1" si="250"/>
        <v>#REF!</v>
      </c>
      <c r="T366" s="231" t="str">
        <f t="shared" ca="1" si="200"/>
        <v>#REF!</v>
      </c>
      <c r="U366" s="233" t="str">
        <f t="shared" ca="1" si="142"/>
        <v>#REF!</v>
      </c>
      <c r="V366" s="233" t="str">
        <f t="shared" ca="1" si="7"/>
        <v>#REF!</v>
      </c>
      <c r="W366" s="234">
        <v>0</v>
      </c>
      <c r="X366" s="234" t="str">
        <f t="shared" ca="1" si="8"/>
        <v>#REF!</v>
      </c>
      <c r="Y366" s="234" t="str">
        <f t="shared" ca="1" si="9"/>
        <v>#REF!</v>
      </c>
      <c r="Z366" s="234" t="str">
        <f t="shared" ca="1" si="10"/>
        <v>#REF!</v>
      </c>
      <c r="AA366" s="234" t="str">
        <f t="shared" ca="1" si="11"/>
        <v>#REF!</v>
      </c>
      <c r="AB366" s="234" t="str">
        <f t="shared" ca="1" si="12"/>
        <v>#REF!</v>
      </c>
      <c r="AC366" s="234" t="str">
        <f t="shared" ca="1" si="13"/>
        <v>#REF!</v>
      </c>
      <c r="AD366" s="101" t="str">
        <f t="shared" ca="1" si="14"/>
        <v>#REF!</v>
      </c>
      <c r="AE366" s="101" t="str">
        <f t="shared" ca="1" si="15"/>
        <v>#REF!</v>
      </c>
      <c r="AF366" s="235" t="str">
        <f t="shared" ref="AF366:AG366" ca="1" si="443">AD366/U366</f>
        <v>#REF!</v>
      </c>
      <c r="AG366" s="235" t="str">
        <f t="shared" ca="1" si="443"/>
        <v>#REF!</v>
      </c>
      <c r="AH366" s="212"/>
      <c r="AI366" s="213"/>
      <c r="AJ366" s="4"/>
      <c r="AK366" s="4"/>
      <c r="AL366" s="4"/>
      <c r="AM366" s="4"/>
      <c r="AN366" s="4"/>
      <c r="AO366" s="4"/>
      <c r="AP366" s="4"/>
      <c r="AQ366" s="4"/>
      <c r="AR366" s="4"/>
      <c r="AS366" s="4"/>
      <c r="AT366" s="4"/>
      <c r="AU366" s="4"/>
    </row>
    <row r="367" spans="1:47" ht="13.2">
      <c r="A367" s="120"/>
      <c r="B367" s="113"/>
      <c r="C367" s="117"/>
      <c r="D367" s="117"/>
      <c r="E367" s="117"/>
      <c r="F367" s="123"/>
      <c r="G367" s="93" t="s">
        <v>145</v>
      </c>
      <c r="H367" s="125"/>
      <c r="I367" s="125"/>
      <c r="J367" s="82" t="str">
        <f t="shared" ca="1" si="147"/>
        <v>#REF!</v>
      </c>
      <c r="K367" s="82" t="str">
        <f t="shared" ca="1" si="256"/>
        <v>#REF!</v>
      </c>
      <c r="L367" s="82" t="str">
        <f t="shared" ca="1" si="199"/>
        <v>#REF!</v>
      </c>
      <c r="M367" s="125"/>
      <c r="N367" s="125"/>
      <c r="O367" s="230">
        <f t="shared" si="2"/>
        <v>0</v>
      </c>
      <c r="P367" s="231">
        <f t="shared" si="3"/>
        <v>0</v>
      </c>
      <c r="Q367" s="232" t="str">
        <f ca="1">ROUNDUP(HLOOKUP(IF(CEILING(L367,0.5)&lt;1,1,CEILING(L367,0.5)),'배송비 조회'!A$32:AY$36,2,0),-2)</f>
        <v>#REF!</v>
      </c>
      <c r="R367" s="232">
        <v>0</v>
      </c>
      <c r="S367" s="231" t="str">
        <f t="shared" ca="1" si="250"/>
        <v>#REF!</v>
      </c>
      <c r="T367" s="231" t="str">
        <f t="shared" ca="1" si="200"/>
        <v>#REF!</v>
      </c>
      <c r="U367" s="233" t="str">
        <f t="shared" ca="1" si="142"/>
        <v>#REF!</v>
      </c>
      <c r="V367" s="233" t="str">
        <f t="shared" ca="1" si="7"/>
        <v>#REF!</v>
      </c>
      <c r="W367" s="234">
        <v>0</v>
      </c>
      <c r="X367" s="234" t="str">
        <f t="shared" ca="1" si="8"/>
        <v>#REF!</v>
      </c>
      <c r="Y367" s="234" t="str">
        <f t="shared" ca="1" si="9"/>
        <v>#REF!</v>
      </c>
      <c r="Z367" s="234" t="str">
        <f t="shared" ca="1" si="10"/>
        <v>#REF!</v>
      </c>
      <c r="AA367" s="234" t="str">
        <f t="shared" ca="1" si="11"/>
        <v>#REF!</v>
      </c>
      <c r="AB367" s="234" t="str">
        <f t="shared" ca="1" si="12"/>
        <v>#REF!</v>
      </c>
      <c r="AC367" s="234" t="str">
        <f t="shared" ca="1" si="13"/>
        <v>#REF!</v>
      </c>
      <c r="AD367" s="101" t="str">
        <f t="shared" ca="1" si="14"/>
        <v>#REF!</v>
      </c>
      <c r="AE367" s="101" t="str">
        <f t="shared" ca="1" si="15"/>
        <v>#REF!</v>
      </c>
      <c r="AF367" s="235" t="str">
        <f t="shared" ref="AF367:AG367" ca="1" si="444">AD367/U367</f>
        <v>#REF!</v>
      </c>
      <c r="AG367" s="235" t="str">
        <f t="shared" ca="1" si="444"/>
        <v>#REF!</v>
      </c>
      <c r="AH367" s="212"/>
      <c r="AI367" s="213"/>
      <c r="AJ367" s="4"/>
      <c r="AK367" s="4"/>
      <c r="AL367" s="4"/>
      <c r="AM367" s="4"/>
      <c r="AN367" s="4"/>
      <c r="AO367" s="4"/>
      <c r="AP367" s="4"/>
      <c r="AQ367" s="4"/>
      <c r="AR367" s="4"/>
      <c r="AS367" s="4"/>
      <c r="AT367" s="4"/>
      <c r="AU367" s="4"/>
    </row>
    <row r="368" spans="1:47" ht="13.2">
      <c r="A368" s="120"/>
      <c r="B368" s="113"/>
      <c r="C368" s="117"/>
      <c r="D368" s="117"/>
      <c r="E368" s="117"/>
      <c r="F368" s="123"/>
      <c r="G368" s="93" t="s">
        <v>145</v>
      </c>
      <c r="H368" s="125"/>
      <c r="I368" s="125"/>
      <c r="J368" s="82" t="str">
        <f t="shared" ca="1" si="147"/>
        <v>#REF!</v>
      </c>
      <c r="K368" s="82" t="str">
        <f t="shared" ca="1" si="256"/>
        <v>#REF!</v>
      </c>
      <c r="L368" s="82" t="str">
        <f t="shared" ca="1" si="199"/>
        <v>#REF!</v>
      </c>
      <c r="M368" s="125"/>
      <c r="N368" s="125"/>
      <c r="O368" s="230">
        <f t="shared" si="2"/>
        <v>0</v>
      </c>
      <c r="P368" s="231">
        <f t="shared" si="3"/>
        <v>0</v>
      </c>
      <c r="Q368" s="232" t="str">
        <f ca="1">ROUNDUP(HLOOKUP(IF(CEILING(L368,0.5)&lt;1,1,CEILING(L368,0.5)),'배송비 조회'!A$32:AY$36,2,0),-2)</f>
        <v>#REF!</v>
      </c>
      <c r="R368" s="232">
        <v>0</v>
      </c>
      <c r="S368" s="231" t="str">
        <f t="shared" ca="1" si="250"/>
        <v>#REF!</v>
      </c>
      <c r="T368" s="231" t="str">
        <f t="shared" ca="1" si="200"/>
        <v>#REF!</v>
      </c>
      <c r="U368" s="233" t="str">
        <f t="shared" ca="1" si="142"/>
        <v>#REF!</v>
      </c>
      <c r="V368" s="233" t="str">
        <f t="shared" ca="1" si="7"/>
        <v>#REF!</v>
      </c>
      <c r="W368" s="234">
        <v>0</v>
      </c>
      <c r="X368" s="234" t="str">
        <f t="shared" ca="1" si="8"/>
        <v>#REF!</v>
      </c>
      <c r="Y368" s="234" t="str">
        <f t="shared" ca="1" si="9"/>
        <v>#REF!</v>
      </c>
      <c r="Z368" s="234" t="str">
        <f t="shared" ca="1" si="10"/>
        <v>#REF!</v>
      </c>
      <c r="AA368" s="234" t="str">
        <f t="shared" ca="1" si="11"/>
        <v>#REF!</v>
      </c>
      <c r="AB368" s="234" t="str">
        <f t="shared" ca="1" si="12"/>
        <v>#REF!</v>
      </c>
      <c r="AC368" s="234" t="str">
        <f t="shared" ca="1" si="13"/>
        <v>#REF!</v>
      </c>
      <c r="AD368" s="101" t="str">
        <f t="shared" ca="1" si="14"/>
        <v>#REF!</v>
      </c>
      <c r="AE368" s="101" t="str">
        <f t="shared" ca="1" si="15"/>
        <v>#REF!</v>
      </c>
      <c r="AF368" s="235" t="str">
        <f t="shared" ref="AF368:AG368" ca="1" si="445">AD368/U368</f>
        <v>#REF!</v>
      </c>
      <c r="AG368" s="235" t="str">
        <f t="shared" ca="1" si="445"/>
        <v>#REF!</v>
      </c>
      <c r="AH368" s="212"/>
      <c r="AI368" s="213"/>
      <c r="AJ368" s="4"/>
      <c r="AK368" s="4"/>
      <c r="AL368" s="4"/>
      <c r="AM368" s="4"/>
      <c r="AN368" s="4"/>
      <c r="AO368" s="4"/>
      <c r="AP368" s="4"/>
      <c r="AQ368" s="4"/>
      <c r="AR368" s="4"/>
      <c r="AS368" s="4"/>
      <c r="AT368" s="4"/>
      <c r="AU368" s="4"/>
    </row>
    <row r="369" spans="1:47" ht="13.2">
      <c r="A369" s="120"/>
      <c r="B369" s="113"/>
      <c r="C369" s="117"/>
      <c r="D369" s="117"/>
      <c r="E369" s="117"/>
      <c r="F369" s="123"/>
      <c r="G369" s="93" t="s">
        <v>145</v>
      </c>
      <c r="H369" s="125"/>
      <c r="I369" s="125"/>
      <c r="J369" s="82" t="str">
        <f t="shared" ca="1" si="147"/>
        <v>#REF!</v>
      </c>
      <c r="K369" s="82" t="str">
        <f t="shared" ca="1" si="256"/>
        <v>#REF!</v>
      </c>
      <c r="L369" s="82" t="str">
        <f t="shared" ca="1" si="199"/>
        <v>#REF!</v>
      </c>
      <c r="M369" s="125"/>
      <c r="N369" s="125"/>
      <c r="O369" s="230">
        <f t="shared" si="2"/>
        <v>0</v>
      </c>
      <c r="P369" s="231">
        <f t="shared" si="3"/>
        <v>0</v>
      </c>
      <c r="Q369" s="232" t="str">
        <f ca="1">ROUNDUP(HLOOKUP(IF(CEILING(L369,0.5)&lt;1,1,CEILING(L369,0.5)),'배송비 조회'!A$32:AY$36,2,0),-2)</f>
        <v>#REF!</v>
      </c>
      <c r="R369" s="232">
        <v>0</v>
      </c>
      <c r="S369" s="231" t="str">
        <f t="shared" ca="1" si="250"/>
        <v>#REF!</v>
      </c>
      <c r="T369" s="231" t="str">
        <f t="shared" ca="1" si="200"/>
        <v>#REF!</v>
      </c>
      <c r="U369" s="233" t="str">
        <f t="shared" ca="1" si="142"/>
        <v>#REF!</v>
      </c>
      <c r="V369" s="233" t="str">
        <f t="shared" ca="1" si="7"/>
        <v>#REF!</v>
      </c>
      <c r="W369" s="234">
        <v>0</v>
      </c>
      <c r="X369" s="234" t="str">
        <f t="shared" ca="1" si="8"/>
        <v>#REF!</v>
      </c>
      <c r="Y369" s="234" t="str">
        <f t="shared" ca="1" si="9"/>
        <v>#REF!</v>
      </c>
      <c r="Z369" s="234" t="str">
        <f t="shared" ca="1" si="10"/>
        <v>#REF!</v>
      </c>
      <c r="AA369" s="234" t="str">
        <f t="shared" ca="1" si="11"/>
        <v>#REF!</v>
      </c>
      <c r="AB369" s="234" t="str">
        <f t="shared" ca="1" si="12"/>
        <v>#REF!</v>
      </c>
      <c r="AC369" s="234" t="str">
        <f t="shared" ca="1" si="13"/>
        <v>#REF!</v>
      </c>
      <c r="AD369" s="101" t="str">
        <f t="shared" ca="1" si="14"/>
        <v>#REF!</v>
      </c>
      <c r="AE369" s="101" t="str">
        <f t="shared" ca="1" si="15"/>
        <v>#REF!</v>
      </c>
      <c r="AF369" s="235" t="str">
        <f t="shared" ref="AF369:AG369" ca="1" si="446">AD369/U369</f>
        <v>#REF!</v>
      </c>
      <c r="AG369" s="235" t="str">
        <f t="shared" ca="1" si="446"/>
        <v>#REF!</v>
      </c>
      <c r="AH369" s="212"/>
      <c r="AI369" s="213"/>
      <c r="AJ369" s="4"/>
      <c r="AK369" s="4"/>
      <c r="AL369" s="4"/>
      <c r="AM369" s="4"/>
      <c r="AN369" s="4"/>
      <c r="AO369" s="4"/>
      <c r="AP369" s="4"/>
      <c r="AQ369" s="4"/>
      <c r="AR369" s="4"/>
      <c r="AS369" s="4"/>
      <c r="AT369" s="4"/>
      <c r="AU369" s="4"/>
    </row>
    <row r="370" spans="1:47" ht="13.2">
      <c r="A370" s="120"/>
      <c r="B370" s="113"/>
      <c r="C370" s="117"/>
      <c r="D370" s="117"/>
      <c r="E370" s="117"/>
      <c r="F370" s="123"/>
      <c r="G370" s="93" t="s">
        <v>145</v>
      </c>
      <c r="H370" s="125"/>
      <c r="I370" s="125"/>
      <c r="J370" s="82" t="str">
        <f t="shared" ca="1" si="147"/>
        <v>#REF!</v>
      </c>
      <c r="K370" s="82" t="str">
        <f t="shared" ca="1" si="256"/>
        <v>#REF!</v>
      </c>
      <c r="L370" s="82" t="str">
        <f t="shared" ca="1" si="199"/>
        <v>#REF!</v>
      </c>
      <c r="M370" s="125"/>
      <c r="N370" s="125"/>
      <c r="O370" s="230">
        <f t="shared" si="2"/>
        <v>0</v>
      </c>
      <c r="P370" s="231">
        <f t="shared" si="3"/>
        <v>0</v>
      </c>
      <c r="Q370" s="232" t="str">
        <f ca="1">ROUNDUP(HLOOKUP(IF(CEILING(L370,0.5)&lt;1,1,CEILING(L370,0.5)),'배송비 조회'!A$32:AY$36,2,0),-2)</f>
        <v>#REF!</v>
      </c>
      <c r="R370" s="232">
        <v>0</v>
      </c>
      <c r="S370" s="231" t="str">
        <f t="shared" ca="1" si="250"/>
        <v>#REF!</v>
      </c>
      <c r="T370" s="231" t="str">
        <f t="shared" ca="1" si="200"/>
        <v>#REF!</v>
      </c>
      <c r="U370" s="233" t="str">
        <f t="shared" ca="1" si="142"/>
        <v>#REF!</v>
      </c>
      <c r="V370" s="233" t="str">
        <f t="shared" ca="1" si="7"/>
        <v>#REF!</v>
      </c>
      <c r="W370" s="234">
        <v>0</v>
      </c>
      <c r="X370" s="234" t="str">
        <f t="shared" ca="1" si="8"/>
        <v>#REF!</v>
      </c>
      <c r="Y370" s="234" t="str">
        <f t="shared" ca="1" si="9"/>
        <v>#REF!</v>
      </c>
      <c r="Z370" s="234" t="str">
        <f t="shared" ca="1" si="10"/>
        <v>#REF!</v>
      </c>
      <c r="AA370" s="234" t="str">
        <f t="shared" ca="1" si="11"/>
        <v>#REF!</v>
      </c>
      <c r="AB370" s="234" t="str">
        <f t="shared" ca="1" si="12"/>
        <v>#REF!</v>
      </c>
      <c r="AC370" s="234" t="str">
        <f t="shared" ca="1" si="13"/>
        <v>#REF!</v>
      </c>
      <c r="AD370" s="101" t="str">
        <f t="shared" ca="1" si="14"/>
        <v>#REF!</v>
      </c>
      <c r="AE370" s="101" t="str">
        <f t="shared" ca="1" si="15"/>
        <v>#REF!</v>
      </c>
      <c r="AF370" s="235" t="str">
        <f t="shared" ref="AF370:AG370" ca="1" si="447">AD370/U370</f>
        <v>#REF!</v>
      </c>
      <c r="AG370" s="235" t="str">
        <f t="shared" ca="1" si="447"/>
        <v>#REF!</v>
      </c>
      <c r="AH370" s="212"/>
      <c r="AI370" s="213"/>
      <c r="AJ370" s="4"/>
      <c r="AK370" s="4"/>
      <c r="AL370" s="4"/>
      <c r="AM370" s="4"/>
      <c r="AN370" s="4"/>
      <c r="AO370" s="4"/>
      <c r="AP370" s="4"/>
      <c r="AQ370" s="4"/>
      <c r="AR370" s="4"/>
      <c r="AS370" s="4"/>
      <c r="AT370" s="4"/>
      <c r="AU370" s="4"/>
    </row>
    <row r="371" spans="1:47" ht="13.2">
      <c r="A371" s="120"/>
      <c r="B371" s="113"/>
      <c r="C371" s="117"/>
      <c r="D371" s="117"/>
      <c r="E371" s="117"/>
      <c r="F371" s="123"/>
      <c r="G371" s="93" t="s">
        <v>145</v>
      </c>
      <c r="H371" s="125"/>
      <c r="I371" s="125"/>
      <c r="J371" s="82" t="str">
        <f t="shared" ca="1" si="147"/>
        <v>#REF!</v>
      </c>
      <c r="K371" s="82" t="str">
        <f t="shared" ca="1" si="256"/>
        <v>#REF!</v>
      </c>
      <c r="L371" s="82" t="str">
        <f t="shared" ca="1" si="199"/>
        <v>#REF!</v>
      </c>
      <c r="M371" s="125"/>
      <c r="N371" s="125"/>
      <c r="O371" s="230">
        <f t="shared" si="2"/>
        <v>0</v>
      </c>
      <c r="P371" s="231">
        <f t="shared" si="3"/>
        <v>0</v>
      </c>
      <c r="Q371" s="232" t="str">
        <f ca="1">ROUNDUP(HLOOKUP(IF(CEILING(L371,0.5)&lt;1,1,CEILING(L371,0.5)),'배송비 조회'!A$32:AY$36,2,0),-2)</f>
        <v>#REF!</v>
      </c>
      <c r="R371" s="232">
        <v>0</v>
      </c>
      <c r="S371" s="231" t="str">
        <f t="shared" ca="1" si="250"/>
        <v>#REF!</v>
      </c>
      <c r="T371" s="231" t="str">
        <f t="shared" ca="1" si="200"/>
        <v>#REF!</v>
      </c>
      <c r="U371" s="233" t="str">
        <f t="shared" ca="1" si="142"/>
        <v>#REF!</v>
      </c>
      <c r="V371" s="233" t="str">
        <f t="shared" ca="1" si="7"/>
        <v>#REF!</v>
      </c>
      <c r="W371" s="234">
        <v>0</v>
      </c>
      <c r="X371" s="234" t="str">
        <f t="shared" ca="1" si="8"/>
        <v>#REF!</v>
      </c>
      <c r="Y371" s="234" t="str">
        <f t="shared" ca="1" si="9"/>
        <v>#REF!</v>
      </c>
      <c r="Z371" s="234" t="str">
        <f t="shared" ca="1" si="10"/>
        <v>#REF!</v>
      </c>
      <c r="AA371" s="234" t="str">
        <f t="shared" ca="1" si="11"/>
        <v>#REF!</v>
      </c>
      <c r="AB371" s="234" t="str">
        <f t="shared" ca="1" si="12"/>
        <v>#REF!</v>
      </c>
      <c r="AC371" s="234" t="str">
        <f t="shared" ca="1" si="13"/>
        <v>#REF!</v>
      </c>
      <c r="AD371" s="101" t="str">
        <f t="shared" ca="1" si="14"/>
        <v>#REF!</v>
      </c>
      <c r="AE371" s="101" t="str">
        <f t="shared" ca="1" si="15"/>
        <v>#REF!</v>
      </c>
      <c r="AF371" s="235" t="str">
        <f t="shared" ref="AF371:AG371" ca="1" si="448">AD371/U371</f>
        <v>#REF!</v>
      </c>
      <c r="AG371" s="235" t="str">
        <f t="shared" ca="1" si="448"/>
        <v>#REF!</v>
      </c>
      <c r="AH371" s="212"/>
      <c r="AI371" s="213"/>
      <c r="AJ371" s="4"/>
      <c r="AK371" s="4"/>
      <c r="AL371" s="4"/>
      <c r="AM371" s="4"/>
      <c r="AN371" s="4"/>
      <c r="AO371" s="4"/>
      <c r="AP371" s="4"/>
      <c r="AQ371" s="4"/>
      <c r="AR371" s="4"/>
      <c r="AS371" s="4"/>
      <c r="AT371" s="4"/>
      <c r="AU371" s="4"/>
    </row>
    <row r="372" spans="1:47" ht="13.2">
      <c r="A372" s="120"/>
      <c r="B372" s="113"/>
      <c r="C372" s="117"/>
      <c r="D372" s="117"/>
      <c r="E372" s="117"/>
      <c r="F372" s="123"/>
      <c r="G372" s="93" t="s">
        <v>145</v>
      </c>
      <c r="H372" s="125"/>
      <c r="I372" s="125"/>
      <c r="J372" s="82" t="str">
        <f t="shared" ca="1" si="147"/>
        <v>#REF!</v>
      </c>
      <c r="K372" s="82" t="str">
        <f t="shared" ca="1" si="256"/>
        <v>#REF!</v>
      </c>
      <c r="L372" s="82" t="str">
        <f t="shared" ca="1" si="199"/>
        <v>#REF!</v>
      </c>
      <c r="M372" s="125"/>
      <c r="N372" s="125"/>
      <c r="O372" s="230">
        <f t="shared" si="2"/>
        <v>0</v>
      </c>
      <c r="P372" s="231">
        <f t="shared" si="3"/>
        <v>0</v>
      </c>
      <c r="Q372" s="232" t="str">
        <f ca="1">ROUNDUP(HLOOKUP(IF(CEILING(L372,0.5)&lt;1,1,CEILING(L372,0.5)),'배송비 조회'!A$32:AY$36,2,0),-2)</f>
        <v>#REF!</v>
      </c>
      <c r="R372" s="232">
        <v>0</v>
      </c>
      <c r="S372" s="231" t="str">
        <f t="shared" ca="1" si="250"/>
        <v>#REF!</v>
      </c>
      <c r="T372" s="231" t="str">
        <f t="shared" ca="1" si="200"/>
        <v>#REF!</v>
      </c>
      <c r="U372" s="233" t="str">
        <f t="shared" ca="1" si="142"/>
        <v>#REF!</v>
      </c>
      <c r="V372" s="233" t="str">
        <f t="shared" ca="1" si="7"/>
        <v>#REF!</v>
      </c>
      <c r="W372" s="234">
        <v>0</v>
      </c>
      <c r="X372" s="234" t="str">
        <f t="shared" ca="1" si="8"/>
        <v>#REF!</v>
      </c>
      <c r="Y372" s="234" t="str">
        <f t="shared" ca="1" si="9"/>
        <v>#REF!</v>
      </c>
      <c r="Z372" s="234" t="str">
        <f t="shared" ca="1" si="10"/>
        <v>#REF!</v>
      </c>
      <c r="AA372" s="234" t="str">
        <f t="shared" ca="1" si="11"/>
        <v>#REF!</v>
      </c>
      <c r="AB372" s="234" t="str">
        <f t="shared" ca="1" si="12"/>
        <v>#REF!</v>
      </c>
      <c r="AC372" s="234" t="str">
        <f t="shared" ca="1" si="13"/>
        <v>#REF!</v>
      </c>
      <c r="AD372" s="101" t="str">
        <f t="shared" ca="1" si="14"/>
        <v>#REF!</v>
      </c>
      <c r="AE372" s="101" t="str">
        <f t="shared" ca="1" si="15"/>
        <v>#REF!</v>
      </c>
      <c r="AF372" s="235" t="str">
        <f t="shared" ref="AF372:AG372" ca="1" si="449">AD372/U372</f>
        <v>#REF!</v>
      </c>
      <c r="AG372" s="235" t="str">
        <f t="shared" ca="1" si="449"/>
        <v>#REF!</v>
      </c>
      <c r="AH372" s="212"/>
      <c r="AI372" s="213"/>
      <c r="AJ372" s="4"/>
      <c r="AK372" s="4"/>
      <c r="AL372" s="4"/>
      <c r="AM372" s="4"/>
      <c r="AN372" s="4"/>
      <c r="AO372" s="4"/>
      <c r="AP372" s="4"/>
      <c r="AQ372" s="4"/>
      <c r="AR372" s="4"/>
      <c r="AS372" s="4"/>
      <c r="AT372" s="4"/>
      <c r="AU372" s="4"/>
    </row>
    <row r="373" spans="1:47" ht="13.2">
      <c r="A373" s="120"/>
      <c r="B373" s="113"/>
      <c r="C373" s="117"/>
      <c r="D373" s="117"/>
      <c r="E373" s="117"/>
      <c r="F373" s="123"/>
      <c r="G373" s="93" t="s">
        <v>145</v>
      </c>
      <c r="H373" s="125"/>
      <c r="I373" s="125"/>
      <c r="J373" s="82" t="str">
        <f t="shared" ca="1" si="147"/>
        <v>#REF!</v>
      </c>
      <c r="K373" s="82" t="str">
        <f t="shared" ca="1" si="256"/>
        <v>#REF!</v>
      </c>
      <c r="L373" s="82" t="str">
        <f t="shared" ca="1" si="199"/>
        <v>#REF!</v>
      </c>
      <c r="M373" s="125"/>
      <c r="N373" s="125"/>
      <c r="O373" s="230">
        <f t="shared" si="2"/>
        <v>0</v>
      </c>
      <c r="P373" s="231">
        <f t="shared" si="3"/>
        <v>0</v>
      </c>
      <c r="Q373" s="232" t="str">
        <f ca="1">ROUNDUP(HLOOKUP(IF(CEILING(L373,0.5)&lt;1,1,CEILING(L373,0.5)),'배송비 조회'!A$32:AY$36,2,0),-2)</f>
        <v>#REF!</v>
      </c>
      <c r="R373" s="232">
        <v>0</v>
      </c>
      <c r="S373" s="231" t="str">
        <f t="shared" ca="1" si="250"/>
        <v>#REF!</v>
      </c>
      <c r="T373" s="231" t="str">
        <f t="shared" ca="1" si="200"/>
        <v>#REF!</v>
      </c>
      <c r="U373" s="233" t="str">
        <f t="shared" ca="1" si="142"/>
        <v>#REF!</v>
      </c>
      <c r="V373" s="233" t="str">
        <f t="shared" ca="1" si="7"/>
        <v>#REF!</v>
      </c>
      <c r="W373" s="234">
        <v>0</v>
      </c>
      <c r="X373" s="234" t="str">
        <f t="shared" ca="1" si="8"/>
        <v>#REF!</v>
      </c>
      <c r="Y373" s="234" t="str">
        <f t="shared" ca="1" si="9"/>
        <v>#REF!</v>
      </c>
      <c r="Z373" s="234" t="str">
        <f t="shared" ca="1" si="10"/>
        <v>#REF!</v>
      </c>
      <c r="AA373" s="234" t="str">
        <f t="shared" ca="1" si="11"/>
        <v>#REF!</v>
      </c>
      <c r="AB373" s="234" t="str">
        <f t="shared" ca="1" si="12"/>
        <v>#REF!</v>
      </c>
      <c r="AC373" s="234" t="str">
        <f t="shared" ca="1" si="13"/>
        <v>#REF!</v>
      </c>
      <c r="AD373" s="101" t="str">
        <f t="shared" ca="1" si="14"/>
        <v>#REF!</v>
      </c>
      <c r="AE373" s="101" t="str">
        <f t="shared" ca="1" si="15"/>
        <v>#REF!</v>
      </c>
      <c r="AF373" s="235" t="str">
        <f t="shared" ref="AF373:AG373" ca="1" si="450">AD373/U373</f>
        <v>#REF!</v>
      </c>
      <c r="AG373" s="235" t="str">
        <f t="shared" ca="1" si="450"/>
        <v>#REF!</v>
      </c>
      <c r="AH373" s="212"/>
      <c r="AI373" s="213"/>
      <c r="AJ373" s="4"/>
      <c r="AK373" s="4"/>
      <c r="AL373" s="4"/>
      <c r="AM373" s="4"/>
      <c r="AN373" s="4"/>
      <c r="AO373" s="4"/>
      <c r="AP373" s="4"/>
      <c r="AQ373" s="4"/>
      <c r="AR373" s="4"/>
      <c r="AS373" s="4"/>
      <c r="AT373" s="4"/>
      <c r="AU373" s="4"/>
    </row>
    <row r="374" spans="1:47" ht="13.2">
      <c r="A374" s="120"/>
      <c r="B374" s="113"/>
      <c r="C374" s="117"/>
      <c r="D374" s="117"/>
      <c r="E374" s="117"/>
      <c r="F374" s="123"/>
      <c r="G374" s="93" t="s">
        <v>145</v>
      </c>
      <c r="H374" s="125"/>
      <c r="I374" s="125"/>
      <c r="J374" s="82" t="str">
        <f t="shared" ca="1" si="147"/>
        <v>#REF!</v>
      </c>
      <c r="K374" s="82" t="str">
        <f t="shared" ca="1" si="256"/>
        <v>#REF!</v>
      </c>
      <c r="L374" s="82" t="str">
        <f t="shared" ca="1" si="199"/>
        <v>#REF!</v>
      </c>
      <c r="M374" s="125"/>
      <c r="N374" s="125"/>
      <c r="O374" s="230">
        <f t="shared" si="2"/>
        <v>0</v>
      </c>
      <c r="P374" s="231">
        <f t="shared" si="3"/>
        <v>0</v>
      </c>
      <c r="Q374" s="232" t="str">
        <f ca="1">ROUNDUP(HLOOKUP(IF(CEILING(L374,0.5)&lt;1,1,CEILING(L374,0.5)),'배송비 조회'!A$32:AY$36,2,0),-2)</f>
        <v>#REF!</v>
      </c>
      <c r="R374" s="232">
        <v>0</v>
      </c>
      <c r="S374" s="231" t="str">
        <f t="shared" ca="1" si="250"/>
        <v>#REF!</v>
      </c>
      <c r="T374" s="231" t="str">
        <f t="shared" ca="1" si="200"/>
        <v>#REF!</v>
      </c>
      <c r="U374" s="233" t="str">
        <f t="shared" ca="1" si="142"/>
        <v>#REF!</v>
      </c>
      <c r="V374" s="233" t="str">
        <f t="shared" ca="1" si="7"/>
        <v>#REF!</v>
      </c>
      <c r="W374" s="234">
        <v>0</v>
      </c>
      <c r="X374" s="234" t="str">
        <f t="shared" ca="1" si="8"/>
        <v>#REF!</v>
      </c>
      <c r="Y374" s="234" t="str">
        <f t="shared" ca="1" si="9"/>
        <v>#REF!</v>
      </c>
      <c r="Z374" s="234" t="str">
        <f t="shared" ca="1" si="10"/>
        <v>#REF!</v>
      </c>
      <c r="AA374" s="234" t="str">
        <f t="shared" ca="1" si="11"/>
        <v>#REF!</v>
      </c>
      <c r="AB374" s="234" t="str">
        <f t="shared" ca="1" si="12"/>
        <v>#REF!</v>
      </c>
      <c r="AC374" s="234" t="str">
        <f t="shared" ca="1" si="13"/>
        <v>#REF!</v>
      </c>
      <c r="AD374" s="101" t="str">
        <f t="shared" ca="1" si="14"/>
        <v>#REF!</v>
      </c>
      <c r="AE374" s="101" t="str">
        <f t="shared" ca="1" si="15"/>
        <v>#REF!</v>
      </c>
      <c r="AF374" s="235" t="str">
        <f t="shared" ref="AF374:AG374" ca="1" si="451">AD374/U374</f>
        <v>#REF!</v>
      </c>
      <c r="AG374" s="235" t="str">
        <f t="shared" ca="1" si="451"/>
        <v>#REF!</v>
      </c>
      <c r="AH374" s="212"/>
      <c r="AI374" s="213"/>
      <c r="AJ374" s="4"/>
      <c r="AK374" s="4"/>
      <c r="AL374" s="4"/>
      <c r="AM374" s="4"/>
      <c r="AN374" s="4"/>
      <c r="AO374" s="4"/>
      <c r="AP374" s="4"/>
      <c r="AQ374" s="4"/>
      <c r="AR374" s="4"/>
      <c r="AS374" s="4"/>
      <c r="AT374" s="4"/>
      <c r="AU374" s="4"/>
    </row>
    <row r="375" spans="1:47" ht="13.2">
      <c r="A375" s="120"/>
      <c r="B375" s="113"/>
      <c r="C375" s="117"/>
      <c r="D375" s="117"/>
      <c r="E375" s="117"/>
      <c r="F375" s="123"/>
      <c r="G375" s="93" t="s">
        <v>145</v>
      </c>
      <c r="H375" s="125"/>
      <c r="I375" s="125"/>
      <c r="J375" s="82" t="str">
        <f t="shared" ca="1" si="147"/>
        <v>#REF!</v>
      </c>
      <c r="K375" s="82" t="str">
        <f t="shared" ca="1" si="256"/>
        <v>#REF!</v>
      </c>
      <c r="L375" s="82" t="str">
        <f t="shared" ca="1" si="199"/>
        <v>#REF!</v>
      </c>
      <c r="M375" s="125"/>
      <c r="N375" s="125"/>
      <c r="O375" s="230">
        <f t="shared" si="2"/>
        <v>0</v>
      </c>
      <c r="P375" s="231">
        <f t="shared" si="3"/>
        <v>0</v>
      </c>
      <c r="Q375" s="232" t="str">
        <f ca="1">ROUNDUP(HLOOKUP(IF(CEILING(L375,0.5)&lt;1,1,CEILING(L375,0.5)),'배송비 조회'!A$32:AY$36,2,0),-2)</f>
        <v>#REF!</v>
      </c>
      <c r="R375" s="232">
        <v>0</v>
      </c>
      <c r="S375" s="231" t="str">
        <f t="shared" ca="1" si="250"/>
        <v>#REF!</v>
      </c>
      <c r="T375" s="231" t="str">
        <f t="shared" ca="1" si="200"/>
        <v>#REF!</v>
      </c>
      <c r="U375" s="233" t="str">
        <f t="shared" ca="1" si="142"/>
        <v>#REF!</v>
      </c>
      <c r="V375" s="233" t="str">
        <f t="shared" ca="1" si="7"/>
        <v>#REF!</v>
      </c>
      <c r="W375" s="234">
        <v>0</v>
      </c>
      <c r="X375" s="234" t="str">
        <f t="shared" ca="1" si="8"/>
        <v>#REF!</v>
      </c>
      <c r="Y375" s="234" t="str">
        <f t="shared" ca="1" si="9"/>
        <v>#REF!</v>
      </c>
      <c r="Z375" s="234" t="str">
        <f t="shared" ca="1" si="10"/>
        <v>#REF!</v>
      </c>
      <c r="AA375" s="234" t="str">
        <f t="shared" ca="1" si="11"/>
        <v>#REF!</v>
      </c>
      <c r="AB375" s="234" t="str">
        <f t="shared" ca="1" si="12"/>
        <v>#REF!</v>
      </c>
      <c r="AC375" s="234" t="str">
        <f t="shared" ca="1" si="13"/>
        <v>#REF!</v>
      </c>
      <c r="AD375" s="101" t="str">
        <f t="shared" ca="1" si="14"/>
        <v>#REF!</v>
      </c>
      <c r="AE375" s="101" t="str">
        <f t="shared" ca="1" si="15"/>
        <v>#REF!</v>
      </c>
      <c r="AF375" s="235" t="str">
        <f t="shared" ref="AF375:AG375" ca="1" si="452">AD375/U375</f>
        <v>#REF!</v>
      </c>
      <c r="AG375" s="235" t="str">
        <f t="shared" ca="1" si="452"/>
        <v>#REF!</v>
      </c>
      <c r="AH375" s="212"/>
      <c r="AI375" s="213"/>
      <c r="AJ375" s="4"/>
      <c r="AK375" s="4"/>
      <c r="AL375" s="4"/>
      <c r="AM375" s="4"/>
      <c r="AN375" s="4"/>
      <c r="AO375" s="4"/>
      <c r="AP375" s="4"/>
      <c r="AQ375" s="4"/>
      <c r="AR375" s="4"/>
      <c r="AS375" s="4"/>
      <c r="AT375" s="4"/>
      <c r="AU375" s="4"/>
    </row>
    <row r="376" spans="1:47" ht="13.2">
      <c r="A376" s="120"/>
      <c r="B376" s="113"/>
      <c r="C376" s="117"/>
      <c r="D376" s="117"/>
      <c r="E376" s="117"/>
      <c r="F376" s="123"/>
      <c r="G376" s="93" t="s">
        <v>145</v>
      </c>
      <c r="H376" s="125"/>
      <c r="I376" s="125"/>
      <c r="J376" s="82" t="str">
        <f t="shared" ca="1" si="147"/>
        <v>#REF!</v>
      </c>
      <c r="K376" s="82" t="str">
        <f t="shared" ca="1" si="256"/>
        <v>#REF!</v>
      </c>
      <c r="L376" s="82" t="str">
        <f t="shared" ca="1" si="199"/>
        <v>#REF!</v>
      </c>
      <c r="M376" s="125"/>
      <c r="N376" s="125"/>
      <c r="O376" s="230">
        <f t="shared" si="2"/>
        <v>0</v>
      </c>
      <c r="P376" s="231">
        <f t="shared" si="3"/>
        <v>0</v>
      </c>
      <c r="Q376" s="232" t="str">
        <f ca="1">ROUNDUP(HLOOKUP(IF(CEILING(L376,0.5)&lt;1,1,CEILING(L376,0.5)),'배송비 조회'!A$32:AY$36,2,0),-2)</f>
        <v>#REF!</v>
      </c>
      <c r="R376" s="232">
        <v>0</v>
      </c>
      <c r="S376" s="231" t="str">
        <f t="shared" ca="1" si="250"/>
        <v>#REF!</v>
      </c>
      <c r="T376" s="231" t="str">
        <f t="shared" ca="1" si="200"/>
        <v>#REF!</v>
      </c>
      <c r="U376" s="233" t="str">
        <f t="shared" ca="1" si="142"/>
        <v>#REF!</v>
      </c>
      <c r="V376" s="233" t="str">
        <f t="shared" ca="1" si="7"/>
        <v>#REF!</v>
      </c>
      <c r="W376" s="234">
        <v>0</v>
      </c>
      <c r="X376" s="234" t="str">
        <f t="shared" ca="1" si="8"/>
        <v>#REF!</v>
      </c>
      <c r="Y376" s="234" t="str">
        <f t="shared" ca="1" si="9"/>
        <v>#REF!</v>
      </c>
      <c r="Z376" s="234" t="str">
        <f t="shared" ca="1" si="10"/>
        <v>#REF!</v>
      </c>
      <c r="AA376" s="234" t="str">
        <f t="shared" ca="1" si="11"/>
        <v>#REF!</v>
      </c>
      <c r="AB376" s="234" t="str">
        <f t="shared" ca="1" si="12"/>
        <v>#REF!</v>
      </c>
      <c r="AC376" s="234" t="str">
        <f t="shared" ca="1" si="13"/>
        <v>#REF!</v>
      </c>
      <c r="AD376" s="101" t="str">
        <f t="shared" ca="1" si="14"/>
        <v>#REF!</v>
      </c>
      <c r="AE376" s="101" t="str">
        <f t="shared" ca="1" si="15"/>
        <v>#REF!</v>
      </c>
      <c r="AF376" s="235" t="str">
        <f t="shared" ref="AF376:AG376" ca="1" si="453">AD376/U376</f>
        <v>#REF!</v>
      </c>
      <c r="AG376" s="235" t="str">
        <f t="shared" ca="1" si="453"/>
        <v>#REF!</v>
      </c>
      <c r="AH376" s="212"/>
      <c r="AI376" s="213"/>
      <c r="AJ376" s="4"/>
      <c r="AK376" s="4"/>
      <c r="AL376" s="4"/>
      <c r="AM376" s="4"/>
      <c r="AN376" s="4"/>
      <c r="AO376" s="4"/>
      <c r="AP376" s="4"/>
      <c r="AQ376" s="4"/>
      <c r="AR376" s="4"/>
      <c r="AS376" s="4"/>
      <c r="AT376" s="4"/>
      <c r="AU376" s="4"/>
    </row>
    <row r="377" spans="1:47" ht="13.2">
      <c r="A377" s="120"/>
      <c r="B377" s="113"/>
      <c r="C377" s="117"/>
      <c r="D377" s="117"/>
      <c r="E377" s="117"/>
      <c r="F377" s="123"/>
      <c r="G377" s="93" t="s">
        <v>145</v>
      </c>
      <c r="H377" s="125"/>
      <c r="I377" s="125"/>
      <c r="J377" s="82" t="str">
        <f t="shared" ca="1" si="147"/>
        <v>#REF!</v>
      </c>
      <c r="K377" s="82" t="str">
        <f t="shared" ca="1" si="256"/>
        <v>#REF!</v>
      </c>
      <c r="L377" s="82" t="str">
        <f t="shared" ca="1" si="199"/>
        <v>#REF!</v>
      </c>
      <c r="M377" s="125"/>
      <c r="N377" s="125"/>
      <c r="O377" s="230">
        <f t="shared" si="2"/>
        <v>0</v>
      </c>
      <c r="P377" s="231">
        <f t="shared" si="3"/>
        <v>0</v>
      </c>
      <c r="Q377" s="232" t="str">
        <f ca="1">ROUNDUP(HLOOKUP(IF(CEILING(L377,0.5)&lt;1,1,CEILING(L377,0.5)),'배송비 조회'!A$32:AY$36,2,0),-2)</f>
        <v>#REF!</v>
      </c>
      <c r="R377" s="232">
        <v>0</v>
      </c>
      <c r="S377" s="231" t="str">
        <f t="shared" ca="1" si="250"/>
        <v>#REF!</v>
      </c>
      <c r="T377" s="231" t="str">
        <f t="shared" ca="1" si="200"/>
        <v>#REF!</v>
      </c>
      <c r="U377" s="233" t="str">
        <f t="shared" ca="1" si="142"/>
        <v>#REF!</v>
      </c>
      <c r="V377" s="233" t="str">
        <f t="shared" ca="1" si="7"/>
        <v>#REF!</v>
      </c>
      <c r="W377" s="234">
        <v>0</v>
      </c>
      <c r="X377" s="234" t="str">
        <f t="shared" ca="1" si="8"/>
        <v>#REF!</v>
      </c>
      <c r="Y377" s="234" t="str">
        <f t="shared" ca="1" si="9"/>
        <v>#REF!</v>
      </c>
      <c r="Z377" s="234" t="str">
        <f t="shared" ca="1" si="10"/>
        <v>#REF!</v>
      </c>
      <c r="AA377" s="234" t="str">
        <f t="shared" ca="1" si="11"/>
        <v>#REF!</v>
      </c>
      <c r="AB377" s="234" t="str">
        <f t="shared" ca="1" si="12"/>
        <v>#REF!</v>
      </c>
      <c r="AC377" s="234" t="str">
        <f t="shared" ca="1" si="13"/>
        <v>#REF!</v>
      </c>
      <c r="AD377" s="101" t="str">
        <f t="shared" ca="1" si="14"/>
        <v>#REF!</v>
      </c>
      <c r="AE377" s="101" t="str">
        <f t="shared" ca="1" si="15"/>
        <v>#REF!</v>
      </c>
      <c r="AF377" s="235" t="str">
        <f t="shared" ref="AF377:AG377" ca="1" si="454">AD377/U377</f>
        <v>#REF!</v>
      </c>
      <c r="AG377" s="235" t="str">
        <f t="shared" ca="1" si="454"/>
        <v>#REF!</v>
      </c>
      <c r="AH377" s="212"/>
      <c r="AI377" s="213"/>
      <c r="AJ377" s="4"/>
      <c r="AK377" s="4"/>
      <c r="AL377" s="4"/>
      <c r="AM377" s="4"/>
      <c r="AN377" s="4"/>
      <c r="AO377" s="4"/>
      <c r="AP377" s="4"/>
      <c r="AQ377" s="4"/>
      <c r="AR377" s="4"/>
      <c r="AS377" s="4"/>
      <c r="AT377" s="4"/>
      <c r="AU377" s="4"/>
    </row>
    <row r="378" spans="1:47" ht="13.2">
      <c r="A378" s="120"/>
      <c r="B378" s="113"/>
      <c r="C378" s="117"/>
      <c r="D378" s="117"/>
      <c r="E378" s="117"/>
      <c r="F378" s="123"/>
      <c r="G378" s="93" t="s">
        <v>145</v>
      </c>
      <c r="H378" s="125"/>
      <c r="I378" s="125"/>
      <c r="J378" s="82" t="str">
        <f t="shared" ca="1" si="147"/>
        <v>#REF!</v>
      </c>
      <c r="K378" s="82" t="str">
        <f t="shared" ca="1" si="256"/>
        <v>#REF!</v>
      </c>
      <c r="L378" s="82" t="str">
        <f t="shared" ca="1" si="199"/>
        <v>#REF!</v>
      </c>
      <c r="M378" s="125"/>
      <c r="N378" s="125"/>
      <c r="O378" s="230">
        <f t="shared" si="2"/>
        <v>0</v>
      </c>
      <c r="P378" s="231">
        <f t="shared" si="3"/>
        <v>0</v>
      </c>
      <c r="Q378" s="232" t="str">
        <f ca="1">ROUNDUP(HLOOKUP(IF(CEILING(L378,0.5)&lt;1,1,CEILING(L378,0.5)),'배송비 조회'!A$32:AY$36,2,0),-2)</f>
        <v>#REF!</v>
      </c>
      <c r="R378" s="232">
        <v>0</v>
      </c>
      <c r="S378" s="231" t="str">
        <f t="shared" ca="1" si="250"/>
        <v>#REF!</v>
      </c>
      <c r="T378" s="231" t="str">
        <f t="shared" ca="1" si="200"/>
        <v>#REF!</v>
      </c>
      <c r="U378" s="233" t="str">
        <f t="shared" ca="1" si="142"/>
        <v>#REF!</v>
      </c>
      <c r="V378" s="233" t="str">
        <f t="shared" ca="1" si="7"/>
        <v>#REF!</v>
      </c>
      <c r="W378" s="234">
        <v>0</v>
      </c>
      <c r="X378" s="234" t="str">
        <f t="shared" ca="1" si="8"/>
        <v>#REF!</v>
      </c>
      <c r="Y378" s="234" t="str">
        <f t="shared" ca="1" si="9"/>
        <v>#REF!</v>
      </c>
      <c r="Z378" s="234" t="str">
        <f t="shared" ca="1" si="10"/>
        <v>#REF!</v>
      </c>
      <c r="AA378" s="234" t="str">
        <f t="shared" ca="1" si="11"/>
        <v>#REF!</v>
      </c>
      <c r="AB378" s="234" t="str">
        <f t="shared" ca="1" si="12"/>
        <v>#REF!</v>
      </c>
      <c r="AC378" s="234" t="str">
        <f t="shared" ca="1" si="13"/>
        <v>#REF!</v>
      </c>
      <c r="AD378" s="101" t="str">
        <f t="shared" ca="1" si="14"/>
        <v>#REF!</v>
      </c>
      <c r="AE378" s="101" t="str">
        <f t="shared" ca="1" si="15"/>
        <v>#REF!</v>
      </c>
      <c r="AF378" s="235" t="str">
        <f t="shared" ref="AF378:AG378" ca="1" si="455">AD378/U378</f>
        <v>#REF!</v>
      </c>
      <c r="AG378" s="235" t="str">
        <f t="shared" ca="1" si="455"/>
        <v>#REF!</v>
      </c>
      <c r="AH378" s="212"/>
      <c r="AI378" s="213"/>
      <c r="AJ378" s="4"/>
      <c r="AK378" s="4"/>
      <c r="AL378" s="4"/>
      <c r="AM378" s="4"/>
      <c r="AN378" s="4"/>
      <c r="AO378" s="4"/>
      <c r="AP378" s="4"/>
      <c r="AQ378" s="4"/>
      <c r="AR378" s="4"/>
      <c r="AS378" s="4"/>
      <c r="AT378" s="4"/>
      <c r="AU378" s="4"/>
    </row>
    <row r="379" spans="1:47" ht="13.2">
      <c r="A379" s="120"/>
      <c r="B379" s="113"/>
      <c r="C379" s="117"/>
      <c r="D379" s="117"/>
      <c r="E379" s="117"/>
      <c r="F379" s="123"/>
      <c r="G379" s="93" t="s">
        <v>145</v>
      </c>
      <c r="H379" s="125"/>
      <c r="I379" s="125"/>
      <c r="J379" s="82" t="str">
        <f t="shared" ca="1" si="147"/>
        <v>#REF!</v>
      </c>
      <c r="K379" s="82" t="str">
        <f t="shared" ca="1" si="256"/>
        <v>#REF!</v>
      </c>
      <c r="L379" s="82" t="str">
        <f t="shared" ca="1" si="199"/>
        <v>#REF!</v>
      </c>
      <c r="M379" s="125"/>
      <c r="N379" s="125"/>
      <c r="O379" s="230">
        <f t="shared" si="2"/>
        <v>0</v>
      </c>
      <c r="P379" s="231">
        <f t="shared" si="3"/>
        <v>0</v>
      </c>
      <c r="Q379" s="232" t="str">
        <f ca="1">ROUNDUP(HLOOKUP(IF(CEILING(L379,0.5)&lt;1,1,CEILING(L379,0.5)),'배송비 조회'!A$32:AY$36,2,0),-2)</f>
        <v>#REF!</v>
      </c>
      <c r="R379" s="232">
        <v>0</v>
      </c>
      <c r="S379" s="231" t="str">
        <f t="shared" ca="1" si="250"/>
        <v>#REF!</v>
      </c>
      <c r="T379" s="231" t="str">
        <f t="shared" ca="1" si="200"/>
        <v>#REF!</v>
      </c>
      <c r="U379" s="233" t="str">
        <f t="shared" ca="1" si="142"/>
        <v>#REF!</v>
      </c>
      <c r="V379" s="233" t="str">
        <f t="shared" ca="1" si="7"/>
        <v>#REF!</v>
      </c>
      <c r="W379" s="234">
        <v>0</v>
      </c>
      <c r="X379" s="234" t="str">
        <f t="shared" ca="1" si="8"/>
        <v>#REF!</v>
      </c>
      <c r="Y379" s="234" t="str">
        <f t="shared" ca="1" si="9"/>
        <v>#REF!</v>
      </c>
      <c r="Z379" s="234" t="str">
        <f t="shared" ca="1" si="10"/>
        <v>#REF!</v>
      </c>
      <c r="AA379" s="234" t="str">
        <f t="shared" ca="1" si="11"/>
        <v>#REF!</v>
      </c>
      <c r="AB379" s="234" t="str">
        <f t="shared" ca="1" si="12"/>
        <v>#REF!</v>
      </c>
      <c r="AC379" s="234" t="str">
        <f t="shared" ca="1" si="13"/>
        <v>#REF!</v>
      </c>
      <c r="AD379" s="101" t="str">
        <f t="shared" ca="1" si="14"/>
        <v>#REF!</v>
      </c>
      <c r="AE379" s="101" t="str">
        <f t="shared" ca="1" si="15"/>
        <v>#REF!</v>
      </c>
      <c r="AF379" s="235" t="str">
        <f t="shared" ref="AF379:AG379" ca="1" si="456">AD379/U379</f>
        <v>#REF!</v>
      </c>
      <c r="AG379" s="235" t="str">
        <f t="shared" ca="1" si="456"/>
        <v>#REF!</v>
      </c>
      <c r="AH379" s="212"/>
      <c r="AI379" s="213"/>
      <c r="AJ379" s="4"/>
      <c r="AK379" s="4"/>
      <c r="AL379" s="4"/>
      <c r="AM379" s="4"/>
      <c r="AN379" s="4"/>
      <c r="AO379" s="4"/>
      <c r="AP379" s="4"/>
      <c r="AQ379" s="4"/>
      <c r="AR379" s="4"/>
      <c r="AS379" s="4"/>
      <c r="AT379" s="4"/>
      <c r="AU379" s="4"/>
    </row>
    <row r="380" spans="1:47" ht="13.2">
      <c r="A380" s="120"/>
      <c r="B380" s="113"/>
      <c r="C380" s="117"/>
      <c r="D380" s="117"/>
      <c r="E380" s="117"/>
      <c r="F380" s="123"/>
      <c r="G380" s="93" t="s">
        <v>145</v>
      </c>
      <c r="H380" s="125"/>
      <c r="I380" s="125"/>
      <c r="J380" s="82" t="str">
        <f t="shared" ca="1" si="147"/>
        <v>#REF!</v>
      </c>
      <c r="K380" s="82" t="str">
        <f t="shared" ca="1" si="256"/>
        <v>#REF!</v>
      </c>
      <c r="L380" s="82" t="str">
        <f t="shared" ca="1" si="199"/>
        <v>#REF!</v>
      </c>
      <c r="M380" s="125"/>
      <c r="N380" s="125"/>
      <c r="O380" s="230">
        <f t="shared" si="2"/>
        <v>0</v>
      </c>
      <c r="P380" s="231">
        <f t="shared" si="3"/>
        <v>0</v>
      </c>
      <c r="Q380" s="232" t="str">
        <f ca="1">ROUNDUP(HLOOKUP(IF(CEILING(L380,0.5)&lt;1,1,CEILING(L380,0.5)),'배송비 조회'!A$32:AY$36,2,0),-2)</f>
        <v>#REF!</v>
      </c>
      <c r="R380" s="232">
        <v>0</v>
      </c>
      <c r="S380" s="231" t="str">
        <f t="shared" ca="1" si="250"/>
        <v>#REF!</v>
      </c>
      <c r="T380" s="231" t="str">
        <f t="shared" ca="1" si="200"/>
        <v>#REF!</v>
      </c>
      <c r="U380" s="233" t="str">
        <f t="shared" ca="1" si="142"/>
        <v>#REF!</v>
      </c>
      <c r="V380" s="233" t="str">
        <f t="shared" ca="1" si="7"/>
        <v>#REF!</v>
      </c>
      <c r="W380" s="234">
        <v>0</v>
      </c>
      <c r="X380" s="234" t="str">
        <f t="shared" ca="1" si="8"/>
        <v>#REF!</v>
      </c>
      <c r="Y380" s="234" t="str">
        <f t="shared" ca="1" si="9"/>
        <v>#REF!</v>
      </c>
      <c r="Z380" s="234" t="str">
        <f t="shared" ca="1" si="10"/>
        <v>#REF!</v>
      </c>
      <c r="AA380" s="234" t="str">
        <f t="shared" ca="1" si="11"/>
        <v>#REF!</v>
      </c>
      <c r="AB380" s="234" t="str">
        <f t="shared" ca="1" si="12"/>
        <v>#REF!</v>
      </c>
      <c r="AC380" s="234" t="str">
        <f t="shared" ca="1" si="13"/>
        <v>#REF!</v>
      </c>
      <c r="AD380" s="101" t="str">
        <f t="shared" ca="1" si="14"/>
        <v>#REF!</v>
      </c>
      <c r="AE380" s="101" t="str">
        <f t="shared" ca="1" si="15"/>
        <v>#REF!</v>
      </c>
      <c r="AF380" s="235" t="str">
        <f t="shared" ref="AF380:AG380" ca="1" si="457">AD380/U380</f>
        <v>#REF!</v>
      </c>
      <c r="AG380" s="235" t="str">
        <f t="shared" ca="1" si="457"/>
        <v>#REF!</v>
      </c>
      <c r="AH380" s="212"/>
      <c r="AI380" s="213"/>
      <c r="AJ380" s="4"/>
      <c r="AK380" s="4"/>
      <c r="AL380" s="4"/>
      <c r="AM380" s="4"/>
      <c r="AN380" s="4"/>
      <c r="AO380" s="4"/>
      <c r="AP380" s="4"/>
      <c r="AQ380" s="4"/>
      <c r="AR380" s="4"/>
      <c r="AS380" s="4"/>
      <c r="AT380" s="4"/>
      <c r="AU380" s="4"/>
    </row>
    <row r="381" spans="1:47" ht="13.2">
      <c r="A381" s="120"/>
      <c r="B381" s="113"/>
      <c r="C381" s="117"/>
      <c r="D381" s="117"/>
      <c r="E381" s="117"/>
      <c r="F381" s="123"/>
      <c r="G381" s="93" t="s">
        <v>145</v>
      </c>
      <c r="H381" s="125"/>
      <c r="I381" s="125"/>
      <c r="J381" s="82" t="str">
        <f t="shared" ca="1" si="147"/>
        <v>#REF!</v>
      </c>
      <c r="K381" s="82" t="str">
        <f t="shared" ca="1" si="256"/>
        <v>#REF!</v>
      </c>
      <c r="L381" s="82" t="str">
        <f t="shared" ca="1" si="199"/>
        <v>#REF!</v>
      </c>
      <c r="M381" s="125"/>
      <c r="N381" s="125"/>
      <c r="O381" s="230">
        <f t="shared" si="2"/>
        <v>0</v>
      </c>
      <c r="P381" s="231">
        <f t="shared" si="3"/>
        <v>0</v>
      </c>
      <c r="Q381" s="232" t="str">
        <f ca="1">ROUNDUP(HLOOKUP(IF(CEILING(L381,0.5)&lt;1,1,CEILING(L381,0.5)),'배송비 조회'!A$32:AY$36,2,0),-2)</f>
        <v>#REF!</v>
      </c>
      <c r="R381" s="232">
        <v>0</v>
      </c>
      <c r="S381" s="231" t="str">
        <f t="shared" ca="1" si="250"/>
        <v>#REF!</v>
      </c>
      <c r="T381" s="231" t="str">
        <f t="shared" ca="1" si="200"/>
        <v>#REF!</v>
      </c>
      <c r="U381" s="233" t="str">
        <f t="shared" ca="1" si="142"/>
        <v>#REF!</v>
      </c>
      <c r="V381" s="233" t="str">
        <f t="shared" ca="1" si="7"/>
        <v>#REF!</v>
      </c>
      <c r="W381" s="234">
        <v>0</v>
      </c>
      <c r="X381" s="234" t="str">
        <f t="shared" ca="1" si="8"/>
        <v>#REF!</v>
      </c>
      <c r="Y381" s="234" t="str">
        <f t="shared" ca="1" si="9"/>
        <v>#REF!</v>
      </c>
      <c r="Z381" s="234" t="str">
        <f t="shared" ca="1" si="10"/>
        <v>#REF!</v>
      </c>
      <c r="AA381" s="234" t="str">
        <f t="shared" ca="1" si="11"/>
        <v>#REF!</v>
      </c>
      <c r="AB381" s="234" t="str">
        <f t="shared" ca="1" si="12"/>
        <v>#REF!</v>
      </c>
      <c r="AC381" s="234" t="str">
        <f t="shared" ca="1" si="13"/>
        <v>#REF!</v>
      </c>
      <c r="AD381" s="101" t="str">
        <f t="shared" ca="1" si="14"/>
        <v>#REF!</v>
      </c>
      <c r="AE381" s="101" t="str">
        <f t="shared" ca="1" si="15"/>
        <v>#REF!</v>
      </c>
      <c r="AF381" s="235" t="str">
        <f t="shared" ref="AF381:AG381" ca="1" si="458">AD381/U381</f>
        <v>#REF!</v>
      </c>
      <c r="AG381" s="235" t="str">
        <f t="shared" ca="1" si="458"/>
        <v>#REF!</v>
      </c>
      <c r="AH381" s="212"/>
      <c r="AI381" s="213"/>
      <c r="AJ381" s="4"/>
      <c r="AK381" s="4"/>
      <c r="AL381" s="4"/>
      <c r="AM381" s="4"/>
      <c r="AN381" s="4"/>
      <c r="AO381" s="4"/>
      <c r="AP381" s="4"/>
      <c r="AQ381" s="4"/>
      <c r="AR381" s="4"/>
      <c r="AS381" s="4"/>
      <c r="AT381" s="4"/>
      <c r="AU381" s="4"/>
    </row>
    <row r="382" spans="1:47" ht="13.2">
      <c r="A382" s="120"/>
      <c r="B382" s="113"/>
      <c r="C382" s="117"/>
      <c r="D382" s="117"/>
      <c r="E382" s="117"/>
      <c r="F382" s="123"/>
      <c r="G382" s="93" t="s">
        <v>145</v>
      </c>
      <c r="H382" s="125"/>
      <c r="I382" s="125"/>
      <c r="J382" s="82" t="str">
        <f t="shared" ca="1" si="147"/>
        <v>#REF!</v>
      </c>
      <c r="K382" s="82" t="str">
        <f t="shared" ca="1" si="256"/>
        <v>#REF!</v>
      </c>
      <c r="L382" s="82" t="str">
        <f t="shared" ca="1" si="199"/>
        <v>#REF!</v>
      </c>
      <c r="M382" s="125"/>
      <c r="N382" s="125"/>
      <c r="O382" s="230">
        <f t="shared" si="2"/>
        <v>0</v>
      </c>
      <c r="P382" s="231">
        <f t="shared" si="3"/>
        <v>0</v>
      </c>
      <c r="Q382" s="232" t="str">
        <f ca="1">ROUNDUP(HLOOKUP(IF(CEILING(L382,0.5)&lt;1,1,CEILING(L382,0.5)),'배송비 조회'!A$32:AY$36,2,0),-2)</f>
        <v>#REF!</v>
      </c>
      <c r="R382" s="232">
        <v>0</v>
      </c>
      <c r="S382" s="231" t="str">
        <f t="shared" ca="1" si="250"/>
        <v>#REF!</v>
      </c>
      <c r="T382" s="231" t="str">
        <f t="shared" ca="1" si="200"/>
        <v>#REF!</v>
      </c>
      <c r="U382" s="233" t="str">
        <f t="shared" ca="1" si="142"/>
        <v>#REF!</v>
      </c>
      <c r="V382" s="233" t="str">
        <f t="shared" ca="1" si="7"/>
        <v>#REF!</v>
      </c>
      <c r="W382" s="234">
        <v>0</v>
      </c>
      <c r="X382" s="234" t="str">
        <f t="shared" ca="1" si="8"/>
        <v>#REF!</v>
      </c>
      <c r="Y382" s="234" t="str">
        <f t="shared" ca="1" si="9"/>
        <v>#REF!</v>
      </c>
      <c r="Z382" s="234" t="str">
        <f t="shared" ca="1" si="10"/>
        <v>#REF!</v>
      </c>
      <c r="AA382" s="234" t="str">
        <f t="shared" ca="1" si="11"/>
        <v>#REF!</v>
      </c>
      <c r="AB382" s="234" t="str">
        <f t="shared" ca="1" si="12"/>
        <v>#REF!</v>
      </c>
      <c r="AC382" s="234" t="str">
        <f t="shared" ca="1" si="13"/>
        <v>#REF!</v>
      </c>
      <c r="AD382" s="101" t="str">
        <f t="shared" ca="1" si="14"/>
        <v>#REF!</v>
      </c>
      <c r="AE382" s="101" t="str">
        <f t="shared" ca="1" si="15"/>
        <v>#REF!</v>
      </c>
      <c r="AF382" s="235" t="str">
        <f t="shared" ref="AF382:AG382" ca="1" si="459">AD382/U382</f>
        <v>#REF!</v>
      </c>
      <c r="AG382" s="235" t="str">
        <f t="shared" ca="1" si="459"/>
        <v>#REF!</v>
      </c>
      <c r="AH382" s="212"/>
      <c r="AI382" s="213"/>
      <c r="AJ382" s="4"/>
      <c r="AK382" s="4"/>
      <c r="AL382" s="4"/>
      <c r="AM382" s="4"/>
      <c r="AN382" s="4"/>
      <c r="AO382" s="4"/>
      <c r="AP382" s="4"/>
      <c r="AQ382" s="4"/>
      <c r="AR382" s="4"/>
      <c r="AS382" s="4"/>
      <c r="AT382" s="4"/>
      <c r="AU382" s="4"/>
    </row>
    <row r="383" spans="1:47" ht="13.2">
      <c r="A383" s="120"/>
      <c r="B383" s="113"/>
      <c r="C383" s="117"/>
      <c r="D383" s="117"/>
      <c r="E383" s="117"/>
      <c r="F383" s="123"/>
      <c r="G383" s="93" t="s">
        <v>145</v>
      </c>
      <c r="H383" s="125"/>
      <c r="I383" s="125"/>
      <c r="J383" s="82" t="str">
        <f t="shared" ca="1" si="147"/>
        <v>#REF!</v>
      </c>
      <c r="K383" s="82" t="str">
        <f t="shared" ca="1" si="256"/>
        <v>#REF!</v>
      </c>
      <c r="L383" s="82" t="str">
        <f t="shared" ca="1" si="199"/>
        <v>#REF!</v>
      </c>
      <c r="M383" s="125"/>
      <c r="N383" s="125"/>
      <c r="O383" s="230">
        <f t="shared" si="2"/>
        <v>0</v>
      </c>
      <c r="P383" s="231">
        <f t="shared" si="3"/>
        <v>0</v>
      </c>
      <c r="Q383" s="232" t="str">
        <f ca="1">ROUNDUP(HLOOKUP(IF(CEILING(L383,0.5)&lt;1,1,CEILING(L383,0.5)),'배송비 조회'!A$32:AY$36,2,0),-2)</f>
        <v>#REF!</v>
      </c>
      <c r="R383" s="232">
        <v>0</v>
      </c>
      <c r="S383" s="231" t="str">
        <f t="shared" ca="1" si="250"/>
        <v>#REF!</v>
      </c>
      <c r="T383" s="231" t="str">
        <f t="shared" ca="1" si="200"/>
        <v>#REF!</v>
      </c>
      <c r="U383" s="233" t="str">
        <f t="shared" ca="1" si="142"/>
        <v>#REF!</v>
      </c>
      <c r="V383" s="233" t="str">
        <f t="shared" ca="1" si="7"/>
        <v>#REF!</v>
      </c>
      <c r="W383" s="234">
        <v>0</v>
      </c>
      <c r="X383" s="234" t="str">
        <f t="shared" ca="1" si="8"/>
        <v>#REF!</v>
      </c>
      <c r="Y383" s="234" t="str">
        <f t="shared" ca="1" si="9"/>
        <v>#REF!</v>
      </c>
      <c r="Z383" s="234" t="str">
        <f t="shared" ca="1" si="10"/>
        <v>#REF!</v>
      </c>
      <c r="AA383" s="234" t="str">
        <f t="shared" ca="1" si="11"/>
        <v>#REF!</v>
      </c>
      <c r="AB383" s="234" t="str">
        <f t="shared" ca="1" si="12"/>
        <v>#REF!</v>
      </c>
      <c r="AC383" s="234" t="str">
        <f t="shared" ca="1" si="13"/>
        <v>#REF!</v>
      </c>
      <c r="AD383" s="101" t="str">
        <f t="shared" ca="1" si="14"/>
        <v>#REF!</v>
      </c>
      <c r="AE383" s="101" t="str">
        <f t="shared" ca="1" si="15"/>
        <v>#REF!</v>
      </c>
      <c r="AF383" s="235" t="str">
        <f t="shared" ref="AF383:AG383" ca="1" si="460">AD383/U383</f>
        <v>#REF!</v>
      </c>
      <c r="AG383" s="235" t="str">
        <f t="shared" ca="1" si="460"/>
        <v>#REF!</v>
      </c>
      <c r="AH383" s="212"/>
      <c r="AI383" s="213"/>
      <c r="AJ383" s="4"/>
      <c r="AK383" s="4"/>
      <c r="AL383" s="4"/>
      <c r="AM383" s="4"/>
      <c r="AN383" s="4"/>
      <c r="AO383" s="4"/>
      <c r="AP383" s="4"/>
      <c r="AQ383" s="4"/>
      <c r="AR383" s="4"/>
      <c r="AS383" s="4"/>
      <c r="AT383" s="4"/>
      <c r="AU383" s="4"/>
    </row>
    <row r="384" spans="1:47" ht="13.2">
      <c r="A384" s="120"/>
      <c r="B384" s="113"/>
      <c r="C384" s="117"/>
      <c r="D384" s="117"/>
      <c r="E384" s="117"/>
      <c r="F384" s="123"/>
      <c r="G384" s="93" t="s">
        <v>145</v>
      </c>
      <c r="H384" s="125"/>
      <c r="I384" s="125"/>
      <c r="J384" s="82" t="str">
        <f t="shared" ca="1" si="147"/>
        <v>#REF!</v>
      </c>
      <c r="K384" s="82" t="str">
        <f t="shared" ca="1" si="256"/>
        <v>#REF!</v>
      </c>
      <c r="L384" s="82" t="str">
        <f t="shared" ca="1" si="199"/>
        <v>#REF!</v>
      </c>
      <c r="M384" s="125"/>
      <c r="N384" s="125"/>
      <c r="O384" s="230">
        <f t="shared" si="2"/>
        <v>0</v>
      </c>
      <c r="P384" s="231">
        <f t="shared" si="3"/>
        <v>0</v>
      </c>
      <c r="Q384" s="232" t="str">
        <f ca="1">ROUNDUP(HLOOKUP(IF(CEILING(L384,0.5)&lt;1,1,CEILING(L384,0.5)),'배송비 조회'!A$32:AY$36,2,0),-2)</f>
        <v>#REF!</v>
      </c>
      <c r="R384" s="232">
        <v>0</v>
      </c>
      <c r="S384" s="231" t="str">
        <f t="shared" ca="1" si="250"/>
        <v>#REF!</v>
      </c>
      <c r="T384" s="231" t="str">
        <f t="shared" ca="1" si="200"/>
        <v>#REF!</v>
      </c>
      <c r="U384" s="233" t="str">
        <f t="shared" ca="1" si="142"/>
        <v>#REF!</v>
      </c>
      <c r="V384" s="233" t="str">
        <f t="shared" ca="1" si="7"/>
        <v>#REF!</v>
      </c>
      <c r="W384" s="234">
        <v>0</v>
      </c>
      <c r="X384" s="234" t="str">
        <f t="shared" ca="1" si="8"/>
        <v>#REF!</v>
      </c>
      <c r="Y384" s="234" t="str">
        <f t="shared" ca="1" si="9"/>
        <v>#REF!</v>
      </c>
      <c r="Z384" s="234" t="str">
        <f t="shared" ca="1" si="10"/>
        <v>#REF!</v>
      </c>
      <c r="AA384" s="234" t="str">
        <f t="shared" ca="1" si="11"/>
        <v>#REF!</v>
      </c>
      <c r="AB384" s="234" t="str">
        <f t="shared" ca="1" si="12"/>
        <v>#REF!</v>
      </c>
      <c r="AC384" s="234" t="str">
        <f t="shared" ca="1" si="13"/>
        <v>#REF!</v>
      </c>
      <c r="AD384" s="101" t="str">
        <f t="shared" ca="1" si="14"/>
        <v>#REF!</v>
      </c>
      <c r="AE384" s="101" t="str">
        <f t="shared" ca="1" si="15"/>
        <v>#REF!</v>
      </c>
      <c r="AF384" s="235" t="str">
        <f t="shared" ref="AF384:AG384" ca="1" si="461">AD384/U384</f>
        <v>#REF!</v>
      </c>
      <c r="AG384" s="235" t="str">
        <f t="shared" ca="1" si="461"/>
        <v>#REF!</v>
      </c>
      <c r="AH384" s="212"/>
      <c r="AI384" s="213"/>
      <c r="AJ384" s="4"/>
      <c r="AK384" s="4"/>
      <c r="AL384" s="4"/>
      <c r="AM384" s="4"/>
      <c r="AN384" s="4"/>
      <c r="AO384" s="4"/>
      <c r="AP384" s="4"/>
      <c r="AQ384" s="4"/>
      <c r="AR384" s="4"/>
      <c r="AS384" s="4"/>
      <c r="AT384" s="4"/>
      <c r="AU384" s="4"/>
    </row>
    <row r="385" spans="1:47" ht="13.2">
      <c r="A385" s="120"/>
      <c r="B385" s="113"/>
      <c r="C385" s="117"/>
      <c r="D385" s="117"/>
      <c r="E385" s="117"/>
      <c r="F385" s="123"/>
      <c r="G385" s="93" t="s">
        <v>145</v>
      </c>
      <c r="H385" s="125"/>
      <c r="I385" s="125"/>
      <c r="J385" s="82" t="str">
        <f t="shared" ca="1" si="147"/>
        <v>#REF!</v>
      </c>
      <c r="K385" s="82" t="str">
        <f t="shared" ca="1" si="256"/>
        <v>#REF!</v>
      </c>
      <c r="L385" s="82" t="str">
        <f t="shared" ca="1" si="199"/>
        <v>#REF!</v>
      </c>
      <c r="M385" s="125"/>
      <c r="N385" s="125"/>
      <c r="O385" s="230">
        <f t="shared" si="2"/>
        <v>0</v>
      </c>
      <c r="P385" s="231">
        <f t="shared" si="3"/>
        <v>0</v>
      </c>
      <c r="Q385" s="232" t="str">
        <f ca="1">ROUNDUP(HLOOKUP(IF(CEILING(L385,0.5)&lt;1,1,CEILING(L385,0.5)),'배송비 조회'!A$32:AY$36,2,0),-2)</f>
        <v>#REF!</v>
      </c>
      <c r="R385" s="232">
        <v>0</v>
      </c>
      <c r="S385" s="231" t="str">
        <f t="shared" ca="1" si="250"/>
        <v>#REF!</v>
      </c>
      <c r="T385" s="231" t="str">
        <f t="shared" ca="1" si="200"/>
        <v>#REF!</v>
      </c>
      <c r="U385" s="233" t="str">
        <f t="shared" ca="1" si="142"/>
        <v>#REF!</v>
      </c>
      <c r="V385" s="233" t="str">
        <f t="shared" ca="1" si="7"/>
        <v>#REF!</v>
      </c>
      <c r="W385" s="234">
        <v>0</v>
      </c>
      <c r="X385" s="234" t="str">
        <f t="shared" ca="1" si="8"/>
        <v>#REF!</v>
      </c>
      <c r="Y385" s="234" t="str">
        <f t="shared" ca="1" si="9"/>
        <v>#REF!</v>
      </c>
      <c r="Z385" s="234" t="str">
        <f t="shared" ca="1" si="10"/>
        <v>#REF!</v>
      </c>
      <c r="AA385" s="234" t="str">
        <f t="shared" ca="1" si="11"/>
        <v>#REF!</v>
      </c>
      <c r="AB385" s="234" t="str">
        <f t="shared" ca="1" si="12"/>
        <v>#REF!</v>
      </c>
      <c r="AC385" s="234" t="str">
        <f t="shared" ca="1" si="13"/>
        <v>#REF!</v>
      </c>
      <c r="AD385" s="101" t="str">
        <f t="shared" ca="1" si="14"/>
        <v>#REF!</v>
      </c>
      <c r="AE385" s="101" t="str">
        <f t="shared" ca="1" si="15"/>
        <v>#REF!</v>
      </c>
      <c r="AF385" s="235" t="str">
        <f t="shared" ref="AF385:AG385" ca="1" si="462">AD385/U385</f>
        <v>#REF!</v>
      </c>
      <c r="AG385" s="235" t="str">
        <f t="shared" ca="1" si="462"/>
        <v>#REF!</v>
      </c>
      <c r="AH385" s="212"/>
      <c r="AI385" s="213"/>
      <c r="AJ385" s="4"/>
      <c r="AK385" s="4"/>
      <c r="AL385" s="4"/>
      <c r="AM385" s="4"/>
      <c r="AN385" s="4"/>
      <c r="AO385" s="4"/>
      <c r="AP385" s="4"/>
      <c r="AQ385" s="4"/>
      <c r="AR385" s="4"/>
      <c r="AS385" s="4"/>
      <c r="AT385" s="4"/>
      <c r="AU385" s="4"/>
    </row>
    <row r="386" spans="1:47" ht="13.2">
      <c r="A386" s="120"/>
      <c r="B386" s="113"/>
      <c r="C386" s="117"/>
      <c r="D386" s="117"/>
      <c r="E386" s="117"/>
      <c r="F386" s="123"/>
      <c r="G386" s="93" t="s">
        <v>145</v>
      </c>
      <c r="H386" s="125"/>
      <c r="I386" s="125"/>
      <c r="J386" s="82" t="str">
        <f t="shared" ca="1" si="147"/>
        <v>#REF!</v>
      </c>
      <c r="K386" s="82" t="str">
        <f t="shared" ca="1" si="256"/>
        <v>#REF!</v>
      </c>
      <c r="L386" s="82" t="str">
        <f t="shared" ca="1" si="199"/>
        <v>#REF!</v>
      </c>
      <c r="M386" s="125"/>
      <c r="N386" s="125"/>
      <c r="O386" s="230">
        <f t="shared" si="2"/>
        <v>0</v>
      </c>
      <c r="P386" s="231">
        <f t="shared" si="3"/>
        <v>0</v>
      </c>
      <c r="Q386" s="232" t="str">
        <f ca="1">ROUNDUP(HLOOKUP(IF(CEILING(L386,0.5)&lt;1,1,CEILING(L386,0.5)),'배송비 조회'!A$32:AY$36,2,0),-2)</f>
        <v>#REF!</v>
      </c>
      <c r="R386" s="232">
        <v>0</v>
      </c>
      <c r="S386" s="231" t="str">
        <f t="shared" ca="1" si="250"/>
        <v>#REF!</v>
      </c>
      <c r="T386" s="231" t="str">
        <f t="shared" ca="1" si="200"/>
        <v>#REF!</v>
      </c>
      <c r="U386" s="233" t="str">
        <f t="shared" ca="1" si="142"/>
        <v>#REF!</v>
      </c>
      <c r="V386" s="233" t="str">
        <f t="shared" ca="1" si="7"/>
        <v>#REF!</v>
      </c>
      <c r="W386" s="234">
        <v>0</v>
      </c>
      <c r="X386" s="234" t="str">
        <f t="shared" ca="1" si="8"/>
        <v>#REF!</v>
      </c>
      <c r="Y386" s="234" t="str">
        <f t="shared" ca="1" si="9"/>
        <v>#REF!</v>
      </c>
      <c r="Z386" s="234" t="str">
        <f t="shared" ca="1" si="10"/>
        <v>#REF!</v>
      </c>
      <c r="AA386" s="234" t="str">
        <f t="shared" ca="1" si="11"/>
        <v>#REF!</v>
      </c>
      <c r="AB386" s="234" t="str">
        <f t="shared" ca="1" si="12"/>
        <v>#REF!</v>
      </c>
      <c r="AC386" s="234" t="str">
        <f t="shared" ca="1" si="13"/>
        <v>#REF!</v>
      </c>
      <c r="AD386" s="101" t="str">
        <f t="shared" ca="1" si="14"/>
        <v>#REF!</v>
      </c>
      <c r="AE386" s="101" t="str">
        <f t="shared" ca="1" si="15"/>
        <v>#REF!</v>
      </c>
      <c r="AF386" s="235" t="str">
        <f t="shared" ref="AF386:AG386" ca="1" si="463">AD386/U386</f>
        <v>#REF!</v>
      </c>
      <c r="AG386" s="235" t="str">
        <f t="shared" ca="1" si="463"/>
        <v>#REF!</v>
      </c>
      <c r="AH386" s="212"/>
      <c r="AI386" s="213"/>
      <c r="AJ386" s="4"/>
      <c r="AK386" s="4"/>
      <c r="AL386" s="4"/>
      <c r="AM386" s="4"/>
      <c r="AN386" s="4"/>
      <c r="AO386" s="4"/>
      <c r="AP386" s="4"/>
      <c r="AQ386" s="4"/>
      <c r="AR386" s="4"/>
      <c r="AS386" s="4"/>
      <c r="AT386" s="4"/>
      <c r="AU386" s="4"/>
    </row>
    <row r="387" spans="1:47" ht="13.2">
      <c r="A387" s="120"/>
      <c r="B387" s="113"/>
      <c r="C387" s="117"/>
      <c r="D387" s="117"/>
      <c r="E387" s="117"/>
      <c r="F387" s="123"/>
      <c r="G387" s="93" t="s">
        <v>145</v>
      </c>
      <c r="H387" s="125"/>
      <c r="I387" s="125"/>
      <c r="J387" s="82" t="str">
        <f t="shared" ca="1" si="147"/>
        <v>#REF!</v>
      </c>
      <c r="K387" s="82" t="str">
        <f t="shared" ca="1" si="256"/>
        <v>#REF!</v>
      </c>
      <c r="L387" s="82" t="str">
        <f t="shared" ca="1" si="199"/>
        <v>#REF!</v>
      </c>
      <c r="M387" s="125"/>
      <c r="N387" s="125"/>
      <c r="O387" s="230">
        <f t="shared" si="2"/>
        <v>0</v>
      </c>
      <c r="P387" s="231">
        <f t="shared" si="3"/>
        <v>0</v>
      </c>
      <c r="Q387" s="232" t="str">
        <f ca="1">ROUNDUP(HLOOKUP(IF(CEILING(L387,0.5)&lt;1,1,CEILING(L387,0.5)),'배송비 조회'!A$32:AY$36,2,0),-2)</f>
        <v>#REF!</v>
      </c>
      <c r="R387" s="232">
        <v>0</v>
      </c>
      <c r="S387" s="231" t="str">
        <f t="shared" ca="1" si="250"/>
        <v>#REF!</v>
      </c>
      <c r="T387" s="231" t="str">
        <f t="shared" ca="1" si="200"/>
        <v>#REF!</v>
      </c>
      <c r="U387" s="233" t="str">
        <f t="shared" ca="1" si="142"/>
        <v>#REF!</v>
      </c>
      <c r="V387" s="233" t="str">
        <f t="shared" ca="1" si="7"/>
        <v>#REF!</v>
      </c>
      <c r="W387" s="234">
        <v>0</v>
      </c>
      <c r="X387" s="234" t="str">
        <f t="shared" ca="1" si="8"/>
        <v>#REF!</v>
      </c>
      <c r="Y387" s="234" t="str">
        <f t="shared" ca="1" si="9"/>
        <v>#REF!</v>
      </c>
      <c r="Z387" s="234" t="str">
        <f t="shared" ca="1" si="10"/>
        <v>#REF!</v>
      </c>
      <c r="AA387" s="234" t="str">
        <f t="shared" ca="1" si="11"/>
        <v>#REF!</v>
      </c>
      <c r="AB387" s="234" t="str">
        <f t="shared" ca="1" si="12"/>
        <v>#REF!</v>
      </c>
      <c r="AC387" s="234" t="str">
        <f t="shared" ca="1" si="13"/>
        <v>#REF!</v>
      </c>
      <c r="AD387" s="101" t="str">
        <f t="shared" ca="1" si="14"/>
        <v>#REF!</v>
      </c>
      <c r="AE387" s="101" t="str">
        <f t="shared" ca="1" si="15"/>
        <v>#REF!</v>
      </c>
      <c r="AF387" s="235" t="str">
        <f t="shared" ref="AF387:AG387" ca="1" si="464">AD387/U387</f>
        <v>#REF!</v>
      </c>
      <c r="AG387" s="235" t="str">
        <f t="shared" ca="1" si="464"/>
        <v>#REF!</v>
      </c>
      <c r="AH387" s="212"/>
      <c r="AI387" s="213"/>
      <c r="AJ387" s="4"/>
      <c r="AK387" s="4"/>
      <c r="AL387" s="4"/>
      <c r="AM387" s="4"/>
      <c r="AN387" s="4"/>
      <c r="AO387" s="4"/>
      <c r="AP387" s="4"/>
      <c r="AQ387" s="4"/>
      <c r="AR387" s="4"/>
      <c r="AS387" s="4"/>
      <c r="AT387" s="4"/>
      <c r="AU387" s="4"/>
    </row>
    <row r="388" spans="1:47" ht="13.2">
      <c r="A388" s="120"/>
      <c r="B388" s="113"/>
      <c r="C388" s="117"/>
      <c r="D388" s="117"/>
      <c r="E388" s="117"/>
      <c r="F388" s="123"/>
      <c r="G388" s="93" t="s">
        <v>145</v>
      </c>
      <c r="H388" s="125"/>
      <c r="I388" s="125"/>
      <c r="J388" s="82" t="str">
        <f t="shared" ca="1" si="147"/>
        <v>#REF!</v>
      </c>
      <c r="K388" s="82" t="str">
        <f t="shared" ca="1" si="256"/>
        <v>#REF!</v>
      </c>
      <c r="L388" s="82" t="str">
        <f t="shared" ca="1" si="199"/>
        <v>#REF!</v>
      </c>
      <c r="M388" s="125"/>
      <c r="N388" s="125"/>
      <c r="O388" s="230">
        <f t="shared" si="2"/>
        <v>0</v>
      </c>
      <c r="P388" s="231">
        <f t="shared" si="3"/>
        <v>0</v>
      </c>
      <c r="Q388" s="232" t="str">
        <f ca="1">ROUNDUP(HLOOKUP(IF(CEILING(L388,0.5)&lt;1,1,CEILING(L388,0.5)),'배송비 조회'!A$32:AY$36,2,0),-2)</f>
        <v>#REF!</v>
      </c>
      <c r="R388" s="232">
        <v>0</v>
      </c>
      <c r="S388" s="231" t="str">
        <f t="shared" ca="1" si="250"/>
        <v>#REF!</v>
      </c>
      <c r="T388" s="231" t="str">
        <f t="shared" ca="1" si="200"/>
        <v>#REF!</v>
      </c>
      <c r="U388" s="233" t="str">
        <f t="shared" ca="1" si="142"/>
        <v>#REF!</v>
      </c>
      <c r="V388" s="233" t="str">
        <f t="shared" ca="1" si="7"/>
        <v>#REF!</v>
      </c>
      <c r="W388" s="234">
        <v>0</v>
      </c>
      <c r="X388" s="234" t="str">
        <f t="shared" ca="1" si="8"/>
        <v>#REF!</v>
      </c>
      <c r="Y388" s="234" t="str">
        <f t="shared" ca="1" si="9"/>
        <v>#REF!</v>
      </c>
      <c r="Z388" s="234" t="str">
        <f t="shared" ca="1" si="10"/>
        <v>#REF!</v>
      </c>
      <c r="AA388" s="234" t="str">
        <f t="shared" ca="1" si="11"/>
        <v>#REF!</v>
      </c>
      <c r="AB388" s="234" t="str">
        <f t="shared" ca="1" si="12"/>
        <v>#REF!</v>
      </c>
      <c r="AC388" s="234" t="str">
        <f t="shared" ca="1" si="13"/>
        <v>#REF!</v>
      </c>
      <c r="AD388" s="101" t="str">
        <f t="shared" ca="1" si="14"/>
        <v>#REF!</v>
      </c>
      <c r="AE388" s="101" t="str">
        <f t="shared" ca="1" si="15"/>
        <v>#REF!</v>
      </c>
      <c r="AF388" s="235" t="str">
        <f t="shared" ref="AF388:AG388" ca="1" si="465">AD388/U388</f>
        <v>#REF!</v>
      </c>
      <c r="AG388" s="235" t="str">
        <f t="shared" ca="1" si="465"/>
        <v>#REF!</v>
      </c>
      <c r="AH388" s="212"/>
      <c r="AI388" s="213"/>
      <c r="AJ388" s="4"/>
      <c r="AK388" s="4"/>
      <c r="AL388" s="4"/>
      <c r="AM388" s="4"/>
      <c r="AN388" s="4"/>
      <c r="AO388" s="4"/>
      <c r="AP388" s="4"/>
      <c r="AQ388" s="4"/>
      <c r="AR388" s="4"/>
      <c r="AS388" s="4"/>
      <c r="AT388" s="4"/>
      <c r="AU388" s="4"/>
    </row>
    <row r="389" spans="1:47" ht="13.2">
      <c r="A389" s="120"/>
      <c r="B389" s="113"/>
      <c r="C389" s="117"/>
      <c r="D389" s="117"/>
      <c r="E389" s="117"/>
      <c r="F389" s="123"/>
      <c r="G389" s="93" t="s">
        <v>145</v>
      </c>
      <c r="H389" s="125"/>
      <c r="I389" s="125"/>
      <c r="J389" s="82" t="str">
        <f t="shared" ca="1" si="147"/>
        <v>#REF!</v>
      </c>
      <c r="K389" s="82" t="str">
        <f t="shared" ca="1" si="256"/>
        <v>#REF!</v>
      </c>
      <c r="L389" s="82" t="str">
        <f t="shared" ca="1" si="199"/>
        <v>#REF!</v>
      </c>
      <c r="M389" s="125"/>
      <c r="N389" s="125"/>
      <c r="O389" s="230">
        <f t="shared" si="2"/>
        <v>0</v>
      </c>
      <c r="P389" s="231">
        <f t="shared" si="3"/>
        <v>0</v>
      </c>
      <c r="Q389" s="232" t="str">
        <f ca="1">ROUNDUP(HLOOKUP(IF(CEILING(L389,0.5)&lt;1,1,CEILING(L389,0.5)),'배송비 조회'!A$32:AY$36,2,0),-2)</f>
        <v>#REF!</v>
      </c>
      <c r="R389" s="232">
        <v>0</v>
      </c>
      <c r="S389" s="231" t="str">
        <f t="shared" ca="1" si="250"/>
        <v>#REF!</v>
      </c>
      <c r="T389" s="231" t="str">
        <f t="shared" ca="1" si="200"/>
        <v>#REF!</v>
      </c>
      <c r="U389" s="233" t="str">
        <f t="shared" ca="1" si="142"/>
        <v>#REF!</v>
      </c>
      <c r="V389" s="233" t="str">
        <f t="shared" ca="1" si="7"/>
        <v>#REF!</v>
      </c>
      <c r="W389" s="234">
        <v>0</v>
      </c>
      <c r="X389" s="234" t="str">
        <f t="shared" ca="1" si="8"/>
        <v>#REF!</v>
      </c>
      <c r="Y389" s="234" t="str">
        <f t="shared" ca="1" si="9"/>
        <v>#REF!</v>
      </c>
      <c r="Z389" s="234" t="str">
        <f t="shared" ca="1" si="10"/>
        <v>#REF!</v>
      </c>
      <c r="AA389" s="234" t="str">
        <f t="shared" ca="1" si="11"/>
        <v>#REF!</v>
      </c>
      <c r="AB389" s="234" t="str">
        <f t="shared" ca="1" si="12"/>
        <v>#REF!</v>
      </c>
      <c r="AC389" s="234" t="str">
        <f t="shared" ca="1" si="13"/>
        <v>#REF!</v>
      </c>
      <c r="AD389" s="101" t="str">
        <f t="shared" ca="1" si="14"/>
        <v>#REF!</v>
      </c>
      <c r="AE389" s="101" t="str">
        <f t="shared" ca="1" si="15"/>
        <v>#REF!</v>
      </c>
      <c r="AF389" s="235" t="str">
        <f t="shared" ref="AF389:AG389" ca="1" si="466">AD389/U389</f>
        <v>#REF!</v>
      </c>
      <c r="AG389" s="235" t="str">
        <f t="shared" ca="1" si="466"/>
        <v>#REF!</v>
      </c>
      <c r="AH389" s="212"/>
      <c r="AI389" s="213"/>
      <c r="AJ389" s="4"/>
      <c r="AK389" s="4"/>
      <c r="AL389" s="4"/>
      <c r="AM389" s="4"/>
      <c r="AN389" s="4"/>
      <c r="AO389" s="4"/>
      <c r="AP389" s="4"/>
      <c r="AQ389" s="4"/>
      <c r="AR389" s="4"/>
      <c r="AS389" s="4"/>
      <c r="AT389" s="4"/>
      <c r="AU389" s="4"/>
    </row>
    <row r="390" spans="1:47" ht="13.2">
      <c r="A390" s="120"/>
      <c r="B390" s="113"/>
      <c r="C390" s="117"/>
      <c r="D390" s="117"/>
      <c r="E390" s="117"/>
      <c r="F390" s="123"/>
      <c r="G390" s="93" t="s">
        <v>145</v>
      </c>
      <c r="H390" s="125"/>
      <c r="I390" s="125"/>
      <c r="J390" s="82" t="str">
        <f t="shared" ca="1" si="147"/>
        <v>#REF!</v>
      </c>
      <c r="K390" s="82" t="str">
        <f t="shared" ca="1" si="256"/>
        <v>#REF!</v>
      </c>
      <c r="L390" s="82" t="str">
        <f t="shared" ca="1" si="199"/>
        <v>#REF!</v>
      </c>
      <c r="M390" s="125"/>
      <c r="N390" s="125"/>
      <c r="O390" s="230">
        <f t="shared" si="2"/>
        <v>0</v>
      </c>
      <c r="P390" s="231">
        <f t="shared" si="3"/>
        <v>0</v>
      </c>
      <c r="Q390" s="232" t="str">
        <f ca="1">ROUNDUP(HLOOKUP(IF(CEILING(L390,0.5)&lt;1,1,CEILING(L390,0.5)),'배송비 조회'!A$32:AY$36,2,0),-2)</f>
        <v>#REF!</v>
      </c>
      <c r="R390" s="232">
        <v>0</v>
      </c>
      <c r="S390" s="231" t="str">
        <f t="shared" ca="1" si="250"/>
        <v>#REF!</v>
      </c>
      <c r="T390" s="231" t="str">
        <f t="shared" ca="1" si="200"/>
        <v>#REF!</v>
      </c>
      <c r="U390" s="233" t="str">
        <f t="shared" ca="1" si="142"/>
        <v>#REF!</v>
      </c>
      <c r="V390" s="233" t="str">
        <f t="shared" ca="1" si="7"/>
        <v>#REF!</v>
      </c>
      <c r="W390" s="234">
        <v>0</v>
      </c>
      <c r="X390" s="234" t="str">
        <f t="shared" ca="1" si="8"/>
        <v>#REF!</v>
      </c>
      <c r="Y390" s="234" t="str">
        <f t="shared" ca="1" si="9"/>
        <v>#REF!</v>
      </c>
      <c r="Z390" s="234" t="str">
        <f t="shared" ca="1" si="10"/>
        <v>#REF!</v>
      </c>
      <c r="AA390" s="234" t="str">
        <f t="shared" ca="1" si="11"/>
        <v>#REF!</v>
      </c>
      <c r="AB390" s="234" t="str">
        <f t="shared" ca="1" si="12"/>
        <v>#REF!</v>
      </c>
      <c r="AC390" s="234" t="str">
        <f t="shared" ca="1" si="13"/>
        <v>#REF!</v>
      </c>
      <c r="AD390" s="101" t="str">
        <f t="shared" ca="1" si="14"/>
        <v>#REF!</v>
      </c>
      <c r="AE390" s="101" t="str">
        <f t="shared" ca="1" si="15"/>
        <v>#REF!</v>
      </c>
      <c r="AF390" s="235" t="str">
        <f t="shared" ref="AF390:AG390" ca="1" si="467">AD390/U390</f>
        <v>#REF!</v>
      </c>
      <c r="AG390" s="235" t="str">
        <f t="shared" ca="1" si="467"/>
        <v>#REF!</v>
      </c>
      <c r="AH390" s="212"/>
      <c r="AI390" s="213"/>
      <c r="AJ390" s="4"/>
      <c r="AK390" s="4"/>
      <c r="AL390" s="4"/>
      <c r="AM390" s="4"/>
      <c r="AN390" s="4"/>
      <c r="AO390" s="4"/>
      <c r="AP390" s="4"/>
      <c r="AQ390" s="4"/>
      <c r="AR390" s="4"/>
      <c r="AS390" s="4"/>
      <c r="AT390" s="4"/>
      <c r="AU390" s="4"/>
    </row>
    <row r="391" spans="1:47" ht="13.2">
      <c r="A391" s="120"/>
      <c r="B391" s="113"/>
      <c r="C391" s="117"/>
      <c r="D391" s="117"/>
      <c r="E391" s="117"/>
      <c r="F391" s="123"/>
      <c r="G391" s="93" t="s">
        <v>145</v>
      </c>
      <c r="H391" s="125"/>
      <c r="I391" s="125"/>
      <c r="J391" s="82" t="str">
        <f t="shared" ca="1" si="147"/>
        <v>#REF!</v>
      </c>
      <c r="K391" s="82" t="str">
        <f t="shared" ca="1" si="256"/>
        <v>#REF!</v>
      </c>
      <c r="L391" s="82" t="str">
        <f t="shared" ca="1" si="199"/>
        <v>#REF!</v>
      </c>
      <c r="M391" s="125"/>
      <c r="N391" s="125"/>
      <c r="O391" s="230">
        <f t="shared" si="2"/>
        <v>0</v>
      </c>
      <c r="P391" s="231">
        <f t="shared" si="3"/>
        <v>0</v>
      </c>
      <c r="Q391" s="232" t="str">
        <f ca="1">ROUNDUP(HLOOKUP(IF(CEILING(L391,0.5)&lt;1,1,CEILING(L391,0.5)),'배송비 조회'!A$32:AY$36,2,0),-2)</f>
        <v>#REF!</v>
      </c>
      <c r="R391" s="232">
        <v>0</v>
      </c>
      <c r="S391" s="231" t="str">
        <f t="shared" ca="1" si="250"/>
        <v>#REF!</v>
      </c>
      <c r="T391" s="231" t="str">
        <f t="shared" ca="1" si="200"/>
        <v>#REF!</v>
      </c>
      <c r="U391" s="233" t="str">
        <f t="shared" ca="1" si="142"/>
        <v>#REF!</v>
      </c>
      <c r="V391" s="233" t="str">
        <f t="shared" ca="1" si="7"/>
        <v>#REF!</v>
      </c>
      <c r="W391" s="234">
        <v>0</v>
      </c>
      <c r="X391" s="234" t="str">
        <f t="shared" ca="1" si="8"/>
        <v>#REF!</v>
      </c>
      <c r="Y391" s="234" t="str">
        <f t="shared" ca="1" si="9"/>
        <v>#REF!</v>
      </c>
      <c r="Z391" s="234" t="str">
        <f t="shared" ca="1" si="10"/>
        <v>#REF!</v>
      </c>
      <c r="AA391" s="234" t="str">
        <f t="shared" ca="1" si="11"/>
        <v>#REF!</v>
      </c>
      <c r="AB391" s="234" t="str">
        <f t="shared" ca="1" si="12"/>
        <v>#REF!</v>
      </c>
      <c r="AC391" s="234" t="str">
        <f t="shared" ca="1" si="13"/>
        <v>#REF!</v>
      </c>
      <c r="AD391" s="101" t="str">
        <f t="shared" ca="1" si="14"/>
        <v>#REF!</v>
      </c>
      <c r="AE391" s="101" t="str">
        <f t="shared" ca="1" si="15"/>
        <v>#REF!</v>
      </c>
      <c r="AF391" s="235" t="str">
        <f t="shared" ref="AF391:AG391" ca="1" si="468">AD391/U391</f>
        <v>#REF!</v>
      </c>
      <c r="AG391" s="235" t="str">
        <f t="shared" ca="1" si="468"/>
        <v>#REF!</v>
      </c>
      <c r="AH391" s="212"/>
      <c r="AI391" s="213"/>
      <c r="AJ391" s="4"/>
      <c r="AK391" s="4"/>
      <c r="AL391" s="4"/>
      <c r="AM391" s="4"/>
      <c r="AN391" s="4"/>
      <c r="AO391" s="4"/>
      <c r="AP391" s="4"/>
      <c r="AQ391" s="4"/>
      <c r="AR391" s="4"/>
      <c r="AS391" s="4"/>
      <c r="AT391" s="4"/>
      <c r="AU391" s="4"/>
    </row>
    <row r="392" spans="1:47" ht="13.2">
      <c r="A392" s="120"/>
      <c r="B392" s="113"/>
      <c r="C392" s="117"/>
      <c r="D392" s="117"/>
      <c r="E392" s="117"/>
      <c r="F392" s="123"/>
      <c r="G392" s="93" t="s">
        <v>145</v>
      </c>
      <c r="H392" s="125"/>
      <c r="I392" s="125"/>
      <c r="J392" s="82" t="str">
        <f t="shared" ca="1" si="147"/>
        <v>#REF!</v>
      </c>
      <c r="K392" s="82" t="str">
        <f t="shared" ca="1" si="256"/>
        <v>#REF!</v>
      </c>
      <c r="L392" s="82" t="str">
        <f t="shared" ca="1" si="199"/>
        <v>#REF!</v>
      </c>
      <c r="M392" s="125"/>
      <c r="N392" s="125"/>
      <c r="O392" s="230">
        <f t="shared" si="2"/>
        <v>0</v>
      </c>
      <c r="P392" s="231">
        <f t="shared" si="3"/>
        <v>0</v>
      </c>
      <c r="Q392" s="232" t="str">
        <f ca="1">ROUNDUP(HLOOKUP(IF(CEILING(L392,0.5)&lt;1,1,CEILING(L392,0.5)),'배송비 조회'!A$32:AY$36,2,0),-2)</f>
        <v>#REF!</v>
      </c>
      <c r="R392" s="232">
        <v>0</v>
      </c>
      <c r="S392" s="231" t="str">
        <f t="shared" ca="1" si="250"/>
        <v>#REF!</v>
      </c>
      <c r="T392" s="231" t="str">
        <f t="shared" ca="1" si="200"/>
        <v>#REF!</v>
      </c>
      <c r="U392" s="233" t="str">
        <f t="shared" ca="1" si="142"/>
        <v>#REF!</v>
      </c>
      <c r="V392" s="233" t="str">
        <f t="shared" ca="1" si="7"/>
        <v>#REF!</v>
      </c>
      <c r="W392" s="234">
        <v>0</v>
      </c>
      <c r="X392" s="234" t="str">
        <f t="shared" ca="1" si="8"/>
        <v>#REF!</v>
      </c>
      <c r="Y392" s="234" t="str">
        <f t="shared" ca="1" si="9"/>
        <v>#REF!</v>
      </c>
      <c r="Z392" s="234" t="str">
        <f t="shared" ca="1" si="10"/>
        <v>#REF!</v>
      </c>
      <c r="AA392" s="234" t="str">
        <f t="shared" ca="1" si="11"/>
        <v>#REF!</v>
      </c>
      <c r="AB392" s="234" t="str">
        <f t="shared" ca="1" si="12"/>
        <v>#REF!</v>
      </c>
      <c r="AC392" s="234" t="str">
        <f t="shared" ca="1" si="13"/>
        <v>#REF!</v>
      </c>
      <c r="AD392" s="101" t="str">
        <f t="shared" ca="1" si="14"/>
        <v>#REF!</v>
      </c>
      <c r="AE392" s="101" t="str">
        <f t="shared" ca="1" si="15"/>
        <v>#REF!</v>
      </c>
      <c r="AF392" s="235" t="str">
        <f t="shared" ref="AF392:AG392" ca="1" si="469">AD392/U392</f>
        <v>#REF!</v>
      </c>
      <c r="AG392" s="235" t="str">
        <f t="shared" ca="1" si="469"/>
        <v>#REF!</v>
      </c>
      <c r="AH392" s="212"/>
      <c r="AI392" s="213"/>
      <c r="AJ392" s="4"/>
      <c r="AK392" s="4"/>
      <c r="AL392" s="4"/>
      <c r="AM392" s="4"/>
      <c r="AN392" s="4"/>
      <c r="AO392" s="4"/>
      <c r="AP392" s="4"/>
      <c r="AQ392" s="4"/>
      <c r="AR392" s="4"/>
      <c r="AS392" s="4"/>
      <c r="AT392" s="4"/>
      <c r="AU392" s="4"/>
    </row>
    <row r="393" spans="1:47" ht="13.2">
      <c r="A393" s="120"/>
      <c r="B393" s="113"/>
      <c r="C393" s="117"/>
      <c r="D393" s="117"/>
      <c r="E393" s="117"/>
      <c r="F393" s="123"/>
      <c r="G393" s="93" t="s">
        <v>145</v>
      </c>
      <c r="H393" s="125"/>
      <c r="I393" s="125"/>
      <c r="J393" s="82" t="str">
        <f t="shared" ca="1" si="147"/>
        <v>#REF!</v>
      </c>
      <c r="K393" s="82" t="str">
        <f t="shared" ca="1" si="256"/>
        <v>#REF!</v>
      </c>
      <c r="L393" s="82" t="str">
        <f t="shared" ca="1" si="199"/>
        <v>#REF!</v>
      </c>
      <c r="M393" s="125"/>
      <c r="N393" s="125"/>
      <c r="O393" s="230">
        <f t="shared" si="2"/>
        <v>0</v>
      </c>
      <c r="P393" s="231">
        <f t="shared" si="3"/>
        <v>0</v>
      </c>
      <c r="Q393" s="232" t="str">
        <f ca="1">ROUNDUP(HLOOKUP(IF(CEILING(L393,0.5)&lt;1,1,CEILING(L393,0.5)),'배송비 조회'!A$32:AY$36,2,0),-2)</f>
        <v>#REF!</v>
      </c>
      <c r="R393" s="232">
        <v>0</v>
      </c>
      <c r="S393" s="231" t="str">
        <f t="shared" ca="1" si="250"/>
        <v>#REF!</v>
      </c>
      <c r="T393" s="231" t="str">
        <f t="shared" ca="1" si="200"/>
        <v>#REF!</v>
      </c>
      <c r="U393" s="233" t="str">
        <f t="shared" ca="1" si="142"/>
        <v>#REF!</v>
      </c>
      <c r="V393" s="233" t="str">
        <f t="shared" ca="1" si="7"/>
        <v>#REF!</v>
      </c>
      <c r="W393" s="234">
        <v>0</v>
      </c>
      <c r="X393" s="234" t="str">
        <f t="shared" ca="1" si="8"/>
        <v>#REF!</v>
      </c>
      <c r="Y393" s="234" t="str">
        <f t="shared" ca="1" si="9"/>
        <v>#REF!</v>
      </c>
      <c r="Z393" s="234" t="str">
        <f t="shared" ca="1" si="10"/>
        <v>#REF!</v>
      </c>
      <c r="AA393" s="234" t="str">
        <f t="shared" ca="1" si="11"/>
        <v>#REF!</v>
      </c>
      <c r="AB393" s="234" t="str">
        <f t="shared" ca="1" si="12"/>
        <v>#REF!</v>
      </c>
      <c r="AC393" s="234" t="str">
        <f t="shared" ca="1" si="13"/>
        <v>#REF!</v>
      </c>
      <c r="AD393" s="101" t="str">
        <f t="shared" ca="1" si="14"/>
        <v>#REF!</v>
      </c>
      <c r="AE393" s="101" t="str">
        <f t="shared" ca="1" si="15"/>
        <v>#REF!</v>
      </c>
      <c r="AF393" s="235" t="str">
        <f t="shared" ref="AF393:AG393" ca="1" si="470">AD393/U393</f>
        <v>#REF!</v>
      </c>
      <c r="AG393" s="235" t="str">
        <f t="shared" ca="1" si="470"/>
        <v>#REF!</v>
      </c>
      <c r="AH393" s="212"/>
      <c r="AI393" s="213"/>
      <c r="AJ393" s="4"/>
      <c r="AK393" s="4"/>
      <c r="AL393" s="4"/>
      <c r="AM393" s="4"/>
      <c r="AN393" s="4"/>
      <c r="AO393" s="4"/>
      <c r="AP393" s="4"/>
      <c r="AQ393" s="4"/>
      <c r="AR393" s="4"/>
      <c r="AS393" s="4"/>
      <c r="AT393" s="4"/>
      <c r="AU393" s="4"/>
    </row>
    <row r="394" spans="1:47" ht="13.2">
      <c r="A394" s="120"/>
      <c r="B394" s="113"/>
      <c r="C394" s="117"/>
      <c r="D394" s="117"/>
      <c r="E394" s="117"/>
      <c r="F394" s="123"/>
      <c r="G394" s="93" t="s">
        <v>145</v>
      </c>
      <c r="H394" s="125"/>
      <c r="I394" s="125"/>
      <c r="J394" s="82" t="str">
        <f t="shared" ca="1" si="147"/>
        <v>#REF!</v>
      </c>
      <c r="K394" s="82" t="str">
        <f t="shared" ca="1" si="256"/>
        <v>#REF!</v>
      </c>
      <c r="L394" s="82" t="str">
        <f t="shared" ca="1" si="199"/>
        <v>#REF!</v>
      </c>
      <c r="M394" s="125"/>
      <c r="N394" s="125"/>
      <c r="O394" s="230">
        <f t="shared" si="2"/>
        <v>0</v>
      </c>
      <c r="P394" s="231">
        <f t="shared" si="3"/>
        <v>0</v>
      </c>
      <c r="Q394" s="232" t="str">
        <f ca="1">ROUNDUP(HLOOKUP(IF(CEILING(L394,0.5)&lt;1,1,CEILING(L394,0.5)),'배송비 조회'!A$32:AY$36,2,0),-2)</f>
        <v>#REF!</v>
      </c>
      <c r="R394" s="232">
        <v>0</v>
      </c>
      <c r="S394" s="231" t="str">
        <f t="shared" ca="1" si="250"/>
        <v>#REF!</v>
      </c>
      <c r="T394" s="231" t="str">
        <f t="shared" ca="1" si="200"/>
        <v>#REF!</v>
      </c>
      <c r="U394" s="233" t="str">
        <f t="shared" ca="1" si="142"/>
        <v>#REF!</v>
      </c>
      <c r="V394" s="233" t="str">
        <f t="shared" ca="1" si="7"/>
        <v>#REF!</v>
      </c>
      <c r="W394" s="234">
        <v>0</v>
      </c>
      <c r="X394" s="234" t="str">
        <f t="shared" ca="1" si="8"/>
        <v>#REF!</v>
      </c>
      <c r="Y394" s="234" t="str">
        <f t="shared" ca="1" si="9"/>
        <v>#REF!</v>
      </c>
      <c r="Z394" s="234" t="str">
        <f t="shared" ca="1" si="10"/>
        <v>#REF!</v>
      </c>
      <c r="AA394" s="234" t="str">
        <f t="shared" ca="1" si="11"/>
        <v>#REF!</v>
      </c>
      <c r="AB394" s="234" t="str">
        <f t="shared" ca="1" si="12"/>
        <v>#REF!</v>
      </c>
      <c r="AC394" s="234" t="str">
        <f t="shared" ca="1" si="13"/>
        <v>#REF!</v>
      </c>
      <c r="AD394" s="101" t="str">
        <f t="shared" ca="1" si="14"/>
        <v>#REF!</v>
      </c>
      <c r="AE394" s="101" t="str">
        <f t="shared" ca="1" si="15"/>
        <v>#REF!</v>
      </c>
      <c r="AF394" s="235" t="str">
        <f t="shared" ref="AF394:AG394" ca="1" si="471">AD394/U394</f>
        <v>#REF!</v>
      </c>
      <c r="AG394" s="235" t="str">
        <f t="shared" ca="1" si="471"/>
        <v>#REF!</v>
      </c>
      <c r="AH394" s="212"/>
      <c r="AI394" s="213"/>
      <c r="AJ394" s="4"/>
      <c r="AK394" s="4"/>
      <c r="AL394" s="4"/>
      <c r="AM394" s="4"/>
      <c r="AN394" s="4"/>
      <c r="AO394" s="4"/>
      <c r="AP394" s="4"/>
      <c r="AQ394" s="4"/>
      <c r="AR394" s="4"/>
      <c r="AS394" s="4"/>
      <c r="AT394" s="4"/>
      <c r="AU394" s="4"/>
    </row>
    <row r="395" spans="1:47" ht="13.2">
      <c r="A395" s="120"/>
      <c r="B395" s="113"/>
      <c r="C395" s="117"/>
      <c r="D395" s="117"/>
      <c r="E395" s="117"/>
      <c r="F395" s="123"/>
      <c r="G395" s="93" t="s">
        <v>145</v>
      </c>
      <c r="H395" s="125"/>
      <c r="I395" s="125"/>
      <c r="J395" s="82" t="str">
        <f t="shared" ca="1" si="147"/>
        <v>#REF!</v>
      </c>
      <c r="K395" s="82" t="str">
        <f t="shared" ca="1" si="256"/>
        <v>#REF!</v>
      </c>
      <c r="L395" s="82" t="str">
        <f t="shared" ca="1" si="199"/>
        <v>#REF!</v>
      </c>
      <c r="M395" s="125"/>
      <c r="N395" s="125"/>
      <c r="O395" s="230">
        <f t="shared" si="2"/>
        <v>0</v>
      </c>
      <c r="P395" s="231">
        <f t="shared" si="3"/>
        <v>0</v>
      </c>
      <c r="Q395" s="232" t="str">
        <f ca="1">ROUNDUP(HLOOKUP(IF(CEILING(L395,0.5)&lt;1,1,CEILING(L395,0.5)),'배송비 조회'!A$32:AY$36,2,0),-2)</f>
        <v>#REF!</v>
      </c>
      <c r="R395" s="232">
        <v>0</v>
      </c>
      <c r="S395" s="231" t="str">
        <f t="shared" ca="1" si="250"/>
        <v>#REF!</v>
      </c>
      <c r="T395" s="231" t="str">
        <f t="shared" ca="1" si="200"/>
        <v>#REF!</v>
      </c>
      <c r="U395" s="233" t="str">
        <f t="shared" ca="1" si="142"/>
        <v>#REF!</v>
      </c>
      <c r="V395" s="233" t="str">
        <f t="shared" ca="1" si="7"/>
        <v>#REF!</v>
      </c>
      <c r="W395" s="234">
        <v>0</v>
      </c>
      <c r="X395" s="234" t="str">
        <f t="shared" ca="1" si="8"/>
        <v>#REF!</v>
      </c>
      <c r="Y395" s="234" t="str">
        <f t="shared" ca="1" si="9"/>
        <v>#REF!</v>
      </c>
      <c r="Z395" s="234" t="str">
        <f t="shared" ca="1" si="10"/>
        <v>#REF!</v>
      </c>
      <c r="AA395" s="234" t="str">
        <f t="shared" ca="1" si="11"/>
        <v>#REF!</v>
      </c>
      <c r="AB395" s="234" t="str">
        <f t="shared" ca="1" si="12"/>
        <v>#REF!</v>
      </c>
      <c r="AC395" s="234" t="str">
        <f t="shared" ca="1" si="13"/>
        <v>#REF!</v>
      </c>
      <c r="AD395" s="101" t="str">
        <f t="shared" ca="1" si="14"/>
        <v>#REF!</v>
      </c>
      <c r="AE395" s="101" t="str">
        <f t="shared" ca="1" si="15"/>
        <v>#REF!</v>
      </c>
      <c r="AF395" s="235" t="str">
        <f t="shared" ref="AF395:AG395" ca="1" si="472">AD395/U395</f>
        <v>#REF!</v>
      </c>
      <c r="AG395" s="235" t="str">
        <f t="shared" ca="1" si="472"/>
        <v>#REF!</v>
      </c>
      <c r="AH395" s="212"/>
      <c r="AI395" s="213"/>
      <c r="AJ395" s="4"/>
      <c r="AK395" s="4"/>
      <c r="AL395" s="4"/>
      <c r="AM395" s="4"/>
      <c r="AN395" s="4"/>
      <c r="AO395" s="4"/>
      <c r="AP395" s="4"/>
      <c r="AQ395" s="4"/>
      <c r="AR395" s="4"/>
      <c r="AS395" s="4"/>
      <c r="AT395" s="4"/>
      <c r="AU395" s="4"/>
    </row>
    <row r="396" spans="1:47" ht="13.2">
      <c r="A396" s="120"/>
      <c r="B396" s="113"/>
      <c r="C396" s="117"/>
      <c r="D396" s="117"/>
      <c r="E396" s="117"/>
      <c r="F396" s="123"/>
      <c r="G396" s="93" t="s">
        <v>145</v>
      </c>
      <c r="H396" s="125"/>
      <c r="I396" s="125"/>
      <c r="J396" s="82" t="str">
        <f t="shared" ca="1" si="147"/>
        <v>#REF!</v>
      </c>
      <c r="K396" s="82" t="str">
        <f t="shared" ca="1" si="256"/>
        <v>#REF!</v>
      </c>
      <c r="L396" s="82" t="str">
        <f t="shared" ca="1" si="199"/>
        <v>#REF!</v>
      </c>
      <c r="M396" s="125"/>
      <c r="N396" s="125"/>
      <c r="O396" s="230">
        <f t="shared" si="2"/>
        <v>0</v>
      </c>
      <c r="P396" s="231">
        <f t="shared" si="3"/>
        <v>0</v>
      </c>
      <c r="Q396" s="232" t="str">
        <f ca="1">ROUNDUP(HLOOKUP(IF(CEILING(L396,0.5)&lt;1,1,CEILING(L396,0.5)),'배송비 조회'!A$32:AY$36,2,0),-2)</f>
        <v>#REF!</v>
      </c>
      <c r="R396" s="232">
        <v>0</v>
      </c>
      <c r="S396" s="231" t="str">
        <f t="shared" ca="1" si="250"/>
        <v>#REF!</v>
      </c>
      <c r="T396" s="231" t="str">
        <f t="shared" ca="1" si="200"/>
        <v>#REF!</v>
      </c>
      <c r="U396" s="233" t="str">
        <f t="shared" ca="1" si="142"/>
        <v>#REF!</v>
      </c>
      <c r="V396" s="233" t="str">
        <f t="shared" ca="1" si="7"/>
        <v>#REF!</v>
      </c>
      <c r="W396" s="234">
        <v>0</v>
      </c>
      <c r="X396" s="234" t="str">
        <f t="shared" ca="1" si="8"/>
        <v>#REF!</v>
      </c>
      <c r="Y396" s="234" t="str">
        <f t="shared" ca="1" si="9"/>
        <v>#REF!</v>
      </c>
      <c r="Z396" s="234" t="str">
        <f t="shared" ca="1" si="10"/>
        <v>#REF!</v>
      </c>
      <c r="AA396" s="234" t="str">
        <f t="shared" ca="1" si="11"/>
        <v>#REF!</v>
      </c>
      <c r="AB396" s="234" t="str">
        <f t="shared" ca="1" si="12"/>
        <v>#REF!</v>
      </c>
      <c r="AC396" s="234" t="str">
        <f t="shared" ca="1" si="13"/>
        <v>#REF!</v>
      </c>
      <c r="AD396" s="101" t="str">
        <f t="shared" ca="1" si="14"/>
        <v>#REF!</v>
      </c>
      <c r="AE396" s="101" t="str">
        <f t="shared" ca="1" si="15"/>
        <v>#REF!</v>
      </c>
      <c r="AF396" s="235" t="str">
        <f t="shared" ref="AF396:AG396" ca="1" si="473">AD396/U396</f>
        <v>#REF!</v>
      </c>
      <c r="AG396" s="235" t="str">
        <f t="shared" ca="1" si="473"/>
        <v>#REF!</v>
      </c>
      <c r="AH396" s="212"/>
      <c r="AI396" s="213"/>
      <c r="AJ396" s="4"/>
      <c r="AK396" s="4"/>
      <c r="AL396" s="4"/>
      <c r="AM396" s="4"/>
      <c r="AN396" s="4"/>
      <c r="AO396" s="4"/>
      <c r="AP396" s="4"/>
      <c r="AQ396" s="4"/>
      <c r="AR396" s="4"/>
      <c r="AS396" s="4"/>
      <c r="AT396" s="4"/>
      <c r="AU396" s="4"/>
    </row>
    <row r="397" spans="1:47" ht="13.2">
      <c r="A397" s="120"/>
      <c r="B397" s="113"/>
      <c r="C397" s="117"/>
      <c r="D397" s="117"/>
      <c r="E397" s="117"/>
      <c r="F397" s="123"/>
      <c r="G397" s="93" t="s">
        <v>145</v>
      </c>
      <c r="H397" s="125"/>
      <c r="I397" s="125"/>
      <c r="J397" s="82" t="str">
        <f t="shared" ca="1" si="147"/>
        <v>#REF!</v>
      </c>
      <c r="K397" s="82" t="str">
        <f t="shared" ca="1" si="256"/>
        <v>#REF!</v>
      </c>
      <c r="L397" s="82" t="str">
        <f t="shared" ca="1" si="199"/>
        <v>#REF!</v>
      </c>
      <c r="M397" s="125"/>
      <c r="N397" s="125"/>
      <c r="O397" s="230">
        <f t="shared" si="2"/>
        <v>0</v>
      </c>
      <c r="P397" s="231">
        <f t="shared" si="3"/>
        <v>0</v>
      </c>
      <c r="Q397" s="232" t="str">
        <f ca="1">ROUNDUP(HLOOKUP(IF(CEILING(L397,0.5)&lt;1,1,CEILING(L397,0.5)),'배송비 조회'!A$32:AY$36,2,0),-2)</f>
        <v>#REF!</v>
      </c>
      <c r="R397" s="232">
        <v>0</v>
      </c>
      <c r="S397" s="231" t="str">
        <f t="shared" ca="1" si="250"/>
        <v>#REF!</v>
      </c>
      <c r="T397" s="231" t="str">
        <f t="shared" ca="1" si="200"/>
        <v>#REF!</v>
      </c>
      <c r="U397" s="233" t="str">
        <f t="shared" ca="1" si="142"/>
        <v>#REF!</v>
      </c>
      <c r="V397" s="233" t="str">
        <f t="shared" ca="1" si="7"/>
        <v>#REF!</v>
      </c>
      <c r="W397" s="234">
        <v>0</v>
      </c>
      <c r="X397" s="234" t="str">
        <f t="shared" ca="1" si="8"/>
        <v>#REF!</v>
      </c>
      <c r="Y397" s="234" t="str">
        <f t="shared" ca="1" si="9"/>
        <v>#REF!</v>
      </c>
      <c r="Z397" s="234" t="str">
        <f t="shared" ca="1" si="10"/>
        <v>#REF!</v>
      </c>
      <c r="AA397" s="234" t="str">
        <f t="shared" ca="1" si="11"/>
        <v>#REF!</v>
      </c>
      <c r="AB397" s="234" t="str">
        <f t="shared" ca="1" si="12"/>
        <v>#REF!</v>
      </c>
      <c r="AC397" s="234" t="str">
        <f t="shared" ca="1" si="13"/>
        <v>#REF!</v>
      </c>
      <c r="AD397" s="101" t="str">
        <f t="shared" ca="1" si="14"/>
        <v>#REF!</v>
      </c>
      <c r="AE397" s="101" t="str">
        <f t="shared" ca="1" si="15"/>
        <v>#REF!</v>
      </c>
      <c r="AF397" s="235" t="str">
        <f t="shared" ref="AF397:AG397" ca="1" si="474">AD397/U397</f>
        <v>#REF!</v>
      </c>
      <c r="AG397" s="235" t="str">
        <f t="shared" ca="1" si="474"/>
        <v>#REF!</v>
      </c>
      <c r="AH397" s="212"/>
      <c r="AI397" s="213"/>
      <c r="AJ397" s="4"/>
      <c r="AK397" s="4"/>
      <c r="AL397" s="4"/>
      <c r="AM397" s="4"/>
      <c r="AN397" s="4"/>
      <c r="AO397" s="4"/>
      <c r="AP397" s="4"/>
      <c r="AQ397" s="4"/>
      <c r="AR397" s="4"/>
      <c r="AS397" s="4"/>
      <c r="AT397" s="4"/>
      <c r="AU397" s="4"/>
    </row>
    <row r="398" spans="1:47" ht="13.2">
      <c r="A398" s="120"/>
      <c r="B398" s="113"/>
      <c r="C398" s="117"/>
      <c r="D398" s="117"/>
      <c r="E398" s="117"/>
      <c r="F398" s="123"/>
      <c r="G398" s="93" t="s">
        <v>145</v>
      </c>
      <c r="H398" s="125"/>
      <c r="I398" s="125"/>
      <c r="J398" s="82" t="str">
        <f t="shared" ca="1" si="147"/>
        <v>#REF!</v>
      </c>
      <c r="K398" s="82" t="str">
        <f t="shared" ca="1" si="256"/>
        <v>#REF!</v>
      </c>
      <c r="L398" s="82" t="str">
        <f t="shared" ca="1" si="199"/>
        <v>#REF!</v>
      </c>
      <c r="M398" s="125"/>
      <c r="N398" s="125"/>
      <c r="O398" s="230">
        <f t="shared" si="2"/>
        <v>0</v>
      </c>
      <c r="P398" s="231">
        <f t="shared" si="3"/>
        <v>0</v>
      </c>
      <c r="Q398" s="232" t="str">
        <f ca="1">ROUNDUP(HLOOKUP(IF(CEILING(L398,0.5)&lt;1,1,CEILING(L398,0.5)),'배송비 조회'!A$32:AY$36,2,0),-2)</f>
        <v>#REF!</v>
      </c>
      <c r="R398" s="232">
        <v>0</v>
      </c>
      <c r="S398" s="231" t="str">
        <f t="shared" ca="1" si="250"/>
        <v>#REF!</v>
      </c>
      <c r="T398" s="231" t="str">
        <f t="shared" ca="1" si="200"/>
        <v>#REF!</v>
      </c>
      <c r="U398" s="233" t="str">
        <f t="shared" ca="1" si="142"/>
        <v>#REF!</v>
      </c>
      <c r="V398" s="233" t="str">
        <f t="shared" ca="1" si="7"/>
        <v>#REF!</v>
      </c>
      <c r="W398" s="234">
        <v>0</v>
      </c>
      <c r="X398" s="234" t="str">
        <f t="shared" ca="1" si="8"/>
        <v>#REF!</v>
      </c>
      <c r="Y398" s="234" t="str">
        <f t="shared" ca="1" si="9"/>
        <v>#REF!</v>
      </c>
      <c r="Z398" s="234" t="str">
        <f t="shared" ca="1" si="10"/>
        <v>#REF!</v>
      </c>
      <c r="AA398" s="234" t="str">
        <f t="shared" ca="1" si="11"/>
        <v>#REF!</v>
      </c>
      <c r="AB398" s="234" t="str">
        <f t="shared" ca="1" si="12"/>
        <v>#REF!</v>
      </c>
      <c r="AC398" s="234" t="str">
        <f t="shared" ca="1" si="13"/>
        <v>#REF!</v>
      </c>
      <c r="AD398" s="101" t="str">
        <f t="shared" ca="1" si="14"/>
        <v>#REF!</v>
      </c>
      <c r="AE398" s="101" t="str">
        <f t="shared" ca="1" si="15"/>
        <v>#REF!</v>
      </c>
      <c r="AF398" s="235" t="str">
        <f t="shared" ref="AF398:AG398" ca="1" si="475">AD398/U398</f>
        <v>#REF!</v>
      </c>
      <c r="AG398" s="235" t="str">
        <f t="shared" ca="1" si="475"/>
        <v>#REF!</v>
      </c>
      <c r="AH398" s="212"/>
      <c r="AI398" s="213"/>
      <c r="AJ398" s="4"/>
      <c r="AK398" s="4"/>
      <c r="AL398" s="4"/>
      <c r="AM398" s="4"/>
      <c r="AN398" s="4"/>
      <c r="AO398" s="4"/>
      <c r="AP398" s="4"/>
      <c r="AQ398" s="4"/>
      <c r="AR398" s="4"/>
      <c r="AS398" s="4"/>
      <c r="AT398" s="4"/>
      <c r="AU398" s="4"/>
    </row>
    <row r="399" spans="1:47" ht="13.2">
      <c r="A399" s="120"/>
      <c r="B399" s="113"/>
      <c r="C399" s="117"/>
      <c r="D399" s="117"/>
      <c r="E399" s="117"/>
      <c r="F399" s="123"/>
      <c r="G399" s="93" t="s">
        <v>145</v>
      </c>
      <c r="H399" s="125"/>
      <c r="I399" s="125"/>
      <c r="J399" s="82" t="str">
        <f t="shared" ca="1" si="147"/>
        <v>#REF!</v>
      </c>
      <c r="K399" s="82" t="str">
        <f t="shared" ca="1" si="256"/>
        <v>#REF!</v>
      </c>
      <c r="L399" s="82" t="str">
        <f t="shared" ca="1" si="199"/>
        <v>#REF!</v>
      </c>
      <c r="M399" s="125"/>
      <c r="N399" s="125"/>
      <c r="O399" s="230">
        <f t="shared" si="2"/>
        <v>0</v>
      </c>
      <c r="P399" s="231">
        <f t="shared" si="3"/>
        <v>0</v>
      </c>
      <c r="Q399" s="232" t="str">
        <f ca="1">ROUNDUP(HLOOKUP(IF(CEILING(L399,0.5)&lt;1,1,CEILING(L399,0.5)),'배송비 조회'!A$32:AY$36,2,0),-2)</f>
        <v>#REF!</v>
      </c>
      <c r="R399" s="232">
        <v>0</v>
      </c>
      <c r="S399" s="231" t="str">
        <f t="shared" ca="1" si="250"/>
        <v>#REF!</v>
      </c>
      <c r="T399" s="231" t="str">
        <f t="shared" ca="1" si="200"/>
        <v>#REF!</v>
      </c>
      <c r="U399" s="233" t="str">
        <f t="shared" ca="1" si="142"/>
        <v>#REF!</v>
      </c>
      <c r="V399" s="233" t="str">
        <f t="shared" ca="1" si="7"/>
        <v>#REF!</v>
      </c>
      <c r="W399" s="234">
        <v>0</v>
      </c>
      <c r="X399" s="234" t="str">
        <f t="shared" ca="1" si="8"/>
        <v>#REF!</v>
      </c>
      <c r="Y399" s="234" t="str">
        <f t="shared" ca="1" si="9"/>
        <v>#REF!</v>
      </c>
      <c r="Z399" s="234" t="str">
        <f t="shared" ca="1" si="10"/>
        <v>#REF!</v>
      </c>
      <c r="AA399" s="234" t="str">
        <f t="shared" ca="1" si="11"/>
        <v>#REF!</v>
      </c>
      <c r="AB399" s="234" t="str">
        <f t="shared" ca="1" si="12"/>
        <v>#REF!</v>
      </c>
      <c r="AC399" s="234" t="str">
        <f t="shared" ca="1" si="13"/>
        <v>#REF!</v>
      </c>
      <c r="AD399" s="101" t="str">
        <f t="shared" ca="1" si="14"/>
        <v>#REF!</v>
      </c>
      <c r="AE399" s="101" t="str">
        <f t="shared" ca="1" si="15"/>
        <v>#REF!</v>
      </c>
      <c r="AF399" s="235" t="str">
        <f t="shared" ref="AF399:AG399" ca="1" si="476">AD399/U399</f>
        <v>#REF!</v>
      </c>
      <c r="AG399" s="235" t="str">
        <f t="shared" ca="1" si="476"/>
        <v>#REF!</v>
      </c>
      <c r="AH399" s="212"/>
      <c r="AI399" s="213"/>
      <c r="AJ399" s="4"/>
      <c r="AK399" s="4"/>
      <c r="AL399" s="4"/>
      <c r="AM399" s="4"/>
      <c r="AN399" s="4"/>
      <c r="AO399" s="4"/>
      <c r="AP399" s="4"/>
      <c r="AQ399" s="4"/>
      <c r="AR399" s="4"/>
      <c r="AS399" s="4"/>
      <c r="AT399" s="4"/>
      <c r="AU399" s="4"/>
    </row>
    <row r="400" spans="1:47" ht="13.2">
      <c r="A400" s="120"/>
      <c r="B400" s="113"/>
      <c r="C400" s="117"/>
      <c r="D400" s="117"/>
      <c r="E400" s="117"/>
      <c r="F400" s="123"/>
      <c r="G400" s="93" t="s">
        <v>145</v>
      </c>
      <c r="H400" s="125"/>
      <c r="I400" s="125"/>
      <c r="J400" s="82" t="str">
        <f t="shared" ca="1" si="147"/>
        <v>#REF!</v>
      </c>
      <c r="K400" s="82" t="str">
        <f t="shared" ca="1" si="256"/>
        <v>#REF!</v>
      </c>
      <c r="L400" s="82" t="str">
        <f t="shared" ca="1" si="199"/>
        <v>#REF!</v>
      </c>
      <c r="M400" s="125"/>
      <c r="N400" s="125"/>
      <c r="O400" s="230">
        <f t="shared" si="2"/>
        <v>0</v>
      </c>
      <c r="P400" s="231">
        <f t="shared" si="3"/>
        <v>0</v>
      </c>
      <c r="Q400" s="232" t="str">
        <f ca="1">ROUNDUP(HLOOKUP(IF(CEILING(L400,0.5)&lt;1,1,CEILING(L400,0.5)),'배송비 조회'!A$32:AY$36,2,0),-2)</f>
        <v>#REF!</v>
      </c>
      <c r="R400" s="232">
        <v>0</v>
      </c>
      <c r="S400" s="231" t="str">
        <f t="shared" ca="1" si="250"/>
        <v>#REF!</v>
      </c>
      <c r="T400" s="231" t="str">
        <f t="shared" ca="1" si="200"/>
        <v>#REF!</v>
      </c>
      <c r="U400" s="233" t="str">
        <f t="shared" ca="1" si="142"/>
        <v>#REF!</v>
      </c>
      <c r="V400" s="233" t="str">
        <f t="shared" ca="1" si="7"/>
        <v>#REF!</v>
      </c>
      <c r="W400" s="234">
        <v>0</v>
      </c>
      <c r="X400" s="234" t="str">
        <f t="shared" ca="1" si="8"/>
        <v>#REF!</v>
      </c>
      <c r="Y400" s="234" t="str">
        <f t="shared" ca="1" si="9"/>
        <v>#REF!</v>
      </c>
      <c r="Z400" s="234" t="str">
        <f t="shared" ca="1" si="10"/>
        <v>#REF!</v>
      </c>
      <c r="AA400" s="234" t="str">
        <f t="shared" ca="1" si="11"/>
        <v>#REF!</v>
      </c>
      <c r="AB400" s="234" t="str">
        <f t="shared" ca="1" si="12"/>
        <v>#REF!</v>
      </c>
      <c r="AC400" s="234" t="str">
        <f t="shared" ca="1" si="13"/>
        <v>#REF!</v>
      </c>
      <c r="AD400" s="101" t="str">
        <f t="shared" ca="1" si="14"/>
        <v>#REF!</v>
      </c>
      <c r="AE400" s="101" t="str">
        <f t="shared" ca="1" si="15"/>
        <v>#REF!</v>
      </c>
      <c r="AF400" s="235" t="str">
        <f t="shared" ref="AF400:AG400" ca="1" si="477">AD400/U400</f>
        <v>#REF!</v>
      </c>
      <c r="AG400" s="235" t="str">
        <f t="shared" ca="1" si="477"/>
        <v>#REF!</v>
      </c>
      <c r="AH400" s="212"/>
      <c r="AI400" s="213"/>
      <c r="AJ400" s="4"/>
      <c r="AK400" s="4"/>
      <c r="AL400" s="4"/>
      <c r="AM400" s="4"/>
      <c r="AN400" s="4"/>
      <c r="AO400" s="4"/>
      <c r="AP400" s="4"/>
      <c r="AQ400" s="4"/>
      <c r="AR400" s="4"/>
      <c r="AS400" s="4"/>
      <c r="AT400" s="4"/>
      <c r="AU400" s="4"/>
    </row>
    <row r="401" spans="1:47" ht="13.2">
      <c r="A401" s="120"/>
      <c r="B401" s="113"/>
      <c r="C401" s="117"/>
      <c r="D401" s="117"/>
      <c r="E401" s="117"/>
      <c r="F401" s="123"/>
      <c r="G401" s="93" t="s">
        <v>145</v>
      </c>
      <c r="H401" s="125"/>
      <c r="I401" s="125"/>
      <c r="J401" s="82" t="str">
        <f t="shared" ca="1" si="147"/>
        <v>#REF!</v>
      </c>
      <c r="K401" s="82" t="str">
        <f t="shared" ca="1" si="256"/>
        <v>#REF!</v>
      </c>
      <c r="L401" s="82" t="str">
        <f t="shared" ca="1" si="199"/>
        <v>#REF!</v>
      </c>
      <c r="M401" s="125"/>
      <c r="N401" s="125"/>
      <c r="O401" s="230">
        <f t="shared" si="2"/>
        <v>0</v>
      </c>
      <c r="P401" s="231">
        <f t="shared" si="3"/>
        <v>0</v>
      </c>
      <c r="Q401" s="232" t="str">
        <f ca="1">ROUNDUP(HLOOKUP(IF(CEILING(L401,0.5)&lt;1,1,CEILING(L401,0.5)),'배송비 조회'!A$32:AY$36,2,0),-2)</f>
        <v>#REF!</v>
      </c>
      <c r="R401" s="232">
        <v>0</v>
      </c>
      <c r="S401" s="231" t="str">
        <f t="shared" ca="1" si="250"/>
        <v>#REF!</v>
      </c>
      <c r="T401" s="231" t="str">
        <f t="shared" ca="1" si="200"/>
        <v>#REF!</v>
      </c>
      <c r="U401" s="233" t="str">
        <f t="shared" ca="1" si="142"/>
        <v>#REF!</v>
      </c>
      <c r="V401" s="233" t="str">
        <f t="shared" ca="1" si="7"/>
        <v>#REF!</v>
      </c>
      <c r="W401" s="234">
        <v>0</v>
      </c>
      <c r="X401" s="234" t="str">
        <f t="shared" ca="1" si="8"/>
        <v>#REF!</v>
      </c>
      <c r="Y401" s="234" t="str">
        <f t="shared" ca="1" si="9"/>
        <v>#REF!</v>
      </c>
      <c r="Z401" s="234" t="str">
        <f t="shared" ca="1" si="10"/>
        <v>#REF!</v>
      </c>
      <c r="AA401" s="234" t="str">
        <f t="shared" ca="1" si="11"/>
        <v>#REF!</v>
      </c>
      <c r="AB401" s="234" t="str">
        <f t="shared" ca="1" si="12"/>
        <v>#REF!</v>
      </c>
      <c r="AC401" s="234" t="str">
        <f t="shared" ca="1" si="13"/>
        <v>#REF!</v>
      </c>
      <c r="AD401" s="101" t="str">
        <f t="shared" ca="1" si="14"/>
        <v>#REF!</v>
      </c>
      <c r="AE401" s="101" t="str">
        <f t="shared" ca="1" si="15"/>
        <v>#REF!</v>
      </c>
      <c r="AF401" s="235" t="str">
        <f t="shared" ref="AF401:AG401" ca="1" si="478">AD401/U401</f>
        <v>#REF!</v>
      </c>
      <c r="AG401" s="235" t="str">
        <f t="shared" ca="1" si="478"/>
        <v>#REF!</v>
      </c>
      <c r="AH401" s="212"/>
      <c r="AI401" s="213"/>
      <c r="AJ401" s="4"/>
      <c r="AK401" s="4"/>
      <c r="AL401" s="4"/>
      <c r="AM401" s="4"/>
      <c r="AN401" s="4"/>
      <c r="AO401" s="4"/>
      <c r="AP401" s="4"/>
      <c r="AQ401" s="4"/>
      <c r="AR401" s="4"/>
      <c r="AS401" s="4"/>
      <c r="AT401" s="4"/>
      <c r="AU401" s="4"/>
    </row>
    <row r="402" spans="1:47" ht="13.2">
      <c r="A402" s="120"/>
      <c r="B402" s="113"/>
      <c r="C402" s="117"/>
      <c r="D402" s="117"/>
      <c r="E402" s="117"/>
      <c r="F402" s="123"/>
      <c r="G402" s="93" t="s">
        <v>145</v>
      </c>
      <c r="H402" s="125"/>
      <c r="I402" s="125"/>
      <c r="J402" s="82" t="str">
        <f t="shared" ca="1" si="147"/>
        <v>#REF!</v>
      </c>
      <c r="K402" s="82" t="str">
        <f t="shared" ca="1" si="256"/>
        <v>#REF!</v>
      </c>
      <c r="L402" s="82" t="str">
        <f t="shared" ca="1" si="199"/>
        <v>#REF!</v>
      </c>
      <c r="M402" s="125"/>
      <c r="N402" s="125"/>
      <c r="O402" s="230">
        <f t="shared" si="2"/>
        <v>0</v>
      </c>
      <c r="P402" s="231">
        <f t="shared" si="3"/>
        <v>0</v>
      </c>
      <c r="Q402" s="232" t="str">
        <f ca="1">ROUNDUP(HLOOKUP(IF(CEILING(L402,0.5)&lt;1,1,CEILING(L402,0.5)),'배송비 조회'!A$32:AY$36,2,0),-2)</f>
        <v>#REF!</v>
      </c>
      <c r="R402" s="232">
        <v>0</v>
      </c>
      <c r="S402" s="231" t="str">
        <f t="shared" ca="1" si="250"/>
        <v>#REF!</v>
      </c>
      <c r="T402" s="231" t="str">
        <f t="shared" ca="1" si="200"/>
        <v>#REF!</v>
      </c>
      <c r="U402" s="233" t="str">
        <f t="shared" ca="1" si="142"/>
        <v>#REF!</v>
      </c>
      <c r="V402" s="233" t="str">
        <f t="shared" ca="1" si="7"/>
        <v>#REF!</v>
      </c>
      <c r="W402" s="234">
        <v>0</v>
      </c>
      <c r="X402" s="234" t="str">
        <f t="shared" ca="1" si="8"/>
        <v>#REF!</v>
      </c>
      <c r="Y402" s="234" t="str">
        <f t="shared" ca="1" si="9"/>
        <v>#REF!</v>
      </c>
      <c r="Z402" s="234" t="str">
        <f t="shared" ca="1" si="10"/>
        <v>#REF!</v>
      </c>
      <c r="AA402" s="234" t="str">
        <f t="shared" ca="1" si="11"/>
        <v>#REF!</v>
      </c>
      <c r="AB402" s="234" t="str">
        <f t="shared" ca="1" si="12"/>
        <v>#REF!</v>
      </c>
      <c r="AC402" s="234" t="str">
        <f t="shared" ca="1" si="13"/>
        <v>#REF!</v>
      </c>
      <c r="AD402" s="101" t="str">
        <f t="shared" ca="1" si="14"/>
        <v>#REF!</v>
      </c>
      <c r="AE402" s="101" t="str">
        <f t="shared" ca="1" si="15"/>
        <v>#REF!</v>
      </c>
      <c r="AF402" s="235" t="str">
        <f t="shared" ref="AF402:AG402" ca="1" si="479">AD402/U402</f>
        <v>#REF!</v>
      </c>
      <c r="AG402" s="235" t="str">
        <f t="shared" ca="1" si="479"/>
        <v>#REF!</v>
      </c>
      <c r="AH402" s="212"/>
      <c r="AI402" s="213"/>
      <c r="AJ402" s="4"/>
      <c r="AK402" s="4"/>
      <c r="AL402" s="4"/>
      <c r="AM402" s="4"/>
      <c r="AN402" s="4"/>
      <c r="AO402" s="4"/>
      <c r="AP402" s="4"/>
      <c r="AQ402" s="4"/>
      <c r="AR402" s="4"/>
      <c r="AS402" s="4"/>
      <c r="AT402" s="4"/>
      <c r="AU402" s="4"/>
    </row>
    <row r="403" spans="1:47" ht="13.2">
      <c r="A403" s="120"/>
      <c r="B403" s="113"/>
      <c r="C403" s="117"/>
      <c r="D403" s="117"/>
      <c r="E403" s="117"/>
      <c r="F403" s="123"/>
      <c r="G403" s="93" t="s">
        <v>145</v>
      </c>
      <c r="H403" s="125"/>
      <c r="I403" s="125"/>
      <c r="J403" s="82" t="str">
        <f t="shared" ca="1" si="147"/>
        <v>#REF!</v>
      </c>
      <c r="K403" s="82" t="str">
        <f t="shared" ca="1" si="256"/>
        <v>#REF!</v>
      </c>
      <c r="L403" s="82" t="str">
        <f t="shared" ca="1" si="199"/>
        <v>#REF!</v>
      </c>
      <c r="M403" s="125"/>
      <c r="N403" s="125"/>
      <c r="O403" s="230">
        <f t="shared" si="2"/>
        <v>0</v>
      </c>
      <c r="P403" s="231">
        <f t="shared" si="3"/>
        <v>0</v>
      </c>
      <c r="Q403" s="232" t="str">
        <f ca="1">ROUNDUP(HLOOKUP(IF(CEILING(L403,0.5)&lt;1,1,CEILING(L403,0.5)),'배송비 조회'!A$32:AY$36,2,0),-2)</f>
        <v>#REF!</v>
      </c>
      <c r="R403" s="232">
        <v>0</v>
      </c>
      <c r="S403" s="231" t="str">
        <f t="shared" ca="1" si="250"/>
        <v>#REF!</v>
      </c>
      <c r="T403" s="231" t="str">
        <f t="shared" ca="1" si="200"/>
        <v>#REF!</v>
      </c>
      <c r="U403" s="233" t="str">
        <f t="shared" ca="1" si="142"/>
        <v>#REF!</v>
      </c>
      <c r="V403" s="233" t="str">
        <f t="shared" ca="1" si="7"/>
        <v>#REF!</v>
      </c>
      <c r="W403" s="234">
        <v>0</v>
      </c>
      <c r="X403" s="234" t="str">
        <f t="shared" ca="1" si="8"/>
        <v>#REF!</v>
      </c>
      <c r="Y403" s="234" t="str">
        <f t="shared" ca="1" si="9"/>
        <v>#REF!</v>
      </c>
      <c r="Z403" s="234" t="str">
        <f t="shared" ca="1" si="10"/>
        <v>#REF!</v>
      </c>
      <c r="AA403" s="234" t="str">
        <f t="shared" ca="1" si="11"/>
        <v>#REF!</v>
      </c>
      <c r="AB403" s="234" t="str">
        <f t="shared" ca="1" si="12"/>
        <v>#REF!</v>
      </c>
      <c r="AC403" s="234" t="str">
        <f t="shared" ca="1" si="13"/>
        <v>#REF!</v>
      </c>
      <c r="AD403" s="101" t="str">
        <f t="shared" ca="1" si="14"/>
        <v>#REF!</v>
      </c>
      <c r="AE403" s="101" t="str">
        <f t="shared" ca="1" si="15"/>
        <v>#REF!</v>
      </c>
      <c r="AF403" s="235" t="str">
        <f t="shared" ref="AF403:AG403" ca="1" si="480">AD403/U403</f>
        <v>#REF!</v>
      </c>
      <c r="AG403" s="235" t="str">
        <f t="shared" ca="1" si="480"/>
        <v>#REF!</v>
      </c>
      <c r="AH403" s="212"/>
      <c r="AI403" s="213"/>
      <c r="AJ403" s="4"/>
      <c r="AK403" s="4"/>
      <c r="AL403" s="4"/>
      <c r="AM403" s="4"/>
      <c r="AN403" s="4"/>
      <c r="AO403" s="4"/>
      <c r="AP403" s="4"/>
      <c r="AQ403" s="4"/>
      <c r="AR403" s="4"/>
      <c r="AS403" s="4"/>
      <c r="AT403" s="4"/>
      <c r="AU403" s="4"/>
    </row>
    <row r="404" spans="1:47" ht="13.2">
      <c r="A404" s="120"/>
      <c r="B404" s="113"/>
      <c r="C404" s="117"/>
      <c r="D404" s="117"/>
      <c r="E404" s="117"/>
      <c r="F404" s="123"/>
      <c r="G404" s="93" t="s">
        <v>145</v>
      </c>
      <c r="H404" s="125"/>
      <c r="I404" s="125"/>
      <c r="J404" s="82" t="str">
        <f t="shared" ca="1" si="147"/>
        <v>#REF!</v>
      </c>
      <c r="K404" s="82" t="str">
        <f t="shared" ca="1" si="256"/>
        <v>#REF!</v>
      </c>
      <c r="L404" s="82" t="str">
        <f t="shared" ca="1" si="199"/>
        <v>#REF!</v>
      </c>
      <c r="M404" s="125"/>
      <c r="N404" s="125"/>
      <c r="O404" s="230">
        <f t="shared" si="2"/>
        <v>0</v>
      </c>
      <c r="P404" s="231">
        <f t="shared" si="3"/>
        <v>0</v>
      </c>
      <c r="Q404" s="232" t="str">
        <f ca="1">ROUNDUP(HLOOKUP(IF(CEILING(L404,0.5)&lt;1,1,CEILING(L404,0.5)),'배송비 조회'!A$32:AY$36,2,0),-2)</f>
        <v>#REF!</v>
      </c>
      <c r="R404" s="232">
        <v>0</v>
      </c>
      <c r="S404" s="231" t="str">
        <f t="shared" ca="1" si="250"/>
        <v>#REF!</v>
      </c>
      <c r="T404" s="231" t="str">
        <f t="shared" ca="1" si="200"/>
        <v>#REF!</v>
      </c>
      <c r="U404" s="233" t="str">
        <f t="shared" ca="1" si="142"/>
        <v>#REF!</v>
      </c>
      <c r="V404" s="233" t="str">
        <f t="shared" ca="1" si="7"/>
        <v>#REF!</v>
      </c>
      <c r="W404" s="234">
        <v>0</v>
      </c>
      <c r="X404" s="234" t="str">
        <f t="shared" ca="1" si="8"/>
        <v>#REF!</v>
      </c>
      <c r="Y404" s="234" t="str">
        <f t="shared" ca="1" si="9"/>
        <v>#REF!</v>
      </c>
      <c r="Z404" s="234" t="str">
        <f t="shared" ca="1" si="10"/>
        <v>#REF!</v>
      </c>
      <c r="AA404" s="234" t="str">
        <f t="shared" ca="1" si="11"/>
        <v>#REF!</v>
      </c>
      <c r="AB404" s="234" t="str">
        <f t="shared" ca="1" si="12"/>
        <v>#REF!</v>
      </c>
      <c r="AC404" s="234" t="str">
        <f t="shared" ca="1" si="13"/>
        <v>#REF!</v>
      </c>
      <c r="AD404" s="101" t="str">
        <f t="shared" ca="1" si="14"/>
        <v>#REF!</v>
      </c>
      <c r="AE404" s="101" t="str">
        <f t="shared" ca="1" si="15"/>
        <v>#REF!</v>
      </c>
      <c r="AF404" s="235" t="str">
        <f t="shared" ref="AF404:AG404" ca="1" si="481">AD404/U404</f>
        <v>#REF!</v>
      </c>
      <c r="AG404" s="235" t="str">
        <f t="shared" ca="1" si="481"/>
        <v>#REF!</v>
      </c>
      <c r="AH404" s="212"/>
      <c r="AI404" s="213"/>
      <c r="AJ404" s="4"/>
      <c r="AK404" s="4"/>
      <c r="AL404" s="4"/>
      <c r="AM404" s="4"/>
      <c r="AN404" s="4"/>
      <c r="AO404" s="4"/>
      <c r="AP404" s="4"/>
      <c r="AQ404" s="4"/>
      <c r="AR404" s="4"/>
      <c r="AS404" s="4"/>
      <c r="AT404" s="4"/>
      <c r="AU404" s="4"/>
    </row>
    <row r="405" spans="1:47" ht="13.2">
      <c r="A405" s="120"/>
      <c r="B405" s="113"/>
      <c r="C405" s="117"/>
      <c r="D405" s="117"/>
      <c r="E405" s="117"/>
      <c r="F405" s="123"/>
      <c r="G405" s="93" t="s">
        <v>145</v>
      </c>
      <c r="H405" s="125"/>
      <c r="I405" s="125"/>
      <c r="J405" s="82" t="str">
        <f t="shared" ca="1" si="147"/>
        <v>#REF!</v>
      </c>
      <c r="K405" s="82" t="str">
        <f t="shared" ca="1" si="256"/>
        <v>#REF!</v>
      </c>
      <c r="L405" s="82" t="str">
        <f t="shared" ca="1" si="199"/>
        <v>#REF!</v>
      </c>
      <c r="M405" s="125"/>
      <c r="N405" s="125"/>
      <c r="O405" s="230">
        <f t="shared" si="2"/>
        <v>0</v>
      </c>
      <c r="P405" s="231">
        <f t="shared" si="3"/>
        <v>0</v>
      </c>
      <c r="Q405" s="232" t="str">
        <f ca="1">ROUNDUP(HLOOKUP(IF(CEILING(L405,0.5)&lt;1,1,CEILING(L405,0.5)),'배송비 조회'!A$32:AY$36,2,0),-2)</f>
        <v>#REF!</v>
      </c>
      <c r="R405" s="232">
        <v>0</v>
      </c>
      <c r="S405" s="231" t="str">
        <f t="shared" ca="1" si="250"/>
        <v>#REF!</v>
      </c>
      <c r="T405" s="231" t="str">
        <f t="shared" ca="1" si="200"/>
        <v>#REF!</v>
      </c>
      <c r="U405" s="233" t="str">
        <f t="shared" ca="1" si="142"/>
        <v>#REF!</v>
      </c>
      <c r="V405" s="233" t="str">
        <f t="shared" ca="1" si="7"/>
        <v>#REF!</v>
      </c>
      <c r="W405" s="234">
        <v>0</v>
      </c>
      <c r="X405" s="234" t="str">
        <f t="shared" ca="1" si="8"/>
        <v>#REF!</v>
      </c>
      <c r="Y405" s="234" t="str">
        <f t="shared" ca="1" si="9"/>
        <v>#REF!</v>
      </c>
      <c r="Z405" s="234" t="str">
        <f t="shared" ca="1" si="10"/>
        <v>#REF!</v>
      </c>
      <c r="AA405" s="234" t="str">
        <f t="shared" ca="1" si="11"/>
        <v>#REF!</v>
      </c>
      <c r="AB405" s="234" t="str">
        <f t="shared" ca="1" si="12"/>
        <v>#REF!</v>
      </c>
      <c r="AC405" s="234" t="str">
        <f t="shared" ca="1" si="13"/>
        <v>#REF!</v>
      </c>
      <c r="AD405" s="101" t="str">
        <f t="shared" ca="1" si="14"/>
        <v>#REF!</v>
      </c>
      <c r="AE405" s="101" t="str">
        <f t="shared" ca="1" si="15"/>
        <v>#REF!</v>
      </c>
      <c r="AF405" s="235" t="str">
        <f t="shared" ref="AF405:AG405" ca="1" si="482">AD405/U405</f>
        <v>#REF!</v>
      </c>
      <c r="AG405" s="235" t="str">
        <f t="shared" ca="1" si="482"/>
        <v>#REF!</v>
      </c>
      <c r="AH405" s="212"/>
      <c r="AI405" s="213"/>
      <c r="AJ405" s="4"/>
      <c r="AK405" s="4"/>
      <c r="AL405" s="4"/>
      <c r="AM405" s="4"/>
      <c r="AN405" s="4"/>
      <c r="AO405" s="4"/>
      <c r="AP405" s="4"/>
      <c r="AQ405" s="4"/>
      <c r="AR405" s="4"/>
      <c r="AS405" s="4"/>
      <c r="AT405" s="4"/>
      <c r="AU405" s="4"/>
    </row>
    <row r="406" spans="1:47" ht="13.2">
      <c r="A406" s="120"/>
      <c r="B406" s="113"/>
      <c r="C406" s="117"/>
      <c r="D406" s="117"/>
      <c r="E406" s="117"/>
      <c r="F406" s="123"/>
      <c r="G406" s="93" t="s">
        <v>145</v>
      </c>
      <c r="H406" s="125"/>
      <c r="I406" s="125"/>
      <c r="J406" s="82" t="str">
        <f t="shared" ca="1" si="147"/>
        <v>#REF!</v>
      </c>
      <c r="K406" s="82" t="str">
        <f t="shared" ca="1" si="256"/>
        <v>#REF!</v>
      </c>
      <c r="L406" s="82" t="str">
        <f t="shared" ca="1" si="199"/>
        <v>#REF!</v>
      </c>
      <c r="M406" s="125"/>
      <c r="N406" s="125"/>
      <c r="O406" s="230">
        <f t="shared" si="2"/>
        <v>0</v>
      </c>
      <c r="P406" s="231">
        <f t="shared" si="3"/>
        <v>0</v>
      </c>
      <c r="Q406" s="232" t="str">
        <f ca="1">ROUNDUP(HLOOKUP(IF(CEILING(L406,0.5)&lt;1,1,CEILING(L406,0.5)),'배송비 조회'!A$32:AY$36,2,0),-2)</f>
        <v>#REF!</v>
      </c>
      <c r="R406" s="232">
        <v>0</v>
      </c>
      <c r="S406" s="231" t="str">
        <f t="shared" ca="1" si="250"/>
        <v>#REF!</v>
      </c>
      <c r="T406" s="231" t="str">
        <f t="shared" ca="1" si="200"/>
        <v>#REF!</v>
      </c>
      <c r="U406" s="233" t="str">
        <f t="shared" ca="1" si="142"/>
        <v>#REF!</v>
      </c>
      <c r="V406" s="233" t="str">
        <f t="shared" ca="1" si="7"/>
        <v>#REF!</v>
      </c>
      <c r="W406" s="234">
        <v>0</v>
      </c>
      <c r="X406" s="234" t="str">
        <f t="shared" ca="1" si="8"/>
        <v>#REF!</v>
      </c>
      <c r="Y406" s="234" t="str">
        <f t="shared" ca="1" si="9"/>
        <v>#REF!</v>
      </c>
      <c r="Z406" s="234" t="str">
        <f t="shared" ca="1" si="10"/>
        <v>#REF!</v>
      </c>
      <c r="AA406" s="234" t="str">
        <f t="shared" ca="1" si="11"/>
        <v>#REF!</v>
      </c>
      <c r="AB406" s="234" t="str">
        <f t="shared" ca="1" si="12"/>
        <v>#REF!</v>
      </c>
      <c r="AC406" s="234" t="str">
        <f t="shared" ca="1" si="13"/>
        <v>#REF!</v>
      </c>
      <c r="AD406" s="101" t="str">
        <f t="shared" ca="1" si="14"/>
        <v>#REF!</v>
      </c>
      <c r="AE406" s="101" t="str">
        <f t="shared" ca="1" si="15"/>
        <v>#REF!</v>
      </c>
      <c r="AF406" s="235" t="str">
        <f t="shared" ref="AF406:AG406" ca="1" si="483">AD406/U406</f>
        <v>#REF!</v>
      </c>
      <c r="AG406" s="235" t="str">
        <f t="shared" ca="1" si="483"/>
        <v>#REF!</v>
      </c>
      <c r="AH406" s="212"/>
      <c r="AI406" s="213"/>
      <c r="AJ406" s="4"/>
      <c r="AK406" s="4"/>
      <c r="AL406" s="4"/>
      <c r="AM406" s="4"/>
      <c r="AN406" s="4"/>
      <c r="AO406" s="4"/>
      <c r="AP406" s="4"/>
      <c r="AQ406" s="4"/>
      <c r="AR406" s="4"/>
      <c r="AS406" s="4"/>
      <c r="AT406" s="4"/>
      <c r="AU406" s="4"/>
    </row>
    <row r="407" spans="1:47" ht="13.2">
      <c r="A407" s="120"/>
      <c r="B407" s="113"/>
      <c r="C407" s="117"/>
      <c r="D407" s="117"/>
      <c r="E407" s="117"/>
      <c r="F407" s="123"/>
      <c r="G407" s="93" t="s">
        <v>145</v>
      </c>
      <c r="H407" s="125"/>
      <c r="I407" s="125"/>
      <c r="J407" s="82" t="str">
        <f t="shared" ca="1" si="147"/>
        <v>#REF!</v>
      </c>
      <c r="K407" s="82" t="str">
        <f t="shared" ca="1" si="256"/>
        <v>#REF!</v>
      </c>
      <c r="L407" s="82" t="str">
        <f t="shared" ca="1" si="199"/>
        <v>#REF!</v>
      </c>
      <c r="M407" s="125"/>
      <c r="N407" s="125"/>
      <c r="O407" s="230">
        <f t="shared" si="2"/>
        <v>0</v>
      </c>
      <c r="P407" s="231">
        <f t="shared" si="3"/>
        <v>0</v>
      </c>
      <c r="Q407" s="232" t="str">
        <f ca="1">ROUNDUP(HLOOKUP(IF(CEILING(L407,0.5)&lt;1,1,CEILING(L407,0.5)),'배송비 조회'!A$32:AY$36,2,0),-2)</f>
        <v>#REF!</v>
      </c>
      <c r="R407" s="232">
        <v>0</v>
      </c>
      <c r="S407" s="231" t="str">
        <f t="shared" ca="1" si="250"/>
        <v>#REF!</v>
      </c>
      <c r="T407" s="231" t="str">
        <f t="shared" ca="1" si="200"/>
        <v>#REF!</v>
      </c>
      <c r="U407" s="233" t="str">
        <f t="shared" ca="1" si="142"/>
        <v>#REF!</v>
      </c>
      <c r="V407" s="233" t="str">
        <f t="shared" ca="1" si="7"/>
        <v>#REF!</v>
      </c>
      <c r="W407" s="234">
        <v>0</v>
      </c>
      <c r="X407" s="234" t="str">
        <f t="shared" ca="1" si="8"/>
        <v>#REF!</v>
      </c>
      <c r="Y407" s="234" t="str">
        <f t="shared" ca="1" si="9"/>
        <v>#REF!</v>
      </c>
      <c r="Z407" s="234" t="str">
        <f t="shared" ca="1" si="10"/>
        <v>#REF!</v>
      </c>
      <c r="AA407" s="234" t="str">
        <f t="shared" ca="1" si="11"/>
        <v>#REF!</v>
      </c>
      <c r="AB407" s="234" t="str">
        <f t="shared" ca="1" si="12"/>
        <v>#REF!</v>
      </c>
      <c r="AC407" s="234" t="str">
        <f t="shared" ca="1" si="13"/>
        <v>#REF!</v>
      </c>
      <c r="AD407" s="101" t="str">
        <f t="shared" ca="1" si="14"/>
        <v>#REF!</v>
      </c>
      <c r="AE407" s="101" t="str">
        <f t="shared" ca="1" si="15"/>
        <v>#REF!</v>
      </c>
      <c r="AF407" s="235" t="str">
        <f t="shared" ref="AF407:AG407" ca="1" si="484">AD407/U407</f>
        <v>#REF!</v>
      </c>
      <c r="AG407" s="235" t="str">
        <f t="shared" ca="1" si="484"/>
        <v>#REF!</v>
      </c>
      <c r="AH407" s="212"/>
      <c r="AI407" s="213"/>
      <c r="AJ407" s="4"/>
      <c r="AK407" s="4"/>
      <c r="AL407" s="4"/>
      <c r="AM407" s="4"/>
      <c r="AN407" s="4"/>
      <c r="AO407" s="4"/>
      <c r="AP407" s="4"/>
      <c r="AQ407" s="4"/>
      <c r="AR407" s="4"/>
      <c r="AS407" s="4"/>
      <c r="AT407" s="4"/>
      <c r="AU407" s="4"/>
    </row>
    <row r="408" spans="1:47" ht="13.2">
      <c r="A408" s="120"/>
      <c r="B408" s="113"/>
      <c r="C408" s="117"/>
      <c r="D408" s="117"/>
      <c r="E408" s="117"/>
      <c r="F408" s="123"/>
      <c r="G408" s="93" t="s">
        <v>145</v>
      </c>
      <c r="H408" s="125"/>
      <c r="I408" s="125"/>
      <c r="J408" s="82" t="str">
        <f t="shared" ca="1" si="147"/>
        <v>#REF!</v>
      </c>
      <c r="K408" s="82" t="str">
        <f t="shared" ca="1" si="256"/>
        <v>#REF!</v>
      </c>
      <c r="L408" s="82" t="str">
        <f t="shared" ca="1" si="199"/>
        <v>#REF!</v>
      </c>
      <c r="M408" s="125"/>
      <c r="N408" s="125"/>
      <c r="O408" s="230">
        <f t="shared" si="2"/>
        <v>0</v>
      </c>
      <c r="P408" s="231">
        <f t="shared" si="3"/>
        <v>0</v>
      </c>
      <c r="Q408" s="232" t="str">
        <f ca="1">ROUNDUP(HLOOKUP(IF(CEILING(L408,0.5)&lt;1,1,CEILING(L408,0.5)),'배송비 조회'!A$32:AY$36,2,0),-2)</f>
        <v>#REF!</v>
      </c>
      <c r="R408" s="232">
        <v>0</v>
      </c>
      <c r="S408" s="231" t="str">
        <f t="shared" ca="1" si="250"/>
        <v>#REF!</v>
      </c>
      <c r="T408" s="231" t="str">
        <f t="shared" ca="1" si="200"/>
        <v>#REF!</v>
      </c>
      <c r="U408" s="233" t="str">
        <f t="shared" ca="1" si="142"/>
        <v>#REF!</v>
      </c>
      <c r="V408" s="233" t="str">
        <f t="shared" ca="1" si="7"/>
        <v>#REF!</v>
      </c>
      <c r="W408" s="234">
        <v>0</v>
      </c>
      <c r="X408" s="234" t="str">
        <f t="shared" ca="1" si="8"/>
        <v>#REF!</v>
      </c>
      <c r="Y408" s="234" t="str">
        <f t="shared" ca="1" si="9"/>
        <v>#REF!</v>
      </c>
      <c r="Z408" s="234" t="str">
        <f t="shared" ca="1" si="10"/>
        <v>#REF!</v>
      </c>
      <c r="AA408" s="234" t="str">
        <f t="shared" ca="1" si="11"/>
        <v>#REF!</v>
      </c>
      <c r="AB408" s="234" t="str">
        <f t="shared" ca="1" si="12"/>
        <v>#REF!</v>
      </c>
      <c r="AC408" s="234" t="str">
        <f t="shared" ca="1" si="13"/>
        <v>#REF!</v>
      </c>
      <c r="AD408" s="101" t="str">
        <f t="shared" ca="1" si="14"/>
        <v>#REF!</v>
      </c>
      <c r="AE408" s="101" t="str">
        <f t="shared" ca="1" si="15"/>
        <v>#REF!</v>
      </c>
      <c r="AF408" s="235" t="str">
        <f t="shared" ref="AF408:AG408" ca="1" si="485">AD408/U408</f>
        <v>#REF!</v>
      </c>
      <c r="AG408" s="235" t="str">
        <f t="shared" ca="1" si="485"/>
        <v>#REF!</v>
      </c>
      <c r="AH408" s="212"/>
      <c r="AI408" s="213"/>
      <c r="AJ408" s="4"/>
      <c r="AK408" s="4"/>
      <c r="AL408" s="4"/>
      <c r="AM408" s="4"/>
      <c r="AN408" s="4"/>
      <c r="AO408" s="4"/>
      <c r="AP408" s="4"/>
      <c r="AQ408" s="4"/>
      <c r="AR408" s="4"/>
      <c r="AS408" s="4"/>
      <c r="AT408" s="4"/>
      <c r="AU408" s="4"/>
    </row>
    <row r="409" spans="1:47" ht="13.2">
      <c r="A409" s="120"/>
      <c r="B409" s="113"/>
      <c r="C409" s="117"/>
      <c r="D409" s="117"/>
      <c r="E409" s="117"/>
      <c r="F409" s="123"/>
      <c r="G409" s="93" t="s">
        <v>145</v>
      </c>
      <c r="H409" s="125"/>
      <c r="I409" s="125"/>
      <c r="J409" s="82" t="str">
        <f t="shared" ca="1" si="147"/>
        <v>#REF!</v>
      </c>
      <c r="K409" s="82" t="str">
        <f t="shared" ca="1" si="256"/>
        <v>#REF!</v>
      </c>
      <c r="L409" s="82" t="str">
        <f t="shared" ca="1" si="199"/>
        <v>#REF!</v>
      </c>
      <c r="M409" s="125"/>
      <c r="N409" s="125"/>
      <c r="O409" s="230">
        <f t="shared" si="2"/>
        <v>0</v>
      </c>
      <c r="P409" s="231">
        <f t="shared" si="3"/>
        <v>0</v>
      </c>
      <c r="Q409" s="232" t="str">
        <f ca="1">ROUNDUP(HLOOKUP(IF(CEILING(L409,0.5)&lt;1,1,CEILING(L409,0.5)),'배송비 조회'!A$32:AY$36,2,0),-2)</f>
        <v>#REF!</v>
      </c>
      <c r="R409" s="232">
        <v>0</v>
      </c>
      <c r="S409" s="231" t="str">
        <f t="shared" ca="1" si="250"/>
        <v>#REF!</v>
      </c>
      <c r="T409" s="231" t="str">
        <f t="shared" ca="1" si="200"/>
        <v>#REF!</v>
      </c>
      <c r="U409" s="233" t="str">
        <f t="shared" ca="1" si="142"/>
        <v>#REF!</v>
      </c>
      <c r="V409" s="233" t="str">
        <f t="shared" ca="1" si="7"/>
        <v>#REF!</v>
      </c>
      <c r="W409" s="234">
        <v>0</v>
      </c>
      <c r="X409" s="234" t="str">
        <f t="shared" ca="1" si="8"/>
        <v>#REF!</v>
      </c>
      <c r="Y409" s="234" t="str">
        <f t="shared" ca="1" si="9"/>
        <v>#REF!</v>
      </c>
      <c r="Z409" s="234" t="str">
        <f t="shared" ca="1" si="10"/>
        <v>#REF!</v>
      </c>
      <c r="AA409" s="234" t="str">
        <f t="shared" ca="1" si="11"/>
        <v>#REF!</v>
      </c>
      <c r="AB409" s="234" t="str">
        <f t="shared" ca="1" si="12"/>
        <v>#REF!</v>
      </c>
      <c r="AC409" s="234" t="str">
        <f t="shared" ca="1" si="13"/>
        <v>#REF!</v>
      </c>
      <c r="AD409" s="101" t="str">
        <f t="shared" ca="1" si="14"/>
        <v>#REF!</v>
      </c>
      <c r="AE409" s="101" t="str">
        <f t="shared" ca="1" si="15"/>
        <v>#REF!</v>
      </c>
      <c r="AF409" s="235" t="str">
        <f t="shared" ref="AF409:AG409" ca="1" si="486">AD409/U409</f>
        <v>#REF!</v>
      </c>
      <c r="AG409" s="235" t="str">
        <f t="shared" ca="1" si="486"/>
        <v>#REF!</v>
      </c>
      <c r="AH409" s="212"/>
      <c r="AI409" s="213"/>
      <c r="AJ409" s="4"/>
      <c r="AK409" s="4"/>
      <c r="AL409" s="4"/>
      <c r="AM409" s="4"/>
      <c r="AN409" s="4"/>
      <c r="AO409" s="4"/>
      <c r="AP409" s="4"/>
      <c r="AQ409" s="4"/>
      <c r="AR409" s="4"/>
      <c r="AS409" s="4"/>
      <c r="AT409" s="4"/>
      <c r="AU409" s="4"/>
    </row>
    <row r="410" spans="1:47" ht="13.2">
      <c r="A410" s="120"/>
      <c r="B410" s="113"/>
      <c r="C410" s="117"/>
      <c r="D410" s="117"/>
      <c r="E410" s="117"/>
      <c r="F410" s="123"/>
      <c r="G410" s="93" t="s">
        <v>145</v>
      </c>
      <c r="H410" s="125"/>
      <c r="I410" s="125"/>
      <c r="J410" s="82" t="str">
        <f t="shared" ca="1" si="147"/>
        <v>#REF!</v>
      </c>
      <c r="K410" s="82" t="str">
        <f t="shared" ca="1" si="256"/>
        <v>#REF!</v>
      </c>
      <c r="L410" s="82" t="str">
        <f t="shared" ca="1" si="199"/>
        <v>#REF!</v>
      </c>
      <c r="M410" s="125"/>
      <c r="N410" s="125"/>
      <c r="O410" s="230">
        <f t="shared" si="2"/>
        <v>0</v>
      </c>
      <c r="P410" s="231">
        <f t="shared" si="3"/>
        <v>0</v>
      </c>
      <c r="Q410" s="232" t="str">
        <f ca="1">ROUNDUP(HLOOKUP(IF(CEILING(L410,0.5)&lt;1,1,CEILING(L410,0.5)),'배송비 조회'!A$32:AY$36,2,0),-2)</f>
        <v>#REF!</v>
      </c>
      <c r="R410" s="232">
        <v>0</v>
      </c>
      <c r="S410" s="231" t="str">
        <f t="shared" ca="1" si="250"/>
        <v>#REF!</v>
      </c>
      <c r="T410" s="231" t="str">
        <f t="shared" ca="1" si="200"/>
        <v>#REF!</v>
      </c>
      <c r="U410" s="233" t="str">
        <f t="shared" ca="1" si="142"/>
        <v>#REF!</v>
      </c>
      <c r="V410" s="233" t="str">
        <f t="shared" ca="1" si="7"/>
        <v>#REF!</v>
      </c>
      <c r="W410" s="234">
        <v>0</v>
      </c>
      <c r="X410" s="234" t="str">
        <f t="shared" ca="1" si="8"/>
        <v>#REF!</v>
      </c>
      <c r="Y410" s="234" t="str">
        <f t="shared" ca="1" si="9"/>
        <v>#REF!</v>
      </c>
      <c r="Z410" s="234" t="str">
        <f t="shared" ca="1" si="10"/>
        <v>#REF!</v>
      </c>
      <c r="AA410" s="234" t="str">
        <f t="shared" ca="1" si="11"/>
        <v>#REF!</v>
      </c>
      <c r="AB410" s="234" t="str">
        <f t="shared" ca="1" si="12"/>
        <v>#REF!</v>
      </c>
      <c r="AC410" s="234" t="str">
        <f t="shared" ca="1" si="13"/>
        <v>#REF!</v>
      </c>
      <c r="AD410" s="101" t="str">
        <f t="shared" ca="1" si="14"/>
        <v>#REF!</v>
      </c>
      <c r="AE410" s="101" t="str">
        <f t="shared" ca="1" si="15"/>
        <v>#REF!</v>
      </c>
      <c r="AF410" s="235" t="str">
        <f t="shared" ref="AF410:AG410" ca="1" si="487">AD410/U410</f>
        <v>#REF!</v>
      </c>
      <c r="AG410" s="235" t="str">
        <f t="shared" ca="1" si="487"/>
        <v>#REF!</v>
      </c>
      <c r="AH410" s="212"/>
      <c r="AI410" s="213"/>
      <c r="AJ410" s="4"/>
      <c r="AK410" s="4"/>
      <c r="AL410" s="4"/>
      <c r="AM410" s="4"/>
      <c r="AN410" s="4"/>
      <c r="AO410" s="4"/>
      <c r="AP410" s="4"/>
      <c r="AQ410" s="4"/>
      <c r="AR410" s="4"/>
      <c r="AS410" s="4"/>
      <c r="AT410" s="4"/>
      <c r="AU410" s="4"/>
    </row>
    <row r="411" spans="1:47" ht="13.2">
      <c r="A411" s="120"/>
      <c r="B411" s="113"/>
      <c r="C411" s="117"/>
      <c r="D411" s="117"/>
      <c r="E411" s="117"/>
      <c r="F411" s="123"/>
      <c r="G411" s="93" t="s">
        <v>145</v>
      </c>
      <c r="H411" s="125"/>
      <c r="I411" s="125"/>
      <c r="J411" s="82" t="str">
        <f t="shared" ca="1" si="147"/>
        <v>#REF!</v>
      </c>
      <c r="K411" s="82" t="str">
        <f t="shared" ca="1" si="256"/>
        <v>#REF!</v>
      </c>
      <c r="L411" s="82" t="str">
        <f t="shared" ca="1" si="199"/>
        <v>#REF!</v>
      </c>
      <c r="M411" s="125"/>
      <c r="N411" s="125"/>
      <c r="O411" s="230">
        <f t="shared" si="2"/>
        <v>0</v>
      </c>
      <c r="P411" s="231">
        <f t="shared" si="3"/>
        <v>0</v>
      </c>
      <c r="Q411" s="232" t="str">
        <f ca="1">ROUNDUP(HLOOKUP(IF(CEILING(L411,0.5)&lt;1,1,CEILING(L411,0.5)),'배송비 조회'!A$32:AY$36,2,0),-2)</f>
        <v>#REF!</v>
      </c>
      <c r="R411" s="232">
        <v>0</v>
      </c>
      <c r="S411" s="231" t="str">
        <f t="shared" ca="1" si="250"/>
        <v>#REF!</v>
      </c>
      <c r="T411" s="231" t="str">
        <f t="shared" ca="1" si="200"/>
        <v>#REF!</v>
      </c>
      <c r="U411" s="233" t="str">
        <f t="shared" ca="1" si="142"/>
        <v>#REF!</v>
      </c>
      <c r="V411" s="233" t="str">
        <f t="shared" ca="1" si="7"/>
        <v>#REF!</v>
      </c>
      <c r="W411" s="234">
        <v>0</v>
      </c>
      <c r="X411" s="234" t="str">
        <f t="shared" ca="1" si="8"/>
        <v>#REF!</v>
      </c>
      <c r="Y411" s="234" t="str">
        <f t="shared" ca="1" si="9"/>
        <v>#REF!</v>
      </c>
      <c r="Z411" s="234" t="str">
        <f t="shared" ca="1" si="10"/>
        <v>#REF!</v>
      </c>
      <c r="AA411" s="234" t="str">
        <f t="shared" ca="1" si="11"/>
        <v>#REF!</v>
      </c>
      <c r="AB411" s="234" t="str">
        <f t="shared" ca="1" si="12"/>
        <v>#REF!</v>
      </c>
      <c r="AC411" s="234" t="str">
        <f t="shared" ca="1" si="13"/>
        <v>#REF!</v>
      </c>
      <c r="AD411" s="101" t="str">
        <f t="shared" ca="1" si="14"/>
        <v>#REF!</v>
      </c>
      <c r="AE411" s="101" t="str">
        <f t="shared" ca="1" si="15"/>
        <v>#REF!</v>
      </c>
      <c r="AF411" s="235" t="str">
        <f t="shared" ref="AF411:AG411" ca="1" si="488">AD411/U411</f>
        <v>#REF!</v>
      </c>
      <c r="AG411" s="235" t="str">
        <f t="shared" ca="1" si="488"/>
        <v>#REF!</v>
      </c>
      <c r="AH411" s="212"/>
      <c r="AI411" s="213"/>
      <c r="AJ411" s="4"/>
      <c r="AK411" s="4"/>
      <c r="AL411" s="4"/>
      <c r="AM411" s="4"/>
      <c r="AN411" s="4"/>
      <c r="AO411" s="4"/>
      <c r="AP411" s="4"/>
      <c r="AQ411" s="4"/>
      <c r="AR411" s="4"/>
      <c r="AS411" s="4"/>
      <c r="AT411" s="4"/>
      <c r="AU411" s="4"/>
    </row>
    <row r="412" spans="1:47" ht="13.2">
      <c r="A412" s="120"/>
      <c r="B412" s="113"/>
      <c r="C412" s="117"/>
      <c r="D412" s="117"/>
      <c r="E412" s="117"/>
      <c r="F412" s="123"/>
      <c r="G412" s="93" t="s">
        <v>145</v>
      </c>
      <c r="H412" s="125"/>
      <c r="I412" s="125"/>
      <c r="J412" s="82" t="str">
        <f t="shared" ca="1" si="147"/>
        <v>#REF!</v>
      </c>
      <c r="K412" s="82" t="str">
        <f t="shared" ca="1" si="256"/>
        <v>#REF!</v>
      </c>
      <c r="L412" s="82" t="str">
        <f t="shared" ca="1" si="199"/>
        <v>#REF!</v>
      </c>
      <c r="M412" s="125"/>
      <c r="N412" s="125"/>
      <c r="O412" s="230">
        <f t="shared" si="2"/>
        <v>0</v>
      </c>
      <c r="P412" s="231">
        <f t="shared" si="3"/>
        <v>0</v>
      </c>
      <c r="Q412" s="232" t="str">
        <f ca="1">ROUNDUP(HLOOKUP(IF(CEILING(L412,0.5)&lt;1,1,CEILING(L412,0.5)),'배송비 조회'!A$32:AY$36,2,0),-2)</f>
        <v>#REF!</v>
      </c>
      <c r="R412" s="232">
        <v>0</v>
      </c>
      <c r="S412" s="231" t="str">
        <f t="shared" ca="1" si="250"/>
        <v>#REF!</v>
      </c>
      <c r="T412" s="231" t="str">
        <f t="shared" ca="1" si="200"/>
        <v>#REF!</v>
      </c>
      <c r="U412" s="233" t="str">
        <f t="shared" ca="1" si="142"/>
        <v>#REF!</v>
      </c>
      <c r="V412" s="233" t="str">
        <f t="shared" ca="1" si="7"/>
        <v>#REF!</v>
      </c>
      <c r="W412" s="234">
        <v>0</v>
      </c>
      <c r="X412" s="234" t="str">
        <f t="shared" ca="1" si="8"/>
        <v>#REF!</v>
      </c>
      <c r="Y412" s="234" t="str">
        <f t="shared" ca="1" si="9"/>
        <v>#REF!</v>
      </c>
      <c r="Z412" s="234" t="str">
        <f t="shared" ca="1" si="10"/>
        <v>#REF!</v>
      </c>
      <c r="AA412" s="234" t="str">
        <f t="shared" ca="1" si="11"/>
        <v>#REF!</v>
      </c>
      <c r="AB412" s="234" t="str">
        <f t="shared" ca="1" si="12"/>
        <v>#REF!</v>
      </c>
      <c r="AC412" s="234" t="str">
        <f t="shared" ca="1" si="13"/>
        <v>#REF!</v>
      </c>
      <c r="AD412" s="101" t="str">
        <f t="shared" ca="1" si="14"/>
        <v>#REF!</v>
      </c>
      <c r="AE412" s="101" t="str">
        <f t="shared" ca="1" si="15"/>
        <v>#REF!</v>
      </c>
      <c r="AF412" s="235" t="str">
        <f t="shared" ref="AF412:AG412" ca="1" si="489">AD412/U412</f>
        <v>#REF!</v>
      </c>
      <c r="AG412" s="235" t="str">
        <f t="shared" ca="1" si="489"/>
        <v>#REF!</v>
      </c>
      <c r="AH412" s="212"/>
      <c r="AI412" s="213"/>
      <c r="AJ412" s="4"/>
      <c r="AK412" s="4"/>
      <c r="AL412" s="4"/>
      <c r="AM412" s="4"/>
      <c r="AN412" s="4"/>
      <c r="AO412" s="4"/>
      <c r="AP412" s="4"/>
      <c r="AQ412" s="4"/>
      <c r="AR412" s="4"/>
      <c r="AS412" s="4"/>
      <c r="AT412" s="4"/>
      <c r="AU412" s="4"/>
    </row>
    <row r="413" spans="1:47" ht="13.2">
      <c r="A413" s="120"/>
      <c r="B413" s="113"/>
      <c r="C413" s="117"/>
      <c r="D413" s="117"/>
      <c r="E413" s="117"/>
      <c r="F413" s="123"/>
      <c r="G413" s="93" t="s">
        <v>145</v>
      </c>
      <c r="H413" s="125"/>
      <c r="I413" s="125"/>
      <c r="J413" s="82" t="str">
        <f t="shared" ca="1" si="147"/>
        <v>#REF!</v>
      </c>
      <c r="K413" s="82" t="str">
        <f t="shared" ca="1" si="256"/>
        <v>#REF!</v>
      </c>
      <c r="L413" s="82" t="str">
        <f t="shared" ca="1" si="199"/>
        <v>#REF!</v>
      </c>
      <c r="M413" s="125"/>
      <c r="N413" s="125"/>
      <c r="O413" s="230">
        <f t="shared" si="2"/>
        <v>0</v>
      </c>
      <c r="P413" s="231">
        <f t="shared" si="3"/>
        <v>0</v>
      </c>
      <c r="Q413" s="232" t="str">
        <f ca="1">ROUNDUP(HLOOKUP(IF(CEILING(L413,0.5)&lt;1,1,CEILING(L413,0.5)),'배송비 조회'!A$32:AY$36,2,0),-2)</f>
        <v>#REF!</v>
      </c>
      <c r="R413" s="232">
        <v>0</v>
      </c>
      <c r="S413" s="231" t="str">
        <f t="shared" ca="1" si="250"/>
        <v>#REF!</v>
      </c>
      <c r="T413" s="231" t="str">
        <f t="shared" ca="1" si="200"/>
        <v>#REF!</v>
      </c>
      <c r="U413" s="233" t="str">
        <f t="shared" ca="1" si="142"/>
        <v>#REF!</v>
      </c>
      <c r="V413" s="233" t="str">
        <f t="shared" ca="1" si="7"/>
        <v>#REF!</v>
      </c>
      <c r="W413" s="234">
        <v>0</v>
      </c>
      <c r="X413" s="234" t="str">
        <f t="shared" ca="1" si="8"/>
        <v>#REF!</v>
      </c>
      <c r="Y413" s="234" t="str">
        <f t="shared" ca="1" si="9"/>
        <v>#REF!</v>
      </c>
      <c r="Z413" s="234" t="str">
        <f t="shared" ca="1" si="10"/>
        <v>#REF!</v>
      </c>
      <c r="AA413" s="234" t="str">
        <f t="shared" ca="1" si="11"/>
        <v>#REF!</v>
      </c>
      <c r="AB413" s="234" t="str">
        <f t="shared" ca="1" si="12"/>
        <v>#REF!</v>
      </c>
      <c r="AC413" s="234" t="str">
        <f t="shared" ca="1" si="13"/>
        <v>#REF!</v>
      </c>
      <c r="AD413" s="101" t="str">
        <f t="shared" ca="1" si="14"/>
        <v>#REF!</v>
      </c>
      <c r="AE413" s="101" t="str">
        <f t="shared" ca="1" si="15"/>
        <v>#REF!</v>
      </c>
      <c r="AF413" s="235" t="str">
        <f t="shared" ref="AF413:AG413" ca="1" si="490">AD413/U413</f>
        <v>#REF!</v>
      </c>
      <c r="AG413" s="235" t="str">
        <f t="shared" ca="1" si="490"/>
        <v>#REF!</v>
      </c>
      <c r="AH413" s="212"/>
      <c r="AI413" s="213"/>
      <c r="AJ413" s="4"/>
      <c r="AK413" s="4"/>
      <c r="AL413" s="4"/>
      <c r="AM413" s="4"/>
      <c r="AN413" s="4"/>
      <c r="AO413" s="4"/>
      <c r="AP413" s="4"/>
      <c r="AQ413" s="4"/>
      <c r="AR413" s="4"/>
      <c r="AS413" s="4"/>
      <c r="AT413" s="4"/>
      <c r="AU413" s="4"/>
    </row>
    <row r="414" spans="1:47" ht="13.2">
      <c r="A414" s="120"/>
      <c r="B414" s="113"/>
      <c r="C414" s="117"/>
      <c r="D414" s="117"/>
      <c r="E414" s="117"/>
      <c r="F414" s="123"/>
      <c r="G414" s="93" t="s">
        <v>145</v>
      </c>
      <c r="H414" s="125"/>
      <c r="I414" s="125"/>
      <c r="J414" s="82" t="str">
        <f t="shared" ca="1" si="147"/>
        <v>#REF!</v>
      </c>
      <c r="K414" s="82" t="str">
        <f t="shared" ca="1" si="256"/>
        <v>#REF!</v>
      </c>
      <c r="L414" s="82" t="str">
        <f t="shared" ca="1" si="199"/>
        <v>#REF!</v>
      </c>
      <c r="M414" s="125"/>
      <c r="N414" s="125"/>
      <c r="O414" s="230">
        <f t="shared" si="2"/>
        <v>0</v>
      </c>
      <c r="P414" s="231">
        <f t="shared" si="3"/>
        <v>0</v>
      </c>
      <c r="Q414" s="232" t="str">
        <f ca="1">ROUNDUP(HLOOKUP(IF(CEILING(L414,0.5)&lt;1,1,CEILING(L414,0.5)),'배송비 조회'!A$32:AY$36,2,0),-2)</f>
        <v>#REF!</v>
      </c>
      <c r="R414" s="232">
        <v>0</v>
      </c>
      <c r="S414" s="231" t="str">
        <f t="shared" ca="1" si="250"/>
        <v>#REF!</v>
      </c>
      <c r="T414" s="231" t="str">
        <f t="shared" ca="1" si="200"/>
        <v>#REF!</v>
      </c>
      <c r="U414" s="233" t="str">
        <f t="shared" ca="1" si="142"/>
        <v>#REF!</v>
      </c>
      <c r="V414" s="233" t="str">
        <f t="shared" ca="1" si="7"/>
        <v>#REF!</v>
      </c>
      <c r="W414" s="234">
        <v>0</v>
      </c>
      <c r="X414" s="234" t="str">
        <f t="shared" ca="1" si="8"/>
        <v>#REF!</v>
      </c>
      <c r="Y414" s="234" t="str">
        <f t="shared" ca="1" si="9"/>
        <v>#REF!</v>
      </c>
      <c r="Z414" s="234" t="str">
        <f t="shared" ca="1" si="10"/>
        <v>#REF!</v>
      </c>
      <c r="AA414" s="234" t="str">
        <f t="shared" ca="1" si="11"/>
        <v>#REF!</v>
      </c>
      <c r="AB414" s="234" t="str">
        <f t="shared" ca="1" si="12"/>
        <v>#REF!</v>
      </c>
      <c r="AC414" s="234" t="str">
        <f t="shared" ca="1" si="13"/>
        <v>#REF!</v>
      </c>
      <c r="AD414" s="101" t="str">
        <f t="shared" ca="1" si="14"/>
        <v>#REF!</v>
      </c>
      <c r="AE414" s="101" t="str">
        <f t="shared" ca="1" si="15"/>
        <v>#REF!</v>
      </c>
      <c r="AF414" s="235" t="str">
        <f t="shared" ref="AF414:AG414" ca="1" si="491">AD414/U414</f>
        <v>#REF!</v>
      </c>
      <c r="AG414" s="235" t="str">
        <f t="shared" ca="1" si="491"/>
        <v>#REF!</v>
      </c>
      <c r="AH414" s="212"/>
      <c r="AI414" s="213"/>
      <c r="AJ414" s="4"/>
      <c r="AK414" s="4"/>
      <c r="AL414" s="4"/>
      <c r="AM414" s="4"/>
      <c r="AN414" s="4"/>
      <c r="AO414" s="4"/>
      <c r="AP414" s="4"/>
      <c r="AQ414" s="4"/>
      <c r="AR414" s="4"/>
      <c r="AS414" s="4"/>
      <c r="AT414" s="4"/>
      <c r="AU414" s="4"/>
    </row>
    <row r="415" spans="1:47" ht="13.2">
      <c r="A415" s="120"/>
      <c r="B415" s="113"/>
      <c r="C415" s="117"/>
      <c r="D415" s="117"/>
      <c r="E415" s="117"/>
      <c r="F415" s="123"/>
      <c r="G415" s="93" t="s">
        <v>145</v>
      </c>
      <c r="H415" s="125"/>
      <c r="I415" s="125"/>
      <c r="J415" s="82" t="str">
        <f t="shared" ca="1" si="147"/>
        <v>#REF!</v>
      </c>
      <c r="K415" s="82" t="str">
        <f t="shared" ca="1" si="256"/>
        <v>#REF!</v>
      </c>
      <c r="L415" s="82" t="str">
        <f t="shared" ca="1" si="199"/>
        <v>#REF!</v>
      </c>
      <c r="M415" s="125"/>
      <c r="N415" s="125"/>
      <c r="O415" s="230">
        <f t="shared" si="2"/>
        <v>0</v>
      </c>
      <c r="P415" s="231">
        <f t="shared" si="3"/>
        <v>0</v>
      </c>
      <c r="Q415" s="232" t="str">
        <f ca="1">ROUNDUP(HLOOKUP(IF(CEILING(L415,0.5)&lt;1,1,CEILING(L415,0.5)),'배송비 조회'!A$32:AY$36,2,0),-2)</f>
        <v>#REF!</v>
      </c>
      <c r="R415" s="232">
        <v>0</v>
      </c>
      <c r="S415" s="231" t="str">
        <f t="shared" ca="1" si="250"/>
        <v>#REF!</v>
      </c>
      <c r="T415" s="231" t="str">
        <f t="shared" ca="1" si="200"/>
        <v>#REF!</v>
      </c>
      <c r="U415" s="233" t="str">
        <f t="shared" ca="1" si="142"/>
        <v>#REF!</v>
      </c>
      <c r="V415" s="233" t="str">
        <f t="shared" ca="1" si="7"/>
        <v>#REF!</v>
      </c>
      <c r="W415" s="234">
        <v>0</v>
      </c>
      <c r="X415" s="234" t="str">
        <f t="shared" ca="1" si="8"/>
        <v>#REF!</v>
      </c>
      <c r="Y415" s="234" t="str">
        <f t="shared" ca="1" si="9"/>
        <v>#REF!</v>
      </c>
      <c r="Z415" s="234" t="str">
        <f t="shared" ca="1" si="10"/>
        <v>#REF!</v>
      </c>
      <c r="AA415" s="234" t="str">
        <f t="shared" ca="1" si="11"/>
        <v>#REF!</v>
      </c>
      <c r="AB415" s="234" t="str">
        <f t="shared" ca="1" si="12"/>
        <v>#REF!</v>
      </c>
      <c r="AC415" s="234" t="str">
        <f t="shared" ca="1" si="13"/>
        <v>#REF!</v>
      </c>
      <c r="AD415" s="101" t="str">
        <f t="shared" ca="1" si="14"/>
        <v>#REF!</v>
      </c>
      <c r="AE415" s="101" t="str">
        <f t="shared" ca="1" si="15"/>
        <v>#REF!</v>
      </c>
      <c r="AF415" s="235" t="str">
        <f t="shared" ref="AF415:AG415" ca="1" si="492">AD415/U415</f>
        <v>#REF!</v>
      </c>
      <c r="AG415" s="235" t="str">
        <f t="shared" ca="1" si="492"/>
        <v>#REF!</v>
      </c>
      <c r="AH415" s="212"/>
      <c r="AI415" s="213"/>
      <c r="AJ415" s="4"/>
      <c r="AK415" s="4"/>
      <c r="AL415" s="4"/>
      <c r="AM415" s="4"/>
      <c r="AN415" s="4"/>
      <c r="AO415" s="4"/>
      <c r="AP415" s="4"/>
      <c r="AQ415" s="4"/>
      <c r="AR415" s="4"/>
      <c r="AS415" s="4"/>
      <c r="AT415" s="4"/>
      <c r="AU415" s="4"/>
    </row>
    <row r="416" spans="1:47" ht="13.2">
      <c r="A416" s="120"/>
      <c r="B416" s="113"/>
      <c r="C416" s="117"/>
      <c r="D416" s="117"/>
      <c r="E416" s="117"/>
      <c r="F416" s="123"/>
      <c r="G416" s="93" t="s">
        <v>145</v>
      </c>
      <c r="H416" s="125"/>
      <c r="I416" s="125"/>
      <c r="J416" s="82" t="str">
        <f t="shared" ca="1" si="147"/>
        <v>#REF!</v>
      </c>
      <c r="K416" s="82" t="str">
        <f t="shared" ca="1" si="256"/>
        <v>#REF!</v>
      </c>
      <c r="L416" s="82" t="str">
        <f t="shared" ca="1" si="199"/>
        <v>#REF!</v>
      </c>
      <c r="M416" s="125"/>
      <c r="N416" s="125"/>
      <c r="O416" s="230">
        <f t="shared" si="2"/>
        <v>0</v>
      </c>
      <c r="P416" s="231">
        <f t="shared" si="3"/>
        <v>0</v>
      </c>
      <c r="Q416" s="232" t="str">
        <f ca="1">ROUNDUP(HLOOKUP(IF(CEILING(L416,0.5)&lt;1,1,CEILING(L416,0.5)),'배송비 조회'!A$32:AY$36,2,0),-2)</f>
        <v>#REF!</v>
      </c>
      <c r="R416" s="232">
        <v>0</v>
      </c>
      <c r="S416" s="231" t="str">
        <f t="shared" ca="1" si="250"/>
        <v>#REF!</v>
      </c>
      <c r="T416" s="231" t="str">
        <f t="shared" ca="1" si="200"/>
        <v>#REF!</v>
      </c>
      <c r="U416" s="233" t="str">
        <f t="shared" ca="1" si="142"/>
        <v>#REF!</v>
      </c>
      <c r="V416" s="233" t="str">
        <f t="shared" ca="1" si="7"/>
        <v>#REF!</v>
      </c>
      <c r="W416" s="234">
        <v>0</v>
      </c>
      <c r="X416" s="234" t="str">
        <f t="shared" ca="1" si="8"/>
        <v>#REF!</v>
      </c>
      <c r="Y416" s="234" t="str">
        <f t="shared" ca="1" si="9"/>
        <v>#REF!</v>
      </c>
      <c r="Z416" s="234" t="str">
        <f t="shared" ca="1" si="10"/>
        <v>#REF!</v>
      </c>
      <c r="AA416" s="234" t="str">
        <f t="shared" ca="1" si="11"/>
        <v>#REF!</v>
      </c>
      <c r="AB416" s="234" t="str">
        <f t="shared" ca="1" si="12"/>
        <v>#REF!</v>
      </c>
      <c r="AC416" s="234" t="str">
        <f t="shared" ca="1" si="13"/>
        <v>#REF!</v>
      </c>
      <c r="AD416" s="101" t="str">
        <f t="shared" ca="1" si="14"/>
        <v>#REF!</v>
      </c>
      <c r="AE416" s="101" t="str">
        <f t="shared" ca="1" si="15"/>
        <v>#REF!</v>
      </c>
      <c r="AF416" s="235" t="str">
        <f t="shared" ref="AF416:AG416" ca="1" si="493">AD416/U416</f>
        <v>#REF!</v>
      </c>
      <c r="AG416" s="235" t="str">
        <f t="shared" ca="1" si="493"/>
        <v>#REF!</v>
      </c>
      <c r="AH416" s="212"/>
      <c r="AI416" s="213"/>
      <c r="AJ416" s="4"/>
      <c r="AK416" s="4"/>
      <c r="AL416" s="4"/>
      <c r="AM416" s="4"/>
      <c r="AN416" s="4"/>
      <c r="AO416" s="4"/>
      <c r="AP416" s="4"/>
      <c r="AQ416" s="4"/>
      <c r="AR416" s="4"/>
      <c r="AS416" s="4"/>
      <c r="AT416" s="4"/>
      <c r="AU416" s="4"/>
    </row>
    <row r="417" spans="1:47" ht="13.2">
      <c r="A417" s="120"/>
      <c r="B417" s="113"/>
      <c r="C417" s="117"/>
      <c r="D417" s="117"/>
      <c r="E417" s="117"/>
      <c r="F417" s="123"/>
      <c r="G417" s="93" t="s">
        <v>145</v>
      </c>
      <c r="H417" s="125"/>
      <c r="I417" s="125"/>
      <c r="J417" s="82" t="str">
        <f t="shared" ca="1" si="147"/>
        <v>#REF!</v>
      </c>
      <c r="K417" s="82" t="str">
        <f t="shared" ca="1" si="256"/>
        <v>#REF!</v>
      </c>
      <c r="L417" s="82" t="str">
        <f t="shared" ca="1" si="199"/>
        <v>#REF!</v>
      </c>
      <c r="M417" s="125"/>
      <c r="N417" s="125"/>
      <c r="O417" s="230">
        <f t="shared" si="2"/>
        <v>0</v>
      </c>
      <c r="P417" s="231">
        <f t="shared" si="3"/>
        <v>0</v>
      </c>
      <c r="Q417" s="232" t="str">
        <f ca="1">ROUNDUP(HLOOKUP(IF(CEILING(L417,0.5)&lt;1,1,CEILING(L417,0.5)),'배송비 조회'!A$32:AY$36,2,0),-2)</f>
        <v>#REF!</v>
      </c>
      <c r="R417" s="232">
        <v>0</v>
      </c>
      <c r="S417" s="231" t="str">
        <f t="shared" ca="1" si="250"/>
        <v>#REF!</v>
      </c>
      <c r="T417" s="231" t="str">
        <f t="shared" ca="1" si="200"/>
        <v>#REF!</v>
      </c>
      <c r="U417" s="233" t="str">
        <f t="shared" ca="1" si="142"/>
        <v>#REF!</v>
      </c>
      <c r="V417" s="233" t="str">
        <f t="shared" ca="1" si="7"/>
        <v>#REF!</v>
      </c>
      <c r="W417" s="234">
        <v>0</v>
      </c>
      <c r="X417" s="234" t="str">
        <f t="shared" ca="1" si="8"/>
        <v>#REF!</v>
      </c>
      <c r="Y417" s="234" t="str">
        <f t="shared" ca="1" si="9"/>
        <v>#REF!</v>
      </c>
      <c r="Z417" s="234" t="str">
        <f t="shared" ca="1" si="10"/>
        <v>#REF!</v>
      </c>
      <c r="AA417" s="234" t="str">
        <f t="shared" ca="1" si="11"/>
        <v>#REF!</v>
      </c>
      <c r="AB417" s="234" t="str">
        <f t="shared" ca="1" si="12"/>
        <v>#REF!</v>
      </c>
      <c r="AC417" s="234" t="str">
        <f t="shared" ca="1" si="13"/>
        <v>#REF!</v>
      </c>
      <c r="AD417" s="101" t="str">
        <f t="shared" ca="1" si="14"/>
        <v>#REF!</v>
      </c>
      <c r="AE417" s="101" t="str">
        <f t="shared" ca="1" si="15"/>
        <v>#REF!</v>
      </c>
      <c r="AF417" s="235" t="str">
        <f t="shared" ref="AF417:AG417" ca="1" si="494">AD417/U417</f>
        <v>#REF!</v>
      </c>
      <c r="AG417" s="235" t="str">
        <f t="shared" ca="1" si="494"/>
        <v>#REF!</v>
      </c>
      <c r="AH417" s="212"/>
      <c r="AI417" s="213"/>
      <c r="AJ417" s="4"/>
      <c r="AK417" s="4"/>
      <c r="AL417" s="4"/>
      <c r="AM417" s="4"/>
      <c r="AN417" s="4"/>
      <c r="AO417" s="4"/>
      <c r="AP417" s="4"/>
      <c r="AQ417" s="4"/>
      <c r="AR417" s="4"/>
      <c r="AS417" s="4"/>
      <c r="AT417" s="4"/>
      <c r="AU417" s="4"/>
    </row>
    <row r="418" spans="1:47" ht="13.2">
      <c r="A418" s="120"/>
      <c r="B418" s="113"/>
      <c r="C418" s="117"/>
      <c r="D418" s="117"/>
      <c r="E418" s="117"/>
      <c r="F418" s="123"/>
      <c r="G418" s="93" t="s">
        <v>145</v>
      </c>
      <c r="H418" s="125"/>
      <c r="I418" s="125"/>
      <c r="J418" s="82" t="str">
        <f t="shared" ca="1" si="147"/>
        <v>#REF!</v>
      </c>
      <c r="K418" s="82" t="str">
        <f t="shared" ca="1" si="256"/>
        <v>#REF!</v>
      </c>
      <c r="L418" s="82" t="str">
        <f t="shared" ca="1" si="199"/>
        <v>#REF!</v>
      </c>
      <c r="M418" s="125"/>
      <c r="N418" s="125"/>
      <c r="O418" s="230">
        <f t="shared" si="2"/>
        <v>0</v>
      </c>
      <c r="P418" s="231">
        <f t="shared" si="3"/>
        <v>0</v>
      </c>
      <c r="Q418" s="232" t="str">
        <f ca="1">ROUNDUP(HLOOKUP(IF(CEILING(L418,0.5)&lt;1,1,CEILING(L418,0.5)),'배송비 조회'!A$32:AY$36,2,0),-2)</f>
        <v>#REF!</v>
      </c>
      <c r="R418" s="232">
        <v>0</v>
      </c>
      <c r="S418" s="231" t="str">
        <f t="shared" ca="1" si="250"/>
        <v>#REF!</v>
      </c>
      <c r="T418" s="231" t="str">
        <f t="shared" ca="1" si="200"/>
        <v>#REF!</v>
      </c>
      <c r="U418" s="233" t="str">
        <f t="shared" ca="1" si="142"/>
        <v>#REF!</v>
      </c>
      <c r="V418" s="233" t="str">
        <f t="shared" ca="1" si="7"/>
        <v>#REF!</v>
      </c>
      <c r="W418" s="234">
        <v>0</v>
      </c>
      <c r="X418" s="234" t="str">
        <f t="shared" ca="1" si="8"/>
        <v>#REF!</v>
      </c>
      <c r="Y418" s="234" t="str">
        <f t="shared" ca="1" si="9"/>
        <v>#REF!</v>
      </c>
      <c r="Z418" s="234" t="str">
        <f t="shared" ca="1" si="10"/>
        <v>#REF!</v>
      </c>
      <c r="AA418" s="234" t="str">
        <f t="shared" ca="1" si="11"/>
        <v>#REF!</v>
      </c>
      <c r="AB418" s="234" t="str">
        <f t="shared" ca="1" si="12"/>
        <v>#REF!</v>
      </c>
      <c r="AC418" s="234" t="str">
        <f t="shared" ca="1" si="13"/>
        <v>#REF!</v>
      </c>
      <c r="AD418" s="101" t="str">
        <f t="shared" ca="1" si="14"/>
        <v>#REF!</v>
      </c>
      <c r="AE418" s="101" t="str">
        <f t="shared" ca="1" si="15"/>
        <v>#REF!</v>
      </c>
      <c r="AF418" s="235" t="str">
        <f t="shared" ref="AF418:AG418" ca="1" si="495">AD418/U418</f>
        <v>#REF!</v>
      </c>
      <c r="AG418" s="235" t="str">
        <f t="shared" ca="1" si="495"/>
        <v>#REF!</v>
      </c>
      <c r="AH418" s="212"/>
      <c r="AI418" s="213"/>
      <c r="AJ418" s="4"/>
      <c r="AK418" s="4"/>
      <c r="AL418" s="4"/>
      <c r="AM418" s="4"/>
      <c r="AN418" s="4"/>
      <c r="AO418" s="4"/>
      <c r="AP418" s="4"/>
      <c r="AQ418" s="4"/>
      <c r="AR418" s="4"/>
      <c r="AS418" s="4"/>
      <c r="AT418" s="4"/>
      <c r="AU418" s="4"/>
    </row>
    <row r="419" spans="1:47" ht="13.2">
      <c r="A419" s="120"/>
      <c r="B419" s="113"/>
      <c r="C419" s="117"/>
      <c r="D419" s="117"/>
      <c r="E419" s="117"/>
      <c r="F419" s="123"/>
      <c r="G419" s="93" t="s">
        <v>145</v>
      </c>
      <c r="H419" s="125"/>
      <c r="I419" s="125"/>
      <c r="J419" s="82" t="str">
        <f t="shared" ca="1" si="147"/>
        <v>#REF!</v>
      </c>
      <c r="K419" s="82" t="str">
        <f t="shared" ca="1" si="256"/>
        <v>#REF!</v>
      </c>
      <c r="L419" s="82" t="str">
        <f t="shared" ca="1" si="199"/>
        <v>#REF!</v>
      </c>
      <c r="M419" s="125"/>
      <c r="N419" s="125"/>
      <c r="O419" s="230">
        <f t="shared" si="2"/>
        <v>0</v>
      </c>
      <c r="P419" s="231">
        <f t="shared" si="3"/>
        <v>0</v>
      </c>
      <c r="Q419" s="232" t="str">
        <f ca="1">ROUNDUP(HLOOKUP(IF(CEILING(L419,0.5)&lt;1,1,CEILING(L419,0.5)),'배송비 조회'!A$32:AY$36,2,0),-2)</f>
        <v>#REF!</v>
      </c>
      <c r="R419" s="232">
        <v>0</v>
      </c>
      <c r="S419" s="231" t="str">
        <f t="shared" ca="1" si="250"/>
        <v>#REF!</v>
      </c>
      <c r="T419" s="231" t="str">
        <f t="shared" ca="1" si="200"/>
        <v>#REF!</v>
      </c>
      <c r="U419" s="233" t="str">
        <f t="shared" ca="1" si="142"/>
        <v>#REF!</v>
      </c>
      <c r="V419" s="233" t="str">
        <f t="shared" ca="1" si="7"/>
        <v>#REF!</v>
      </c>
      <c r="W419" s="234">
        <v>0</v>
      </c>
      <c r="X419" s="234" t="str">
        <f t="shared" ca="1" si="8"/>
        <v>#REF!</v>
      </c>
      <c r="Y419" s="234" t="str">
        <f t="shared" ca="1" si="9"/>
        <v>#REF!</v>
      </c>
      <c r="Z419" s="234" t="str">
        <f t="shared" ca="1" si="10"/>
        <v>#REF!</v>
      </c>
      <c r="AA419" s="234" t="str">
        <f t="shared" ca="1" si="11"/>
        <v>#REF!</v>
      </c>
      <c r="AB419" s="234" t="str">
        <f t="shared" ca="1" si="12"/>
        <v>#REF!</v>
      </c>
      <c r="AC419" s="234" t="str">
        <f t="shared" ca="1" si="13"/>
        <v>#REF!</v>
      </c>
      <c r="AD419" s="101" t="str">
        <f t="shared" ca="1" si="14"/>
        <v>#REF!</v>
      </c>
      <c r="AE419" s="101" t="str">
        <f t="shared" ca="1" si="15"/>
        <v>#REF!</v>
      </c>
      <c r="AF419" s="235" t="str">
        <f t="shared" ref="AF419:AG419" ca="1" si="496">AD419/U419</f>
        <v>#REF!</v>
      </c>
      <c r="AG419" s="235" t="str">
        <f t="shared" ca="1" si="496"/>
        <v>#REF!</v>
      </c>
      <c r="AH419" s="212"/>
      <c r="AI419" s="213"/>
      <c r="AJ419" s="4"/>
      <c r="AK419" s="4"/>
      <c r="AL419" s="4"/>
      <c r="AM419" s="4"/>
      <c r="AN419" s="4"/>
      <c r="AO419" s="4"/>
      <c r="AP419" s="4"/>
      <c r="AQ419" s="4"/>
      <c r="AR419" s="4"/>
      <c r="AS419" s="4"/>
      <c r="AT419" s="4"/>
      <c r="AU419" s="4"/>
    </row>
    <row r="420" spans="1:47" ht="13.2">
      <c r="A420" s="120"/>
      <c r="B420" s="113"/>
      <c r="C420" s="117"/>
      <c r="D420" s="117"/>
      <c r="E420" s="117"/>
      <c r="F420" s="123"/>
      <c r="G420" s="93" t="s">
        <v>145</v>
      </c>
      <c r="H420" s="125"/>
      <c r="I420" s="125"/>
      <c r="J420" s="82" t="str">
        <f t="shared" ca="1" si="147"/>
        <v>#REF!</v>
      </c>
      <c r="K420" s="82" t="str">
        <f t="shared" ca="1" si="256"/>
        <v>#REF!</v>
      </c>
      <c r="L420" s="82" t="str">
        <f t="shared" ca="1" si="199"/>
        <v>#REF!</v>
      </c>
      <c r="M420" s="125"/>
      <c r="N420" s="125"/>
      <c r="O420" s="230">
        <f t="shared" si="2"/>
        <v>0</v>
      </c>
      <c r="P420" s="231">
        <f t="shared" si="3"/>
        <v>0</v>
      </c>
      <c r="Q420" s="232" t="str">
        <f ca="1">ROUNDUP(HLOOKUP(IF(CEILING(L420,0.5)&lt;1,1,CEILING(L420,0.5)),'배송비 조회'!A$32:AY$36,2,0),-2)</f>
        <v>#REF!</v>
      </c>
      <c r="R420" s="232">
        <v>0</v>
      </c>
      <c r="S420" s="231" t="str">
        <f t="shared" ca="1" si="250"/>
        <v>#REF!</v>
      </c>
      <c r="T420" s="231" t="str">
        <f t="shared" ca="1" si="200"/>
        <v>#REF!</v>
      </c>
      <c r="U420" s="233" t="str">
        <f t="shared" ca="1" si="142"/>
        <v>#REF!</v>
      </c>
      <c r="V420" s="233" t="str">
        <f t="shared" ca="1" si="7"/>
        <v>#REF!</v>
      </c>
      <c r="W420" s="234">
        <v>0</v>
      </c>
      <c r="X420" s="234" t="str">
        <f t="shared" ca="1" si="8"/>
        <v>#REF!</v>
      </c>
      <c r="Y420" s="234" t="str">
        <f t="shared" ca="1" si="9"/>
        <v>#REF!</v>
      </c>
      <c r="Z420" s="234" t="str">
        <f t="shared" ca="1" si="10"/>
        <v>#REF!</v>
      </c>
      <c r="AA420" s="234" t="str">
        <f t="shared" ca="1" si="11"/>
        <v>#REF!</v>
      </c>
      <c r="AB420" s="234" t="str">
        <f t="shared" ca="1" si="12"/>
        <v>#REF!</v>
      </c>
      <c r="AC420" s="234" t="str">
        <f t="shared" ca="1" si="13"/>
        <v>#REF!</v>
      </c>
      <c r="AD420" s="101" t="str">
        <f t="shared" ca="1" si="14"/>
        <v>#REF!</v>
      </c>
      <c r="AE420" s="101" t="str">
        <f t="shared" ca="1" si="15"/>
        <v>#REF!</v>
      </c>
      <c r="AF420" s="235" t="str">
        <f t="shared" ref="AF420:AG420" ca="1" si="497">AD420/U420</f>
        <v>#REF!</v>
      </c>
      <c r="AG420" s="235" t="str">
        <f t="shared" ca="1" si="497"/>
        <v>#REF!</v>
      </c>
      <c r="AH420" s="212"/>
      <c r="AI420" s="213"/>
      <c r="AJ420" s="4"/>
      <c r="AK420" s="4"/>
      <c r="AL420" s="4"/>
      <c r="AM420" s="4"/>
      <c r="AN420" s="4"/>
      <c r="AO420" s="4"/>
      <c r="AP420" s="4"/>
      <c r="AQ420" s="4"/>
      <c r="AR420" s="4"/>
      <c r="AS420" s="4"/>
      <c r="AT420" s="4"/>
      <c r="AU420" s="4"/>
    </row>
    <row r="421" spans="1:47" ht="13.2">
      <c r="A421" s="120"/>
      <c r="B421" s="113"/>
      <c r="C421" s="117"/>
      <c r="D421" s="117"/>
      <c r="E421" s="117"/>
      <c r="F421" s="123"/>
      <c r="G421" s="93" t="s">
        <v>145</v>
      </c>
      <c r="H421" s="125"/>
      <c r="I421" s="125"/>
      <c r="J421" s="82" t="str">
        <f t="shared" ca="1" si="147"/>
        <v>#REF!</v>
      </c>
      <c r="K421" s="82" t="str">
        <f t="shared" ca="1" si="256"/>
        <v>#REF!</v>
      </c>
      <c r="L421" s="82" t="str">
        <f t="shared" ca="1" si="199"/>
        <v>#REF!</v>
      </c>
      <c r="M421" s="125"/>
      <c r="N421" s="125"/>
      <c r="O421" s="230">
        <f t="shared" si="2"/>
        <v>0</v>
      </c>
      <c r="P421" s="231">
        <f t="shared" si="3"/>
        <v>0</v>
      </c>
      <c r="Q421" s="232" t="str">
        <f ca="1">ROUNDUP(HLOOKUP(IF(CEILING(L421,0.5)&lt;1,1,CEILING(L421,0.5)),'배송비 조회'!A$32:AY$36,2,0),-2)</f>
        <v>#REF!</v>
      </c>
      <c r="R421" s="232">
        <v>0</v>
      </c>
      <c r="S421" s="231" t="str">
        <f t="shared" ca="1" si="250"/>
        <v>#REF!</v>
      </c>
      <c r="T421" s="231" t="str">
        <f t="shared" ca="1" si="200"/>
        <v>#REF!</v>
      </c>
      <c r="U421" s="233" t="str">
        <f t="shared" ca="1" si="142"/>
        <v>#REF!</v>
      </c>
      <c r="V421" s="233" t="str">
        <f t="shared" ca="1" si="7"/>
        <v>#REF!</v>
      </c>
      <c r="W421" s="234">
        <v>0</v>
      </c>
      <c r="X421" s="234" t="str">
        <f t="shared" ca="1" si="8"/>
        <v>#REF!</v>
      </c>
      <c r="Y421" s="234" t="str">
        <f t="shared" ca="1" si="9"/>
        <v>#REF!</v>
      </c>
      <c r="Z421" s="234" t="str">
        <f t="shared" ca="1" si="10"/>
        <v>#REF!</v>
      </c>
      <c r="AA421" s="234" t="str">
        <f t="shared" ca="1" si="11"/>
        <v>#REF!</v>
      </c>
      <c r="AB421" s="234" t="str">
        <f t="shared" ca="1" si="12"/>
        <v>#REF!</v>
      </c>
      <c r="AC421" s="234" t="str">
        <f t="shared" ca="1" si="13"/>
        <v>#REF!</v>
      </c>
      <c r="AD421" s="101" t="str">
        <f t="shared" ca="1" si="14"/>
        <v>#REF!</v>
      </c>
      <c r="AE421" s="101" t="str">
        <f t="shared" ca="1" si="15"/>
        <v>#REF!</v>
      </c>
      <c r="AF421" s="235" t="str">
        <f t="shared" ref="AF421:AG421" ca="1" si="498">AD421/U421</f>
        <v>#REF!</v>
      </c>
      <c r="AG421" s="235" t="str">
        <f t="shared" ca="1" si="498"/>
        <v>#REF!</v>
      </c>
      <c r="AH421" s="212"/>
      <c r="AI421" s="213"/>
      <c r="AJ421" s="4"/>
      <c r="AK421" s="4"/>
      <c r="AL421" s="4"/>
      <c r="AM421" s="4"/>
      <c r="AN421" s="4"/>
      <c r="AO421" s="4"/>
      <c r="AP421" s="4"/>
      <c r="AQ421" s="4"/>
      <c r="AR421" s="4"/>
      <c r="AS421" s="4"/>
      <c r="AT421" s="4"/>
      <c r="AU421" s="4"/>
    </row>
    <row r="422" spans="1:47" ht="13.2">
      <c r="A422" s="120"/>
      <c r="B422" s="113"/>
      <c r="C422" s="117"/>
      <c r="D422" s="117"/>
      <c r="E422" s="117"/>
      <c r="F422" s="123"/>
      <c r="G422" s="93" t="s">
        <v>145</v>
      </c>
      <c r="H422" s="125"/>
      <c r="I422" s="125"/>
      <c r="J422" s="82" t="str">
        <f t="shared" ca="1" si="147"/>
        <v>#REF!</v>
      </c>
      <c r="K422" s="82" t="str">
        <f t="shared" ca="1" si="256"/>
        <v>#REF!</v>
      </c>
      <c r="L422" s="82" t="str">
        <f t="shared" ca="1" si="199"/>
        <v>#REF!</v>
      </c>
      <c r="M422" s="125"/>
      <c r="N422" s="125"/>
      <c r="O422" s="230">
        <f t="shared" si="2"/>
        <v>0</v>
      </c>
      <c r="P422" s="231">
        <f t="shared" si="3"/>
        <v>0</v>
      </c>
      <c r="Q422" s="232" t="str">
        <f ca="1">ROUNDUP(HLOOKUP(IF(CEILING(L422,0.5)&lt;1,1,CEILING(L422,0.5)),'배송비 조회'!A$32:AY$36,2,0),-2)</f>
        <v>#REF!</v>
      </c>
      <c r="R422" s="232">
        <v>0</v>
      </c>
      <c r="S422" s="231" t="str">
        <f t="shared" ca="1" si="250"/>
        <v>#REF!</v>
      </c>
      <c r="T422" s="231" t="str">
        <f t="shared" ca="1" si="200"/>
        <v>#REF!</v>
      </c>
      <c r="U422" s="233" t="str">
        <f t="shared" ca="1" si="142"/>
        <v>#REF!</v>
      </c>
      <c r="V422" s="233" t="str">
        <f t="shared" ca="1" si="7"/>
        <v>#REF!</v>
      </c>
      <c r="W422" s="234">
        <v>0</v>
      </c>
      <c r="X422" s="234" t="str">
        <f t="shared" ca="1" si="8"/>
        <v>#REF!</v>
      </c>
      <c r="Y422" s="234" t="str">
        <f t="shared" ca="1" si="9"/>
        <v>#REF!</v>
      </c>
      <c r="Z422" s="234" t="str">
        <f t="shared" ca="1" si="10"/>
        <v>#REF!</v>
      </c>
      <c r="AA422" s="234" t="str">
        <f t="shared" ca="1" si="11"/>
        <v>#REF!</v>
      </c>
      <c r="AB422" s="234" t="str">
        <f t="shared" ca="1" si="12"/>
        <v>#REF!</v>
      </c>
      <c r="AC422" s="234" t="str">
        <f t="shared" ca="1" si="13"/>
        <v>#REF!</v>
      </c>
      <c r="AD422" s="101" t="str">
        <f t="shared" ca="1" si="14"/>
        <v>#REF!</v>
      </c>
      <c r="AE422" s="101" t="str">
        <f t="shared" ca="1" si="15"/>
        <v>#REF!</v>
      </c>
      <c r="AF422" s="235" t="str">
        <f t="shared" ref="AF422:AG422" ca="1" si="499">AD422/U422</f>
        <v>#REF!</v>
      </c>
      <c r="AG422" s="235" t="str">
        <f t="shared" ca="1" si="499"/>
        <v>#REF!</v>
      </c>
      <c r="AH422" s="212"/>
      <c r="AI422" s="213"/>
      <c r="AJ422" s="4"/>
      <c r="AK422" s="4"/>
      <c r="AL422" s="4"/>
      <c r="AM422" s="4"/>
      <c r="AN422" s="4"/>
      <c r="AO422" s="4"/>
      <c r="AP422" s="4"/>
      <c r="AQ422" s="4"/>
      <c r="AR422" s="4"/>
      <c r="AS422" s="4"/>
      <c r="AT422" s="4"/>
      <c r="AU422" s="4"/>
    </row>
    <row r="423" spans="1:47" ht="13.2">
      <c r="A423" s="120"/>
      <c r="B423" s="113"/>
      <c r="C423" s="117"/>
      <c r="D423" s="117"/>
      <c r="E423" s="117"/>
      <c r="F423" s="123"/>
      <c r="G423" s="93" t="s">
        <v>145</v>
      </c>
      <c r="H423" s="125"/>
      <c r="I423" s="125"/>
      <c r="J423" s="82" t="str">
        <f t="shared" ca="1" si="147"/>
        <v>#REF!</v>
      </c>
      <c r="K423" s="82" t="str">
        <f t="shared" ca="1" si="256"/>
        <v>#REF!</v>
      </c>
      <c r="L423" s="82" t="str">
        <f t="shared" ca="1" si="199"/>
        <v>#REF!</v>
      </c>
      <c r="M423" s="125"/>
      <c r="N423" s="125"/>
      <c r="O423" s="230">
        <f t="shared" si="2"/>
        <v>0</v>
      </c>
      <c r="P423" s="231">
        <f t="shared" si="3"/>
        <v>0</v>
      </c>
      <c r="Q423" s="232" t="str">
        <f ca="1">ROUNDUP(HLOOKUP(IF(CEILING(L423,0.5)&lt;1,1,CEILING(L423,0.5)),'배송비 조회'!A$32:AY$36,2,0),-2)</f>
        <v>#REF!</v>
      </c>
      <c r="R423" s="232">
        <v>0</v>
      </c>
      <c r="S423" s="231" t="str">
        <f t="shared" ca="1" si="250"/>
        <v>#REF!</v>
      </c>
      <c r="T423" s="231" t="str">
        <f t="shared" ca="1" si="200"/>
        <v>#REF!</v>
      </c>
      <c r="U423" s="233" t="str">
        <f t="shared" ca="1" si="142"/>
        <v>#REF!</v>
      </c>
      <c r="V423" s="233" t="str">
        <f t="shared" ca="1" si="7"/>
        <v>#REF!</v>
      </c>
      <c r="W423" s="234">
        <v>0</v>
      </c>
      <c r="X423" s="234" t="str">
        <f t="shared" ca="1" si="8"/>
        <v>#REF!</v>
      </c>
      <c r="Y423" s="234" t="str">
        <f t="shared" ca="1" si="9"/>
        <v>#REF!</v>
      </c>
      <c r="Z423" s="234" t="str">
        <f t="shared" ca="1" si="10"/>
        <v>#REF!</v>
      </c>
      <c r="AA423" s="234" t="str">
        <f t="shared" ca="1" si="11"/>
        <v>#REF!</v>
      </c>
      <c r="AB423" s="234" t="str">
        <f t="shared" ca="1" si="12"/>
        <v>#REF!</v>
      </c>
      <c r="AC423" s="234" t="str">
        <f t="shared" ca="1" si="13"/>
        <v>#REF!</v>
      </c>
      <c r="AD423" s="101" t="str">
        <f t="shared" ca="1" si="14"/>
        <v>#REF!</v>
      </c>
      <c r="AE423" s="101" t="str">
        <f t="shared" ca="1" si="15"/>
        <v>#REF!</v>
      </c>
      <c r="AF423" s="235" t="str">
        <f t="shared" ref="AF423:AG423" ca="1" si="500">AD423/U423</f>
        <v>#REF!</v>
      </c>
      <c r="AG423" s="235" t="str">
        <f t="shared" ca="1" si="500"/>
        <v>#REF!</v>
      </c>
      <c r="AH423" s="212"/>
      <c r="AI423" s="213"/>
      <c r="AJ423" s="4"/>
      <c r="AK423" s="4"/>
      <c r="AL423" s="4"/>
      <c r="AM423" s="4"/>
      <c r="AN423" s="4"/>
      <c r="AO423" s="4"/>
      <c r="AP423" s="4"/>
      <c r="AQ423" s="4"/>
      <c r="AR423" s="4"/>
      <c r="AS423" s="4"/>
      <c r="AT423" s="4"/>
      <c r="AU423" s="4"/>
    </row>
    <row r="424" spans="1:47" ht="13.2">
      <c r="A424" s="120"/>
      <c r="B424" s="113"/>
      <c r="C424" s="117"/>
      <c r="D424" s="117"/>
      <c r="E424" s="117"/>
      <c r="F424" s="123"/>
      <c r="G424" s="93" t="s">
        <v>145</v>
      </c>
      <c r="H424" s="125"/>
      <c r="I424" s="125"/>
      <c r="J424" s="82" t="str">
        <f t="shared" ca="1" si="147"/>
        <v>#REF!</v>
      </c>
      <c r="K424" s="82" t="str">
        <f t="shared" ca="1" si="256"/>
        <v>#REF!</v>
      </c>
      <c r="L424" s="82" t="str">
        <f t="shared" ca="1" si="199"/>
        <v>#REF!</v>
      </c>
      <c r="M424" s="125"/>
      <c r="N424" s="125"/>
      <c r="O424" s="230">
        <f t="shared" si="2"/>
        <v>0</v>
      </c>
      <c r="P424" s="231">
        <f t="shared" si="3"/>
        <v>0</v>
      </c>
      <c r="Q424" s="232" t="str">
        <f ca="1">ROUNDUP(HLOOKUP(IF(CEILING(L424,0.5)&lt;1,1,CEILING(L424,0.5)),'배송비 조회'!A$32:AY$36,2,0),-2)</f>
        <v>#REF!</v>
      </c>
      <c r="R424" s="232">
        <v>0</v>
      </c>
      <c r="S424" s="231" t="str">
        <f t="shared" ca="1" si="250"/>
        <v>#REF!</v>
      </c>
      <c r="T424" s="231" t="str">
        <f t="shared" ca="1" si="200"/>
        <v>#REF!</v>
      </c>
      <c r="U424" s="233" t="str">
        <f t="shared" ca="1" si="142"/>
        <v>#REF!</v>
      </c>
      <c r="V424" s="233" t="str">
        <f t="shared" ca="1" si="7"/>
        <v>#REF!</v>
      </c>
      <c r="W424" s="234">
        <v>0</v>
      </c>
      <c r="X424" s="234" t="str">
        <f t="shared" ca="1" si="8"/>
        <v>#REF!</v>
      </c>
      <c r="Y424" s="234" t="str">
        <f t="shared" ca="1" si="9"/>
        <v>#REF!</v>
      </c>
      <c r="Z424" s="234" t="str">
        <f t="shared" ca="1" si="10"/>
        <v>#REF!</v>
      </c>
      <c r="AA424" s="234" t="str">
        <f t="shared" ca="1" si="11"/>
        <v>#REF!</v>
      </c>
      <c r="AB424" s="234" t="str">
        <f t="shared" ca="1" si="12"/>
        <v>#REF!</v>
      </c>
      <c r="AC424" s="234" t="str">
        <f t="shared" ca="1" si="13"/>
        <v>#REF!</v>
      </c>
      <c r="AD424" s="101" t="str">
        <f t="shared" ca="1" si="14"/>
        <v>#REF!</v>
      </c>
      <c r="AE424" s="101" t="str">
        <f t="shared" ca="1" si="15"/>
        <v>#REF!</v>
      </c>
      <c r="AF424" s="235" t="str">
        <f t="shared" ref="AF424:AG424" ca="1" si="501">AD424/U424</f>
        <v>#REF!</v>
      </c>
      <c r="AG424" s="235" t="str">
        <f t="shared" ca="1" si="501"/>
        <v>#REF!</v>
      </c>
      <c r="AH424" s="212"/>
      <c r="AI424" s="213"/>
      <c r="AJ424" s="4"/>
      <c r="AK424" s="4"/>
      <c r="AL424" s="4"/>
      <c r="AM424" s="4"/>
      <c r="AN424" s="4"/>
      <c r="AO424" s="4"/>
      <c r="AP424" s="4"/>
      <c r="AQ424" s="4"/>
      <c r="AR424" s="4"/>
      <c r="AS424" s="4"/>
      <c r="AT424" s="4"/>
      <c r="AU424" s="4"/>
    </row>
    <row r="425" spans="1:47" ht="13.2">
      <c r="A425" s="120"/>
      <c r="B425" s="113"/>
      <c r="C425" s="117"/>
      <c r="D425" s="117"/>
      <c r="E425" s="117"/>
      <c r="F425" s="123"/>
      <c r="G425" s="93" t="s">
        <v>145</v>
      </c>
      <c r="H425" s="125"/>
      <c r="I425" s="125"/>
      <c r="J425" s="82" t="str">
        <f t="shared" ca="1" si="147"/>
        <v>#REF!</v>
      </c>
      <c r="K425" s="82" t="str">
        <f t="shared" ca="1" si="256"/>
        <v>#REF!</v>
      </c>
      <c r="L425" s="82" t="str">
        <f t="shared" ca="1" si="199"/>
        <v>#REF!</v>
      </c>
      <c r="M425" s="125"/>
      <c r="N425" s="125"/>
      <c r="O425" s="230">
        <f t="shared" si="2"/>
        <v>0</v>
      </c>
      <c r="P425" s="231">
        <f t="shared" si="3"/>
        <v>0</v>
      </c>
      <c r="Q425" s="232" t="str">
        <f ca="1">ROUNDUP(HLOOKUP(IF(CEILING(L425,0.5)&lt;1,1,CEILING(L425,0.5)),'배송비 조회'!A$32:AY$36,2,0),-2)</f>
        <v>#REF!</v>
      </c>
      <c r="R425" s="232">
        <v>0</v>
      </c>
      <c r="S425" s="231" t="str">
        <f t="shared" ca="1" si="250"/>
        <v>#REF!</v>
      </c>
      <c r="T425" s="231" t="str">
        <f t="shared" ca="1" si="200"/>
        <v>#REF!</v>
      </c>
      <c r="U425" s="233" t="str">
        <f t="shared" ca="1" si="142"/>
        <v>#REF!</v>
      </c>
      <c r="V425" s="233" t="str">
        <f t="shared" ca="1" si="7"/>
        <v>#REF!</v>
      </c>
      <c r="W425" s="234">
        <v>0</v>
      </c>
      <c r="X425" s="234" t="str">
        <f t="shared" ca="1" si="8"/>
        <v>#REF!</v>
      </c>
      <c r="Y425" s="234" t="str">
        <f t="shared" ca="1" si="9"/>
        <v>#REF!</v>
      </c>
      <c r="Z425" s="234" t="str">
        <f t="shared" ca="1" si="10"/>
        <v>#REF!</v>
      </c>
      <c r="AA425" s="234" t="str">
        <f t="shared" ca="1" si="11"/>
        <v>#REF!</v>
      </c>
      <c r="AB425" s="234" t="str">
        <f t="shared" ca="1" si="12"/>
        <v>#REF!</v>
      </c>
      <c r="AC425" s="234" t="str">
        <f t="shared" ca="1" si="13"/>
        <v>#REF!</v>
      </c>
      <c r="AD425" s="101" t="str">
        <f t="shared" ca="1" si="14"/>
        <v>#REF!</v>
      </c>
      <c r="AE425" s="101" t="str">
        <f t="shared" ca="1" si="15"/>
        <v>#REF!</v>
      </c>
      <c r="AF425" s="235" t="str">
        <f t="shared" ref="AF425:AG425" ca="1" si="502">AD425/U425</f>
        <v>#REF!</v>
      </c>
      <c r="AG425" s="235" t="str">
        <f t="shared" ca="1" si="502"/>
        <v>#REF!</v>
      </c>
      <c r="AH425" s="212"/>
      <c r="AI425" s="213"/>
      <c r="AJ425" s="4"/>
      <c r="AK425" s="4"/>
      <c r="AL425" s="4"/>
      <c r="AM425" s="4"/>
      <c r="AN425" s="4"/>
      <c r="AO425" s="4"/>
      <c r="AP425" s="4"/>
      <c r="AQ425" s="4"/>
      <c r="AR425" s="4"/>
      <c r="AS425" s="4"/>
      <c r="AT425" s="4"/>
      <c r="AU425" s="4"/>
    </row>
    <row r="426" spans="1:47" ht="13.2">
      <c r="A426" s="120"/>
      <c r="B426" s="113"/>
      <c r="C426" s="117"/>
      <c r="D426" s="117"/>
      <c r="E426" s="117"/>
      <c r="F426" s="123"/>
      <c r="G426" s="93" t="s">
        <v>145</v>
      </c>
      <c r="H426" s="125"/>
      <c r="I426" s="125"/>
      <c r="J426" s="82" t="str">
        <f t="shared" ca="1" si="147"/>
        <v>#REF!</v>
      </c>
      <c r="K426" s="82" t="str">
        <f t="shared" ca="1" si="256"/>
        <v>#REF!</v>
      </c>
      <c r="L426" s="82" t="str">
        <f t="shared" ca="1" si="199"/>
        <v>#REF!</v>
      </c>
      <c r="M426" s="125"/>
      <c r="N426" s="125"/>
      <c r="O426" s="230">
        <f t="shared" si="2"/>
        <v>0</v>
      </c>
      <c r="P426" s="231">
        <f t="shared" si="3"/>
        <v>0</v>
      </c>
      <c r="Q426" s="232" t="str">
        <f ca="1">ROUNDUP(HLOOKUP(IF(CEILING(L426,0.5)&lt;1,1,CEILING(L426,0.5)),'배송비 조회'!A$32:AY$36,2,0),-2)</f>
        <v>#REF!</v>
      </c>
      <c r="R426" s="232">
        <v>0</v>
      </c>
      <c r="S426" s="231" t="str">
        <f t="shared" ca="1" si="250"/>
        <v>#REF!</v>
      </c>
      <c r="T426" s="231" t="str">
        <f t="shared" ca="1" si="200"/>
        <v>#REF!</v>
      </c>
      <c r="U426" s="233" t="str">
        <f t="shared" ca="1" si="142"/>
        <v>#REF!</v>
      </c>
      <c r="V426" s="233" t="str">
        <f t="shared" ca="1" si="7"/>
        <v>#REF!</v>
      </c>
      <c r="W426" s="234">
        <v>0</v>
      </c>
      <c r="X426" s="234" t="str">
        <f t="shared" ca="1" si="8"/>
        <v>#REF!</v>
      </c>
      <c r="Y426" s="234" t="str">
        <f t="shared" ca="1" si="9"/>
        <v>#REF!</v>
      </c>
      <c r="Z426" s="234" t="str">
        <f t="shared" ca="1" si="10"/>
        <v>#REF!</v>
      </c>
      <c r="AA426" s="234" t="str">
        <f t="shared" ca="1" si="11"/>
        <v>#REF!</v>
      </c>
      <c r="AB426" s="234" t="str">
        <f t="shared" ca="1" si="12"/>
        <v>#REF!</v>
      </c>
      <c r="AC426" s="234" t="str">
        <f t="shared" ca="1" si="13"/>
        <v>#REF!</v>
      </c>
      <c r="AD426" s="101" t="str">
        <f t="shared" ca="1" si="14"/>
        <v>#REF!</v>
      </c>
      <c r="AE426" s="101" t="str">
        <f t="shared" ca="1" si="15"/>
        <v>#REF!</v>
      </c>
      <c r="AF426" s="235" t="str">
        <f t="shared" ref="AF426:AG426" ca="1" si="503">AD426/U426</f>
        <v>#REF!</v>
      </c>
      <c r="AG426" s="235" t="str">
        <f t="shared" ca="1" si="503"/>
        <v>#REF!</v>
      </c>
      <c r="AH426" s="212"/>
      <c r="AI426" s="213"/>
      <c r="AJ426" s="4"/>
      <c r="AK426" s="4"/>
      <c r="AL426" s="4"/>
      <c r="AM426" s="4"/>
      <c r="AN426" s="4"/>
      <c r="AO426" s="4"/>
      <c r="AP426" s="4"/>
      <c r="AQ426" s="4"/>
      <c r="AR426" s="4"/>
      <c r="AS426" s="4"/>
      <c r="AT426" s="4"/>
      <c r="AU426" s="4"/>
    </row>
    <row r="427" spans="1:47" ht="13.2">
      <c r="A427" s="120"/>
      <c r="B427" s="113"/>
      <c r="C427" s="117"/>
      <c r="D427" s="117"/>
      <c r="E427" s="117"/>
      <c r="F427" s="123"/>
      <c r="G427" s="93" t="s">
        <v>145</v>
      </c>
      <c r="H427" s="125"/>
      <c r="I427" s="125"/>
      <c r="J427" s="82" t="str">
        <f t="shared" ca="1" si="147"/>
        <v>#REF!</v>
      </c>
      <c r="K427" s="82" t="str">
        <f t="shared" ca="1" si="256"/>
        <v>#REF!</v>
      </c>
      <c r="L427" s="82" t="str">
        <f t="shared" ca="1" si="199"/>
        <v>#REF!</v>
      </c>
      <c r="M427" s="125"/>
      <c r="N427" s="125"/>
      <c r="O427" s="230">
        <f t="shared" si="2"/>
        <v>0</v>
      </c>
      <c r="P427" s="231">
        <f t="shared" si="3"/>
        <v>0</v>
      </c>
      <c r="Q427" s="232" t="str">
        <f ca="1">ROUNDUP(HLOOKUP(IF(CEILING(L427,0.5)&lt;1,1,CEILING(L427,0.5)),'배송비 조회'!A$32:AY$36,2,0),-2)</f>
        <v>#REF!</v>
      </c>
      <c r="R427" s="232">
        <v>0</v>
      </c>
      <c r="S427" s="231" t="str">
        <f t="shared" ca="1" si="250"/>
        <v>#REF!</v>
      </c>
      <c r="T427" s="231" t="str">
        <f t="shared" ca="1" si="200"/>
        <v>#REF!</v>
      </c>
      <c r="U427" s="233" t="str">
        <f t="shared" ca="1" si="142"/>
        <v>#REF!</v>
      </c>
      <c r="V427" s="233" t="str">
        <f t="shared" ca="1" si="7"/>
        <v>#REF!</v>
      </c>
      <c r="W427" s="234">
        <v>0</v>
      </c>
      <c r="X427" s="234" t="str">
        <f t="shared" ca="1" si="8"/>
        <v>#REF!</v>
      </c>
      <c r="Y427" s="234" t="str">
        <f t="shared" ca="1" si="9"/>
        <v>#REF!</v>
      </c>
      <c r="Z427" s="234" t="str">
        <f t="shared" ca="1" si="10"/>
        <v>#REF!</v>
      </c>
      <c r="AA427" s="234" t="str">
        <f t="shared" ca="1" si="11"/>
        <v>#REF!</v>
      </c>
      <c r="AB427" s="234" t="str">
        <f t="shared" ca="1" si="12"/>
        <v>#REF!</v>
      </c>
      <c r="AC427" s="234" t="str">
        <f t="shared" ca="1" si="13"/>
        <v>#REF!</v>
      </c>
      <c r="AD427" s="101" t="str">
        <f t="shared" ca="1" si="14"/>
        <v>#REF!</v>
      </c>
      <c r="AE427" s="101" t="str">
        <f t="shared" ca="1" si="15"/>
        <v>#REF!</v>
      </c>
      <c r="AF427" s="235" t="str">
        <f t="shared" ref="AF427:AG427" ca="1" si="504">AD427/U427</f>
        <v>#REF!</v>
      </c>
      <c r="AG427" s="235" t="str">
        <f t="shared" ca="1" si="504"/>
        <v>#REF!</v>
      </c>
      <c r="AH427" s="212"/>
      <c r="AI427" s="213"/>
      <c r="AJ427" s="4"/>
      <c r="AK427" s="4"/>
      <c r="AL427" s="4"/>
      <c r="AM427" s="4"/>
      <c r="AN427" s="4"/>
      <c r="AO427" s="4"/>
      <c r="AP427" s="4"/>
      <c r="AQ427" s="4"/>
      <c r="AR427" s="4"/>
      <c r="AS427" s="4"/>
      <c r="AT427" s="4"/>
      <c r="AU427" s="4"/>
    </row>
    <row r="428" spans="1:47" ht="13.2">
      <c r="A428" s="120"/>
      <c r="B428" s="113"/>
      <c r="C428" s="117"/>
      <c r="D428" s="117"/>
      <c r="E428" s="117"/>
      <c r="F428" s="123"/>
      <c r="G428" s="93" t="s">
        <v>145</v>
      </c>
      <c r="H428" s="125"/>
      <c r="I428" s="125"/>
      <c r="J428" s="82" t="str">
        <f t="shared" ca="1" si="147"/>
        <v>#REF!</v>
      </c>
      <c r="K428" s="82" t="str">
        <f t="shared" ca="1" si="256"/>
        <v>#REF!</v>
      </c>
      <c r="L428" s="82" t="str">
        <f t="shared" ca="1" si="199"/>
        <v>#REF!</v>
      </c>
      <c r="M428" s="125"/>
      <c r="N428" s="125"/>
      <c r="O428" s="230">
        <f t="shared" si="2"/>
        <v>0</v>
      </c>
      <c r="P428" s="231">
        <f t="shared" si="3"/>
        <v>0</v>
      </c>
      <c r="Q428" s="232" t="str">
        <f ca="1">ROUNDUP(HLOOKUP(IF(CEILING(L428,0.5)&lt;1,1,CEILING(L428,0.5)),'배송비 조회'!A$32:AY$36,2,0),-2)</f>
        <v>#REF!</v>
      </c>
      <c r="R428" s="232">
        <v>0</v>
      </c>
      <c r="S428" s="231" t="str">
        <f t="shared" ca="1" si="250"/>
        <v>#REF!</v>
      </c>
      <c r="T428" s="231" t="str">
        <f t="shared" ca="1" si="200"/>
        <v>#REF!</v>
      </c>
      <c r="U428" s="233" t="str">
        <f t="shared" ca="1" si="142"/>
        <v>#REF!</v>
      </c>
      <c r="V428" s="233" t="str">
        <f t="shared" ca="1" si="7"/>
        <v>#REF!</v>
      </c>
      <c r="W428" s="234">
        <v>0</v>
      </c>
      <c r="X428" s="234" t="str">
        <f t="shared" ca="1" si="8"/>
        <v>#REF!</v>
      </c>
      <c r="Y428" s="234" t="str">
        <f t="shared" ca="1" si="9"/>
        <v>#REF!</v>
      </c>
      <c r="Z428" s="234" t="str">
        <f t="shared" ca="1" si="10"/>
        <v>#REF!</v>
      </c>
      <c r="AA428" s="234" t="str">
        <f t="shared" ca="1" si="11"/>
        <v>#REF!</v>
      </c>
      <c r="AB428" s="234" t="str">
        <f t="shared" ca="1" si="12"/>
        <v>#REF!</v>
      </c>
      <c r="AC428" s="234" t="str">
        <f t="shared" ca="1" si="13"/>
        <v>#REF!</v>
      </c>
      <c r="AD428" s="101" t="str">
        <f t="shared" ca="1" si="14"/>
        <v>#REF!</v>
      </c>
      <c r="AE428" s="101" t="str">
        <f t="shared" ca="1" si="15"/>
        <v>#REF!</v>
      </c>
      <c r="AF428" s="235" t="str">
        <f t="shared" ref="AF428:AG428" ca="1" si="505">AD428/U428</f>
        <v>#REF!</v>
      </c>
      <c r="AG428" s="235" t="str">
        <f t="shared" ca="1" si="505"/>
        <v>#REF!</v>
      </c>
      <c r="AH428" s="212"/>
      <c r="AI428" s="213"/>
      <c r="AJ428" s="4"/>
      <c r="AK428" s="4"/>
      <c r="AL428" s="4"/>
      <c r="AM428" s="4"/>
      <c r="AN428" s="4"/>
      <c r="AO428" s="4"/>
      <c r="AP428" s="4"/>
      <c r="AQ428" s="4"/>
      <c r="AR428" s="4"/>
      <c r="AS428" s="4"/>
      <c r="AT428" s="4"/>
      <c r="AU428" s="4"/>
    </row>
    <row r="429" spans="1:47" ht="13.2">
      <c r="A429" s="120"/>
      <c r="B429" s="113"/>
      <c r="C429" s="117"/>
      <c r="D429" s="117"/>
      <c r="E429" s="117"/>
      <c r="F429" s="123"/>
      <c r="G429" s="93" t="s">
        <v>145</v>
      </c>
      <c r="H429" s="125"/>
      <c r="I429" s="125"/>
      <c r="J429" s="82" t="str">
        <f t="shared" ca="1" si="147"/>
        <v>#REF!</v>
      </c>
      <c r="K429" s="82" t="str">
        <f t="shared" ca="1" si="256"/>
        <v>#REF!</v>
      </c>
      <c r="L429" s="82" t="str">
        <f t="shared" ca="1" si="199"/>
        <v>#REF!</v>
      </c>
      <c r="M429" s="125"/>
      <c r="N429" s="125"/>
      <c r="O429" s="230">
        <f t="shared" si="2"/>
        <v>0</v>
      </c>
      <c r="P429" s="231">
        <f t="shared" si="3"/>
        <v>0</v>
      </c>
      <c r="Q429" s="232" t="str">
        <f ca="1">ROUNDUP(HLOOKUP(IF(CEILING(L429,0.5)&lt;1,1,CEILING(L429,0.5)),'배송비 조회'!A$32:AY$36,2,0),-2)</f>
        <v>#REF!</v>
      </c>
      <c r="R429" s="232">
        <v>0</v>
      </c>
      <c r="S429" s="231" t="str">
        <f t="shared" ca="1" si="250"/>
        <v>#REF!</v>
      </c>
      <c r="T429" s="231" t="str">
        <f t="shared" ca="1" si="200"/>
        <v>#REF!</v>
      </c>
      <c r="U429" s="233" t="str">
        <f t="shared" ca="1" si="142"/>
        <v>#REF!</v>
      </c>
      <c r="V429" s="233" t="str">
        <f t="shared" ca="1" si="7"/>
        <v>#REF!</v>
      </c>
      <c r="W429" s="234">
        <v>0</v>
      </c>
      <c r="X429" s="234" t="str">
        <f t="shared" ca="1" si="8"/>
        <v>#REF!</v>
      </c>
      <c r="Y429" s="234" t="str">
        <f t="shared" ca="1" si="9"/>
        <v>#REF!</v>
      </c>
      <c r="Z429" s="234" t="str">
        <f t="shared" ca="1" si="10"/>
        <v>#REF!</v>
      </c>
      <c r="AA429" s="234" t="str">
        <f t="shared" ca="1" si="11"/>
        <v>#REF!</v>
      </c>
      <c r="AB429" s="234" t="str">
        <f t="shared" ca="1" si="12"/>
        <v>#REF!</v>
      </c>
      <c r="AC429" s="234" t="str">
        <f t="shared" ca="1" si="13"/>
        <v>#REF!</v>
      </c>
      <c r="AD429" s="101" t="str">
        <f t="shared" ca="1" si="14"/>
        <v>#REF!</v>
      </c>
      <c r="AE429" s="101" t="str">
        <f t="shared" ca="1" si="15"/>
        <v>#REF!</v>
      </c>
      <c r="AF429" s="235" t="str">
        <f t="shared" ref="AF429:AG429" ca="1" si="506">AD429/U429</f>
        <v>#REF!</v>
      </c>
      <c r="AG429" s="235" t="str">
        <f t="shared" ca="1" si="506"/>
        <v>#REF!</v>
      </c>
      <c r="AH429" s="212"/>
      <c r="AI429" s="213"/>
      <c r="AJ429" s="4"/>
      <c r="AK429" s="4"/>
      <c r="AL429" s="4"/>
      <c r="AM429" s="4"/>
      <c r="AN429" s="4"/>
      <c r="AO429" s="4"/>
      <c r="AP429" s="4"/>
      <c r="AQ429" s="4"/>
      <c r="AR429" s="4"/>
      <c r="AS429" s="4"/>
      <c r="AT429" s="4"/>
      <c r="AU429" s="4"/>
    </row>
    <row r="430" spans="1:47" ht="13.2">
      <c r="A430" s="120"/>
      <c r="B430" s="113"/>
      <c r="C430" s="117"/>
      <c r="D430" s="117"/>
      <c r="E430" s="117"/>
      <c r="F430" s="123"/>
      <c r="G430" s="93" t="s">
        <v>145</v>
      </c>
      <c r="H430" s="125"/>
      <c r="I430" s="125"/>
      <c r="J430" s="82" t="str">
        <f t="shared" ca="1" si="147"/>
        <v>#REF!</v>
      </c>
      <c r="K430" s="82" t="str">
        <f t="shared" ca="1" si="256"/>
        <v>#REF!</v>
      </c>
      <c r="L430" s="82" t="str">
        <f t="shared" ca="1" si="199"/>
        <v>#REF!</v>
      </c>
      <c r="M430" s="125"/>
      <c r="N430" s="125"/>
      <c r="O430" s="230">
        <f t="shared" si="2"/>
        <v>0</v>
      </c>
      <c r="P430" s="231">
        <f t="shared" si="3"/>
        <v>0</v>
      </c>
      <c r="Q430" s="232" t="str">
        <f ca="1">ROUNDUP(HLOOKUP(IF(CEILING(L430,0.5)&lt;1,1,CEILING(L430,0.5)),'배송비 조회'!A$32:AY$36,2,0),-2)</f>
        <v>#REF!</v>
      </c>
      <c r="R430" s="232">
        <v>0</v>
      </c>
      <c r="S430" s="231" t="str">
        <f t="shared" ca="1" si="250"/>
        <v>#REF!</v>
      </c>
      <c r="T430" s="231" t="str">
        <f t="shared" ca="1" si="200"/>
        <v>#REF!</v>
      </c>
      <c r="U430" s="233" t="str">
        <f t="shared" ca="1" si="142"/>
        <v>#REF!</v>
      </c>
      <c r="V430" s="233" t="str">
        <f t="shared" ca="1" si="7"/>
        <v>#REF!</v>
      </c>
      <c r="W430" s="234">
        <v>0</v>
      </c>
      <c r="X430" s="234" t="str">
        <f t="shared" ca="1" si="8"/>
        <v>#REF!</v>
      </c>
      <c r="Y430" s="234" t="str">
        <f t="shared" ca="1" si="9"/>
        <v>#REF!</v>
      </c>
      <c r="Z430" s="234" t="str">
        <f t="shared" ca="1" si="10"/>
        <v>#REF!</v>
      </c>
      <c r="AA430" s="234" t="str">
        <f t="shared" ca="1" si="11"/>
        <v>#REF!</v>
      </c>
      <c r="AB430" s="234" t="str">
        <f t="shared" ca="1" si="12"/>
        <v>#REF!</v>
      </c>
      <c r="AC430" s="234" t="str">
        <f t="shared" ca="1" si="13"/>
        <v>#REF!</v>
      </c>
      <c r="AD430" s="101" t="str">
        <f t="shared" ca="1" si="14"/>
        <v>#REF!</v>
      </c>
      <c r="AE430" s="101" t="str">
        <f t="shared" ca="1" si="15"/>
        <v>#REF!</v>
      </c>
      <c r="AF430" s="235" t="str">
        <f t="shared" ref="AF430:AG430" ca="1" si="507">AD430/U430</f>
        <v>#REF!</v>
      </c>
      <c r="AG430" s="235" t="str">
        <f t="shared" ca="1" si="507"/>
        <v>#REF!</v>
      </c>
      <c r="AH430" s="212"/>
      <c r="AI430" s="213"/>
      <c r="AJ430" s="4"/>
      <c r="AK430" s="4"/>
      <c r="AL430" s="4"/>
      <c r="AM430" s="4"/>
      <c r="AN430" s="4"/>
      <c r="AO430" s="4"/>
      <c r="AP430" s="4"/>
      <c r="AQ430" s="4"/>
      <c r="AR430" s="4"/>
      <c r="AS430" s="4"/>
      <c r="AT430" s="4"/>
      <c r="AU430" s="4"/>
    </row>
    <row r="431" spans="1:47" ht="13.2">
      <c r="A431" s="120"/>
      <c r="B431" s="113"/>
      <c r="C431" s="117"/>
      <c r="D431" s="117"/>
      <c r="E431" s="117"/>
      <c r="F431" s="123"/>
      <c r="G431" s="93" t="s">
        <v>145</v>
      </c>
      <c r="H431" s="125"/>
      <c r="I431" s="125"/>
      <c r="J431" s="82" t="str">
        <f t="shared" ca="1" si="147"/>
        <v>#REF!</v>
      </c>
      <c r="K431" s="82" t="str">
        <f t="shared" ca="1" si="256"/>
        <v>#REF!</v>
      </c>
      <c r="L431" s="82" t="str">
        <f t="shared" ca="1" si="199"/>
        <v>#REF!</v>
      </c>
      <c r="M431" s="125"/>
      <c r="N431" s="125"/>
      <c r="O431" s="230">
        <f t="shared" si="2"/>
        <v>0</v>
      </c>
      <c r="P431" s="231">
        <f t="shared" si="3"/>
        <v>0</v>
      </c>
      <c r="Q431" s="232" t="str">
        <f ca="1">ROUNDUP(HLOOKUP(IF(CEILING(L431,0.5)&lt;1,1,CEILING(L431,0.5)),'배송비 조회'!A$32:AY$36,2,0),-2)</f>
        <v>#REF!</v>
      </c>
      <c r="R431" s="232">
        <v>0</v>
      </c>
      <c r="S431" s="231" t="str">
        <f t="shared" ca="1" si="250"/>
        <v>#REF!</v>
      </c>
      <c r="T431" s="231" t="str">
        <f t="shared" ca="1" si="200"/>
        <v>#REF!</v>
      </c>
      <c r="U431" s="233" t="str">
        <f t="shared" ca="1" si="142"/>
        <v>#REF!</v>
      </c>
      <c r="V431" s="233" t="str">
        <f t="shared" ca="1" si="7"/>
        <v>#REF!</v>
      </c>
      <c r="W431" s="234">
        <v>0</v>
      </c>
      <c r="X431" s="234" t="str">
        <f t="shared" ca="1" si="8"/>
        <v>#REF!</v>
      </c>
      <c r="Y431" s="234" t="str">
        <f t="shared" ca="1" si="9"/>
        <v>#REF!</v>
      </c>
      <c r="Z431" s="234" t="str">
        <f t="shared" ca="1" si="10"/>
        <v>#REF!</v>
      </c>
      <c r="AA431" s="234" t="str">
        <f t="shared" ca="1" si="11"/>
        <v>#REF!</v>
      </c>
      <c r="AB431" s="234" t="str">
        <f t="shared" ca="1" si="12"/>
        <v>#REF!</v>
      </c>
      <c r="AC431" s="234" t="str">
        <f t="shared" ca="1" si="13"/>
        <v>#REF!</v>
      </c>
      <c r="AD431" s="101" t="str">
        <f t="shared" ca="1" si="14"/>
        <v>#REF!</v>
      </c>
      <c r="AE431" s="101" t="str">
        <f t="shared" ca="1" si="15"/>
        <v>#REF!</v>
      </c>
      <c r="AF431" s="235" t="str">
        <f t="shared" ref="AF431:AG431" ca="1" si="508">AD431/U431</f>
        <v>#REF!</v>
      </c>
      <c r="AG431" s="235" t="str">
        <f t="shared" ca="1" si="508"/>
        <v>#REF!</v>
      </c>
      <c r="AH431" s="212"/>
      <c r="AI431" s="213"/>
      <c r="AJ431" s="4"/>
      <c r="AK431" s="4"/>
      <c r="AL431" s="4"/>
      <c r="AM431" s="4"/>
      <c r="AN431" s="4"/>
      <c r="AO431" s="4"/>
      <c r="AP431" s="4"/>
      <c r="AQ431" s="4"/>
      <c r="AR431" s="4"/>
      <c r="AS431" s="4"/>
      <c r="AT431" s="4"/>
      <c r="AU431" s="4"/>
    </row>
    <row r="432" spans="1:47" ht="13.2">
      <c r="A432" s="120"/>
      <c r="B432" s="113"/>
      <c r="C432" s="117"/>
      <c r="D432" s="117"/>
      <c r="E432" s="117"/>
      <c r="F432" s="123"/>
      <c r="G432" s="93" t="s">
        <v>145</v>
      </c>
      <c r="H432" s="125"/>
      <c r="I432" s="125"/>
      <c r="J432" s="82" t="str">
        <f t="shared" ca="1" si="147"/>
        <v>#REF!</v>
      </c>
      <c r="K432" s="82" t="str">
        <f t="shared" ca="1" si="256"/>
        <v>#REF!</v>
      </c>
      <c r="L432" s="82" t="str">
        <f t="shared" ca="1" si="199"/>
        <v>#REF!</v>
      </c>
      <c r="M432" s="125"/>
      <c r="N432" s="125"/>
      <c r="O432" s="230">
        <f t="shared" si="2"/>
        <v>0</v>
      </c>
      <c r="P432" s="231">
        <f t="shared" si="3"/>
        <v>0</v>
      </c>
      <c r="Q432" s="232" t="str">
        <f ca="1">ROUNDUP(HLOOKUP(IF(CEILING(L432,0.5)&lt;1,1,CEILING(L432,0.5)),'배송비 조회'!A$32:AY$36,2,0),-2)</f>
        <v>#REF!</v>
      </c>
      <c r="R432" s="232">
        <v>0</v>
      </c>
      <c r="S432" s="231" t="str">
        <f t="shared" ca="1" si="250"/>
        <v>#REF!</v>
      </c>
      <c r="T432" s="231" t="str">
        <f t="shared" ca="1" si="200"/>
        <v>#REF!</v>
      </c>
      <c r="U432" s="233" t="str">
        <f t="shared" ca="1" si="142"/>
        <v>#REF!</v>
      </c>
      <c r="V432" s="233" t="str">
        <f t="shared" ca="1" si="7"/>
        <v>#REF!</v>
      </c>
      <c r="W432" s="234">
        <v>0</v>
      </c>
      <c r="X432" s="234" t="str">
        <f t="shared" ca="1" si="8"/>
        <v>#REF!</v>
      </c>
      <c r="Y432" s="234" t="str">
        <f t="shared" ca="1" si="9"/>
        <v>#REF!</v>
      </c>
      <c r="Z432" s="234" t="str">
        <f t="shared" ca="1" si="10"/>
        <v>#REF!</v>
      </c>
      <c r="AA432" s="234" t="str">
        <f t="shared" ca="1" si="11"/>
        <v>#REF!</v>
      </c>
      <c r="AB432" s="234" t="str">
        <f t="shared" ca="1" si="12"/>
        <v>#REF!</v>
      </c>
      <c r="AC432" s="234" t="str">
        <f t="shared" ca="1" si="13"/>
        <v>#REF!</v>
      </c>
      <c r="AD432" s="101" t="str">
        <f t="shared" ca="1" si="14"/>
        <v>#REF!</v>
      </c>
      <c r="AE432" s="101" t="str">
        <f t="shared" ca="1" si="15"/>
        <v>#REF!</v>
      </c>
      <c r="AF432" s="235" t="str">
        <f t="shared" ref="AF432:AG432" ca="1" si="509">AD432/U432</f>
        <v>#REF!</v>
      </c>
      <c r="AG432" s="235" t="str">
        <f t="shared" ca="1" si="509"/>
        <v>#REF!</v>
      </c>
      <c r="AH432" s="212"/>
      <c r="AI432" s="213"/>
      <c r="AJ432" s="4"/>
      <c r="AK432" s="4"/>
      <c r="AL432" s="4"/>
      <c r="AM432" s="4"/>
      <c r="AN432" s="4"/>
      <c r="AO432" s="4"/>
      <c r="AP432" s="4"/>
      <c r="AQ432" s="4"/>
      <c r="AR432" s="4"/>
      <c r="AS432" s="4"/>
      <c r="AT432" s="4"/>
      <c r="AU432" s="4"/>
    </row>
    <row r="433" spans="1:47" ht="13.2">
      <c r="A433" s="120"/>
      <c r="B433" s="113"/>
      <c r="C433" s="117"/>
      <c r="D433" s="117"/>
      <c r="E433" s="117"/>
      <c r="F433" s="123"/>
      <c r="G433" s="93" t="s">
        <v>145</v>
      </c>
      <c r="H433" s="125"/>
      <c r="I433" s="125"/>
      <c r="J433" s="82" t="str">
        <f t="shared" ca="1" si="147"/>
        <v>#REF!</v>
      </c>
      <c r="K433" s="82" t="str">
        <f t="shared" ca="1" si="256"/>
        <v>#REF!</v>
      </c>
      <c r="L433" s="82" t="str">
        <f t="shared" ca="1" si="199"/>
        <v>#REF!</v>
      </c>
      <c r="M433" s="125"/>
      <c r="N433" s="125"/>
      <c r="O433" s="230">
        <f t="shared" si="2"/>
        <v>0</v>
      </c>
      <c r="P433" s="231">
        <f t="shared" si="3"/>
        <v>0</v>
      </c>
      <c r="Q433" s="232" t="str">
        <f ca="1">ROUNDUP(HLOOKUP(IF(CEILING(L433,0.5)&lt;1,1,CEILING(L433,0.5)),'배송비 조회'!A$32:AY$36,2,0),-2)</f>
        <v>#REF!</v>
      </c>
      <c r="R433" s="232">
        <v>0</v>
      </c>
      <c r="S433" s="231" t="str">
        <f t="shared" ca="1" si="250"/>
        <v>#REF!</v>
      </c>
      <c r="T433" s="231" t="str">
        <f t="shared" ca="1" si="200"/>
        <v>#REF!</v>
      </c>
      <c r="U433" s="233" t="str">
        <f t="shared" ca="1" si="142"/>
        <v>#REF!</v>
      </c>
      <c r="V433" s="233" t="str">
        <f t="shared" ca="1" si="7"/>
        <v>#REF!</v>
      </c>
      <c r="W433" s="234">
        <v>0</v>
      </c>
      <c r="X433" s="234" t="str">
        <f t="shared" ca="1" si="8"/>
        <v>#REF!</v>
      </c>
      <c r="Y433" s="234" t="str">
        <f t="shared" ca="1" si="9"/>
        <v>#REF!</v>
      </c>
      <c r="Z433" s="234" t="str">
        <f t="shared" ca="1" si="10"/>
        <v>#REF!</v>
      </c>
      <c r="AA433" s="234" t="str">
        <f t="shared" ca="1" si="11"/>
        <v>#REF!</v>
      </c>
      <c r="AB433" s="234" t="str">
        <f t="shared" ca="1" si="12"/>
        <v>#REF!</v>
      </c>
      <c r="AC433" s="234" t="str">
        <f t="shared" ca="1" si="13"/>
        <v>#REF!</v>
      </c>
      <c r="AD433" s="101" t="str">
        <f t="shared" ca="1" si="14"/>
        <v>#REF!</v>
      </c>
      <c r="AE433" s="101" t="str">
        <f t="shared" ca="1" si="15"/>
        <v>#REF!</v>
      </c>
      <c r="AF433" s="235" t="str">
        <f t="shared" ref="AF433:AG433" ca="1" si="510">AD433/U433</f>
        <v>#REF!</v>
      </c>
      <c r="AG433" s="235" t="str">
        <f t="shared" ca="1" si="510"/>
        <v>#REF!</v>
      </c>
      <c r="AH433" s="212"/>
      <c r="AI433" s="213"/>
      <c r="AJ433" s="4"/>
      <c r="AK433" s="4"/>
      <c r="AL433" s="4"/>
      <c r="AM433" s="4"/>
      <c r="AN433" s="4"/>
      <c r="AO433" s="4"/>
      <c r="AP433" s="4"/>
      <c r="AQ433" s="4"/>
      <c r="AR433" s="4"/>
      <c r="AS433" s="4"/>
      <c r="AT433" s="4"/>
      <c r="AU433" s="4"/>
    </row>
    <row r="434" spans="1:47" ht="13.2">
      <c r="A434" s="120"/>
      <c r="B434" s="113"/>
      <c r="C434" s="117"/>
      <c r="D434" s="117"/>
      <c r="E434" s="117"/>
      <c r="F434" s="123"/>
      <c r="G434" s="93" t="s">
        <v>145</v>
      </c>
      <c r="H434" s="125"/>
      <c r="I434" s="125"/>
      <c r="J434" s="82" t="str">
        <f t="shared" ca="1" si="147"/>
        <v>#REF!</v>
      </c>
      <c r="K434" s="82" t="str">
        <f t="shared" ca="1" si="256"/>
        <v>#REF!</v>
      </c>
      <c r="L434" s="82" t="str">
        <f t="shared" ca="1" si="199"/>
        <v>#REF!</v>
      </c>
      <c r="M434" s="125"/>
      <c r="N434" s="125"/>
      <c r="O434" s="230">
        <f t="shared" si="2"/>
        <v>0</v>
      </c>
      <c r="P434" s="231">
        <f t="shared" si="3"/>
        <v>0</v>
      </c>
      <c r="Q434" s="232" t="str">
        <f ca="1">ROUNDUP(HLOOKUP(IF(CEILING(L434,0.5)&lt;1,1,CEILING(L434,0.5)),'배송비 조회'!A$32:AY$36,2,0),-2)</f>
        <v>#REF!</v>
      </c>
      <c r="R434" s="232">
        <v>0</v>
      </c>
      <c r="S434" s="231" t="str">
        <f t="shared" ca="1" si="250"/>
        <v>#REF!</v>
      </c>
      <c r="T434" s="231" t="str">
        <f t="shared" ca="1" si="200"/>
        <v>#REF!</v>
      </c>
      <c r="U434" s="233" t="str">
        <f t="shared" ca="1" si="142"/>
        <v>#REF!</v>
      </c>
      <c r="V434" s="233" t="str">
        <f t="shared" ca="1" si="7"/>
        <v>#REF!</v>
      </c>
      <c r="W434" s="234">
        <v>0</v>
      </c>
      <c r="X434" s="234" t="str">
        <f t="shared" ca="1" si="8"/>
        <v>#REF!</v>
      </c>
      <c r="Y434" s="234" t="str">
        <f t="shared" ca="1" si="9"/>
        <v>#REF!</v>
      </c>
      <c r="Z434" s="234" t="str">
        <f t="shared" ca="1" si="10"/>
        <v>#REF!</v>
      </c>
      <c r="AA434" s="234" t="str">
        <f t="shared" ca="1" si="11"/>
        <v>#REF!</v>
      </c>
      <c r="AB434" s="234" t="str">
        <f t="shared" ca="1" si="12"/>
        <v>#REF!</v>
      </c>
      <c r="AC434" s="234" t="str">
        <f t="shared" ca="1" si="13"/>
        <v>#REF!</v>
      </c>
      <c r="AD434" s="101" t="str">
        <f t="shared" ca="1" si="14"/>
        <v>#REF!</v>
      </c>
      <c r="AE434" s="101" t="str">
        <f t="shared" ca="1" si="15"/>
        <v>#REF!</v>
      </c>
      <c r="AF434" s="235" t="str">
        <f t="shared" ref="AF434:AG434" ca="1" si="511">AD434/U434</f>
        <v>#REF!</v>
      </c>
      <c r="AG434" s="235" t="str">
        <f t="shared" ca="1" si="511"/>
        <v>#REF!</v>
      </c>
      <c r="AH434" s="212"/>
      <c r="AI434" s="213"/>
      <c r="AJ434" s="4"/>
      <c r="AK434" s="4"/>
      <c r="AL434" s="4"/>
      <c r="AM434" s="4"/>
      <c r="AN434" s="4"/>
      <c r="AO434" s="4"/>
      <c r="AP434" s="4"/>
      <c r="AQ434" s="4"/>
      <c r="AR434" s="4"/>
      <c r="AS434" s="4"/>
      <c r="AT434" s="4"/>
      <c r="AU434" s="4"/>
    </row>
    <row r="435" spans="1:47" ht="13.2">
      <c r="A435" s="120"/>
      <c r="B435" s="113"/>
      <c r="C435" s="117"/>
      <c r="D435" s="117"/>
      <c r="E435" s="117"/>
      <c r="F435" s="123"/>
      <c r="G435" s="93" t="s">
        <v>145</v>
      </c>
      <c r="H435" s="125"/>
      <c r="I435" s="125"/>
      <c r="J435" s="82" t="str">
        <f t="shared" ca="1" si="147"/>
        <v>#REF!</v>
      </c>
      <c r="K435" s="82" t="str">
        <f t="shared" ca="1" si="256"/>
        <v>#REF!</v>
      </c>
      <c r="L435" s="82" t="str">
        <f t="shared" ca="1" si="199"/>
        <v>#REF!</v>
      </c>
      <c r="M435" s="125"/>
      <c r="N435" s="125"/>
      <c r="O435" s="230">
        <f t="shared" si="2"/>
        <v>0</v>
      </c>
      <c r="P435" s="231">
        <f t="shared" si="3"/>
        <v>0</v>
      </c>
      <c r="Q435" s="232" t="str">
        <f ca="1">ROUNDUP(HLOOKUP(IF(CEILING(L435,0.5)&lt;1,1,CEILING(L435,0.5)),'배송비 조회'!A$32:AY$36,2,0),-2)</f>
        <v>#REF!</v>
      </c>
      <c r="R435" s="232">
        <v>0</v>
      </c>
      <c r="S435" s="231" t="str">
        <f t="shared" ca="1" si="250"/>
        <v>#REF!</v>
      </c>
      <c r="T435" s="231" t="str">
        <f t="shared" ca="1" si="200"/>
        <v>#REF!</v>
      </c>
      <c r="U435" s="233" t="str">
        <f t="shared" ca="1" si="142"/>
        <v>#REF!</v>
      </c>
      <c r="V435" s="233" t="str">
        <f t="shared" ca="1" si="7"/>
        <v>#REF!</v>
      </c>
      <c r="W435" s="234">
        <v>0</v>
      </c>
      <c r="X435" s="234" t="str">
        <f t="shared" ca="1" si="8"/>
        <v>#REF!</v>
      </c>
      <c r="Y435" s="234" t="str">
        <f t="shared" ca="1" si="9"/>
        <v>#REF!</v>
      </c>
      <c r="Z435" s="234" t="str">
        <f t="shared" ca="1" si="10"/>
        <v>#REF!</v>
      </c>
      <c r="AA435" s="234" t="str">
        <f t="shared" ca="1" si="11"/>
        <v>#REF!</v>
      </c>
      <c r="AB435" s="234" t="str">
        <f t="shared" ca="1" si="12"/>
        <v>#REF!</v>
      </c>
      <c r="AC435" s="234" t="str">
        <f t="shared" ca="1" si="13"/>
        <v>#REF!</v>
      </c>
      <c r="AD435" s="101" t="str">
        <f t="shared" ca="1" si="14"/>
        <v>#REF!</v>
      </c>
      <c r="AE435" s="101" t="str">
        <f t="shared" ca="1" si="15"/>
        <v>#REF!</v>
      </c>
      <c r="AF435" s="235" t="str">
        <f t="shared" ref="AF435:AG435" ca="1" si="512">AD435/U435</f>
        <v>#REF!</v>
      </c>
      <c r="AG435" s="235" t="str">
        <f t="shared" ca="1" si="512"/>
        <v>#REF!</v>
      </c>
      <c r="AH435" s="212"/>
      <c r="AI435" s="213"/>
      <c r="AJ435" s="4"/>
      <c r="AK435" s="4"/>
      <c r="AL435" s="4"/>
      <c r="AM435" s="4"/>
      <c r="AN435" s="4"/>
      <c r="AO435" s="4"/>
      <c r="AP435" s="4"/>
      <c r="AQ435" s="4"/>
      <c r="AR435" s="4"/>
      <c r="AS435" s="4"/>
      <c r="AT435" s="4"/>
      <c r="AU435" s="4"/>
    </row>
    <row r="436" spans="1:47" ht="13.2">
      <c r="A436" s="120"/>
      <c r="B436" s="113"/>
      <c r="C436" s="117"/>
      <c r="D436" s="117"/>
      <c r="E436" s="117"/>
      <c r="F436" s="123"/>
      <c r="G436" s="93" t="s">
        <v>145</v>
      </c>
      <c r="H436" s="125"/>
      <c r="I436" s="125"/>
      <c r="J436" s="82" t="str">
        <f t="shared" ca="1" si="147"/>
        <v>#REF!</v>
      </c>
      <c r="K436" s="82" t="str">
        <f t="shared" ca="1" si="256"/>
        <v>#REF!</v>
      </c>
      <c r="L436" s="82" t="str">
        <f t="shared" ca="1" si="199"/>
        <v>#REF!</v>
      </c>
      <c r="M436" s="125"/>
      <c r="N436" s="125"/>
      <c r="O436" s="230">
        <f t="shared" si="2"/>
        <v>0</v>
      </c>
      <c r="P436" s="231">
        <f t="shared" si="3"/>
        <v>0</v>
      </c>
      <c r="Q436" s="232" t="str">
        <f ca="1">ROUNDUP(HLOOKUP(IF(CEILING(L436,0.5)&lt;1,1,CEILING(L436,0.5)),'배송비 조회'!A$32:AY$36,2,0),-2)</f>
        <v>#REF!</v>
      </c>
      <c r="R436" s="232">
        <v>0</v>
      </c>
      <c r="S436" s="231" t="str">
        <f t="shared" ca="1" si="250"/>
        <v>#REF!</v>
      </c>
      <c r="T436" s="231" t="str">
        <f t="shared" ca="1" si="200"/>
        <v>#REF!</v>
      </c>
      <c r="U436" s="233" t="str">
        <f t="shared" ca="1" si="142"/>
        <v>#REF!</v>
      </c>
      <c r="V436" s="233" t="str">
        <f t="shared" ca="1" si="7"/>
        <v>#REF!</v>
      </c>
      <c r="W436" s="234">
        <v>0</v>
      </c>
      <c r="X436" s="234" t="str">
        <f t="shared" ca="1" si="8"/>
        <v>#REF!</v>
      </c>
      <c r="Y436" s="234" t="str">
        <f t="shared" ca="1" si="9"/>
        <v>#REF!</v>
      </c>
      <c r="Z436" s="234" t="str">
        <f t="shared" ca="1" si="10"/>
        <v>#REF!</v>
      </c>
      <c r="AA436" s="234" t="str">
        <f t="shared" ca="1" si="11"/>
        <v>#REF!</v>
      </c>
      <c r="AB436" s="234" t="str">
        <f t="shared" ca="1" si="12"/>
        <v>#REF!</v>
      </c>
      <c r="AC436" s="234" t="str">
        <f t="shared" ca="1" si="13"/>
        <v>#REF!</v>
      </c>
      <c r="AD436" s="101" t="str">
        <f t="shared" ca="1" si="14"/>
        <v>#REF!</v>
      </c>
      <c r="AE436" s="101" t="str">
        <f t="shared" ca="1" si="15"/>
        <v>#REF!</v>
      </c>
      <c r="AF436" s="235" t="str">
        <f t="shared" ref="AF436:AG436" ca="1" si="513">AD436/U436</f>
        <v>#REF!</v>
      </c>
      <c r="AG436" s="235" t="str">
        <f t="shared" ca="1" si="513"/>
        <v>#REF!</v>
      </c>
      <c r="AH436" s="212"/>
      <c r="AI436" s="213"/>
      <c r="AJ436" s="4"/>
      <c r="AK436" s="4"/>
      <c r="AL436" s="4"/>
      <c r="AM436" s="4"/>
      <c r="AN436" s="4"/>
      <c r="AO436" s="4"/>
      <c r="AP436" s="4"/>
      <c r="AQ436" s="4"/>
      <c r="AR436" s="4"/>
      <c r="AS436" s="4"/>
      <c r="AT436" s="4"/>
      <c r="AU436" s="4"/>
    </row>
    <row r="437" spans="1:47" ht="13.2">
      <c r="A437" s="120"/>
      <c r="B437" s="113"/>
      <c r="C437" s="117"/>
      <c r="D437" s="117"/>
      <c r="E437" s="117"/>
      <c r="F437" s="123"/>
      <c r="G437" s="93" t="s">
        <v>145</v>
      </c>
      <c r="H437" s="125"/>
      <c r="I437" s="125"/>
      <c r="J437" s="82" t="str">
        <f t="shared" ca="1" si="147"/>
        <v>#REF!</v>
      </c>
      <c r="K437" s="82" t="str">
        <f t="shared" ca="1" si="256"/>
        <v>#REF!</v>
      </c>
      <c r="L437" s="82" t="str">
        <f t="shared" ca="1" si="199"/>
        <v>#REF!</v>
      </c>
      <c r="M437" s="125"/>
      <c r="N437" s="125"/>
      <c r="O437" s="230">
        <f t="shared" si="2"/>
        <v>0</v>
      </c>
      <c r="P437" s="231">
        <f t="shared" si="3"/>
        <v>0</v>
      </c>
      <c r="Q437" s="232" t="str">
        <f ca="1">ROUNDUP(HLOOKUP(IF(CEILING(L437,0.5)&lt;1,1,CEILING(L437,0.5)),'배송비 조회'!A$32:AY$36,2,0),-2)</f>
        <v>#REF!</v>
      </c>
      <c r="R437" s="232">
        <v>0</v>
      </c>
      <c r="S437" s="231" t="str">
        <f t="shared" ca="1" si="250"/>
        <v>#REF!</v>
      </c>
      <c r="T437" s="231" t="str">
        <f t="shared" ca="1" si="200"/>
        <v>#REF!</v>
      </c>
      <c r="U437" s="233" t="str">
        <f t="shared" ca="1" si="142"/>
        <v>#REF!</v>
      </c>
      <c r="V437" s="233" t="str">
        <f t="shared" ca="1" si="7"/>
        <v>#REF!</v>
      </c>
      <c r="W437" s="234">
        <v>0</v>
      </c>
      <c r="X437" s="234" t="str">
        <f t="shared" ca="1" si="8"/>
        <v>#REF!</v>
      </c>
      <c r="Y437" s="234" t="str">
        <f t="shared" ca="1" si="9"/>
        <v>#REF!</v>
      </c>
      <c r="Z437" s="234" t="str">
        <f t="shared" ca="1" si="10"/>
        <v>#REF!</v>
      </c>
      <c r="AA437" s="234" t="str">
        <f t="shared" ca="1" si="11"/>
        <v>#REF!</v>
      </c>
      <c r="AB437" s="234" t="str">
        <f t="shared" ca="1" si="12"/>
        <v>#REF!</v>
      </c>
      <c r="AC437" s="234" t="str">
        <f t="shared" ca="1" si="13"/>
        <v>#REF!</v>
      </c>
      <c r="AD437" s="101" t="str">
        <f t="shared" ca="1" si="14"/>
        <v>#REF!</v>
      </c>
      <c r="AE437" s="101" t="str">
        <f t="shared" ca="1" si="15"/>
        <v>#REF!</v>
      </c>
      <c r="AF437" s="235" t="str">
        <f t="shared" ref="AF437:AG437" ca="1" si="514">AD437/U437</f>
        <v>#REF!</v>
      </c>
      <c r="AG437" s="235" t="str">
        <f t="shared" ca="1" si="514"/>
        <v>#REF!</v>
      </c>
      <c r="AH437" s="212"/>
      <c r="AI437" s="213"/>
      <c r="AJ437" s="4"/>
      <c r="AK437" s="4"/>
      <c r="AL437" s="4"/>
      <c r="AM437" s="4"/>
      <c r="AN437" s="4"/>
      <c r="AO437" s="4"/>
      <c r="AP437" s="4"/>
      <c r="AQ437" s="4"/>
      <c r="AR437" s="4"/>
      <c r="AS437" s="4"/>
      <c r="AT437" s="4"/>
      <c r="AU437" s="4"/>
    </row>
    <row r="438" spans="1:47" ht="13.2">
      <c r="A438" s="120"/>
      <c r="B438" s="113"/>
      <c r="C438" s="117"/>
      <c r="D438" s="117"/>
      <c r="E438" s="117"/>
      <c r="F438" s="123"/>
      <c r="G438" s="93" t="s">
        <v>145</v>
      </c>
      <c r="H438" s="125"/>
      <c r="I438" s="125"/>
      <c r="J438" s="82" t="str">
        <f t="shared" ca="1" si="147"/>
        <v>#REF!</v>
      </c>
      <c r="K438" s="82" t="str">
        <f t="shared" ca="1" si="256"/>
        <v>#REF!</v>
      </c>
      <c r="L438" s="82" t="str">
        <f t="shared" ca="1" si="199"/>
        <v>#REF!</v>
      </c>
      <c r="M438" s="125"/>
      <c r="N438" s="125"/>
      <c r="O438" s="230">
        <f t="shared" si="2"/>
        <v>0</v>
      </c>
      <c r="P438" s="231">
        <f t="shared" si="3"/>
        <v>0</v>
      </c>
      <c r="Q438" s="232" t="str">
        <f ca="1">ROUNDUP(HLOOKUP(IF(CEILING(L438,0.5)&lt;1,1,CEILING(L438,0.5)),'배송비 조회'!A$32:AY$36,2,0),-2)</f>
        <v>#REF!</v>
      </c>
      <c r="R438" s="232">
        <v>0</v>
      </c>
      <c r="S438" s="231" t="str">
        <f t="shared" ca="1" si="250"/>
        <v>#REF!</v>
      </c>
      <c r="T438" s="231" t="str">
        <f t="shared" ca="1" si="200"/>
        <v>#REF!</v>
      </c>
      <c r="U438" s="233" t="str">
        <f t="shared" ca="1" si="142"/>
        <v>#REF!</v>
      </c>
      <c r="V438" s="233" t="str">
        <f t="shared" ca="1" si="7"/>
        <v>#REF!</v>
      </c>
      <c r="W438" s="234">
        <v>0</v>
      </c>
      <c r="X438" s="234" t="str">
        <f t="shared" ca="1" si="8"/>
        <v>#REF!</v>
      </c>
      <c r="Y438" s="234" t="str">
        <f t="shared" ca="1" si="9"/>
        <v>#REF!</v>
      </c>
      <c r="Z438" s="234" t="str">
        <f t="shared" ca="1" si="10"/>
        <v>#REF!</v>
      </c>
      <c r="AA438" s="234" t="str">
        <f t="shared" ca="1" si="11"/>
        <v>#REF!</v>
      </c>
      <c r="AB438" s="234" t="str">
        <f t="shared" ca="1" si="12"/>
        <v>#REF!</v>
      </c>
      <c r="AC438" s="234" t="str">
        <f t="shared" ca="1" si="13"/>
        <v>#REF!</v>
      </c>
      <c r="AD438" s="101" t="str">
        <f t="shared" ca="1" si="14"/>
        <v>#REF!</v>
      </c>
      <c r="AE438" s="101" t="str">
        <f t="shared" ca="1" si="15"/>
        <v>#REF!</v>
      </c>
      <c r="AF438" s="235" t="str">
        <f t="shared" ref="AF438:AG438" ca="1" si="515">AD438/U438</f>
        <v>#REF!</v>
      </c>
      <c r="AG438" s="235" t="str">
        <f t="shared" ca="1" si="515"/>
        <v>#REF!</v>
      </c>
      <c r="AH438" s="212"/>
      <c r="AI438" s="213"/>
      <c r="AJ438" s="4"/>
      <c r="AK438" s="4"/>
      <c r="AL438" s="4"/>
      <c r="AM438" s="4"/>
      <c r="AN438" s="4"/>
      <c r="AO438" s="4"/>
      <c r="AP438" s="4"/>
      <c r="AQ438" s="4"/>
      <c r="AR438" s="4"/>
      <c r="AS438" s="4"/>
      <c r="AT438" s="4"/>
      <c r="AU438" s="4"/>
    </row>
    <row r="439" spans="1:47" ht="13.2">
      <c r="A439" s="120"/>
      <c r="B439" s="113"/>
      <c r="C439" s="117"/>
      <c r="D439" s="117"/>
      <c r="E439" s="117"/>
      <c r="F439" s="123"/>
      <c r="G439" s="93" t="s">
        <v>145</v>
      </c>
      <c r="H439" s="125"/>
      <c r="I439" s="125"/>
      <c r="J439" s="82" t="str">
        <f t="shared" ca="1" si="147"/>
        <v>#REF!</v>
      </c>
      <c r="K439" s="82" t="str">
        <f t="shared" ca="1" si="256"/>
        <v>#REF!</v>
      </c>
      <c r="L439" s="82" t="str">
        <f t="shared" ca="1" si="199"/>
        <v>#REF!</v>
      </c>
      <c r="M439" s="125"/>
      <c r="N439" s="125"/>
      <c r="O439" s="230">
        <f t="shared" si="2"/>
        <v>0</v>
      </c>
      <c r="P439" s="231">
        <f t="shared" si="3"/>
        <v>0</v>
      </c>
      <c r="Q439" s="232" t="str">
        <f ca="1">ROUNDUP(HLOOKUP(IF(CEILING(L439,0.5)&lt;1,1,CEILING(L439,0.5)),'배송비 조회'!A$32:AY$36,2,0),-2)</f>
        <v>#REF!</v>
      </c>
      <c r="R439" s="232">
        <v>0</v>
      </c>
      <c r="S439" s="231" t="str">
        <f t="shared" ca="1" si="250"/>
        <v>#REF!</v>
      </c>
      <c r="T439" s="231" t="str">
        <f t="shared" ca="1" si="200"/>
        <v>#REF!</v>
      </c>
      <c r="U439" s="233" t="str">
        <f t="shared" ca="1" si="142"/>
        <v>#REF!</v>
      </c>
      <c r="V439" s="233" t="str">
        <f t="shared" ca="1" si="7"/>
        <v>#REF!</v>
      </c>
      <c r="W439" s="234">
        <v>0</v>
      </c>
      <c r="X439" s="234" t="str">
        <f t="shared" ca="1" si="8"/>
        <v>#REF!</v>
      </c>
      <c r="Y439" s="234" t="str">
        <f t="shared" ca="1" si="9"/>
        <v>#REF!</v>
      </c>
      <c r="Z439" s="234" t="str">
        <f t="shared" ca="1" si="10"/>
        <v>#REF!</v>
      </c>
      <c r="AA439" s="234" t="str">
        <f t="shared" ca="1" si="11"/>
        <v>#REF!</v>
      </c>
      <c r="AB439" s="234" t="str">
        <f t="shared" ca="1" si="12"/>
        <v>#REF!</v>
      </c>
      <c r="AC439" s="234" t="str">
        <f t="shared" ca="1" si="13"/>
        <v>#REF!</v>
      </c>
      <c r="AD439" s="101" t="str">
        <f t="shared" ca="1" si="14"/>
        <v>#REF!</v>
      </c>
      <c r="AE439" s="101" t="str">
        <f t="shared" ca="1" si="15"/>
        <v>#REF!</v>
      </c>
      <c r="AF439" s="235" t="str">
        <f t="shared" ref="AF439:AG439" ca="1" si="516">AD439/U439</f>
        <v>#REF!</v>
      </c>
      <c r="AG439" s="235" t="str">
        <f t="shared" ca="1" si="516"/>
        <v>#REF!</v>
      </c>
      <c r="AH439" s="212"/>
      <c r="AI439" s="213"/>
      <c r="AJ439" s="4"/>
      <c r="AK439" s="4"/>
      <c r="AL439" s="4"/>
      <c r="AM439" s="4"/>
      <c r="AN439" s="4"/>
      <c r="AO439" s="4"/>
      <c r="AP439" s="4"/>
      <c r="AQ439" s="4"/>
      <c r="AR439" s="4"/>
      <c r="AS439" s="4"/>
      <c r="AT439" s="4"/>
      <c r="AU439" s="4"/>
    </row>
    <row r="440" spans="1:47" ht="13.2">
      <c r="A440" s="120"/>
      <c r="B440" s="113"/>
      <c r="C440" s="117"/>
      <c r="D440" s="117"/>
      <c r="E440" s="117"/>
      <c r="F440" s="123"/>
      <c r="G440" s="93" t="s">
        <v>145</v>
      </c>
      <c r="H440" s="125"/>
      <c r="I440" s="125"/>
      <c r="J440" s="82" t="str">
        <f t="shared" ca="1" si="147"/>
        <v>#REF!</v>
      </c>
      <c r="K440" s="82" t="str">
        <f t="shared" ca="1" si="256"/>
        <v>#REF!</v>
      </c>
      <c r="L440" s="82" t="str">
        <f t="shared" ca="1" si="199"/>
        <v>#REF!</v>
      </c>
      <c r="M440" s="125"/>
      <c r="N440" s="125"/>
      <c r="O440" s="230">
        <f t="shared" si="2"/>
        <v>0</v>
      </c>
      <c r="P440" s="231">
        <f t="shared" si="3"/>
        <v>0</v>
      </c>
      <c r="Q440" s="232" t="str">
        <f ca="1">ROUNDUP(HLOOKUP(IF(CEILING(L440,0.5)&lt;1,1,CEILING(L440,0.5)),'배송비 조회'!A$32:AY$36,2,0),-2)</f>
        <v>#REF!</v>
      </c>
      <c r="R440" s="232">
        <v>0</v>
      </c>
      <c r="S440" s="231" t="str">
        <f t="shared" ca="1" si="250"/>
        <v>#REF!</v>
      </c>
      <c r="T440" s="231" t="str">
        <f t="shared" ca="1" si="200"/>
        <v>#REF!</v>
      </c>
      <c r="U440" s="233" t="str">
        <f t="shared" ca="1" si="142"/>
        <v>#REF!</v>
      </c>
      <c r="V440" s="233" t="str">
        <f t="shared" ca="1" si="7"/>
        <v>#REF!</v>
      </c>
      <c r="W440" s="234">
        <v>0</v>
      </c>
      <c r="X440" s="234" t="str">
        <f t="shared" ca="1" si="8"/>
        <v>#REF!</v>
      </c>
      <c r="Y440" s="234" t="str">
        <f t="shared" ca="1" si="9"/>
        <v>#REF!</v>
      </c>
      <c r="Z440" s="234" t="str">
        <f t="shared" ca="1" si="10"/>
        <v>#REF!</v>
      </c>
      <c r="AA440" s="234" t="str">
        <f t="shared" ca="1" si="11"/>
        <v>#REF!</v>
      </c>
      <c r="AB440" s="234" t="str">
        <f t="shared" ca="1" si="12"/>
        <v>#REF!</v>
      </c>
      <c r="AC440" s="234" t="str">
        <f t="shared" ca="1" si="13"/>
        <v>#REF!</v>
      </c>
      <c r="AD440" s="101" t="str">
        <f t="shared" ca="1" si="14"/>
        <v>#REF!</v>
      </c>
      <c r="AE440" s="101" t="str">
        <f t="shared" ca="1" si="15"/>
        <v>#REF!</v>
      </c>
      <c r="AF440" s="235" t="str">
        <f t="shared" ref="AF440:AG440" ca="1" si="517">AD440/U440</f>
        <v>#REF!</v>
      </c>
      <c r="AG440" s="235" t="str">
        <f t="shared" ca="1" si="517"/>
        <v>#REF!</v>
      </c>
      <c r="AH440" s="212"/>
      <c r="AI440" s="213"/>
      <c r="AJ440" s="4"/>
      <c r="AK440" s="4"/>
      <c r="AL440" s="4"/>
      <c r="AM440" s="4"/>
      <c r="AN440" s="4"/>
      <c r="AO440" s="4"/>
      <c r="AP440" s="4"/>
      <c r="AQ440" s="4"/>
      <c r="AR440" s="4"/>
      <c r="AS440" s="4"/>
      <c r="AT440" s="4"/>
      <c r="AU440" s="4"/>
    </row>
    <row r="441" spans="1:47" ht="13.2">
      <c r="A441" s="120"/>
      <c r="B441" s="113"/>
      <c r="C441" s="117"/>
      <c r="D441" s="117"/>
      <c r="E441" s="117"/>
      <c r="F441" s="123"/>
      <c r="G441" s="93" t="s">
        <v>145</v>
      </c>
      <c r="H441" s="125"/>
      <c r="I441" s="125"/>
      <c r="J441" s="82" t="str">
        <f t="shared" ca="1" si="147"/>
        <v>#REF!</v>
      </c>
      <c r="K441" s="82" t="str">
        <f t="shared" ca="1" si="256"/>
        <v>#REF!</v>
      </c>
      <c r="L441" s="82" t="str">
        <f t="shared" ca="1" si="199"/>
        <v>#REF!</v>
      </c>
      <c r="M441" s="125"/>
      <c r="N441" s="125"/>
      <c r="O441" s="230">
        <f t="shared" si="2"/>
        <v>0</v>
      </c>
      <c r="P441" s="231">
        <f t="shared" si="3"/>
        <v>0</v>
      </c>
      <c r="Q441" s="232" t="str">
        <f ca="1">ROUNDUP(HLOOKUP(IF(CEILING(L441,0.5)&lt;1,1,CEILING(L441,0.5)),'배송비 조회'!A$32:AY$36,2,0),-2)</f>
        <v>#REF!</v>
      </c>
      <c r="R441" s="232">
        <v>0</v>
      </c>
      <c r="S441" s="231" t="str">
        <f t="shared" ca="1" si="250"/>
        <v>#REF!</v>
      </c>
      <c r="T441" s="231" t="str">
        <f t="shared" ca="1" si="200"/>
        <v>#REF!</v>
      </c>
      <c r="U441" s="233" t="str">
        <f t="shared" ca="1" si="142"/>
        <v>#REF!</v>
      </c>
      <c r="V441" s="233" t="str">
        <f t="shared" ca="1" si="7"/>
        <v>#REF!</v>
      </c>
      <c r="W441" s="234">
        <v>0</v>
      </c>
      <c r="X441" s="234" t="str">
        <f t="shared" ca="1" si="8"/>
        <v>#REF!</v>
      </c>
      <c r="Y441" s="234" t="str">
        <f t="shared" ca="1" si="9"/>
        <v>#REF!</v>
      </c>
      <c r="Z441" s="234" t="str">
        <f t="shared" ca="1" si="10"/>
        <v>#REF!</v>
      </c>
      <c r="AA441" s="234" t="str">
        <f t="shared" ca="1" si="11"/>
        <v>#REF!</v>
      </c>
      <c r="AB441" s="234" t="str">
        <f t="shared" ca="1" si="12"/>
        <v>#REF!</v>
      </c>
      <c r="AC441" s="234" t="str">
        <f t="shared" ca="1" si="13"/>
        <v>#REF!</v>
      </c>
      <c r="AD441" s="101" t="str">
        <f t="shared" ca="1" si="14"/>
        <v>#REF!</v>
      </c>
      <c r="AE441" s="101" t="str">
        <f t="shared" ca="1" si="15"/>
        <v>#REF!</v>
      </c>
      <c r="AF441" s="235" t="str">
        <f t="shared" ref="AF441:AG441" ca="1" si="518">AD441/U441</f>
        <v>#REF!</v>
      </c>
      <c r="AG441" s="235" t="str">
        <f t="shared" ca="1" si="518"/>
        <v>#REF!</v>
      </c>
      <c r="AH441" s="212"/>
      <c r="AI441" s="213"/>
      <c r="AJ441" s="4"/>
      <c r="AK441" s="4"/>
      <c r="AL441" s="4"/>
      <c r="AM441" s="4"/>
      <c r="AN441" s="4"/>
      <c r="AO441" s="4"/>
      <c r="AP441" s="4"/>
      <c r="AQ441" s="4"/>
      <c r="AR441" s="4"/>
      <c r="AS441" s="4"/>
      <c r="AT441" s="4"/>
      <c r="AU441" s="4"/>
    </row>
    <row r="442" spans="1:47" ht="13.2">
      <c r="A442" s="120"/>
      <c r="B442" s="113"/>
      <c r="C442" s="117"/>
      <c r="D442" s="117"/>
      <c r="E442" s="117"/>
      <c r="F442" s="123"/>
      <c r="G442" s="93" t="s">
        <v>145</v>
      </c>
      <c r="H442" s="125"/>
      <c r="I442" s="125"/>
      <c r="J442" s="82" t="str">
        <f t="shared" ca="1" si="147"/>
        <v>#REF!</v>
      </c>
      <c r="K442" s="82" t="str">
        <f t="shared" ca="1" si="256"/>
        <v>#REF!</v>
      </c>
      <c r="L442" s="82" t="str">
        <f t="shared" ca="1" si="199"/>
        <v>#REF!</v>
      </c>
      <c r="M442" s="125"/>
      <c r="N442" s="125"/>
      <c r="O442" s="230">
        <f t="shared" si="2"/>
        <v>0</v>
      </c>
      <c r="P442" s="231">
        <f t="shared" si="3"/>
        <v>0</v>
      </c>
      <c r="Q442" s="232" t="str">
        <f ca="1">ROUNDUP(HLOOKUP(IF(CEILING(L442,0.5)&lt;1,1,CEILING(L442,0.5)),'배송비 조회'!A$32:AY$36,2,0),-2)</f>
        <v>#REF!</v>
      </c>
      <c r="R442" s="232">
        <v>0</v>
      </c>
      <c r="S442" s="231" t="str">
        <f t="shared" ca="1" si="250"/>
        <v>#REF!</v>
      </c>
      <c r="T442" s="231" t="str">
        <f t="shared" ca="1" si="200"/>
        <v>#REF!</v>
      </c>
      <c r="U442" s="233" t="str">
        <f t="shared" ca="1" si="142"/>
        <v>#REF!</v>
      </c>
      <c r="V442" s="233" t="str">
        <f t="shared" ca="1" si="7"/>
        <v>#REF!</v>
      </c>
      <c r="W442" s="234">
        <v>0</v>
      </c>
      <c r="X442" s="234" t="str">
        <f t="shared" ca="1" si="8"/>
        <v>#REF!</v>
      </c>
      <c r="Y442" s="234" t="str">
        <f t="shared" ca="1" si="9"/>
        <v>#REF!</v>
      </c>
      <c r="Z442" s="234" t="str">
        <f t="shared" ca="1" si="10"/>
        <v>#REF!</v>
      </c>
      <c r="AA442" s="234" t="str">
        <f t="shared" ca="1" si="11"/>
        <v>#REF!</v>
      </c>
      <c r="AB442" s="234" t="str">
        <f t="shared" ca="1" si="12"/>
        <v>#REF!</v>
      </c>
      <c r="AC442" s="234" t="str">
        <f t="shared" ca="1" si="13"/>
        <v>#REF!</v>
      </c>
      <c r="AD442" s="101" t="str">
        <f t="shared" ca="1" si="14"/>
        <v>#REF!</v>
      </c>
      <c r="AE442" s="101" t="str">
        <f t="shared" ca="1" si="15"/>
        <v>#REF!</v>
      </c>
      <c r="AF442" s="235" t="str">
        <f t="shared" ref="AF442:AG442" ca="1" si="519">AD442/U442</f>
        <v>#REF!</v>
      </c>
      <c r="AG442" s="235" t="str">
        <f t="shared" ca="1" si="519"/>
        <v>#REF!</v>
      </c>
      <c r="AH442" s="212"/>
      <c r="AI442" s="213"/>
      <c r="AJ442" s="4"/>
      <c r="AK442" s="4"/>
      <c r="AL442" s="4"/>
      <c r="AM442" s="4"/>
      <c r="AN442" s="4"/>
      <c r="AO442" s="4"/>
      <c r="AP442" s="4"/>
      <c r="AQ442" s="4"/>
      <c r="AR442" s="4"/>
      <c r="AS442" s="4"/>
      <c r="AT442" s="4"/>
      <c r="AU442" s="4"/>
    </row>
    <row r="443" spans="1:47" ht="13.2">
      <c r="A443" s="120"/>
      <c r="B443" s="113"/>
      <c r="C443" s="117"/>
      <c r="D443" s="117"/>
      <c r="E443" s="117"/>
      <c r="F443" s="123"/>
      <c r="G443" s="93" t="s">
        <v>145</v>
      </c>
      <c r="H443" s="125"/>
      <c r="I443" s="125"/>
      <c r="J443" s="82" t="str">
        <f t="shared" ca="1" si="147"/>
        <v>#REF!</v>
      </c>
      <c r="K443" s="82" t="str">
        <f t="shared" ca="1" si="256"/>
        <v>#REF!</v>
      </c>
      <c r="L443" s="82" t="str">
        <f t="shared" ca="1" si="199"/>
        <v>#REF!</v>
      </c>
      <c r="M443" s="125"/>
      <c r="N443" s="125"/>
      <c r="O443" s="230">
        <f t="shared" si="2"/>
        <v>0</v>
      </c>
      <c r="P443" s="231">
        <f t="shared" si="3"/>
        <v>0</v>
      </c>
      <c r="Q443" s="232" t="str">
        <f ca="1">ROUNDUP(HLOOKUP(IF(CEILING(L443,0.5)&lt;1,1,CEILING(L443,0.5)),'배송비 조회'!A$32:AY$36,2,0),-2)</f>
        <v>#REF!</v>
      </c>
      <c r="R443" s="232">
        <v>0</v>
      </c>
      <c r="S443" s="231" t="str">
        <f t="shared" ca="1" si="250"/>
        <v>#REF!</v>
      </c>
      <c r="T443" s="231" t="str">
        <f t="shared" ca="1" si="200"/>
        <v>#REF!</v>
      </c>
      <c r="U443" s="233" t="str">
        <f t="shared" ca="1" si="142"/>
        <v>#REF!</v>
      </c>
      <c r="V443" s="233" t="str">
        <f t="shared" ca="1" si="7"/>
        <v>#REF!</v>
      </c>
      <c r="W443" s="234">
        <v>0</v>
      </c>
      <c r="X443" s="234" t="str">
        <f t="shared" ca="1" si="8"/>
        <v>#REF!</v>
      </c>
      <c r="Y443" s="234" t="str">
        <f t="shared" ca="1" si="9"/>
        <v>#REF!</v>
      </c>
      <c r="Z443" s="234" t="str">
        <f t="shared" ca="1" si="10"/>
        <v>#REF!</v>
      </c>
      <c r="AA443" s="234" t="str">
        <f t="shared" ca="1" si="11"/>
        <v>#REF!</v>
      </c>
      <c r="AB443" s="234" t="str">
        <f t="shared" ca="1" si="12"/>
        <v>#REF!</v>
      </c>
      <c r="AC443" s="234" t="str">
        <f t="shared" ca="1" si="13"/>
        <v>#REF!</v>
      </c>
      <c r="AD443" s="101" t="str">
        <f t="shared" ca="1" si="14"/>
        <v>#REF!</v>
      </c>
      <c r="AE443" s="101" t="str">
        <f t="shared" ca="1" si="15"/>
        <v>#REF!</v>
      </c>
      <c r="AF443" s="235" t="str">
        <f t="shared" ref="AF443:AG443" ca="1" si="520">AD443/U443</f>
        <v>#REF!</v>
      </c>
      <c r="AG443" s="235" t="str">
        <f t="shared" ca="1" si="520"/>
        <v>#REF!</v>
      </c>
      <c r="AH443" s="212"/>
      <c r="AI443" s="213"/>
      <c r="AJ443" s="4"/>
      <c r="AK443" s="4"/>
      <c r="AL443" s="4"/>
      <c r="AM443" s="4"/>
      <c r="AN443" s="4"/>
      <c r="AO443" s="4"/>
      <c r="AP443" s="4"/>
      <c r="AQ443" s="4"/>
      <c r="AR443" s="4"/>
      <c r="AS443" s="4"/>
      <c r="AT443" s="4"/>
      <c r="AU443" s="4"/>
    </row>
    <row r="444" spans="1:47" ht="13.2">
      <c r="A444" s="120"/>
      <c r="B444" s="113"/>
      <c r="C444" s="117"/>
      <c r="D444" s="117"/>
      <c r="E444" s="117"/>
      <c r="F444" s="123"/>
      <c r="G444" s="93" t="s">
        <v>145</v>
      </c>
      <c r="H444" s="125"/>
      <c r="I444" s="125"/>
      <c r="J444" s="82" t="str">
        <f t="shared" ca="1" si="147"/>
        <v>#REF!</v>
      </c>
      <c r="K444" s="82" t="str">
        <f t="shared" ca="1" si="256"/>
        <v>#REF!</v>
      </c>
      <c r="L444" s="82" t="str">
        <f t="shared" ca="1" si="199"/>
        <v>#REF!</v>
      </c>
      <c r="M444" s="125"/>
      <c r="N444" s="125"/>
      <c r="O444" s="230">
        <f t="shared" si="2"/>
        <v>0</v>
      </c>
      <c r="P444" s="231">
        <f t="shared" si="3"/>
        <v>0</v>
      </c>
      <c r="Q444" s="232" t="str">
        <f ca="1">ROUNDUP(HLOOKUP(IF(CEILING(L444,0.5)&lt;1,1,CEILING(L444,0.5)),'배송비 조회'!A$32:AY$36,2,0),-2)</f>
        <v>#REF!</v>
      </c>
      <c r="R444" s="232">
        <v>0</v>
      </c>
      <c r="S444" s="231" t="str">
        <f t="shared" ca="1" si="250"/>
        <v>#REF!</v>
      </c>
      <c r="T444" s="231" t="str">
        <f t="shared" ca="1" si="200"/>
        <v>#REF!</v>
      </c>
      <c r="U444" s="233" t="str">
        <f t="shared" ca="1" si="142"/>
        <v>#REF!</v>
      </c>
      <c r="V444" s="233" t="str">
        <f t="shared" ca="1" si="7"/>
        <v>#REF!</v>
      </c>
      <c r="W444" s="234">
        <v>0</v>
      </c>
      <c r="X444" s="234" t="str">
        <f t="shared" ca="1" si="8"/>
        <v>#REF!</v>
      </c>
      <c r="Y444" s="234" t="str">
        <f t="shared" ca="1" si="9"/>
        <v>#REF!</v>
      </c>
      <c r="Z444" s="234" t="str">
        <f t="shared" ca="1" si="10"/>
        <v>#REF!</v>
      </c>
      <c r="AA444" s="234" t="str">
        <f t="shared" ca="1" si="11"/>
        <v>#REF!</v>
      </c>
      <c r="AB444" s="234" t="str">
        <f t="shared" ca="1" si="12"/>
        <v>#REF!</v>
      </c>
      <c r="AC444" s="234" t="str">
        <f t="shared" ca="1" si="13"/>
        <v>#REF!</v>
      </c>
      <c r="AD444" s="101" t="str">
        <f t="shared" ca="1" si="14"/>
        <v>#REF!</v>
      </c>
      <c r="AE444" s="101" t="str">
        <f t="shared" ca="1" si="15"/>
        <v>#REF!</v>
      </c>
      <c r="AF444" s="235" t="str">
        <f t="shared" ref="AF444:AG444" ca="1" si="521">AD444/U444</f>
        <v>#REF!</v>
      </c>
      <c r="AG444" s="235" t="str">
        <f t="shared" ca="1" si="521"/>
        <v>#REF!</v>
      </c>
      <c r="AH444" s="212"/>
      <c r="AI444" s="213"/>
      <c r="AJ444" s="4"/>
      <c r="AK444" s="4"/>
      <c r="AL444" s="4"/>
      <c r="AM444" s="4"/>
      <c r="AN444" s="4"/>
      <c r="AO444" s="4"/>
      <c r="AP444" s="4"/>
      <c r="AQ444" s="4"/>
      <c r="AR444" s="4"/>
      <c r="AS444" s="4"/>
      <c r="AT444" s="4"/>
      <c r="AU444" s="4"/>
    </row>
    <row r="445" spans="1:47" ht="13.2">
      <c r="A445" s="120"/>
      <c r="B445" s="113"/>
      <c r="C445" s="117"/>
      <c r="D445" s="117"/>
      <c r="E445" s="117"/>
      <c r="F445" s="123"/>
      <c r="G445" s="93" t="s">
        <v>145</v>
      </c>
      <c r="H445" s="125"/>
      <c r="I445" s="125"/>
      <c r="J445" s="82" t="str">
        <f t="shared" ca="1" si="147"/>
        <v>#REF!</v>
      </c>
      <c r="K445" s="82" t="str">
        <f t="shared" ca="1" si="256"/>
        <v>#REF!</v>
      </c>
      <c r="L445" s="82" t="str">
        <f t="shared" ca="1" si="199"/>
        <v>#REF!</v>
      </c>
      <c r="M445" s="125"/>
      <c r="N445" s="125"/>
      <c r="O445" s="230">
        <f t="shared" si="2"/>
        <v>0</v>
      </c>
      <c r="P445" s="231">
        <f t="shared" si="3"/>
        <v>0</v>
      </c>
      <c r="Q445" s="232" t="str">
        <f ca="1">ROUNDUP(HLOOKUP(IF(CEILING(L445,0.5)&lt;1,1,CEILING(L445,0.5)),'배송비 조회'!A$32:AY$36,2,0),-2)</f>
        <v>#REF!</v>
      </c>
      <c r="R445" s="232">
        <v>0</v>
      </c>
      <c r="S445" s="231" t="str">
        <f t="shared" ca="1" si="250"/>
        <v>#REF!</v>
      </c>
      <c r="T445" s="231" t="str">
        <f t="shared" ca="1" si="200"/>
        <v>#REF!</v>
      </c>
      <c r="U445" s="233" t="str">
        <f t="shared" ca="1" si="142"/>
        <v>#REF!</v>
      </c>
      <c r="V445" s="233" t="str">
        <f t="shared" ca="1" si="7"/>
        <v>#REF!</v>
      </c>
      <c r="W445" s="234">
        <v>0</v>
      </c>
      <c r="X445" s="234" t="str">
        <f t="shared" ca="1" si="8"/>
        <v>#REF!</v>
      </c>
      <c r="Y445" s="234" t="str">
        <f t="shared" ca="1" si="9"/>
        <v>#REF!</v>
      </c>
      <c r="Z445" s="234" t="str">
        <f t="shared" ca="1" si="10"/>
        <v>#REF!</v>
      </c>
      <c r="AA445" s="234" t="str">
        <f t="shared" ca="1" si="11"/>
        <v>#REF!</v>
      </c>
      <c r="AB445" s="234" t="str">
        <f t="shared" ca="1" si="12"/>
        <v>#REF!</v>
      </c>
      <c r="AC445" s="234" t="str">
        <f t="shared" ca="1" si="13"/>
        <v>#REF!</v>
      </c>
      <c r="AD445" s="101" t="str">
        <f t="shared" ca="1" si="14"/>
        <v>#REF!</v>
      </c>
      <c r="AE445" s="101" t="str">
        <f t="shared" ca="1" si="15"/>
        <v>#REF!</v>
      </c>
      <c r="AF445" s="235" t="str">
        <f t="shared" ref="AF445:AG445" ca="1" si="522">AD445/U445</f>
        <v>#REF!</v>
      </c>
      <c r="AG445" s="235" t="str">
        <f t="shared" ca="1" si="522"/>
        <v>#REF!</v>
      </c>
      <c r="AH445" s="212"/>
      <c r="AI445" s="213"/>
      <c r="AJ445" s="4"/>
      <c r="AK445" s="4"/>
      <c r="AL445" s="4"/>
      <c r="AM445" s="4"/>
      <c r="AN445" s="4"/>
      <c r="AO445" s="4"/>
      <c r="AP445" s="4"/>
      <c r="AQ445" s="4"/>
      <c r="AR445" s="4"/>
      <c r="AS445" s="4"/>
      <c r="AT445" s="4"/>
      <c r="AU445" s="4"/>
    </row>
    <row r="446" spans="1:47" ht="13.2">
      <c r="A446" s="120"/>
      <c r="B446" s="113"/>
      <c r="C446" s="117"/>
      <c r="D446" s="117"/>
      <c r="E446" s="117"/>
      <c r="F446" s="123"/>
      <c r="G446" s="93" t="s">
        <v>145</v>
      </c>
      <c r="H446" s="125"/>
      <c r="I446" s="125"/>
      <c r="J446" s="82" t="str">
        <f t="shared" ca="1" si="147"/>
        <v>#REF!</v>
      </c>
      <c r="K446" s="82" t="str">
        <f t="shared" ca="1" si="256"/>
        <v>#REF!</v>
      </c>
      <c r="L446" s="82" t="str">
        <f t="shared" ca="1" si="199"/>
        <v>#REF!</v>
      </c>
      <c r="M446" s="125"/>
      <c r="N446" s="125"/>
      <c r="O446" s="230">
        <f t="shared" si="2"/>
        <v>0</v>
      </c>
      <c r="P446" s="231">
        <f t="shared" si="3"/>
        <v>0</v>
      </c>
      <c r="Q446" s="232" t="str">
        <f ca="1">ROUNDUP(HLOOKUP(IF(CEILING(L446,0.5)&lt;1,1,CEILING(L446,0.5)),'배송비 조회'!A$32:AY$36,2,0),-2)</f>
        <v>#REF!</v>
      </c>
      <c r="R446" s="232">
        <v>0</v>
      </c>
      <c r="S446" s="231" t="str">
        <f t="shared" ca="1" si="250"/>
        <v>#REF!</v>
      </c>
      <c r="T446" s="231" t="str">
        <f t="shared" ca="1" si="200"/>
        <v>#REF!</v>
      </c>
      <c r="U446" s="233" t="str">
        <f t="shared" ca="1" si="142"/>
        <v>#REF!</v>
      </c>
      <c r="V446" s="233" t="str">
        <f t="shared" ca="1" si="7"/>
        <v>#REF!</v>
      </c>
      <c r="W446" s="234">
        <v>0</v>
      </c>
      <c r="X446" s="234" t="str">
        <f t="shared" ca="1" si="8"/>
        <v>#REF!</v>
      </c>
      <c r="Y446" s="234" t="str">
        <f t="shared" ca="1" si="9"/>
        <v>#REF!</v>
      </c>
      <c r="Z446" s="234" t="str">
        <f t="shared" ca="1" si="10"/>
        <v>#REF!</v>
      </c>
      <c r="AA446" s="234" t="str">
        <f t="shared" ca="1" si="11"/>
        <v>#REF!</v>
      </c>
      <c r="AB446" s="234" t="str">
        <f t="shared" ca="1" si="12"/>
        <v>#REF!</v>
      </c>
      <c r="AC446" s="234" t="str">
        <f t="shared" ca="1" si="13"/>
        <v>#REF!</v>
      </c>
      <c r="AD446" s="101" t="str">
        <f t="shared" ca="1" si="14"/>
        <v>#REF!</v>
      </c>
      <c r="AE446" s="101" t="str">
        <f t="shared" ca="1" si="15"/>
        <v>#REF!</v>
      </c>
      <c r="AF446" s="235" t="str">
        <f t="shared" ref="AF446:AG446" ca="1" si="523">AD446/U446</f>
        <v>#REF!</v>
      </c>
      <c r="AG446" s="235" t="str">
        <f t="shared" ca="1" si="523"/>
        <v>#REF!</v>
      </c>
      <c r="AH446" s="212"/>
      <c r="AI446" s="213"/>
      <c r="AJ446" s="4"/>
      <c r="AK446" s="4"/>
      <c r="AL446" s="4"/>
      <c r="AM446" s="4"/>
      <c r="AN446" s="4"/>
      <c r="AO446" s="4"/>
      <c r="AP446" s="4"/>
      <c r="AQ446" s="4"/>
      <c r="AR446" s="4"/>
      <c r="AS446" s="4"/>
      <c r="AT446" s="4"/>
      <c r="AU446" s="4"/>
    </row>
    <row r="447" spans="1:47" ht="13.2">
      <c r="A447" s="120"/>
      <c r="B447" s="113"/>
      <c r="C447" s="117"/>
      <c r="D447" s="117"/>
      <c r="E447" s="117"/>
      <c r="F447" s="123"/>
      <c r="G447" s="93" t="s">
        <v>145</v>
      </c>
      <c r="H447" s="125"/>
      <c r="I447" s="125"/>
      <c r="J447" s="82" t="str">
        <f t="shared" ca="1" si="147"/>
        <v>#REF!</v>
      </c>
      <c r="K447" s="82" t="str">
        <f t="shared" ca="1" si="256"/>
        <v>#REF!</v>
      </c>
      <c r="L447" s="82" t="str">
        <f t="shared" ca="1" si="199"/>
        <v>#REF!</v>
      </c>
      <c r="M447" s="125"/>
      <c r="N447" s="125"/>
      <c r="O447" s="230">
        <f t="shared" si="2"/>
        <v>0</v>
      </c>
      <c r="P447" s="231">
        <f t="shared" si="3"/>
        <v>0</v>
      </c>
      <c r="Q447" s="232" t="str">
        <f ca="1">ROUNDUP(HLOOKUP(IF(CEILING(L447,0.5)&lt;1,1,CEILING(L447,0.5)),'배송비 조회'!A$32:AY$36,2,0),-2)</f>
        <v>#REF!</v>
      </c>
      <c r="R447" s="232">
        <v>0</v>
      </c>
      <c r="S447" s="231" t="str">
        <f t="shared" ca="1" si="250"/>
        <v>#REF!</v>
      </c>
      <c r="T447" s="231" t="str">
        <f t="shared" ca="1" si="200"/>
        <v>#REF!</v>
      </c>
      <c r="U447" s="233" t="str">
        <f t="shared" ca="1" si="142"/>
        <v>#REF!</v>
      </c>
      <c r="V447" s="233" t="str">
        <f t="shared" ca="1" si="7"/>
        <v>#REF!</v>
      </c>
      <c r="W447" s="234">
        <v>0</v>
      </c>
      <c r="X447" s="234" t="str">
        <f t="shared" ca="1" si="8"/>
        <v>#REF!</v>
      </c>
      <c r="Y447" s="234" t="str">
        <f t="shared" ca="1" si="9"/>
        <v>#REF!</v>
      </c>
      <c r="Z447" s="234" t="str">
        <f t="shared" ca="1" si="10"/>
        <v>#REF!</v>
      </c>
      <c r="AA447" s="234" t="str">
        <f t="shared" ca="1" si="11"/>
        <v>#REF!</v>
      </c>
      <c r="AB447" s="234" t="str">
        <f t="shared" ca="1" si="12"/>
        <v>#REF!</v>
      </c>
      <c r="AC447" s="234" t="str">
        <f t="shared" ca="1" si="13"/>
        <v>#REF!</v>
      </c>
      <c r="AD447" s="101" t="str">
        <f t="shared" ca="1" si="14"/>
        <v>#REF!</v>
      </c>
      <c r="AE447" s="101" t="str">
        <f t="shared" ca="1" si="15"/>
        <v>#REF!</v>
      </c>
      <c r="AF447" s="235" t="str">
        <f t="shared" ref="AF447:AG447" ca="1" si="524">AD447/U447</f>
        <v>#REF!</v>
      </c>
      <c r="AG447" s="235" t="str">
        <f t="shared" ca="1" si="524"/>
        <v>#REF!</v>
      </c>
      <c r="AH447" s="212"/>
      <c r="AI447" s="213"/>
      <c r="AJ447" s="4"/>
      <c r="AK447" s="4"/>
      <c r="AL447" s="4"/>
      <c r="AM447" s="4"/>
      <c r="AN447" s="4"/>
      <c r="AO447" s="4"/>
      <c r="AP447" s="4"/>
      <c r="AQ447" s="4"/>
      <c r="AR447" s="4"/>
      <c r="AS447" s="4"/>
      <c r="AT447" s="4"/>
      <c r="AU447" s="4"/>
    </row>
    <row r="448" spans="1:47" ht="13.2">
      <c r="A448" s="120"/>
      <c r="B448" s="113"/>
      <c r="C448" s="117"/>
      <c r="D448" s="117"/>
      <c r="E448" s="117"/>
      <c r="F448" s="123"/>
      <c r="G448" s="93" t="s">
        <v>145</v>
      </c>
      <c r="H448" s="125"/>
      <c r="I448" s="125"/>
      <c r="J448" s="82" t="str">
        <f t="shared" ca="1" si="147"/>
        <v>#REF!</v>
      </c>
      <c r="K448" s="82" t="str">
        <f t="shared" ca="1" si="256"/>
        <v>#REF!</v>
      </c>
      <c r="L448" s="82" t="str">
        <f t="shared" ca="1" si="199"/>
        <v>#REF!</v>
      </c>
      <c r="M448" s="125"/>
      <c r="N448" s="125"/>
      <c r="O448" s="230">
        <f t="shared" si="2"/>
        <v>0</v>
      </c>
      <c r="P448" s="231">
        <f t="shared" si="3"/>
        <v>0</v>
      </c>
      <c r="Q448" s="232" t="str">
        <f ca="1">ROUNDUP(HLOOKUP(IF(CEILING(L448,0.5)&lt;1,1,CEILING(L448,0.5)),'배송비 조회'!A$32:AY$36,2,0),-2)</f>
        <v>#REF!</v>
      </c>
      <c r="R448" s="232">
        <v>0</v>
      </c>
      <c r="S448" s="231" t="str">
        <f t="shared" ca="1" si="250"/>
        <v>#REF!</v>
      </c>
      <c r="T448" s="231" t="str">
        <f t="shared" ca="1" si="200"/>
        <v>#REF!</v>
      </c>
      <c r="U448" s="233" t="str">
        <f t="shared" ca="1" si="142"/>
        <v>#REF!</v>
      </c>
      <c r="V448" s="233" t="str">
        <f t="shared" ca="1" si="7"/>
        <v>#REF!</v>
      </c>
      <c r="W448" s="234">
        <v>0</v>
      </c>
      <c r="X448" s="234" t="str">
        <f t="shared" ca="1" si="8"/>
        <v>#REF!</v>
      </c>
      <c r="Y448" s="234" t="str">
        <f t="shared" ca="1" si="9"/>
        <v>#REF!</v>
      </c>
      <c r="Z448" s="234" t="str">
        <f t="shared" ca="1" si="10"/>
        <v>#REF!</v>
      </c>
      <c r="AA448" s="234" t="str">
        <f t="shared" ca="1" si="11"/>
        <v>#REF!</v>
      </c>
      <c r="AB448" s="234" t="str">
        <f t="shared" ca="1" si="12"/>
        <v>#REF!</v>
      </c>
      <c r="AC448" s="234" t="str">
        <f t="shared" ca="1" si="13"/>
        <v>#REF!</v>
      </c>
      <c r="AD448" s="101" t="str">
        <f t="shared" ca="1" si="14"/>
        <v>#REF!</v>
      </c>
      <c r="AE448" s="101" t="str">
        <f t="shared" ca="1" si="15"/>
        <v>#REF!</v>
      </c>
      <c r="AF448" s="235" t="str">
        <f t="shared" ref="AF448:AG448" ca="1" si="525">AD448/U448</f>
        <v>#REF!</v>
      </c>
      <c r="AG448" s="235" t="str">
        <f t="shared" ca="1" si="525"/>
        <v>#REF!</v>
      </c>
      <c r="AH448" s="212"/>
      <c r="AI448" s="213"/>
      <c r="AJ448" s="4"/>
      <c r="AK448" s="4"/>
      <c r="AL448" s="4"/>
      <c r="AM448" s="4"/>
      <c r="AN448" s="4"/>
      <c r="AO448" s="4"/>
      <c r="AP448" s="4"/>
      <c r="AQ448" s="4"/>
      <c r="AR448" s="4"/>
      <c r="AS448" s="4"/>
      <c r="AT448" s="4"/>
      <c r="AU448" s="4"/>
    </row>
    <row r="449" spans="1:47" ht="13.2">
      <c r="A449" s="120"/>
      <c r="B449" s="113"/>
      <c r="C449" s="117"/>
      <c r="D449" s="117"/>
      <c r="E449" s="117"/>
      <c r="F449" s="123"/>
      <c r="G449" s="93" t="s">
        <v>145</v>
      </c>
      <c r="H449" s="125"/>
      <c r="I449" s="125"/>
      <c r="J449" s="82" t="str">
        <f t="shared" ca="1" si="147"/>
        <v>#REF!</v>
      </c>
      <c r="K449" s="82" t="str">
        <f t="shared" ca="1" si="256"/>
        <v>#REF!</v>
      </c>
      <c r="L449" s="82" t="str">
        <f t="shared" ca="1" si="199"/>
        <v>#REF!</v>
      </c>
      <c r="M449" s="125"/>
      <c r="N449" s="125"/>
      <c r="O449" s="230">
        <f t="shared" si="2"/>
        <v>0</v>
      </c>
      <c r="P449" s="231">
        <f t="shared" si="3"/>
        <v>0</v>
      </c>
      <c r="Q449" s="232" t="str">
        <f ca="1">ROUNDUP(HLOOKUP(IF(CEILING(L449,0.5)&lt;1,1,CEILING(L449,0.5)),'배송비 조회'!A$32:AY$36,2,0),-2)</f>
        <v>#REF!</v>
      </c>
      <c r="R449" s="232">
        <v>0</v>
      </c>
      <c r="S449" s="231" t="str">
        <f t="shared" ca="1" si="250"/>
        <v>#REF!</v>
      </c>
      <c r="T449" s="231" t="str">
        <f t="shared" ca="1" si="200"/>
        <v>#REF!</v>
      </c>
      <c r="U449" s="233" t="str">
        <f t="shared" ca="1" si="142"/>
        <v>#REF!</v>
      </c>
      <c r="V449" s="233" t="str">
        <f t="shared" ca="1" si="7"/>
        <v>#REF!</v>
      </c>
      <c r="W449" s="234">
        <v>0</v>
      </c>
      <c r="X449" s="234" t="str">
        <f t="shared" ca="1" si="8"/>
        <v>#REF!</v>
      </c>
      <c r="Y449" s="234" t="str">
        <f t="shared" ca="1" si="9"/>
        <v>#REF!</v>
      </c>
      <c r="Z449" s="234" t="str">
        <f t="shared" ca="1" si="10"/>
        <v>#REF!</v>
      </c>
      <c r="AA449" s="234" t="str">
        <f t="shared" ca="1" si="11"/>
        <v>#REF!</v>
      </c>
      <c r="AB449" s="234" t="str">
        <f t="shared" ca="1" si="12"/>
        <v>#REF!</v>
      </c>
      <c r="AC449" s="234" t="str">
        <f t="shared" ca="1" si="13"/>
        <v>#REF!</v>
      </c>
      <c r="AD449" s="101" t="str">
        <f t="shared" ca="1" si="14"/>
        <v>#REF!</v>
      </c>
      <c r="AE449" s="101" t="str">
        <f t="shared" ca="1" si="15"/>
        <v>#REF!</v>
      </c>
      <c r="AF449" s="235" t="str">
        <f t="shared" ref="AF449:AG449" ca="1" si="526">AD449/U449</f>
        <v>#REF!</v>
      </c>
      <c r="AG449" s="235" t="str">
        <f t="shared" ca="1" si="526"/>
        <v>#REF!</v>
      </c>
      <c r="AH449" s="212"/>
      <c r="AI449" s="213"/>
      <c r="AJ449" s="4"/>
      <c r="AK449" s="4"/>
      <c r="AL449" s="4"/>
      <c r="AM449" s="4"/>
      <c r="AN449" s="4"/>
      <c r="AO449" s="4"/>
      <c r="AP449" s="4"/>
      <c r="AQ449" s="4"/>
      <c r="AR449" s="4"/>
      <c r="AS449" s="4"/>
      <c r="AT449" s="4"/>
      <c r="AU449" s="4"/>
    </row>
    <row r="450" spans="1:47" ht="13.2">
      <c r="A450" s="120"/>
      <c r="B450" s="113"/>
      <c r="C450" s="117"/>
      <c r="D450" s="117"/>
      <c r="E450" s="117"/>
      <c r="F450" s="123"/>
      <c r="G450" s="93" t="s">
        <v>145</v>
      </c>
      <c r="H450" s="125"/>
      <c r="I450" s="125"/>
      <c r="J450" s="82" t="str">
        <f t="shared" ca="1" si="147"/>
        <v>#REF!</v>
      </c>
      <c r="K450" s="82" t="str">
        <f t="shared" ca="1" si="256"/>
        <v>#REF!</v>
      </c>
      <c r="L450" s="82" t="str">
        <f t="shared" ca="1" si="199"/>
        <v>#REF!</v>
      </c>
      <c r="M450" s="125"/>
      <c r="N450" s="125"/>
      <c r="O450" s="230">
        <f t="shared" si="2"/>
        <v>0</v>
      </c>
      <c r="P450" s="231">
        <f t="shared" si="3"/>
        <v>0</v>
      </c>
      <c r="Q450" s="232" t="str">
        <f ca="1">ROUNDUP(HLOOKUP(IF(CEILING(L450,0.5)&lt;1,1,CEILING(L450,0.5)),'배송비 조회'!A$32:AY$36,2,0),-2)</f>
        <v>#REF!</v>
      </c>
      <c r="R450" s="232">
        <v>0</v>
      </c>
      <c r="S450" s="231" t="str">
        <f t="shared" ca="1" si="250"/>
        <v>#REF!</v>
      </c>
      <c r="T450" s="231" t="str">
        <f t="shared" ca="1" si="200"/>
        <v>#REF!</v>
      </c>
      <c r="U450" s="233" t="str">
        <f t="shared" ca="1" si="142"/>
        <v>#REF!</v>
      </c>
      <c r="V450" s="233" t="str">
        <f t="shared" ca="1" si="7"/>
        <v>#REF!</v>
      </c>
      <c r="W450" s="234">
        <v>0</v>
      </c>
      <c r="X450" s="234" t="str">
        <f t="shared" ca="1" si="8"/>
        <v>#REF!</v>
      </c>
      <c r="Y450" s="234" t="str">
        <f t="shared" ca="1" si="9"/>
        <v>#REF!</v>
      </c>
      <c r="Z450" s="234" t="str">
        <f t="shared" ca="1" si="10"/>
        <v>#REF!</v>
      </c>
      <c r="AA450" s="234" t="str">
        <f t="shared" ca="1" si="11"/>
        <v>#REF!</v>
      </c>
      <c r="AB450" s="234" t="str">
        <f t="shared" ca="1" si="12"/>
        <v>#REF!</v>
      </c>
      <c r="AC450" s="234" t="str">
        <f t="shared" ca="1" si="13"/>
        <v>#REF!</v>
      </c>
      <c r="AD450" s="101" t="str">
        <f t="shared" ca="1" si="14"/>
        <v>#REF!</v>
      </c>
      <c r="AE450" s="101" t="str">
        <f t="shared" ca="1" si="15"/>
        <v>#REF!</v>
      </c>
      <c r="AF450" s="235" t="str">
        <f t="shared" ref="AF450:AG450" ca="1" si="527">AD450/U450</f>
        <v>#REF!</v>
      </c>
      <c r="AG450" s="235" t="str">
        <f t="shared" ca="1" si="527"/>
        <v>#REF!</v>
      </c>
      <c r="AH450" s="212"/>
      <c r="AI450" s="213"/>
      <c r="AJ450" s="4"/>
      <c r="AK450" s="4"/>
      <c r="AL450" s="4"/>
      <c r="AM450" s="4"/>
      <c r="AN450" s="4"/>
      <c r="AO450" s="4"/>
      <c r="AP450" s="4"/>
      <c r="AQ450" s="4"/>
      <c r="AR450" s="4"/>
      <c r="AS450" s="4"/>
      <c r="AT450" s="4"/>
      <c r="AU450" s="4"/>
    </row>
    <row r="451" spans="1:47" ht="13.2">
      <c r="A451" s="120"/>
      <c r="B451" s="113"/>
      <c r="C451" s="117"/>
      <c r="D451" s="117"/>
      <c r="E451" s="117"/>
      <c r="F451" s="123"/>
      <c r="G451" s="93" t="s">
        <v>145</v>
      </c>
      <c r="H451" s="125"/>
      <c r="I451" s="125"/>
      <c r="J451" s="82" t="str">
        <f t="shared" ca="1" si="147"/>
        <v>#REF!</v>
      </c>
      <c r="K451" s="82" t="str">
        <f t="shared" ca="1" si="256"/>
        <v>#REF!</v>
      </c>
      <c r="L451" s="82" t="str">
        <f t="shared" ca="1" si="199"/>
        <v>#REF!</v>
      </c>
      <c r="M451" s="125"/>
      <c r="N451" s="125"/>
      <c r="O451" s="230">
        <f t="shared" si="2"/>
        <v>0</v>
      </c>
      <c r="P451" s="231">
        <f t="shared" si="3"/>
        <v>0</v>
      </c>
      <c r="Q451" s="232" t="str">
        <f ca="1">ROUNDUP(HLOOKUP(IF(CEILING(L451,0.5)&lt;1,1,CEILING(L451,0.5)),'배송비 조회'!A$32:AY$36,2,0),-2)</f>
        <v>#REF!</v>
      </c>
      <c r="R451" s="232">
        <v>0</v>
      </c>
      <c r="S451" s="231" t="str">
        <f t="shared" ca="1" si="250"/>
        <v>#REF!</v>
      </c>
      <c r="T451" s="231" t="str">
        <f t="shared" ca="1" si="200"/>
        <v>#REF!</v>
      </c>
      <c r="U451" s="233" t="str">
        <f t="shared" ca="1" si="142"/>
        <v>#REF!</v>
      </c>
      <c r="V451" s="233" t="str">
        <f t="shared" ca="1" si="7"/>
        <v>#REF!</v>
      </c>
      <c r="W451" s="234">
        <v>0</v>
      </c>
      <c r="X451" s="234" t="str">
        <f t="shared" ca="1" si="8"/>
        <v>#REF!</v>
      </c>
      <c r="Y451" s="234" t="str">
        <f t="shared" ca="1" si="9"/>
        <v>#REF!</v>
      </c>
      <c r="Z451" s="234" t="str">
        <f t="shared" ca="1" si="10"/>
        <v>#REF!</v>
      </c>
      <c r="AA451" s="234" t="str">
        <f t="shared" ca="1" si="11"/>
        <v>#REF!</v>
      </c>
      <c r="AB451" s="234" t="str">
        <f t="shared" ca="1" si="12"/>
        <v>#REF!</v>
      </c>
      <c r="AC451" s="234" t="str">
        <f t="shared" ca="1" si="13"/>
        <v>#REF!</v>
      </c>
      <c r="AD451" s="101" t="str">
        <f t="shared" ca="1" si="14"/>
        <v>#REF!</v>
      </c>
      <c r="AE451" s="101" t="str">
        <f t="shared" ca="1" si="15"/>
        <v>#REF!</v>
      </c>
      <c r="AF451" s="235" t="str">
        <f t="shared" ref="AF451:AG451" ca="1" si="528">AD451/U451</f>
        <v>#REF!</v>
      </c>
      <c r="AG451" s="235" t="str">
        <f t="shared" ca="1" si="528"/>
        <v>#REF!</v>
      </c>
      <c r="AH451" s="212"/>
      <c r="AI451" s="213"/>
      <c r="AJ451" s="4"/>
      <c r="AK451" s="4"/>
      <c r="AL451" s="4"/>
      <c r="AM451" s="4"/>
      <c r="AN451" s="4"/>
      <c r="AO451" s="4"/>
      <c r="AP451" s="4"/>
      <c r="AQ451" s="4"/>
      <c r="AR451" s="4"/>
      <c r="AS451" s="4"/>
      <c r="AT451" s="4"/>
      <c r="AU451" s="4"/>
    </row>
    <row r="452" spans="1:47" ht="13.2">
      <c r="A452" s="120"/>
      <c r="B452" s="113"/>
      <c r="C452" s="117"/>
      <c r="D452" s="117"/>
      <c r="E452" s="117"/>
      <c r="F452" s="123"/>
      <c r="G452" s="93" t="s">
        <v>145</v>
      </c>
      <c r="H452" s="125"/>
      <c r="I452" s="125"/>
      <c r="J452" s="82" t="str">
        <f t="shared" ca="1" si="147"/>
        <v>#REF!</v>
      </c>
      <c r="K452" s="82" t="str">
        <f t="shared" ca="1" si="256"/>
        <v>#REF!</v>
      </c>
      <c r="L452" s="82" t="str">
        <f t="shared" ca="1" si="199"/>
        <v>#REF!</v>
      </c>
      <c r="M452" s="125"/>
      <c r="N452" s="125"/>
      <c r="O452" s="230">
        <f t="shared" si="2"/>
        <v>0</v>
      </c>
      <c r="P452" s="231">
        <f t="shared" si="3"/>
        <v>0</v>
      </c>
      <c r="Q452" s="232" t="str">
        <f ca="1">ROUNDUP(HLOOKUP(IF(CEILING(L452,0.5)&lt;1,1,CEILING(L452,0.5)),'배송비 조회'!A$32:AY$36,2,0),-2)</f>
        <v>#REF!</v>
      </c>
      <c r="R452" s="232">
        <v>0</v>
      </c>
      <c r="S452" s="231" t="str">
        <f t="shared" ca="1" si="250"/>
        <v>#REF!</v>
      </c>
      <c r="T452" s="231" t="str">
        <f t="shared" ca="1" si="200"/>
        <v>#REF!</v>
      </c>
      <c r="U452" s="233" t="str">
        <f t="shared" ca="1" si="142"/>
        <v>#REF!</v>
      </c>
      <c r="V452" s="233" t="str">
        <f t="shared" ca="1" si="7"/>
        <v>#REF!</v>
      </c>
      <c r="W452" s="234">
        <v>0</v>
      </c>
      <c r="X452" s="234" t="str">
        <f t="shared" ca="1" si="8"/>
        <v>#REF!</v>
      </c>
      <c r="Y452" s="234" t="str">
        <f t="shared" ca="1" si="9"/>
        <v>#REF!</v>
      </c>
      <c r="Z452" s="234" t="str">
        <f t="shared" ca="1" si="10"/>
        <v>#REF!</v>
      </c>
      <c r="AA452" s="234" t="str">
        <f t="shared" ca="1" si="11"/>
        <v>#REF!</v>
      </c>
      <c r="AB452" s="234" t="str">
        <f t="shared" ca="1" si="12"/>
        <v>#REF!</v>
      </c>
      <c r="AC452" s="234" t="str">
        <f t="shared" ca="1" si="13"/>
        <v>#REF!</v>
      </c>
      <c r="AD452" s="101" t="str">
        <f t="shared" ca="1" si="14"/>
        <v>#REF!</v>
      </c>
      <c r="AE452" s="101" t="str">
        <f t="shared" ca="1" si="15"/>
        <v>#REF!</v>
      </c>
      <c r="AF452" s="235" t="str">
        <f t="shared" ref="AF452:AG452" ca="1" si="529">AD452/U452</f>
        <v>#REF!</v>
      </c>
      <c r="AG452" s="235" t="str">
        <f t="shared" ca="1" si="529"/>
        <v>#REF!</v>
      </c>
      <c r="AH452" s="212"/>
      <c r="AI452" s="213"/>
      <c r="AJ452" s="4"/>
      <c r="AK452" s="4"/>
      <c r="AL452" s="4"/>
      <c r="AM452" s="4"/>
      <c r="AN452" s="4"/>
      <c r="AO452" s="4"/>
      <c r="AP452" s="4"/>
      <c r="AQ452" s="4"/>
      <c r="AR452" s="4"/>
      <c r="AS452" s="4"/>
      <c r="AT452" s="4"/>
      <c r="AU452" s="4"/>
    </row>
    <row r="453" spans="1:47" ht="13.2">
      <c r="A453" s="120"/>
      <c r="B453" s="113"/>
      <c r="C453" s="117"/>
      <c r="D453" s="117"/>
      <c r="E453" s="117"/>
      <c r="F453" s="123"/>
      <c r="G453" s="93" t="s">
        <v>145</v>
      </c>
      <c r="H453" s="125"/>
      <c r="I453" s="125"/>
      <c r="J453" s="82" t="str">
        <f t="shared" ca="1" si="147"/>
        <v>#REF!</v>
      </c>
      <c r="K453" s="82" t="str">
        <f t="shared" ca="1" si="256"/>
        <v>#REF!</v>
      </c>
      <c r="L453" s="82" t="str">
        <f t="shared" ca="1" si="199"/>
        <v>#REF!</v>
      </c>
      <c r="M453" s="125"/>
      <c r="N453" s="125"/>
      <c r="O453" s="230">
        <f t="shared" si="2"/>
        <v>0</v>
      </c>
      <c r="P453" s="231">
        <f t="shared" si="3"/>
        <v>0</v>
      </c>
      <c r="Q453" s="232" t="str">
        <f ca="1">ROUNDUP(HLOOKUP(IF(CEILING(L453,0.5)&lt;1,1,CEILING(L453,0.5)),'배송비 조회'!A$32:AY$36,2,0),-2)</f>
        <v>#REF!</v>
      </c>
      <c r="R453" s="232">
        <v>0</v>
      </c>
      <c r="S453" s="231" t="str">
        <f t="shared" ca="1" si="250"/>
        <v>#REF!</v>
      </c>
      <c r="T453" s="231" t="str">
        <f t="shared" ca="1" si="200"/>
        <v>#REF!</v>
      </c>
      <c r="U453" s="233" t="str">
        <f t="shared" ca="1" si="142"/>
        <v>#REF!</v>
      </c>
      <c r="V453" s="233" t="str">
        <f t="shared" ca="1" si="7"/>
        <v>#REF!</v>
      </c>
      <c r="W453" s="234">
        <v>0</v>
      </c>
      <c r="X453" s="234" t="str">
        <f t="shared" ca="1" si="8"/>
        <v>#REF!</v>
      </c>
      <c r="Y453" s="234" t="str">
        <f t="shared" ca="1" si="9"/>
        <v>#REF!</v>
      </c>
      <c r="Z453" s="234" t="str">
        <f t="shared" ca="1" si="10"/>
        <v>#REF!</v>
      </c>
      <c r="AA453" s="234" t="str">
        <f t="shared" ca="1" si="11"/>
        <v>#REF!</v>
      </c>
      <c r="AB453" s="234" t="str">
        <f t="shared" ca="1" si="12"/>
        <v>#REF!</v>
      </c>
      <c r="AC453" s="234" t="str">
        <f t="shared" ca="1" si="13"/>
        <v>#REF!</v>
      </c>
      <c r="AD453" s="101" t="str">
        <f t="shared" ca="1" si="14"/>
        <v>#REF!</v>
      </c>
      <c r="AE453" s="101" t="str">
        <f t="shared" ca="1" si="15"/>
        <v>#REF!</v>
      </c>
      <c r="AF453" s="235" t="str">
        <f t="shared" ref="AF453:AG453" ca="1" si="530">AD453/U453</f>
        <v>#REF!</v>
      </c>
      <c r="AG453" s="235" t="str">
        <f t="shared" ca="1" si="530"/>
        <v>#REF!</v>
      </c>
      <c r="AH453" s="212"/>
      <c r="AI453" s="213"/>
      <c r="AJ453" s="4"/>
      <c r="AK453" s="4"/>
      <c r="AL453" s="4"/>
      <c r="AM453" s="4"/>
      <c r="AN453" s="4"/>
      <c r="AO453" s="4"/>
      <c r="AP453" s="4"/>
      <c r="AQ453" s="4"/>
      <c r="AR453" s="4"/>
      <c r="AS453" s="4"/>
      <c r="AT453" s="4"/>
      <c r="AU453" s="4"/>
    </row>
    <row r="454" spans="1:47" ht="13.2">
      <c r="A454" s="120"/>
      <c r="B454" s="113"/>
      <c r="C454" s="117"/>
      <c r="D454" s="117"/>
      <c r="E454" s="117"/>
      <c r="F454" s="123"/>
      <c r="G454" s="93" t="s">
        <v>145</v>
      </c>
      <c r="H454" s="125"/>
      <c r="I454" s="125"/>
      <c r="J454" s="82" t="str">
        <f t="shared" ca="1" si="147"/>
        <v>#REF!</v>
      </c>
      <c r="K454" s="82" t="str">
        <f t="shared" ca="1" si="256"/>
        <v>#REF!</v>
      </c>
      <c r="L454" s="82" t="str">
        <f t="shared" ca="1" si="199"/>
        <v>#REF!</v>
      </c>
      <c r="M454" s="125"/>
      <c r="N454" s="125"/>
      <c r="O454" s="230">
        <f t="shared" si="2"/>
        <v>0</v>
      </c>
      <c r="P454" s="231">
        <f t="shared" si="3"/>
        <v>0</v>
      </c>
      <c r="Q454" s="232" t="str">
        <f ca="1">ROUNDUP(HLOOKUP(IF(CEILING(L454,0.5)&lt;1,1,CEILING(L454,0.5)),'배송비 조회'!A$32:AY$36,2,0),-2)</f>
        <v>#REF!</v>
      </c>
      <c r="R454" s="232">
        <v>0</v>
      </c>
      <c r="S454" s="231" t="str">
        <f t="shared" ca="1" si="250"/>
        <v>#REF!</v>
      </c>
      <c r="T454" s="231" t="str">
        <f t="shared" ca="1" si="200"/>
        <v>#REF!</v>
      </c>
      <c r="U454" s="233" t="str">
        <f t="shared" ca="1" si="142"/>
        <v>#REF!</v>
      </c>
      <c r="V454" s="233" t="str">
        <f t="shared" ca="1" si="7"/>
        <v>#REF!</v>
      </c>
      <c r="W454" s="234">
        <v>0</v>
      </c>
      <c r="X454" s="234" t="str">
        <f t="shared" ca="1" si="8"/>
        <v>#REF!</v>
      </c>
      <c r="Y454" s="234" t="str">
        <f t="shared" ca="1" si="9"/>
        <v>#REF!</v>
      </c>
      <c r="Z454" s="234" t="str">
        <f t="shared" ca="1" si="10"/>
        <v>#REF!</v>
      </c>
      <c r="AA454" s="234" t="str">
        <f t="shared" ca="1" si="11"/>
        <v>#REF!</v>
      </c>
      <c r="AB454" s="234" t="str">
        <f t="shared" ca="1" si="12"/>
        <v>#REF!</v>
      </c>
      <c r="AC454" s="234" t="str">
        <f t="shared" ca="1" si="13"/>
        <v>#REF!</v>
      </c>
      <c r="AD454" s="101" t="str">
        <f t="shared" ca="1" si="14"/>
        <v>#REF!</v>
      </c>
      <c r="AE454" s="101" t="str">
        <f t="shared" ca="1" si="15"/>
        <v>#REF!</v>
      </c>
      <c r="AF454" s="235" t="str">
        <f t="shared" ref="AF454:AG454" ca="1" si="531">AD454/U454</f>
        <v>#REF!</v>
      </c>
      <c r="AG454" s="235" t="str">
        <f t="shared" ca="1" si="531"/>
        <v>#REF!</v>
      </c>
      <c r="AH454" s="212"/>
      <c r="AI454" s="213"/>
      <c r="AJ454" s="4"/>
      <c r="AK454" s="4"/>
      <c r="AL454" s="4"/>
      <c r="AM454" s="4"/>
      <c r="AN454" s="4"/>
      <c r="AO454" s="4"/>
      <c r="AP454" s="4"/>
      <c r="AQ454" s="4"/>
      <c r="AR454" s="4"/>
      <c r="AS454" s="4"/>
      <c r="AT454" s="4"/>
      <c r="AU454" s="4"/>
    </row>
    <row r="455" spans="1:47" ht="13.2">
      <c r="A455" s="120"/>
      <c r="B455" s="113"/>
      <c r="C455" s="117"/>
      <c r="D455" s="117"/>
      <c r="E455" s="117"/>
      <c r="F455" s="123"/>
      <c r="G455" s="93" t="s">
        <v>145</v>
      </c>
      <c r="H455" s="125"/>
      <c r="I455" s="125"/>
      <c r="J455" s="82" t="str">
        <f t="shared" ca="1" si="147"/>
        <v>#REF!</v>
      </c>
      <c r="K455" s="82" t="str">
        <f t="shared" ca="1" si="256"/>
        <v>#REF!</v>
      </c>
      <c r="L455" s="82" t="str">
        <f t="shared" ca="1" si="199"/>
        <v>#REF!</v>
      </c>
      <c r="M455" s="125"/>
      <c r="N455" s="125"/>
      <c r="O455" s="230">
        <f t="shared" si="2"/>
        <v>0</v>
      </c>
      <c r="P455" s="231">
        <f t="shared" si="3"/>
        <v>0</v>
      </c>
      <c r="Q455" s="232" t="str">
        <f ca="1">ROUNDUP(HLOOKUP(IF(CEILING(L455,0.5)&lt;1,1,CEILING(L455,0.5)),'배송비 조회'!A$32:AY$36,2,0),-2)</f>
        <v>#REF!</v>
      </c>
      <c r="R455" s="232">
        <v>0</v>
      </c>
      <c r="S455" s="231" t="str">
        <f t="shared" ca="1" si="250"/>
        <v>#REF!</v>
      </c>
      <c r="T455" s="231" t="str">
        <f t="shared" ca="1" si="200"/>
        <v>#REF!</v>
      </c>
      <c r="U455" s="233" t="str">
        <f t="shared" ca="1" si="142"/>
        <v>#REF!</v>
      </c>
      <c r="V455" s="233" t="str">
        <f t="shared" ca="1" si="7"/>
        <v>#REF!</v>
      </c>
      <c r="W455" s="234">
        <v>0</v>
      </c>
      <c r="X455" s="234" t="str">
        <f t="shared" ca="1" si="8"/>
        <v>#REF!</v>
      </c>
      <c r="Y455" s="234" t="str">
        <f t="shared" ca="1" si="9"/>
        <v>#REF!</v>
      </c>
      <c r="Z455" s="234" t="str">
        <f t="shared" ca="1" si="10"/>
        <v>#REF!</v>
      </c>
      <c r="AA455" s="234" t="str">
        <f t="shared" ca="1" si="11"/>
        <v>#REF!</v>
      </c>
      <c r="AB455" s="234" t="str">
        <f t="shared" ca="1" si="12"/>
        <v>#REF!</v>
      </c>
      <c r="AC455" s="234" t="str">
        <f t="shared" ca="1" si="13"/>
        <v>#REF!</v>
      </c>
      <c r="AD455" s="101" t="str">
        <f t="shared" ca="1" si="14"/>
        <v>#REF!</v>
      </c>
      <c r="AE455" s="101" t="str">
        <f t="shared" ca="1" si="15"/>
        <v>#REF!</v>
      </c>
      <c r="AF455" s="235" t="str">
        <f t="shared" ref="AF455:AG455" ca="1" si="532">AD455/U455</f>
        <v>#REF!</v>
      </c>
      <c r="AG455" s="235" t="str">
        <f t="shared" ca="1" si="532"/>
        <v>#REF!</v>
      </c>
      <c r="AH455" s="212"/>
      <c r="AI455" s="213"/>
      <c r="AJ455" s="4"/>
      <c r="AK455" s="4"/>
      <c r="AL455" s="4"/>
      <c r="AM455" s="4"/>
      <c r="AN455" s="4"/>
      <c r="AO455" s="4"/>
      <c r="AP455" s="4"/>
      <c r="AQ455" s="4"/>
      <c r="AR455" s="4"/>
      <c r="AS455" s="4"/>
      <c r="AT455" s="4"/>
      <c r="AU455" s="4"/>
    </row>
    <row r="456" spans="1:47" ht="13.2">
      <c r="A456" s="120"/>
      <c r="B456" s="113"/>
      <c r="C456" s="117"/>
      <c r="D456" s="117"/>
      <c r="E456" s="117"/>
      <c r="F456" s="123"/>
      <c r="G456" s="93" t="s">
        <v>145</v>
      </c>
      <c r="H456" s="125"/>
      <c r="I456" s="125"/>
      <c r="J456" s="82" t="str">
        <f t="shared" ca="1" si="147"/>
        <v>#REF!</v>
      </c>
      <c r="K456" s="82" t="str">
        <f t="shared" ca="1" si="256"/>
        <v>#REF!</v>
      </c>
      <c r="L456" s="82" t="str">
        <f t="shared" ca="1" si="199"/>
        <v>#REF!</v>
      </c>
      <c r="M456" s="125"/>
      <c r="N456" s="125"/>
      <c r="O456" s="230">
        <f t="shared" si="2"/>
        <v>0</v>
      </c>
      <c r="P456" s="231">
        <f t="shared" si="3"/>
        <v>0</v>
      </c>
      <c r="Q456" s="232" t="str">
        <f ca="1">ROUNDUP(HLOOKUP(IF(CEILING(L456,0.5)&lt;1,1,CEILING(L456,0.5)),'배송비 조회'!A$32:AY$36,2,0),-2)</f>
        <v>#REF!</v>
      </c>
      <c r="R456" s="232">
        <v>0</v>
      </c>
      <c r="S456" s="231" t="str">
        <f t="shared" ca="1" si="250"/>
        <v>#REF!</v>
      </c>
      <c r="T456" s="231" t="str">
        <f t="shared" ca="1" si="200"/>
        <v>#REF!</v>
      </c>
      <c r="U456" s="233" t="str">
        <f t="shared" ca="1" si="142"/>
        <v>#REF!</v>
      </c>
      <c r="V456" s="233" t="str">
        <f t="shared" ca="1" si="7"/>
        <v>#REF!</v>
      </c>
      <c r="W456" s="234">
        <v>0</v>
      </c>
      <c r="X456" s="234" t="str">
        <f t="shared" ca="1" si="8"/>
        <v>#REF!</v>
      </c>
      <c r="Y456" s="234" t="str">
        <f t="shared" ca="1" si="9"/>
        <v>#REF!</v>
      </c>
      <c r="Z456" s="234" t="str">
        <f t="shared" ca="1" si="10"/>
        <v>#REF!</v>
      </c>
      <c r="AA456" s="234" t="str">
        <f t="shared" ca="1" si="11"/>
        <v>#REF!</v>
      </c>
      <c r="AB456" s="234" t="str">
        <f t="shared" ca="1" si="12"/>
        <v>#REF!</v>
      </c>
      <c r="AC456" s="234" t="str">
        <f t="shared" ca="1" si="13"/>
        <v>#REF!</v>
      </c>
      <c r="AD456" s="101" t="str">
        <f t="shared" ca="1" si="14"/>
        <v>#REF!</v>
      </c>
      <c r="AE456" s="101" t="str">
        <f t="shared" ca="1" si="15"/>
        <v>#REF!</v>
      </c>
      <c r="AF456" s="235" t="str">
        <f t="shared" ref="AF456:AG456" ca="1" si="533">AD456/U456</f>
        <v>#REF!</v>
      </c>
      <c r="AG456" s="235" t="str">
        <f t="shared" ca="1" si="533"/>
        <v>#REF!</v>
      </c>
      <c r="AH456" s="212"/>
      <c r="AI456" s="213"/>
      <c r="AJ456" s="4"/>
      <c r="AK456" s="4"/>
      <c r="AL456" s="4"/>
      <c r="AM456" s="4"/>
      <c r="AN456" s="4"/>
      <c r="AO456" s="4"/>
      <c r="AP456" s="4"/>
      <c r="AQ456" s="4"/>
      <c r="AR456" s="4"/>
      <c r="AS456" s="4"/>
      <c r="AT456" s="4"/>
      <c r="AU456" s="4"/>
    </row>
    <row r="457" spans="1:47" ht="13.2">
      <c r="A457" s="120"/>
      <c r="B457" s="113"/>
      <c r="C457" s="117"/>
      <c r="D457" s="117"/>
      <c r="E457" s="117"/>
      <c r="F457" s="123"/>
      <c r="G457" s="93" t="s">
        <v>145</v>
      </c>
      <c r="H457" s="125"/>
      <c r="I457" s="125"/>
      <c r="J457" s="82" t="str">
        <f t="shared" ca="1" si="147"/>
        <v>#REF!</v>
      </c>
      <c r="K457" s="82" t="str">
        <f t="shared" ca="1" si="256"/>
        <v>#REF!</v>
      </c>
      <c r="L457" s="82" t="str">
        <f t="shared" ca="1" si="199"/>
        <v>#REF!</v>
      </c>
      <c r="M457" s="125"/>
      <c r="N457" s="125"/>
      <c r="O457" s="230">
        <f t="shared" si="2"/>
        <v>0</v>
      </c>
      <c r="P457" s="231">
        <f t="shared" si="3"/>
        <v>0</v>
      </c>
      <c r="Q457" s="232" t="str">
        <f ca="1">ROUNDUP(HLOOKUP(IF(CEILING(L457,0.5)&lt;1,1,CEILING(L457,0.5)),'배송비 조회'!A$32:AY$36,2,0),-2)</f>
        <v>#REF!</v>
      </c>
      <c r="R457" s="232">
        <v>0</v>
      </c>
      <c r="S457" s="231" t="str">
        <f t="shared" ca="1" si="250"/>
        <v>#REF!</v>
      </c>
      <c r="T457" s="231" t="str">
        <f t="shared" ca="1" si="200"/>
        <v>#REF!</v>
      </c>
      <c r="U457" s="233" t="str">
        <f t="shared" ca="1" si="142"/>
        <v>#REF!</v>
      </c>
      <c r="V457" s="233" t="str">
        <f t="shared" ca="1" si="7"/>
        <v>#REF!</v>
      </c>
      <c r="W457" s="234">
        <v>0</v>
      </c>
      <c r="X457" s="234" t="str">
        <f t="shared" ca="1" si="8"/>
        <v>#REF!</v>
      </c>
      <c r="Y457" s="234" t="str">
        <f t="shared" ca="1" si="9"/>
        <v>#REF!</v>
      </c>
      <c r="Z457" s="234" t="str">
        <f t="shared" ca="1" si="10"/>
        <v>#REF!</v>
      </c>
      <c r="AA457" s="234" t="str">
        <f t="shared" ca="1" si="11"/>
        <v>#REF!</v>
      </c>
      <c r="AB457" s="234" t="str">
        <f t="shared" ca="1" si="12"/>
        <v>#REF!</v>
      </c>
      <c r="AC457" s="234" t="str">
        <f t="shared" ca="1" si="13"/>
        <v>#REF!</v>
      </c>
      <c r="AD457" s="101" t="str">
        <f t="shared" ca="1" si="14"/>
        <v>#REF!</v>
      </c>
      <c r="AE457" s="101" t="str">
        <f t="shared" ca="1" si="15"/>
        <v>#REF!</v>
      </c>
      <c r="AF457" s="235" t="str">
        <f t="shared" ref="AF457:AG457" ca="1" si="534">AD457/U457</f>
        <v>#REF!</v>
      </c>
      <c r="AG457" s="235" t="str">
        <f t="shared" ca="1" si="534"/>
        <v>#REF!</v>
      </c>
      <c r="AH457" s="212"/>
      <c r="AI457" s="213"/>
      <c r="AJ457" s="4"/>
      <c r="AK457" s="4"/>
      <c r="AL457" s="4"/>
      <c r="AM457" s="4"/>
      <c r="AN457" s="4"/>
      <c r="AO457" s="4"/>
      <c r="AP457" s="4"/>
      <c r="AQ457" s="4"/>
      <c r="AR457" s="4"/>
      <c r="AS457" s="4"/>
      <c r="AT457" s="4"/>
      <c r="AU457" s="4"/>
    </row>
    <row r="458" spans="1:47" ht="13.2">
      <c r="A458" s="120"/>
      <c r="B458" s="113"/>
      <c r="C458" s="117"/>
      <c r="D458" s="117"/>
      <c r="E458" s="117"/>
      <c r="F458" s="123"/>
      <c r="G458" s="93" t="s">
        <v>145</v>
      </c>
      <c r="H458" s="125"/>
      <c r="I458" s="125"/>
      <c r="J458" s="82" t="str">
        <f t="shared" ca="1" si="147"/>
        <v>#REF!</v>
      </c>
      <c r="K458" s="82" t="str">
        <f t="shared" ca="1" si="256"/>
        <v>#REF!</v>
      </c>
      <c r="L458" s="82" t="str">
        <f t="shared" ca="1" si="199"/>
        <v>#REF!</v>
      </c>
      <c r="M458" s="125"/>
      <c r="N458" s="125"/>
      <c r="O458" s="230">
        <f t="shared" si="2"/>
        <v>0</v>
      </c>
      <c r="P458" s="231">
        <f t="shared" si="3"/>
        <v>0</v>
      </c>
      <c r="Q458" s="232" t="str">
        <f ca="1">ROUNDUP(HLOOKUP(IF(CEILING(L458,0.5)&lt;1,1,CEILING(L458,0.5)),'배송비 조회'!A$32:AY$36,2,0),-2)</f>
        <v>#REF!</v>
      </c>
      <c r="R458" s="232">
        <v>0</v>
      </c>
      <c r="S458" s="231" t="str">
        <f t="shared" ca="1" si="250"/>
        <v>#REF!</v>
      </c>
      <c r="T458" s="231" t="str">
        <f t="shared" ca="1" si="200"/>
        <v>#REF!</v>
      </c>
      <c r="U458" s="233" t="str">
        <f t="shared" ca="1" si="142"/>
        <v>#REF!</v>
      </c>
      <c r="V458" s="233" t="str">
        <f t="shared" ca="1" si="7"/>
        <v>#REF!</v>
      </c>
      <c r="W458" s="234">
        <v>0</v>
      </c>
      <c r="X458" s="234" t="str">
        <f t="shared" ca="1" si="8"/>
        <v>#REF!</v>
      </c>
      <c r="Y458" s="234" t="str">
        <f t="shared" ca="1" si="9"/>
        <v>#REF!</v>
      </c>
      <c r="Z458" s="234" t="str">
        <f t="shared" ca="1" si="10"/>
        <v>#REF!</v>
      </c>
      <c r="AA458" s="234" t="str">
        <f t="shared" ca="1" si="11"/>
        <v>#REF!</v>
      </c>
      <c r="AB458" s="234" t="str">
        <f t="shared" ca="1" si="12"/>
        <v>#REF!</v>
      </c>
      <c r="AC458" s="234" t="str">
        <f t="shared" ca="1" si="13"/>
        <v>#REF!</v>
      </c>
      <c r="AD458" s="101" t="str">
        <f t="shared" ca="1" si="14"/>
        <v>#REF!</v>
      </c>
      <c r="AE458" s="101" t="str">
        <f t="shared" ca="1" si="15"/>
        <v>#REF!</v>
      </c>
      <c r="AF458" s="235" t="str">
        <f t="shared" ref="AF458:AG458" ca="1" si="535">AD458/U458</f>
        <v>#REF!</v>
      </c>
      <c r="AG458" s="235" t="str">
        <f t="shared" ca="1" si="535"/>
        <v>#REF!</v>
      </c>
      <c r="AH458" s="212"/>
      <c r="AI458" s="213"/>
      <c r="AJ458" s="4"/>
      <c r="AK458" s="4"/>
      <c r="AL458" s="4"/>
      <c r="AM458" s="4"/>
      <c r="AN458" s="4"/>
      <c r="AO458" s="4"/>
      <c r="AP458" s="4"/>
      <c r="AQ458" s="4"/>
      <c r="AR458" s="4"/>
      <c r="AS458" s="4"/>
      <c r="AT458" s="4"/>
      <c r="AU458" s="4"/>
    </row>
    <row r="459" spans="1:47" ht="13.2">
      <c r="A459" s="120"/>
      <c r="B459" s="113"/>
      <c r="C459" s="117"/>
      <c r="D459" s="117"/>
      <c r="E459" s="117"/>
      <c r="F459" s="123"/>
      <c r="G459" s="93" t="s">
        <v>145</v>
      </c>
      <c r="H459" s="125"/>
      <c r="I459" s="125"/>
      <c r="J459" s="82" t="str">
        <f t="shared" ca="1" si="147"/>
        <v>#REF!</v>
      </c>
      <c r="K459" s="82" t="str">
        <f t="shared" ca="1" si="256"/>
        <v>#REF!</v>
      </c>
      <c r="L459" s="82" t="str">
        <f t="shared" ca="1" si="199"/>
        <v>#REF!</v>
      </c>
      <c r="M459" s="125"/>
      <c r="N459" s="125"/>
      <c r="O459" s="230">
        <f t="shared" si="2"/>
        <v>0</v>
      </c>
      <c r="P459" s="231">
        <f t="shared" si="3"/>
        <v>0</v>
      </c>
      <c r="Q459" s="232" t="str">
        <f ca="1">ROUNDUP(HLOOKUP(IF(CEILING(L459,0.5)&lt;1,1,CEILING(L459,0.5)),'배송비 조회'!A$32:AY$36,2,0),-2)</f>
        <v>#REF!</v>
      </c>
      <c r="R459" s="232">
        <v>0</v>
      </c>
      <c r="S459" s="231" t="str">
        <f t="shared" ca="1" si="250"/>
        <v>#REF!</v>
      </c>
      <c r="T459" s="231" t="str">
        <f t="shared" ca="1" si="200"/>
        <v>#REF!</v>
      </c>
      <c r="U459" s="233" t="str">
        <f t="shared" ca="1" si="142"/>
        <v>#REF!</v>
      </c>
      <c r="V459" s="233" t="str">
        <f t="shared" ca="1" si="7"/>
        <v>#REF!</v>
      </c>
      <c r="W459" s="234">
        <v>0</v>
      </c>
      <c r="X459" s="234" t="str">
        <f t="shared" ca="1" si="8"/>
        <v>#REF!</v>
      </c>
      <c r="Y459" s="234" t="str">
        <f t="shared" ca="1" si="9"/>
        <v>#REF!</v>
      </c>
      <c r="Z459" s="234" t="str">
        <f t="shared" ca="1" si="10"/>
        <v>#REF!</v>
      </c>
      <c r="AA459" s="234" t="str">
        <f t="shared" ca="1" si="11"/>
        <v>#REF!</v>
      </c>
      <c r="AB459" s="234" t="str">
        <f t="shared" ca="1" si="12"/>
        <v>#REF!</v>
      </c>
      <c r="AC459" s="234" t="str">
        <f t="shared" ca="1" si="13"/>
        <v>#REF!</v>
      </c>
      <c r="AD459" s="101" t="str">
        <f t="shared" ca="1" si="14"/>
        <v>#REF!</v>
      </c>
      <c r="AE459" s="101" t="str">
        <f t="shared" ca="1" si="15"/>
        <v>#REF!</v>
      </c>
      <c r="AF459" s="235" t="str">
        <f t="shared" ref="AF459:AG459" ca="1" si="536">AD459/U459</f>
        <v>#REF!</v>
      </c>
      <c r="AG459" s="235" t="str">
        <f t="shared" ca="1" si="536"/>
        <v>#REF!</v>
      </c>
      <c r="AH459" s="212"/>
      <c r="AI459" s="213"/>
      <c r="AJ459" s="4"/>
      <c r="AK459" s="4"/>
      <c r="AL459" s="4"/>
      <c r="AM459" s="4"/>
      <c r="AN459" s="4"/>
      <c r="AO459" s="4"/>
      <c r="AP459" s="4"/>
      <c r="AQ459" s="4"/>
      <c r="AR459" s="4"/>
      <c r="AS459" s="4"/>
      <c r="AT459" s="4"/>
      <c r="AU459" s="4"/>
    </row>
    <row r="460" spans="1:47" ht="13.2">
      <c r="A460" s="120"/>
      <c r="B460" s="113"/>
      <c r="C460" s="117"/>
      <c r="D460" s="117"/>
      <c r="E460" s="117"/>
      <c r="F460" s="123"/>
      <c r="G460" s="93" t="s">
        <v>145</v>
      </c>
      <c r="H460" s="125"/>
      <c r="I460" s="125"/>
      <c r="J460" s="82" t="str">
        <f t="shared" ca="1" si="147"/>
        <v>#REF!</v>
      </c>
      <c r="K460" s="82" t="str">
        <f t="shared" ca="1" si="256"/>
        <v>#REF!</v>
      </c>
      <c r="L460" s="82" t="str">
        <f t="shared" ca="1" si="199"/>
        <v>#REF!</v>
      </c>
      <c r="M460" s="125"/>
      <c r="N460" s="125"/>
      <c r="O460" s="230">
        <f t="shared" si="2"/>
        <v>0</v>
      </c>
      <c r="P460" s="231">
        <f t="shared" si="3"/>
        <v>0</v>
      </c>
      <c r="Q460" s="232" t="str">
        <f ca="1">ROUNDUP(HLOOKUP(IF(CEILING(L460,0.5)&lt;1,1,CEILING(L460,0.5)),'배송비 조회'!A$32:AY$36,2,0),-2)</f>
        <v>#REF!</v>
      </c>
      <c r="R460" s="232">
        <v>0</v>
      </c>
      <c r="S460" s="231" t="str">
        <f t="shared" ca="1" si="250"/>
        <v>#REF!</v>
      </c>
      <c r="T460" s="231" t="str">
        <f t="shared" ca="1" si="200"/>
        <v>#REF!</v>
      </c>
      <c r="U460" s="233" t="str">
        <f t="shared" ca="1" si="142"/>
        <v>#REF!</v>
      </c>
      <c r="V460" s="233" t="str">
        <f t="shared" ca="1" si="7"/>
        <v>#REF!</v>
      </c>
      <c r="W460" s="234">
        <v>0</v>
      </c>
      <c r="X460" s="234" t="str">
        <f t="shared" ca="1" si="8"/>
        <v>#REF!</v>
      </c>
      <c r="Y460" s="234" t="str">
        <f t="shared" ca="1" si="9"/>
        <v>#REF!</v>
      </c>
      <c r="Z460" s="234" t="str">
        <f t="shared" ca="1" si="10"/>
        <v>#REF!</v>
      </c>
      <c r="AA460" s="234" t="str">
        <f t="shared" ca="1" si="11"/>
        <v>#REF!</v>
      </c>
      <c r="AB460" s="234" t="str">
        <f t="shared" ca="1" si="12"/>
        <v>#REF!</v>
      </c>
      <c r="AC460" s="234" t="str">
        <f t="shared" ca="1" si="13"/>
        <v>#REF!</v>
      </c>
      <c r="AD460" s="101" t="str">
        <f t="shared" ca="1" si="14"/>
        <v>#REF!</v>
      </c>
      <c r="AE460" s="101" t="str">
        <f t="shared" ca="1" si="15"/>
        <v>#REF!</v>
      </c>
      <c r="AF460" s="235" t="str">
        <f t="shared" ref="AF460:AG460" ca="1" si="537">AD460/U460</f>
        <v>#REF!</v>
      </c>
      <c r="AG460" s="235" t="str">
        <f t="shared" ca="1" si="537"/>
        <v>#REF!</v>
      </c>
      <c r="AH460" s="212"/>
      <c r="AI460" s="213"/>
      <c r="AJ460" s="4"/>
      <c r="AK460" s="4"/>
      <c r="AL460" s="4"/>
      <c r="AM460" s="4"/>
      <c r="AN460" s="4"/>
      <c r="AO460" s="4"/>
      <c r="AP460" s="4"/>
      <c r="AQ460" s="4"/>
      <c r="AR460" s="4"/>
      <c r="AS460" s="4"/>
      <c r="AT460" s="4"/>
      <c r="AU460" s="4"/>
    </row>
    <row r="461" spans="1:47" ht="13.2">
      <c r="A461" s="120"/>
      <c r="B461" s="113"/>
      <c r="C461" s="117"/>
      <c r="D461" s="117"/>
      <c r="E461" s="117"/>
      <c r="F461" s="123"/>
      <c r="G461" s="93" t="s">
        <v>145</v>
      </c>
      <c r="H461" s="125"/>
      <c r="I461" s="125"/>
      <c r="J461" s="82" t="str">
        <f t="shared" ca="1" si="147"/>
        <v>#REF!</v>
      </c>
      <c r="K461" s="82" t="str">
        <f t="shared" ca="1" si="256"/>
        <v>#REF!</v>
      </c>
      <c r="L461" s="82" t="str">
        <f t="shared" ca="1" si="199"/>
        <v>#REF!</v>
      </c>
      <c r="M461" s="125"/>
      <c r="N461" s="125"/>
      <c r="O461" s="230">
        <f t="shared" si="2"/>
        <v>0</v>
      </c>
      <c r="P461" s="231">
        <f t="shared" si="3"/>
        <v>0</v>
      </c>
      <c r="Q461" s="232" t="str">
        <f ca="1">ROUNDUP(HLOOKUP(IF(CEILING(L461,0.5)&lt;1,1,CEILING(L461,0.5)),'배송비 조회'!A$32:AY$36,2,0),-2)</f>
        <v>#REF!</v>
      </c>
      <c r="R461" s="232">
        <v>0</v>
      </c>
      <c r="S461" s="231" t="str">
        <f t="shared" ca="1" si="250"/>
        <v>#REF!</v>
      </c>
      <c r="T461" s="231" t="str">
        <f t="shared" ca="1" si="200"/>
        <v>#REF!</v>
      </c>
      <c r="U461" s="233" t="str">
        <f t="shared" ca="1" si="142"/>
        <v>#REF!</v>
      </c>
      <c r="V461" s="233" t="str">
        <f t="shared" ca="1" si="7"/>
        <v>#REF!</v>
      </c>
      <c r="W461" s="234">
        <v>0</v>
      </c>
      <c r="X461" s="234" t="str">
        <f t="shared" ca="1" si="8"/>
        <v>#REF!</v>
      </c>
      <c r="Y461" s="234" t="str">
        <f t="shared" ca="1" si="9"/>
        <v>#REF!</v>
      </c>
      <c r="Z461" s="234" t="str">
        <f t="shared" ca="1" si="10"/>
        <v>#REF!</v>
      </c>
      <c r="AA461" s="234" t="str">
        <f t="shared" ca="1" si="11"/>
        <v>#REF!</v>
      </c>
      <c r="AB461" s="234" t="str">
        <f t="shared" ca="1" si="12"/>
        <v>#REF!</v>
      </c>
      <c r="AC461" s="234" t="str">
        <f t="shared" ca="1" si="13"/>
        <v>#REF!</v>
      </c>
      <c r="AD461" s="101" t="str">
        <f t="shared" ca="1" si="14"/>
        <v>#REF!</v>
      </c>
      <c r="AE461" s="101" t="str">
        <f t="shared" ca="1" si="15"/>
        <v>#REF!</v>
      </c>
      <c r="AF461" s="235" t="str">
        <f t="shared" ref="AF461:AG461" ca="1" si="538">AD461/U461</f>
        <v>#REF!</v>
      </c>
      <c r="AG461" s="235" t="str">
        <f t="shared" ca="1" si="538"/>
        <v>#REF!</v>
      </c>
      <c r="AH461" s="212"/>
      <c r="AI461" s="213"/>
      <c r="AJ461" s="4"/>
      <c r="AK461" s="4"/>
      <c r="AL461" s="4"/>
      <c r="AM461" s="4"/>
      <c r="AN461" s="4"/>
      <c r="AO461" s="4"/>
      <c r="AP461" s="4"/>
      <c r="AQ461" s="4"/>
      <c r="AR461" s="4"/>
      <c r="AS461" s="4"/>
      <c r="AT461" s="4"/>
      <c r="AU461" s="4"/>
    </row>
    <row r="462" spans="1:47" ht="13.2">
      <c r="A462" s="120"/>
      <c r="B462" s="113"/>
      <c r="C462" s="117"/>
      <c r="D462" s="117"/>
      <c r="E462" s="117"/>
      <c r="F462" s="123"/>
      <c r="G462" s="93" t="s">
        <v>145</v>
      </c>
      <c r="H462" s="125"/>
      <c r="I462" s="125"/>
      <c r="J462" s="82" t="str">
        <f t="shared" ca="1" si="147"/>
        <v>#REF!</v>
      </c>
      <c r="K462" s="82" t="str">
        <f t="shared" ca="1" si="256"/>
        <v>#REF!</v>
      </c>
      <c r="L462" s="82" t="str">
        <f t="shared" ca="1" si="199"/>
        <v>#REF!</v>
      </c>
      <c r="M462" s="125"/>
      <c r="N462" s="125"/>
      <c r="O462" s="230">
        <f t="shared" si="2"/>
        <v>0</v>
      </c>
      <c r="P462" s="231">
        <f t="shared" si="3"/>
        <v>0</v>
      </c>
      <c r="Q462" s="232" t="str">
        <f ca="1">ROUNDUP(HLOOKUP(IF(CEILING(L462,0.5)&lt;1,1,CEILING(L462,0.5)),'배송비 조회'!A$32:AY$36,2,0),-2)</f>
        <v>#REF!</v>
      </c>
      <c r="R462" s="232">
        <v>0</v>
      </c>
      <c r="S462" s="231" t="str">
        <f t="shared" ca="1" si="250"/>
        <v>#REF!</v>
      </c>
      <c r="T462" s="231" t="str">
        <f t="shared" ca="1" si="200"/>
        <v>#REF!</v>
      </c>
      <c r="U462" s="233" t="str">
        <f t="shared" ca="1" si="142"/>
        <v>#REF!</v>
      </c>
      <c r="V462" s="233" t="str">
        <f t="shared" ca="1" si="7"/>
        <v>#REF!</v>
      </c>
      <c r="W462" s="234">
        <v>0</v>
      </c>
      <c r="X462" s="234" t="str">
        <f t="shared" ca="1" si="8"/>
        <v>#REF!</v>
      </c>
      <c r="Y462" s="234" t="str">
        <f t="shared" ca="1" si="9"/>
        <v>#REF!</v>
      </c>
      <c r="Z462" s="234" t="str">
        <f t="shared" ca="1" si="10"/>
        <v>#REF!</v>
      </c>
      <c r="AA462" s="234" t="str">
        <f t="shared" ca="1" si="11"/>
        <v>#REF!</v>
      </c>
      <c r="AB462" s="234" t="str">
        <f t="shared" ca="1" si="12"/>
        <v>#REF!</v>
      </c>
      <c r="AC462" s="234" t="str">
        <f t="shared" ca="1" si="13"/>
        <v>#REF!</v>
      </c>
      <c r="AD462" s="101" t="str">
        <f t="shared" ca="1" si="14"/>
        <v>#REF!</v>
      </c>
      <c r="AE462" s="101" t="str">
        <f t="shared" ca="1" si="15"/>
        <v>#REF!</v>
      </c>
      <c r="AF462" s="235" t="str">
        <f t="shared" ref="AF462:AG462" ca="1" si="539">AD462/U462</f>
        <v>#REF!</v>
      </c>
      <c r="AG462" s="235" t="str">
        <f t="shared" ca="1" si="539"/>
        <v>#REF!</v>
      </c>
      <c r="AH462" s="212"/>
      <c r="AI462" s="213"/>
      <c r="AJ462" s="4"/>
      <c r="AK462" s="4"/>
      <c r="AL462" s="4"/>
      <c r="AM462" s="4"/>
      <c r="AN462" s="4"/>
      <c r="AO462" s="4"/>
      <c r="AP462" s="4"/>
      <c r="AQ462" s="4"/>
      <c r="AR462" s="4"/>
      <c r="AS462" s="4"/>
      <c r="AT462" s="4"/>
      <c r="AU462" s="4"/>
    </row>
    <row r="463" spans="1:47" ht="13.2">
      <c r="A463" s="120"/>
      <c r="B463" s="113"/>
      <c r="C463" s="117"/>
      <c r="D463" s="117"/>
      <c r="E463" s="117"/>
      <c r="F463" s="123"/>
      <c r="G463" s="93" t="s">
        <v>145</v>
      </c>
      <c r="H463" s="125"/>
      <c r="I463" s="125"/>
      <c r="J463" s="82" t="str">
        <f t="shared" ca="1" si="147"/>
        <v>#REF!</v>
      </c>
      <c r="K463" s="82" t="str">
        <f t="shared" ca="1" si="256"/>
        <v>#REF!</v>
      </c>
      <c r="L463" s="82" t="str">
        <f t="shared" ca="1" si="199"/>
        <v>#REF!</v>
      </c>
      <c r="M463" s="125"/>
      <c r="N463" s="125"/>
      <c r="O463" s="230">
        <f t="shared" si="2"/>
        <v>0</v>
      </c>
      <c r="P463" s="231">
        <f t="shared" si="3"/>
        <v>0</v>
      </c>
      <c r="Q463" s="232" t="str">
        <f ca="1">ROUNDUP(HLOOKUP(IF(CEILING(L463,0.5)&lt;1,1,CEILING(L463,0.5)),'배송비 조회'!A$32:AY$36,2,0),-2)</f>
        <v>#REF!</v>
      </c>
      <c r="R463" s="232">
        <v>0</v>
      </c>
      <c r="S463" s="231" t="str">
        <f t="shared" ca="1" si="250"/>
        <v>#REF!</v>
      </c>
      <c r="T463" s="231" t="str">
        <f t="shared" ca="1" si="200"/>
        <v>#REF!</v>
      </c>
      <c r="U463" s="233" t="str">
        <f t="shared" ca="1" si="142"/>
        <v>#REF!</v>
      </c>
      <c r="V463" s="233" t="str">
        <f t="shared" ca="1" si="7"/>
        <v>#REF!</v>
      </c>
      <c r="W463" s="234">
        <v>0</v>
      </c>
      <c r="X463" s="234" t="str">
        <f t="shared" ca="1" si="8"/>
        <v>#REF!</v>
      </c>
      <c r="Y463" s="234" t="str">
        <f t="shared" ca="1" si="9"/>
        <v>#REF!</v>
      </c>
      <c r="Z463" s="234" t="str">
        <f t="shared" ca="1" si="10"/>
        <v>#REF!</v>
      </c>
      <c r="AA463" s="234" t="str">
        <f t="shared" ca="1" si="11"/>
        <v>#REF!</v>
      </c>
      <c r="AB463" s="234" t="str">
        <f t="shared" ca="1" si="12"/>
        <v>#REF!</v>
      </c>
      <c r="AC463" s="234" t="str">
        <f t="shared" ca="1" si="13"/>
        <v>#REF!</v>
      </c>
      <c r="AD463" s="101" t="str">
        <f t="shared" ca="1" si="14"/>
        <v>#REF!</v>
      </c>
      <c r="AE463" s="101" t="str">
        <f t="shared" ca="1" si="15"/>
        <v>#REF!</v>
      </c>
      <c r="AF463" s="235" t="str">
        <f t="shared" ref="AF463:AG463" ca="1" si="540">AD463/U463</f>
        <v>#REF!</v>
      </c>
      <c r="AG463" s="235" t="str">
        <f t="shared" ca="1" si="540"/>
        <v>#REF!</v>
      </c>
      <c r="AH463" s="212"/>
      <c r="AI463" s="213"/>
      <c r="AJ463" s="4"/>
      <c r="AK463" s="4"/>
      <c r="AL463" s="4"/>
      <c r="AM463" s="4"/>
      <c r="AN463" s="4"/>
      <c r="AO463" s="4"/>
      <c r="AP463" s="4"/>
      <c r="AQ463" s="4"/>
      <c r="AR463" s="4"/>
      <c r="AS463" s="4"/>
      <c r="AT463" s="4"/>
      <c r="AU463" s="4"/>
    </row>
    <row r="464" spans="1:47" ht="13.2">
      <c r="A464" s="120"/>
      <c r="B464" s="113"/>
      <c r="C464" s="117"/>
      <c r="D464" s="117"/>
      <c r="E464" s="117"/>
      <c r="F464" s="123"/>
      <c r="G464" s="93" t="s">
        <v>145</v>
      </c>
      <c r="H464" s="125"/>
      <c r="I464" s="125"/>
      <c r="J464" s="82" t="str">
        <f t="shared" ca="1" si="147"/>
        <v>#REF!</v>
      </c>
      <c r="K464" s="82" t="str">
        <f t="shared" ca="1" si="256"/>
        <v>#REF!</v>
      </c>
      <c r="L464" s="82" t="str">
        <f t="shared" ca="1" si="199"/>
        <v>#REF!</v>
      </c>
      <c r="M464" s="125"/>
      <c r="N464" s="125"/>
      <c r="O464" s="230">
        <f t="shared" si="2"/>
        <v>0</v>
      </c>
      <c r="P464" s="231">
        <f t="shared" si="3"/>
        <v>0</v>
      </c>
      <c r="Q464" s="232" t="str">
        <f ca="1">ROUNDUP(HLOOKUP(IF(CEILING(L464,0.5)&lt;1,1,CEILING(L464,0.5)),'배송비 조회'!A$32:AY$36,2,0),-2)</f>
        <v>#REF!</v>
      </c>
      <c r="R464" s="232">
        <v>0</v>
      </c>
      <c r="S464" s="231" t="str">
        <f t="shared" ca="1" si="250"/>
        <v>#REF!</v>
      </c>
      <c r="T464" s="231" t="str">
        <f t="shared" ca="1" si="200"/>
        <v>#REF!</v>
      </c>
      <c r="U464" s="233" t="str">
        <f t="shared" ca="1" si="142"/>
        <v>#REF!</v>
      </c>
      <c r="V464" s="233" t="str">
        <f t="shared" ca="1" si="7"/>
        <v>#REF!</v>
      </c>
      <c r="W464" s="234">
        <v>0</v>
      </c>
      <c r="X464" s="234" t="str">
        <f t="shared" ca="1" si="8"/>
        <v>#REF!</v>
      </c>
      <c r="Y464" s="234" t="str">
        <f t="shared" ca="1" si="9"/>
        <v>#REF!</v>
      </c>
      <c r="Z464" s="234" t="str">
        <f t="shared" ca="1" si="10"/>
        <v>#REF!</v>
      </c>
      <c r="AA464" s="234" t="str">
        <f t="shared" ca="1" si="11"/>
        <v>#REF!</v>
      </c>
      <c r="AB464" s="234" t="str">
        <f t="shared" ca="1" si="12"/>
        <v>#REF!</v>
      </c>
      <c r="AC464" s="234" t="str">
        <f t="shared" ca="1" si="13"/>
        <v>#REF!</v>
      </c>
      <c r="AD464" s="101" t="str">
        <f t="shared" ca="1" si="14"/>
        <v>#REF!</v>
      </c>
      <c r="AE464" s="101" t="str">
        <f t="shared" ca="1" si="15"/>
        <v>#REF!</v>
      </c>
      <c r="AF464" s="235" t="str">
        <f t="shared" ref="AF464:AG464" ca="1" si="541">AD464/U464</f>
        <v>#REF!</v>
      </c>
      <c r="AG464" s="235" t="str">
        <f t="shared" ca="1" si="541"/>
        <v>#REF!</v>
      </c>
      <c r="AH464" s="212"/>
      <c r="AI464" s="213"/>
      <c r="AJ464" s="4"/>
      <c r="AK464" s="4"/>
      <c r="AL464" s="4"/>
      <c r="AM464" s="4"/>
      <c r="AN464" s="4"/>
      <c r="AO464" s="4"/>
      <c r="AP464" s="4"/>
      <c r="AQ464" s="4"/>
      <c r="AR464" s="4"/>
      <c r="AS464" s="4"/>
      <c r="AT464" s="4"/>
      <c r="AU464" s="4"/>
    </row>
    <row r="465" spans="1:47" ht="13.2">
      <c r="A465" s="120"/>
      <c r="B465" s="113"/>
      <c r="C465" s="117"/>
      <c r="D465" s="117"/>
      <c r="E465" s="117"/>
      <c r="F465" s="123"/>
      <c r="G465" s="93" t="s">
        <v>145</v>
      </c>
      <c r="H465" s="125"/>
      <c r="I465" s="125"/>
      <c r="J465" s="82" t="str">
        <f t="shared" ca="1" si="147"/>
        <v>#REF!</v>
      </c>
      <c r="K465" s="82" t="str">
        <f t="shared" ca="1" si="256"/>
        <v>#REF!</v>
      </c>
      <c r="L465" s="82" t="str">
        <f t="shared" ca="1" si="199"/>
        <v>#REF!</v>
      </c>
      <c r="M465" s="125"/>
      <c r="N465" s="125"/>
      <c r="O465" s="230">
        <f t="shared" si="2"/>
        <v>0</v>
      </c>
      <c r="P465" s="231">
        <f t="shared" si="3"/>
        <v>0</v>
      </c>
      <c r="Q465" s="232" t="str">
        <f ca="1">ROUNDUP(HLOOKUP(IF(CEILING(L465,0.5)&lt;1,1,CEILING(L465,0.5)),'배송비 조회'!A$32:AY$36,2,0),-2)</f>
        <v>#REF!</v>
      </c>
      <c r="R465" s="232">
        <v>0</v>
      </c>
      <c r="S465" s="231" t="str">
        <f t="shared" ca="1" si="250"/>
        <v>#REF!</v>
      </c>
      <c r="T465" s="231" t="str">
        <f t="shared" ca="1" si="200"/>
        <v>#REF!</v>
      </c>
      <c r="U465" s="233" t="str">
        <f t="shared" ca="1" si="142"/>
        <v>#REF!</v>
      </c>
      <c r="V465" s="233" t="str">
        <f t="shared" ca="1" si="7"/>
        <v>#REF!</v>
      </c>
      <c r="W465" s="234">
        <v>0</v>
      </c>
      <c r="X465" s="234" t="str">
        <f t="shared" ca="1" si="8"/>
        <v>#REF!</v>
      </c>
      <c r="Y465" s="234" t="str">
        <f t="shared" ca="1" si="9"/>
        <v>#REF!</v>
      </c>
      <c r="Z465" s="234" t="str">
        <f t="shared" ca="1" si="10"/>
        <v>#REF!</v>
      </c>
      <c r="AA465" s="234" t="str">
        <f t="shared" ca="1" si="11"/>
        <v>#REF!</v>
      </c>
      <c r="AB465" s="234" t="str">
        <f t="shared" ca="1" si="12"/>
        <v>#REF!</v>
      </c>
      <c r="AC465" s="234" t="str">
        <f t="shared" ca="1" si="13"/>
        <v>#REF!</v>
      </c>
      <c r="AD465" s="101" t="str">
        <f t="shared" ca="1" si="14"/>
        <v>#REF!</v>
      </c>
      <c r="AE465" s="101" t="str">
        <f t="shared" ca="1" si="15"/>
        <v>#REF!</v>
      </c>
      <c r="AF465" s="235" t="str">
        <f t="shared" ref="AF465:AG465" ca="1" si="542">AD465/U465</f>
        <v>#REF!</v>
      </c>
      <c r="AG465" s="235" t="str">
        <f t="shared" ca="1" si="542"/>
        <v>#REF!</v>
      </c>
      <c r="AH465" s="212"/>
      <c r="AI465" s="213"/>
      <c r="AJ465" s="4"/>
      <c r="AK465" s="4"/>
      <c r="AL465" s="4"/>
      <c r="AM465" s="4"/>
      <c r="AN465" s="4"/>
      <c r="AO465" s="4"/>
      <c r="AP465" s="4"/>
      <c r="AQ465" s="4"/>
      <c r="AR465" s="4"/>
      <c r="AS465" s="4"/>
      <c r="AT465" s="4"/>
      <c r="AU465" s="4"/>
    </row>
    <row r="466" spans="1:47" ht="13.2">
      <c r="A466" s="120"/>
      <c r="B466" s="113"/>
      <c r="C466" s="117"/>
      <c r="D466" s="117"/>
      <c r="E466" s="117"/>
      <c r="F466" s="123"/>
      <c r="G466" s="93" t="s">
        <v>145</v>
      </c>
      <c r="H466" s="125"/>
      <c r="I466" s="125"/>
      <c r="J466" s="82" t="str">
        <f t="shared" ca="1" si="147"/>
        <v>#REF!</v>
      </c>
      <c r="K466" s="82" t="str">
        <f t="shared" ca="1" si="256"/>
        <v>#REF!</v>
      </c>
      <c r="L466" s="82" t="str">
        <f t="shared" ca="1" si="199"/>
        <v>#REF!</v>
      </c>
      <c r="M466" s="125"/>
      <c r="N466" s="125"/>
      <c r="O466" s="230">
        <f t="shared" si="2"/>
        <v>0</v>
      </c>
      <c r="P466" s="231">
        <f t="shared" si="3"/>
        <v>0</v>
      </c>
      <c r="Q466" s="232" t="str">
        <f ca="1">ROUNDUP(HLOOKUP(IF(CEILING(L466,0.5)&lt;1,1,CEILING(L466,0.5)),'배송비 조회'!A$32:AY$36,2,0),-2)</f>
        <v>#REF!</v>
      </c>
      <c r="R466" s="232">
        <v>0</v>
      </c>
      <c r="S466" s="231" t="str">
        <f t="shared" ca="1" si="250"/>
        <v>#REF!</v>
      </c>
      <c r="T466" s="231" t="str">
        <f t="shared" ca="1" si="200"/>
        <v>#REF!</v>
      </c>
      <c r="U466" s="233" t="str">
        <f t="shared" ca="1" si="142"/>
        <v>#REF!</v>
      </c>
      <c r="V466" s="233" t="str">
        <f t="shared" ca="1" si="7"/>
        <v>#REF!</v>
      </c>
      <c r="W466" s="234">
        <v>0</v>
      </c>
      <c r="X466" s="234" t="str">
        <f t="shared" ca="1" si="8"/>
        <v>#REF!</v>
      </c>
      <c r="Y466" s="234" t="str">
        <f t="shared" ca="1" si="9"/>
        <v>#REF!</v>
      </c>
      <c r="Z466" s="234" t="str">
        <f t="shared" ca="1" si="10"/>
        <v>#REF!</v>
      </c>
      <c r="AA466" s="234" t="str">
        <f t="shared" ca="1" si="11"/>
        <v>#REF!</v>
      </c>
      <c r="AB466" s="234" t="str">
        <f t="shared" ca="1" si="12"/>
        <v>#REF!</v>
      </c>
      <c r="AC466" s="234" t="str">
        <f t="shared" ca="1" si="13"/>
        <v>#REF!</v>
      </c>
      <c r="AD466" s="101" t="str">
        <f t="shared" ca="1" si="14"/>
        <v>#REF!</v>
      </c>
      <c r="AE466" s="101" t="str">
        <f t="shared" ca="1" si="15"/>
        <v>#REF!</v>
      </c>
      <c r="AF466" s="235" t="str">
        <f t="shared" ref="AF466:AG466" ca="1" si="543">AD466/U466</f>
        <v>#REF!</v>
      </c>
      <c r="AG466" s="235" t="str">
        <f t="shared" ca="1" si="543"/>
        <v>#REF!</v>
      </c>
      <c r="AH466" s="212"/>
      <c r="AI466" s="213"/>
      <c r="AJ466" s="4"/>
      <c r="AK466" s="4"/>
      <c r="AL466" s="4"/>
      <c r="AM466" s="4"/>
      <c r="AN466" s="4"/>
      <c r="AO466" s="4"/>
      <c r="AP466" s="4"/>
      <c r="AQ466" s="4"/>
      <c r="AR466" s="4"/>
      <c r="AS466" s="4"/>
      <c r="AT466" s="4"/>
      <c r="AU466" s="4"/>
    </row>
    <row r="467" spans="1:47" ht="13.2">
      <c r="A467" s="120"/>
      <c r="B467" s="113"/>
      <c r="C467" s="117"/>
      <c r="D467" s="117"/>
      <c r="E467" s="117"/>
      <c r="F467" s="123"/>
      <c r="G467" s="93" t="s">
        <v>145</v>
      </c>
      <c r="H467" s="125"/>
      <c r="I467" s="125"/>
      <c r="J467" s="82" t="str">
        <f t="shared" ca="1" si="147"/>
        <v>#REF!</v>
      </c>
      <c r="K467" s="82" t="str">
        <f t="shared" ca="1" si="256"/>
        <v>#REF!</v>
      </c>
      <c r="L467" s="82" t="str">
        <f t="shared" ca="1" si="199"/>
        <v>#REF!</v>
      </c>
      <c r="M467" s="125"/>
      <c r="N467" s="125"/>
      <c r="O467" s="230">
        <f t="shared" si="2"/>
        <v>0</v>
      </c>
      <c r="P467" s="231">
        <f t="shared" si="3"/>
        <v>0</v>
      </c>
      <c r="Q467" s="232" t="str">
        <f ca="1">ROUNDUP(HLOOKUP(IF(CEILING(L467,0.5)&lt;1,1,CEILING(L467,0.5)),'배송비 조회'!A$32:AY$36,2,0),-2)</f>
        <v>#REF!</v>
      </c>
      <c r="R467" s="232">
        <v>0</v>
      </c>
      <c r="S467" s="231" t="str">
        <f t="shared" ca="1" si="250"/>
        <v>#REF!</v>
      </c>
      <c r="T467" s="231" t="str">
        <f t="shared" ca="1" si="200"/>
        <v>#REF!</v>
      </c>
      <c r="U467" s="233" t="str">
        <f t="shared" ca="1" si="142"/>
        <v>#REF!</v>
      </c>
      <c r="V467" s="233" t="str">
        <f t="shared" ca="1" si="7"/>
        <v>#REF!</v>
      </c>
      <c r="W467" s="234">
        <v>0</v>
      </c>
      <c r="X467" s="234" t="str">
        <f t="shared" ca="1" si="8"/>
        <v>#REF!</v>
      </c>
      <c r="Y467" s="234" t="str">
        <f t="shared" ca="1" si="9"/>
        <v>#REF!</v>
      </c>
      <c r="Z467" s="234" t="str">
        <f t="shared" ca="1" si="10"/>
        <v>#REF!</v>
      </c>
      <c r="AA467" s="234" t="str">
        <f t="shared" ca="1" si="11"/>
        <v>#REF!</v>
      </c>
      <c r="AB467" s="234" t="str">
        <f t="shared" ca="1" si="12"/>
        <v>#REF!</v>
      </c>
      <c r="AC467" s="234" t="str">
        <f t="shared" ca="1" si="13"/>
        <v>#REF!</v>
      </c>
      <c r="AD467" s="101" t="str">
        <f t="shared" ca="1" si="14"/>
        <v>#REF!</v>
      </c>
      <c r="AE467" s="101" t="str">
        <f t="shared" ca="1" si="15"/>
        <v>#REF!</v>
      </c>
      <c r="AF467" s="235" t="str">
        <f t="shared" ref="AF467:AG467" ca="1" si="544">AD467/U467</f>
        <v>#REF!</v>
      </c>
      <c r="AG467" s="235" t="str">
        <f t="shared" ca="1" si="544"/>
        <v>#REF!</v>
      </c>
      <c r="AH467" s="212"/>
      <c r="AI467" s="213"/>
      <c r="AJ467" s="4"/>
      <c r="AK467" s="4"/>
      <c r="AL467" s="4"/>
      <c r="AM467" s="4"/>
      <c r="AN467" s="4"/>
      <c r="AO467" s="4"/>
      <c r="AP467" s="4"/>
      <c r="AQ467" s="4"/>
      <c r="AR467" s="4"/>
      <c r="AS467" s="4"/>
      <c r="AT467" s="4"/>
      <c r="AU467" s="4"/>
    </row>
    <row r="468" spans="1:47" ht="13.2">
      <c r="A468" s="120"/>
      <c r="B468" s="113"/>
      <c r="C468" s="117"/>
      <c r="D468" s="117"/>
      <c r="E468" s="117"/>
      <c r="F468" s="123"/>
      <c r="G468" s="93" t="s">
        <v>145</v>
      </c>
      <c r="H468" s="125"/>
      <c r="I468" s="125"/>
      <c r="J468" s="82" t="str">
        <f t="shared" ca="1" si="147"/>
        <v>#REF!</v>
      </c>
      <c r="K468" s="82" t="str">
        <f t="shared" ca="1" si="256"/>
        <v>#REF!</v>
      </c>
      <c r="L468" s="82" t="str">
        <f t="shared" ca="1" si="199"/>
        <v>#REF!</v>
      </c>
      <c r="M468" s="125"/>
      <c r="N468" s="125"/>
      <c r="O468" s="230">
        <f t="shared" si="2"/>
        <v>0</v>
      </c>
      <c r="P468" s="231">
        <f t="shared" si="3"/>
        <v>0</v>
      </c>
      <c r="Q468" s="232" t="str">
        <f ca="1">ROUNDUP(HLOOKUP(IF(CEILING(L468,0.5)&lt;1,1,CEILING(L468,0.5)),'배송비 조회'!A$32:AY$36,2,0),-2)</f>
        <v>#REF!</v>
      </c>
      <c r="R468" s="232">
        <v>0</v>
      </c>
      <c r="S468" s="231" t="str">
        <f t="shared" ca="1" si="250"/>
        <v>#REF!</v>
      </c>
      <c r="T468" s="231" t="str">
        <f t="shared" ca="1" si="200"/>
        <v>#REF!</v>
      </c>
      <c r="U468" s="233" t="str">
        <f t="shared" ca="1" si="142"/>
        <v>#REF!</v>
      </c>
      <c r="V468" s="233" t="str">
        <f t="shared" ca="1" si="7"/>
        <v>#REF!</v>
      </c>
      <c r="W468" s="234">
        <v>0</v>
      </c>
      <c r="X468" s="234" t="str">
        <f t="shared" ca="1" si="8"/>
        <v>#REF!</v>
      </c>
      <c r="Y468" s="234" t="str">
        <f t="shared" ca="1" si="9"/>
        <v>#REF!</v>
      </c>
      <c r="Z468" s="234" t="str">
        <f t="shared" ca="1" si="10"/>
        <v>#REF!</v>
      </c>
      <c r="AA468" s="234" t="str">
        <f t="shared" ca="1" si="11"/>
        <v>#REF!</v>
      </c>
      <c r="AB468" s="234" t="str">
        <f t="shared" ca="1" si="12"/>
        <v>#REF!</v>
      </c>
      <c r="AC468" s="234" t="str">
        <f t="shared" ca="1" si="13"/>
        <v>#REF!</v>
      </c>
      <c r="AD468" s="101" t="str">
        <f t="shared" ca="1" si="14"/>
        <v>#REF!</v>
      </c>
      <c r="AE468" s="101" t="str">
        <f t="shared" ca="1" si="15"/>
        <v>#REF!</v>
      </c>
      <c r="AF468" s="235" t="str">
        <f t="shared" ref="AF468:AG468" ca="1" si="545">AD468/U468</f>
        <v>#REF!</v>
      </c>
      <c r="AG468" s="235" t="str">
        <f t="shared" ca="1" si="545"/>
        <v>#REF!</v>
      </c>
      <c r="AH468" s="212"/>
      <c r="AI468" s="213"/>
      <c r="AJ468" s="4"/>
      <c r="AK468" s="4"/>
      <c r="AL468" s="4"/>
      <c r="AM468" s="4"/>
      <c r="AN468" s="4"/>
      <c r="AO468" s="4"/>
      <c r="AP468" s="4"/>
      <c r="AQ468" s="4"/>
      <c r="AR468" s="4"/>
      <c r="AS468" s="4"/>
      <c r="AT468" s="4"/>
      <c r="AU468" s="4"/>
    </row>
    <row r="469" spans="1:47" ht="13.2">
      <c r="A469" s="120"/>
      <c r="B469" s="113"/>
      <c r="C469" s="117"/>
      <c r="D469" s="117"/>
      <c r="E469" s="117"/>
      <c r="F469" s="123"/>
      <c r="G469" s="93" t="s">
        <v>145</v>
      </c>
      <c r="H469" s="125"/>
      <c r="I469" s="125"/>
      <c r="J469" s="82" t="str">
        <f t="shared" ca="1" si="147"/>
        <v>#REF!</v>
      </c>
      <c r="K469" s="82" t="str">
        <f t="shared" ca="1" si="256"/>
        <v>#REF!</v>
      </c>
      <c r="L469" s="82" t="str">
        <f t="shared" ca="1" si="199"/>
        <v>#REF!</v>
      </c>
      <c r="M469" s="125"/>
      <c r="N469" s="125"/>
      <c r="O469" s="230">
        <f t="shared" si="2"/>
        <v>0</v>
      </c>
      <c r="P469" s="231">
        <f t="shared" si="3"/>
        <v>0</v>
      </c>
      <c r="Q469" s="232" t="str">
        <f ca="1">ROUNDUP(HLOOKUP(IF(CEILING(L469,0.5)&lt;1,1,CEILING(L469,0.5)),'배송비 조회'!A$32:AY$36,2,0),-2)</f>
        <v>#REF!</v>
      </c>
      <c r="R469" s="232">
        <v>0</v>
      </c>
      <c r="S469" s="231" t="str">
        <f t="shared" ca="1" si="250"/>
        <v>#REF!</v>
      </c>
      <c r="T469" s="231" t="str">
        <f t="shared" ca="1" si="200"/>
        <v>#REF!</v>
      </c>
      <c r="U469" s="233" t="str">
        <f t="shared" ca="1" si="142"/>
        <v>#REF!</v>
      </c>
      <c r="V469" s="233" t="str">
        <f t="shared" ca="1" si="7"/>
        <v>#REF!</v>
      </c>
      <c r="W469" s="234">
        <v>0</v>
      </c>
      <c r="X469" s="234" t="str">
        <f t="shared" ca="1" si="8"/>
        <v>#REF!</v>
      </c>
      <c r="Y469" s="234" t="str">
        <f t="shared" ca="1" si="9"/>
        <v>#REF!</v>
      </c>
      <c r="Z469" s="234" t="str">
        <f t="shared" ca="1" si="10"/>
        <v>#REF!</v>
      </c>
      <c r="AA469" s="234" t="str">
        <f t="shared" ca="1" si="11"/>
        <v>#REF!</v>
      </c>
      <c r="AB469" s="234" t="str">
        <f t="shared" ca="1" si="12"/>
        <v>#REF!</v>
      </c>
      <c r="AC469" s="234" t="str">
        <f t="shared" ca="1" si="13"/>
        <v>#REF!</v>
      </c>
      <c r="AD469" s="101" t="str">
        <f t="shared" ca="1" si="14"/>
        <v>#REF!</v>
      </c>
      <c r="AE469" s="101" t="str">
        <f t="shared" ca="1" si="15"/>
        <v>#REF!</v>
      </c>
      <c r="AF469" s="235" t="str">
        <f t="shared" ref="AF469:AG469" ca="1" si="546">AD469/U469</f>
        <v>#REF!</v>
      </c>
      <c r="AG469" s="235" t="str">
        <f t="shared" ca="1" si="546"/>
        <v>#REF!</v>
      </c>
      <c r="AH469" s="212"/>
      <c r="AI469" s="213"/>
      <c r="AJ469" s="4"/>
      <c r="AK469" s="4"/>
      <c r="AL469" s="4"/>
      <c r="AM469" s="4"/>
      <c r="AN469" s="4"/>
      <c r="AO469" s="4"/>
      <c r="AP469" s="4"/>
      <c r="AQ469" s="4"/>
      <c r="AR469" s="4"/>
      <c r="AS469" s="4"/>
      <c r="AT469" s="4"/>
      <c r="AU469" s="4"/>
    </row>
    <row r="470" spans="1:47" ht="13.2">
      <c r="A470" s="120"/>
      <c r="B470" s="113"/>
      <c r="C470" s="117"/>
      <c r="D470" s="117"/>
      <c r="E470" s="117"/>
      <c r="F470" s="123"/>
      <c r="G470" s="93" t="s">
        <v>145</v>
      </c>
      <c r="H470" s="125"/>
      <c r="I470" s="125"/>
      <c r="J470" s="82" t="str">
        <f t="shared" ca="1" si="147"/>
        <v>#REF!</v>
      </c>
      <c r="K470" s="82" t="str">
        <f t="shared" ca="1" si="256"/>
        <v>#REF!</v>
      </c>
      <c r="L470" s="82" t="str">
        <f t="shared" ca="1" si="199"/>
        <v>#REF!</v>
      </c>
      <c r="M470" s="125"/>
      <c r="N470" s="125"/>
      <c r="O470" s="230">
        <f t="shared" si="2"/>
        <v>0</v>
      </c>
      <c r="P470" s="231">
        <f t="shared" si="3"/>
        <v>0</v>
      </c>
      <c r="Q470" s="232" t="str">
        <f ca="1">ROUNDUP(HLOOKUP(IF(CEILING(L470,0.5)&lt;1,1,CEILING(L470,0.5)),'배송비 조회'!A$32:AY$36,2,0),-2)</f>
        <v>#REF!</v>
      </c>
      <c r="R470" s="232">
        <v>0</v>
      </c>
      <c r="S470" s="231" t="str">
        <f t="shared" ca="1" si="250"/>
        <v>#REF!</v>
      </c>
      <c r="T470" s="231" t="str">
        <f t="shared" ca="1" si="200"/>
        <v>#REF!</v>
      </c>
      <c r="U470" s="233" t="str">
        <f t="shared" ca="1" si="142"/>
        <v>#REF!</v>
      </c>
      <c r="V470" s="233" t="str">
        <f t="shared" ca="1" si="7"/>
        <v>#REF!</v>
      </c>
      <c r="W470" s="234">
        <v>0</v>
      </c>
      <c r="X470" s="234" t="str">
        <f t="shared" ca="1" si="8"/>
        <v>#REF!</v>
      </c>
      <c r="Y470" s="234" t="str">
        <f t="shared" ca="1" si="9"/>
        <v>#REF!</v>
      </c>
      <c r="Z470" s="234" t="str">
        <f t="shared" ca="1" si="10"/>
        <v>#REF!</v>
      </c>
      <c r="AA470" s="234" t="str">
        <f t="shared" ca="1" si="11"/>
        <v>#REF!</v>
      </c>
      <c r="AB470" s="234" t="str">
        <f t="shared" ca="1" si="12"/>
        <v>#REF!</v>
      </c>
      <c r="AC470" s="234" t="str">
        <f t="shared" ca="1" si="13"/>
        <v>#REF!</v>
      </c>
      <c r="AD470" s="101" t="str">
        <f t="shared" ca="1" si="14"/>
        <v>#REF!</v>
      </c>
      <c r="AE470" s="101" t="str">
        <f t="shared" ca="1" si="15"/>
        <v>#REF!</v>
      </c>
      <c r="AF470" s="235" t="str">
        <f t="shared" ref="AF470:AG470" ca="1" si="547">AD470/U470</f>
        <v>#REF!</v>
      </c>
      <c r="AG470" s="235" t="str">
        <f t="shared" ca="1" si="547"/>
        <v>#REF!</v>
      </c>
      <c r="AH470" s="212"/>
      <c r="AI470" s="213"/>
      <c r="AJ470" s="4"/>
      <c r="AK470" s="4"/>
      <c r="AL470" s="4"/>
      <c r="AM470" s="4"/>
      <c r="AN470" s="4"/>
      <c r="AO470" s="4"/>
      <c r="AP470" s="4"/>
      <c r="AQ470" s="4"/>
      <c r="AR470" s="4"/>
      <c r="AS470" s="4"/>
      <c r="AT470" s="4"/>
      <c r="AU470" s="4"/>
    </row>
    <row r="471" spans="1:47" ht="13.2">
      <c r="A471" s="120"/>
      <c r="B471" s="113"/>
      <c r="C471" s="117"/>
      <c r="D471" s="117"/>
      <c r="E471" s="117"/>
      <c r="F471" s="123"/>
      <c r="G471" s="93" t="s">
        <v>145</v>
      </c>
      <c r="H471" s="125"/>
      <c r="I471" s="125"/>
      <c r="J471" s="82" t="str">
        <f t="shared" ca="1" si="147"/>
        <v>#REF!</v>
      </c>
      <c r="K471" s="82" t="str">
        <f t="shared" ca="1" si="256"/>
        <v>#REF!</v>
      </c>
      <c r="L471" s="82" t="str">
        <f t="shared" ca="1" si="199"/>
        <v>#REF!</v>
      </c>
      <c r="M471" s="125"/>
      <c r="N471" s="125"/>
      <c r="O471" s="230">
        <f t="shared" si="2"/>
        <v>0</v>
      </c>
      <c r="P471" s="231">
        <f t="shared" si="3"/>
        <v>0</v>
      </c>
      <c r="Q471" s="232" t="str">
        <f ca="1">ROUNDUP(HLOOKUP(IF(CEILING(L471,0.5)&lt;1,1,CEILING(L471,0.5)),'배송비 조회'!A$32:AY$36,2,0),-2)</f>
        <v>#REF!</v>
      </c>
      <c r="R471" s="232">
        <v>0</v>
      </c>
      <c r="S471" s="231" t="str">
        <f t="shared" ca="1" si="250"/>
        <v>#REF!</v>
      </c>
      <c r="T471" s="231" t="str">
        <f t="shared" ca="1" si="200"/>
        <v>#REF!</v>
      </c>
      <c r="U471" s="233" t="str">
        <f t="shared" ca="1" si="142"/>
        <v>#REF!</v>
      </c>
      <c r="V471" s="233" t="str">
        <f t="shared" ca="1" si="7"/>
        <v>#REF!</v>
      </c>
      <c r="W471" s="234">
        <v>0</v>
      </c>
      <c r="X471" s="234" t="str">
        <f t="shared" ca="1" si="8"/>
        <v>#REF!</v>
      </c>
      <c r="Y471" s="234" t="str">
        <f t="shared" ca="1" si="9"/>
        <v>#REF!</v>
      </c>
      <c r="Z471" s="234" t="str">
        <f t="shared" ca="1" si="10"/>
        <v>#REF!</v>
      </c>
      <c r="AA471" s="234" t="str">
        <f t="shared" ca="1" si="11"/>
        <v>#REF!</v>
      </c>
      <c r="AB471" s="234" t="str">
        <f t="shared" ca="1" si="12"/>
        <v>#REF!</v>
      </c>
      <c r="AC471" s="234" t="str">
        <f t="shared" ca="1" si="13"/>
        <v>#REF!</v>
      </c>
      <c r="AD471" s="101" t="str">
        <f t="shared" ca="1" si="14"/>
        <v>#REF!</v>
      </c>
      <c r="AE471" s="101" t="str">
        <f t="shared" ca="1" si="15"/>
        <v>#REF!</v>
      </c>
      <c r="AF471" s="235" t="str">
        <f t="shared" ref="AF471:AG471" ca="1" si="548">AD471/U471</f>
        <v>#REF!</v>
      </c>
      <c r="AG471" s="235" t="str">
        <f t="shared" ca="1" si="548"/>
        <v>#REF!</v>
      </c>
      <c r="AH471" s="212"/>
      <c r="AI471" s="213"/>
      <c r="AJ471" s="4"/>
      <c r="AK471" s="4"/>
      <c r="AL471" s="4"/>
      <c r="AM471" s="4"/>
      <c r="AN471" s="4"/>
      <c r="AO471" s="4"/>
      <c r="AP471" s="4"/>
      <c r="AQ471" s="4"/>
      <c r="AR471" s="4"/>
      <c r="AS471" s="4"/>
      <c r="AT471" s="4"/>
      <c r="AU471" s="4"/>
    </row>
    <row r="472" spans="1:47" ht="13.2">
      <c r="A472" s="120"/>
      <c r="B472" s="113"/>
      <c r="C472" s="117"/>
      <c r="D472" s="117"/>
      <c r="E472" s="117"/>
      <c r="F472" s="123"/>
      <c r="G472" s="93" t="s">
        <v>145</v>
      </c>
      <c r="H472" s="125"/>
      <c r="I472" s="125"/>
      <c r="J472" s="82" t="str">
        <f t="shared" ca="1" si="147"/>
        <v>#REF!</v>
      </c>
      <c r="K472" s="82" t="str">
        <f t="shared" ca="1" si="256"/>
        <v>#REF!</v>
      </c>
      <c r="L472" s="82" t="str">
        <f t="shared" ca="1" si="199"/>
        <v>#REF!</v>
      </c>
      <c r="M472" s="125"/>
      <c r="N472" s="125"/>
      <c r="O472" s="230">
        <f t="shared" si="2"/>
        <v>0</v>
      </c>
      <c r="P472" s="231">
        <f t="shared" si="3"/>
        <v>0</v>
      </c>
      <c r="Q472" s="232" t="str">
        <f ca="1">ROUNDUP(HLOOKUP(IF(CEILING(L472,0.5)&lt;1,1,CEILING(L472,0.5)),'배송비 조회'!A$32:AY$36,2,0),-2)</f>
        <v>#REF!</v>
      </c>
      <c r="R472" s="232">
        <v>0</v>
      </c>
      <c r="S472" s="231" t="str">
        <f t="shared" ca="1" si="250"/>
        <v>#REF!</v>
      </c>
      <c r="T472" s="231" t="str">
        <f t="shared" ca="1" si="200"/>
        <v>#REF!</v>
      </c>
      <c r="U472" s="233" t="str">
        <f t="shared" ca="1" si="142"/>
        <v>#REF!</v>
      </c>
      <c r="V472" s="233" t="str">
        <f t="shared" ca="1" si="7"/>
        <v>#REF!</v>
      </c>
      <c r="W472" s="234">
        <v>0</v>
      </c>
      <c r="X472" s="234" t="str">
        <f t="shared" ca="1" si="8"/>
        <v>#REF!</v>
      </c>
      <c r="Y472" s="234" t="str">
        <f t="shared" ca="1" si="9"/>
        <v>#REF!</v>
      </c>
      <c r="Z472" s="234" t="str">
        <f t="shared" ca="1" si="10"/>
        <v>#REF!</v>
      </c>
      <c r="AA472" s="234" t="str">
        <f t="shared" ca="1" si="11"/>
        <v>#REF!</v>
      </c>
      <c r="AB472" s="234" t="str">
        <f t="shared" ca="1" si="12"/>
        <v>#REF!</v>
      </c>
      <c r="AC472" s="234" t="str">
        <f t="shared" ca="1" si="13"/>
        <v>#REF!</v>
      </c>
      <c r="AD472" s="101" t="str">
        <f t="shared" ca="1" si="14"/>
        <v>#REF!</v>
      </c>
      <c r="AE472" s="101" t="str">
        <f t="shared" ca="1" si="15"/>
        <v>#REF!</v>
      </c>
      <c r="AF472" s="235" t="str">
        <f t="shared" ref="AF472:AG472" ca="1" si="549">AD472/U472</f>
        <v>#REF!</v>
      </c>
      <c r="AG472" s="235" t="str">
        <f t="shared" ca="1" si="549"/>
        <v>#REF!</v>
      </c>
      <c r="AH472" s="212"/>
      <c r="AI472" s="213"/>
      <c r="AJ472" s="4"/>
      <c r="AK472" s="4"/>
      <c r="AL472" s="4"/>
      <c r="AM472" s="4"/>
      <c r="AN472" s="4"/>
      <c r="AO472" s="4"/>
      <c r="AP472" s="4"/>
      <c r="AQ472" s="4"/>
      <c r="AR472" s="4"/>
      <c r="AS472" s="4"/>
      <c r="AT472" s="4"/>
      <c r="AU472" s="4"/>
    </row>
    <row r="473" spans="1:47" ht="13.2">
      <c r="A473" s="120"/>
      <c r="B473" s="113"/>
      <c r="C473" s="117"/>
      <c r="D473" s="117"/>
      <c r="E473" s="117"/>
      <c r="F473" s="123"/>
      <c r="G473" s="93" t="s">
        <v>145</v>
      </c>
      <c r="H473" s="125"/>
      <c r="I473" s="125"/>
      <c r="J473" s="82" t="str">
        <f t="shared" ca="1" si="147"/>
        <v>#REF!</v>
      </c>
      <c r="K473" s="82" t="str">
        <f t="shared" ca="1" si="256"/>
        <v>#REF!</v>
      </c>
      <c r="L473" s="82" t="str">
        <f t="shared" ca="1" si="199"/>
        <v>#REF!</v>
      </c>
      <c r="M473" s="125"/>
      <c r="N473" s="125"/>
      <c r="O473" s="230">
        <f t="shared" si="2"/>
        <v>0</v>
      </c>
      <c r="P473" s="231">
        <f t="shared" si="3"/>
        <v>0</v>
      </c>
      <c r="Q473" s="232" t="str">
        <f ca="1">ROUNDUP(HLOOKUP(IF(CEILING(L473,0.5)&lt;1,1,CEILING(L473,0.5)),'배송비 조회'!A$32:AY$36,2,0),-2)</f>
        <v>#REF!</v>
      </c>
      <c r="R473" s="232">
        <v>0</v>
      </c>
      <c r="S473" s="231" t="str">
        <f t="shared" ca="1" si="250"/>
        <v>#REF!</v>
      </c>
      <c r="T473" s="231" t="str">
        <f t="shared" ca="1" si="200"/>
        <v>#REF!</v>
      </c>
      <c r="U473" s="233" t="str">
        <f t="shared" ca="1" si="142"/>
        <v>#REF!</v>
      </c>
      <c r="V473" s="233" t="str">
        <f t="shared" ca="1" si="7"/>
        <v>#REF!</v>
      </c>
      <c r="W473" s="234">
        <v>0</v>
      </c>
      <c r="X473" s="234" t="str">
        <f t="shared" ca="1" si="8"/>
        <v>#REF!</v>
      </c>
      <c r="Y473" s="234" t="str">
        <f t="shared" ca="1" si="9"/>
        <v>#REF!</v>
      </c>
      <c r="Z473" s="234" t="str">
        <f t="shared" ca="1" si="10"/>
        <v>#REF!</v>
      </c>
      <c r="AA473" s="234" t="str">
        <f t="shared" ca="1" si="11"/>
        <v>#REF!</v>
      </c>
      <c r="AB473" s="234" t="str">
        <f t="shared" ca="1" si="12"/>
        <v>#REF!</v>
      </c>
      <c r="AC473" s="234" t="str">
        <f t="shared" ca="1" si="13"/>
        <v>#REF!</v>
      </c>
      <c r="AD473" s="101" t="str">
        <f t="shared" ca="1" si="14"/>
        <v>#REF!</v>
      </c>
      <c r="AE473" s="101" t="str">
        <f t="shared" ca="1" si="15"/>
        <v>#REF!</v>
      </c>
      <c r="AF473" s="235" t="str">
        <f t="shared" ref="AF473:AG473" ca="1" si="550">AD473/U473</f>
        <v>#REF!</v>
      </c>
      <c r="AG473" s="235" t="str">
        <f t="shared" ca="1" si="550"/>
        <v>#REF!</v>
      </c>
      <c r="AH473" s="212"/>
      <c r="AI473" s="213"/>
      <c r="AJ473" s="4"/>
      <c r="AK473" s="4"/>
      <c r="AL473" s="4"/>
      <c r="AM473" s="4"/>
      <c r="AN473" s="4"/>
      <c r="AO473" s="4"/>
      <c r="AP473" s="4"/>
      <c r="AQ473" s="4"/>
      <c r="AR473" s="4"/>
      <c r="AS473" s="4"/>
      <c r="AT473" s="4"/>
      <c r="AU473" s="4"/>
    </row>
    <row r="474" spans="1:47" ht="13.2">
      <c r="A474" s="120"/>
      <c r="B474" s="113"/>
      <c r="C474" s="117"/>
      <c r="D474" s="117"/>
      <c r="E474" s="117"/>
      <c r="F474" s="123"/>
      <c r="G474" s="93" t="s">
        <v>145</v>
      </c>
      <c r="H474" s="125"/>
      <c r="I474" s="125"/>
      <c r="J474" s="82" t="str">
        <f t="shared" ca="1" si="147"/>
        <v>#REF!</v>
      </c>
      <c r="K474" s="82" t="str">
        <f t="shared" ca="1" si="256"/>
        <v>#REF!</v>
      </c>
      <c r="L474" s="82" t="str">
        <f t="shared" ca="1" si="199"/>
        <v>#REF!</v>
      </c>
      <c r="M474" s="125"/>
      <c r="N474" s="125"/>
      <c r="O474" s="230">
        <f t="shared" si="2"/>
        <v>0</v>
      </c>
      <c r="P474" s="231">
        <f t="shared" si="3"/>
        <v>0</v>
      </c>
      <c r="Q474" s="232" t="str">
        <f ca="1">ROUNDUP(HLOOKUP(IF(CEILING(L474,0.5)&lt;1,1,CEILING(L474,0.5)),'배송비 조회'!A$32:AY$36,2,0),-2)</f>
        <v>#REF!</v>
      </c>
      <c r="R474" s="232">
        <v>0</v>
      </c>
      <c r="S474" s="231" t="str">
        <f t="shared" ca="1" si="250"/>
        <v>#REF!</v>
      </c>
      <c r="T474" s="231" t="str">
        <f t="shared" ca="1" si="200"/>
        <v>#REF!</v>
      </c>
      <c r="U474" s="233" t="str">
        <f t="shared" ca="1" si="142"/>
        <v>#REF!</v>
      </c>
      <c r="V474" s="233" t="str">
        <f t="shared" ca="1" si="7"/>
        <v>#REF!</v>
      </c>
      <c r="W474" s="234">
        <v>0</v>
      </c>
      <c r="X474" s="234" t="str">
        <f t="shared" ca="1" si="8"/>
        <v>#REF!</v>
      </c>
      <c r="Y474" s="234" t="str">
        <f t="shared" ca="1" si="9"/>
        <v>#REF!</v>
      </c>
      <c r="Z474" s="234" t="str">
        <f t="shared" ca="1" si="10"/>
        <v>#REF!</v>
      </c>
      <c r="AA474" s="234" t="str">
        <f t="shared" ca="1" si="11"/>
        <v>#REF!</v>
      </c>
      <c r="AB474" s="234" t="str">
        <f t="shared" ca="1" si="12"/>
        <v>#REF!</v>
      </c>
      <c r="AC474" s="234" t="str">
        <f t="shared" ca="1" si="13"/>
        <v>#REF!</v>
      </c>
      <c r="AD474" s="101" t="str">
        <f t="shared" ca="1" si="14"/>
        <v>#REF!</v>
      </c>
      <c r="AE474" s="101" t="str">
        <f t="shared" ca="1" si="15"/>
        <v>#REF!</v>
      </c>
      <c r="AF474" s="235" t="str">
        <f t="shared" ref="AF474:AG474" ca="1" si="551">AD474/U474</f>
        <v>#REF!</v>
      </c>
      <c r="AG474" s="235" t="str">
        <f t="shared" ca="1" si="551"/>
        <v>#REF!</v>
      </c>
      <c r="AH474" s="212"/>
      <c r="AI474" s="213"/>
      <c r="AJ474" s="4"/>
      <c r="AK474" s="4"/>
      <c r="AL474" s="4"/>
      <c r="AM474" s="4"/>
      <c r="AN474" s="4"/>
      <c r="AO474" s="4"/>
      <c r="AP474" s="4"/>
      <c r="AQ474" s="4"/>
      <c r="AR474" s="4"/>
      <c r="AS474" s="4"/>
      <c r="AT474" s="4"/>
      <c r="AU474" s="4"/>
    </row>
    <row r="475" spans="1:47" ht="13.2">
      <c r="A475" s="120"/>
      <c r="B475" s="113"/>
      <c r="C475" s="117"/>
      <c r="D475" s="117"/>
      <c r="E475" s="117"/>
      <c r="F475" s="123"/>
      <c r="G475" s="93" t="s">
        <v>145</v>
      </c>
      <c r="H475" s="125"/>
      <c r="I475" s="125"/>
      <c r="J475" s="82" t="str">
        <f t="shared" ca="1" si="147"/>
        <v>#REF!</v>
      </c>
      <c r="K475" s="82" t="str">
        <f t="shared" ca="1" si="256"/>
        <v>#REF!</v>
      </c>
      <c r="L475" s="82" t="str">
        <f t="shared" ca="1" si="199"/>
        <v>#REF!</v>
      </c>
      <c r="M475" s="125"/>
      <c r="N475" s="125"/>
      <c r="O475" s="230">
        <f t="shared" si="2"/>
        <v>0</v>
      </c>
      <c r="P475" s="231">
        <f t="shared" si="3"/>
        <v>0</v>
      </c>
      <c r="Q475" s="232" t="str">
        <f ca="1">ROUNDUP(HLOOKUP(IF(CEILING(L475,0.5)&lt;1,1,CEILING(L475,0.5)),'배송비 조회'!A$32:AY$36,2,0),-2)</f>
        <v>#REF!</v>
      </c>
      <c r="R475" s="232">
        <v>0</v>
      </c>
      <c r="S475" s="231" t="str">
        <f t="shared" ca="1" si="250"/>
        <v>#REF!</v>
      </c>
      <c r="T475" s="231" t="str">
        <f t="shared" ca="1" si="200"/>
        <v>#REF!</v>
      </c>
      <c r="U475" s="233" t="str">
        <f t="shared" ca="1" si="142"/>
        <v>#REF!</v>
      </c>
      <c r="V475" s="233" t="str">
        <f t="shared" ca="1" si="7"/>
        <v>#REF!</v>
      </c>
      <c r="W475" s="234">
        <v>0</v>
      </c>
      <c r="X475" s="234" t="str">
        <f t="shared" ca="1" si="8"/>
        <v>#REF!</v>
      </c>
      <c r="Y475" s="234" t="str">
        <f t="shared" ca="1" si="9"/>
        <v>#REF!</v>
      </c>
      <c r="Z475" s="234" t="str">
        <f t="shared" ca="1" si="10"/>
        <v>#REF!</v>
      </c>
      <c r="AA475" s="234" t="str">
        <f t="shared" ca="1" si="11"/>
        <v>#REF!</v>
      </c>
      <c r="AB475" s="234" t="str">
        <f t="shared" ca="1" si="12"/>
        <v>#REF!</v>
      </c>
      <c r="AC475" s="234" t="str">
        <f t="shared" ca="1" si="13"/>
        <v>#REF!</v>
      </c>
      <c r="AD475" s="101" t="str">
        <f t="shared" ca="1" si="14"/>
        <v>#REF!</v>
      </c>
      <c r="AE475" s="101" t="str">
        <f t="shared" ca="1" si="15"/>
        <v>#REF!</v>
      </c>
      <c r="AF475" s="235" t="str">
        <f t="shared" ref="AF475:AG475" ca="1" si="552">AD475/U475</f>
        <v>#REF!</v>
      </c>
      <c r="AG475" s="235" t="str">
        <f t="shared" ca="1" si="552"/>
        <v>#REF!</v>
      </c>
      <c r="AH475" s="212"/>
      <c r="AI475" s="213"/>
      <c r="AJ475" s="4"/>
      <c r="AK475" s="4"/>
      <c r="AL475" s="4"/>
      <c r="AM475" s="4"/>
      <c r="AN475" s="4"/>
      <c r="AO475" s="4"/>
      <c r="AP475" s="4"/>
      <c r="AQ475" s="4"/>
      <c r="AR475" s="4"/>
      <c r="AS475" s="4"/>
      <c r="AT475" s="4"/>
      <c r="AU475" s="4"/>
    </row>
    <row r="476" spans="1:47" ht="13.2">
      <c r="A476" s="120"/>
      <c r="B476" s="113"/>
      <c r="C476" s="117"/>
      <c r="D476" s="117"/>
      <c r="E476" s="117"/>
      <c r="F476" s="123"/>
      <c r="G476" s="93" t="s">
        <v>145</v>
      </c>
      <c r="H476" s="125"/>
      <c r="I476" s="125"/>
      <c r="J476" s="82" t="str">
        <f t="shared" ca="1" si="147"/>
        <v>#REF!</v>
      </c>
      <c r="K476" s="82" t="str">
        <f t="shared" ca="1" si="256"/>
        <v>#REF!</v>
      </c>
      <c r="L476" s="82" t="str">
        <f t="shared" ca="1" si="199"/>
        <v>#REF!</v>
      </c>
      <c r="M476" s="125"/>
      <c r="N476" s="125"/>
      <c r="O476" s="230">
        <f t="shared" si="2"/>
        <v>0</v>
      </c>
      <c r="P476" s="231">
        <f t="shared" si="3"/>
        <v>0</v>
      </c>
      <c r="Q476" s="232" t="str">
        <f ca="1">ROUNDUP(HLOOKUP(IF(CEILING(L476,0.5)&lt;1,1,CEILING(L476,0.5)),'배송비 조회'!A$32:AY$36,2,0),-2)</f>
        <v>#REF!</v>
      </c>
      <c r="R476" s="232">
        <v>0</v>
      </c>
      <c r="S476" s="231" t="str">
        <f t="shared" ca="1" si="250"/>
        <v>#REF!</v>
      </c>
      <c r="T476" s="231" t="str">
        <f t="shared" ca="1" si="200"/>
        <v>#REF!</v>
      </c>
      <c r="U476" s="233" t="str">
        <f t="shared" ca="1" si="142"/>
        <v>#REF!</v>
      </c>
      <c r="V476" s="233" t="str">
        <f t="shared" ca="1" si="7"/>
        <v>#REF!</v>
      </c>
      <c r="W476" s="234">
        <v>0</v>
      </c>
      <c r="X476" s="234" t="str">
        <f t="shared" ca="1" si="8"/>
        <v>#REF!</v>
      </c>
      <c r="Y476" s="234" t="str">
        <f t="shared" ca="1" si="9"/>
        <v>#REF!</v>
      </c>
      <c r="Z476" s="234" t="str">
        <f t="shared" ca="1" si="10"/>
        <v>#REF!</v>
      </c>
      <c r="AA476" s="234" t="str">
        <f t="shared" ca="1" si="11"/>
        <v>#REF!</v>
      </c>
      <c r="AB476" s="234" t="str">
        <f t="shared" ca="1" si="12"/>
        <v>#REF!</v>
      </c>
      <c r="AC476" s="234" t="str">
        <f t="shared" ca="1" si="13"/>
        <v>#REF!</v>
      </c>
      <c r="AD476" s="101" t="str">
        <f t="shared" ca="1" si="14"/>
        <v>#REF!</v>
      </c>
      <c r="AE476" s="101" t="str">
        <f t="shared" ca="1" si="15"/>
        <v>#REF!</v>
      </c>
      <c r="AF476" s="235" t="str">
        <f t="shared" ref="AF476:AG476" ca="1" si="553">AD476/U476</f>
        <v>#REF!</v>
      </c>
      <c r="AG476" s="235" t="str">
        <f t="shared" ca="1" si="553"/>
        <v>#REF!</v>
      </c>
      <c r="AH476" s="212"/>
      <c r="AI476" s="213"/>
      <c r="AJ476" s="4"/>
      <c r="AK476" s="4"/>
      <c r="AL476" s="4"/>
      <c r="AM476" s="4"/>
      <c r="AN476" s="4"/>
      <c r="AO476" s="4"/>
      <c r="AP476" s="4"/>
      <c r="AQ476" s="4"/>
      <c r="AR476" s="4"/>
      <c r="AS476" s="4"/>
      <c r="AT476" s="4"/>
      <c r="AU476" s="4"/>
    </row>
    <row r="477" spans="1:47" ht="13.2">
      <c r="A477" s="120"/>
      <c r="B477" s="113"/>
      <c r="C477" s="117"/>
      <c r="D477" s="117"/>
      <c r="E477" s="117"/>
      <c r="F477" s="123"/>
      <c r="G477" s="93" t="s">
        <v>145</v>
      </c>
      <c r="H477" s="125"/>
      <c r="I477" s="125"/>
      <c r="J477" s="82" t="str">
        <f t="shared" ca="1" si="147"/>
        <v>#REF!</v>
      </c>
      <c r="K477" s="82" t="str">
        <f t="shared" ca="1" si="256"/>
        <v>#REF!</v>
      </c>
      <c r="L477" s="82" t="str">
        <f t="shared" ca="1" si="199"/>
        <v>#REF!</v>
      </c>
      <c r="M477" s="125"/>
      <c r="N477" s="125"/>
      <c r="O477" s="230">
        <f t="shared" si="2"/>
        <v>0</v>
      </c>
      <c r="P477" s="231">
        <f t="shared" si="3"/>
        <v>0</v>
      </c>
      <c r="Q477" s="232" t="str">
        <f ca="1">ROUNDUP(HLOOKUP(IF(CEILING(L477,0.5)&lt;1,1,CEILING(L477,0.5)),'배송비 조회'!A$32:AY$36,2,0),-2)</f>
        <v>#REF!</v>
      </c>
      <c r="R477" s="232">
        <v>0</v>
      </c>
      <c r="S477" s="231" t="str">
        <f t="shared" ca="1" si="250"/>
        <v>#REF!</v>
      </c>
      <c r="T477" s="231" t="str">
        <f t="shared" ca="1" si="200"/>
        <v>#REF!</v>
      </c>
      <c r="U477" s="233" t="str">
        <f t="shared" ca="1" si="142"/>
        <v>#REF!</v>
      </c>
      <c r="V477" s="233" t="str">
        <f t="shared" ca="1" si="7"/>
        <v>#REF!</v>
      </c>
      <c r="W477" s="234">
        <v>0</v>
      </c>
      <c r="X477" s="234" t="str">
        <f t="shared" ca="1" si="8"/>
        <v>#REF!</v>
      </c>
      <c r="Y477" s="234" t="str">
        <f t="shared" ca="1" si="9"/>
        <v>#REF!</v>
      </c>
      <c r="Z477" s="234" t="str">
        <f t="shared" ca="1" si="10"/>
        <v>#REF!</v>
      </c>
      <c r="AA477" s="234" t="str">
        <f t="shared" ca="1" si="11"/>
        <v>#REF!</v>
      </c>
      <c r="AB477" s="234" t="str">
        <f t="shared" ca="1" si="12"/>
        <v>#REF!</v>
      </c>
      <c r="AC477" s="234" t="str">
        <f t="shared" ca="1" si="13"/>
        <v>#REF!</v>
      </c>
      <c r="AD477" s="101" t="str">
        <f t="shared" ca="1" si="14"/>
        <v>#REF!</v>
      </c>
      <c r="AE477" s="101" t="str">
        <f t="shared" ca="1" si="15"/>
        <v>#REF!</v>
      </c>
      <c r="AF477" s="235" t="str">
        <f t="shared" ref="AF477:AG477" ca="1" si="554">AD477/U477</f>
        <v>#REF!</v>
      </c>
      <c r="AG477" s="235" t="str">
        <f t="shared" ca="1" si="554"/>
        <v>#REF!</v>
      </c>
      <c r="AH477" s="212"/>
      <c r="AI477" s="213"/>
      <c r="AJ477" s="4"/>
      <c r="AK477" s="4"/>
      <c r="AL477" s="4"/>
      <c r="AM477" s="4"/>
      <c r="AN477" s="4"/>
      <c r="AO477" s="4"/>
      <c r="AP477" s="4"/>
      <c r="AQ477" s="4"/>
      <c r="AR477" s="4"/>
      <c r="AS477" s="4"/>
      <c r="AT477" s="4"/>
      <c r="AU477" s="4"/>
    </row>
    <row r="478" spans="1:47" ht="13.2">
      <c r="A478" s="120"/>
      <c r="B478" s="113"/>
      <c r="C478" s="117"/>
      <c r="D478" s="117"/>
      <c r="E478" s="117"/>
      <c r="F478" s="123"/>
      <c r="G478" s="93" t="s">
        <v>145</v>
      </c>
      <c r="H478" s="125"/>
      <c r="I478" s="125"/>
      <c r="J478" s="82" t="str">
        <f t="shared" ca="1" si="147"/>
        <v>#REF!</v>
      </c>
      <c r="K478" s="82" t="str">
        <f t="shared" ca="1" si="256"/>
        <v>#REF!</v>
      </c>
      <c r="L478" s="82" t="str">
        <f t="shared" ca="1" si="199"/>
        <v>#REF!</v>
      </c>
      <c r="M478" s="125"/>
      <c r="N478" s="125"/>
      <c r="O478" s="230">
        <f t="shared" si="2"/>
        <v>0</v>
      </c>
      <c r="P478" s="231">
        <f t="shared" si="3"/>
        <v>0</v>
      </c>
      <c r="Q478" s="232" t="str">
        <f ca="1">ROUNDUP(HLOOKUP(IF(CEILING(L478,0.5)&lt;1,1,CEILING(L478,0.5)),'배송비 조회'!A$32:AY$36,2,0),-2)</f>
        <v>#REF!</v>
      </c>
      <c r="R478" s="232">
        <v>0</v>
      </c>
      <c r="S478" s="231" t="str">
        <f t="shared" ca="1" si="250"/>
        <v>#REF!</v>
      </c>
      <c r="T478" s="231" t="str">
        <f t="shared" ca="1" si="200"/>
        <v>#REF!</v>
      </c>
      <c r="U478" s="233" t="str">
        <f t="shared" ca="1" si="142"/>
        <v>#REF!</v>
      </c>
      <c r="V478" s="233" t="str">
        <f t="shared" ca="1" si="7"/>
        <v>#REF!</v>
      </c>
      <c r="W478" s="234">
        <v>0</v>
      </c>
      <c r="X478" s="234" t="str">
        <f t="shared" ca="1" si="8"/>
        <v>#REF!</v>
      </c>
      <c r="Y478" s="234" t="str">
        <f t="shared" ca="1" si="9"/>
        <v>#REF!</v>
      </c>
      <c r="Z478" s="234" t="str">
        <f t="shared" ca="1" si="10"/>
        <v>#REF!</v>
      </c>
      <c r="AA478" s="234" t="str">
        <f t="shared" ca="1" si="11"/>
        <v>#REF!</v>
      </c>
      <c r="AB478" s="234" t="str">
        <f t="shared" ca="1" si="12"/>
        <v>#REF!</v>
      </c>
      <c r="AC478" s="234" t="str">
        <f t="shared" ca="1" si="13"/>
        <v>#REF!</v>
      </c>
      <c r="AD478" s="101" t="str">
        <f t="shared" ca="1" si="14"/>
        <v>#REF!</v>
      </c>
      <c r="AE478" s="101" t="str">
        <f t="shared" ca="1" si="15"/>
        <v>#REF!</v>
      </c>
      <c r="AF478" s="235" t="str">
        <f t="shared" ref="AF478:AG478" ca="1" si="555">AD478/U478</f>
        <v>#REF!</v>
      </c>
      <c r="AG478" s="235" t="str">
        <f t="shared" ca="1" si="555"/>
        <v>#REF!</v>
      </c>
      <c r="AH478" s="212"/>
      <c r="AI478" s="213"/>
      <c r="AJ478" s="4"/>
      <c r="AK478" s="4"/>
      <c r="AL478" s="4"/>
      <c r="AM478" s="4"/>
      <c r="AN478" s="4"/>
      <c r="AO478" s="4"/>
      <c r="AP478" s="4"/>
      <c r="AQ478" s="4"/>
      <c r="AR478" s="4"/>
      <c r="AS478" s="4"/>
      <c r="AT478" s="4"/>
      <c r="AU478" s="4"/>
    </row>
    <row r="479" spans="1:47" ht="13.2">
      <c r="A479" s="120"/>
      <c r="B479" s="113"/>
      <c r="C479" s="117"/>
      <c r="D479" s="117"/>
      <c r="E479" s="117"/>
      <c r="F479" s="123"/>
      <c r="G479" s="93" t="s">
        <v>145</v>
      </c>
      <c r="H479" s="125"/>
      <c r="I479" s="125"/>
      <c r="J479" s="82" t="str">
        <f t="shared" ca="1" si="147"/>
        <v>#REF!</v>
      </c>
      <c r="K479" s="82" t="str">
        <f t="shared" ca="1" si="256"/>
        <v>#REF!</v>
      </c>
      <c r="L479" s="82" t="str">
        <f t="shared" ca="1" si="199"/>
        <v>#REF!</v>
      </c>
      <c r="M479" s="125"/>
      <c r="N479" s="125"/>
      <c r="O479" s="230">
        <f t="shared" si="2"/>
        <v>0</v>
      </c>
      <c r="P479" s="231">
        <f t="shared" si="3"/>
        <v>0</v>
      </c>
      <c r="Q479" s="232" t="str">
        <f ca="1">ROUNDUP(HLOOKUP(IF(CEILING(L479,0.5)&lt;1,1,CEILING(L479,0.5)),'배송비 조회'!A$32:AY$36,2,0),-2)</f>
        <v>#REF!</v>
      </c>
      <c r="R479" s="232">
        <v>0</v>
      </c>
      <c r="S479" s="231" t="str">
        <f t="shared" ca="1" si="250"/>
        <v>#REF!</v>
      </c>
      <c r="T479" s="231" t="str">
        <f t="shared" ca="1" si="200"/>
        <v>#REF!</v>
      </c>
      <c r="U479" s="233" t="str">
        <f t="shared" ca="1" si="142"/>
        <v>#REF!</v>
      </c>
      <c r="V479" s="233" t="str">
        <f t="shared" ca="1" si="7"/>
        <v>#REF!</v>
      </c>
      <c r="W479" s="234">
        <v>0</v>
      </c>
      <c r="X479" s="234" t="str">
        <f t="shared" ca="1" si="8"/>
        <v>#REF!</v>
      </c>
      <c r="Y479" s="234" t="str">
        <f t="shared" ca="1" si="9"/>
        <v>#REF!</v>
      </c>
      <c r="Z479" s="234" t="str">
        <f t="shared" ca="1" si="10"/>
        <v>#REF!</v>
      </c>
      <c r="AA479" s="234" t="str">
        <f t="shared" ca="1" si="11"/>
        <v>#REF!</v>
      </c>
      <c r="AB479" s="234" t="str">
        <f t="shared" ca="1" si="12"/>
        <v>#REF!</v>
      </c>
      <c r="AC479" s="234" t="str">
        <f t="shared" ca="1" si="13"/>
        <v>#REF!</v>
      </c>
      <c r="AD479" s="101" t="str">
        <f t="shared" ca="1" si="14"/>
        <v>#REF!</v>
      </c>
      <c r="AE479" s="101" t="str">
        <f t="shared" ca="1" si="15"/>
        <v>#REF!</v>
      </c>
      <c r="AF479" s="235" t="str">
        <f t="shared" ref="AF479:AG479" ca="1" si="556">AD479/U479</f>
        <v>#REF!</v>
      </c>
      <c r="AG479" s="235" t="str">
        <f t="shared" ca="1" si="556"/>
        <v>#REF!</v>
      </c>
      <c r="AH479" s="212"/>
      <c r="AI479" s="213"/>
      <c r="AJ479" s="4"/>
      <c r="AK479" s="4"/>
      <c r="AL479" s="4"/>
      <c r="AM479" s="4"/>
      <c r="AN479" s="4"/>
      <c r="AO479" s="4"/>
      <c r="AP479" s="4"/>
      <c r="AQ479" s="4"/>
      <c r="AR479" s="4"/>
      <c r="AS479" s="4"/>
      <c r="AT479" s="4"/>
      <c r="AU479" s="4"/>
    </row>
    <row r="480" spans="1:47" ht="13.2">
      <c r="A480" s="120"/>
      <c r="B480" s="113"/>
      <c r="C480" s="117"/>
      <c r="D480" s="117"/>
      <c r="E480" s="117"/>
      <c r="F480" s="123"/>
      <c r="G480" s="93" t="s">
        <v>145</v>
      </c>
      <c r="H480" s="125"/>
      <c r="I480" s="125"/>
      <c r="J480" s="82" t="str">
        <f t="shared" ca="1" si="147"/>
        <v>#REF!</v>
      </c>
      <c r="K480" s="82" t="str">
        <f t="shared" ca="1" si="256"/>
        <v>#REF!</v>
      </c>
      <c r="L480" s="82" t="str">
        <f t="shared" ca="1" si="199"/>
        <v>#REF!</v>
      </c>
      <c r="M480" s="125"/>
      <c r="N480" s="125"/>
      <c r="O480" s="230">
        <f t="shared" si="2"/>
        <v>0</v>
      </c>
      <c r="P480" s="231">
        <f t="shared" si="3"/>
        <v>0</v>
      </c>
      <c r="Q480" s="232" t="str">
        <f ca="1">ROUNDUP(HLOOKUP(IF(CEILING(L480,0.5)&lt;1,1,CEILING(L480,0.5)),'배송비 조회'!A$32:AY$36,2,0),-2)</f>
        <v>#REF!</v>
      </c>
      <c r="R480" s="232">
        <v>0</v>
      </c>
      <c r="S480" s="231" t="str">
        <f t="shared" ca="1" si="250"/>
        <v>#REF!</v>
      </c>
      <c r="T480" s="231" t="str">
        <f t="shared" ca="1" si="200"/>
        <v>#REF!</v>
      </c>
      <c r="U480" s="233" t="str">
        <f t="shared" ca="1" si="142"/>
        <v>#REF!</v>
      </c>
      <c r="V480" s="233" t="str">
        <f t="shared" ca="1" si="7"/>
        <v>#REF!</v>
      </c>
      <c r="W480" s="234">
        <v>0</v>
      </c>
      <c r="X480" s="234" t="str">
        <f t="shared" ca="1" si="8"/>
        <v>#REF!</v>
      </c>
      <c r="Y480" s="234" t="str">
        <f t="shared" ca="1" si="9"/>
        <v>#REF!</v>
      </c>
      <c r="Z480" s="234" t="str">
        <f t="shared" ca="1" si="10"/>
        <v>#REF!</v>
      </c>
      <c r="AA480" s="234" t="str">
        <f t="shared" ca="1" si="11"/>
        <v>#REF!</v>
      </c>
      <c r="AB480" s="234" t="str">
        <f t="shared" ca="1" si="12"/>
        <v>#REF!</v>
      </c>
      <c r="AC480" s="234" t="str">
        <f t="shared" ca="1" si="13"/>
        <v>#REF!</v>
      </c>
      <c r="AD480" s="101" t="str">
        <f t="shared" ca="1" si="14"/>
        <v>#REF!</v>
      </c>
      <c r="AE480" s="101" t="str">
        <f t="shared" ca="1" si="15"/>
        <v>#REF!</v>
      </c>
      <c r="AF480" s="235" t="str">
        <f t="shared" ref="AF480:AG480" ca="1" si="557">AD480/U480</f>
        <v>#REF!</v>
      </c>
      <c r="AG480" s="235" t="str">
        <f t="shared" ca="1" si="557"/>
        <v>#REF!</v>
      </c>
      <c r="AH480" s="212"/>
      <c r="AI480" s="213"/>
      <c r="AJ480" s="4"/>
      <c r="AK480" s="4"/>
      <c r="AL480" s="4"/>
      <c r="AM480" s="4"/>
      <c r="AN480" s="4"/>
      <c r="AO480" s="4"/>
      <c r="AP480" s="4"/>
      <c r="AQ480" s="4"/>
      <c r="AR480" s="4"/>
      <c r="AS480" s="4"/>
      <c r="AT480" s="4"/>
      <c r="AU480" s="4"/>
    </row>
    <row r="481" spans="1:47" ht="13.2">
      <c r="A481" s="120"/>
      <c r="B481" s="113"/>
      <c r="C481" s="117"/>
      <c r="D481" s="117"/>
      <c r="E481" s="117"/>
      <c r="F481" s="123"/>
      <c r="G481" s="93" t="s">
        <v>145</v>
      </c>
      <c r="H481" s="125"/>
      <c r="I481" s="125"/>
      <c r="J481" s="82" t="str">
        <f t="shared" ca="1" si="147"/>
        <v>#REF!</v>
      </c>
      <c r="K481" s="82" t="str">
        <f t="shared" ca="1" si="256"/>
        <v>#REF!</v>
      </c>
      <c r="L481" s="82" t="str">
        <f t="shared" ca="1" si="199"/>
        <v>#REF!</v>
      </c>
      <c r="M481" s="125"/>
      <c r="N481" s="125"/>
      <c r="O481" s="230">
        <f t="shared" si="2"/>
        <v>0</v>
      </c>
      <c r="P481" s="231">
        <f t="shared" si="3"/>
        <v>0</v>
      </c>
      <c r="Q481" s="232" t="str">
        <f ca="1">ROUNDUP(HLOOKUP(IF(CEILING(L481,0.5)&lt;1,1,CEILING(L481,0.5)),'배송비 조회'!A$32:AY$36,2,0),-2)</f>
        <v>#REF!</v>
      </c>
      <c r="R481" s="232">
        <v>0</v>
      </c>
      <c r="S481" s="231" t="str">
        <f t="shared" ca="1" si="250"/>
        <v>#REF!</v>
      </c>
      <c r="T481" s="231" t="str">
        <f t="shared" ca="1" si="200"/>
        <v>#REF!</v>
      </c>
      <c r="U481" s="233" t="str">
        <f t="shared" ca="1" si="142"/>
        <v>#REF!</v>
      </c>
      <c r="V481" s="233" t="str">
        <f t="shared" ca="1" si="7"/>
        <v>#REF!</v>
      </c>
      <c r="W481" s="234">
        <v>0</v>
      </c>
      <c r="X481" s="234" t="str">
        <f t="shared" ca="1" si="8"/>
        <v>#REF!</v>
      </c>
      <c r="Y481" s="234" t="str">
        <f t="shared" ca="1" si="9"/>
        <v>#REF!</v>
      </c>
      <c r="Z481" s="234" t="str">
        <f t="shared" ca="1" si="10"/>
        <v>#REF!</v>
      </c>
      <c r="AA481" s="234" t="str">
        <f t="shared" ca="1" si="11"/>
        <v>#REF!</v>
      </c>
      <c r="AB481" s="234" t="str">
        <f t="shared" ca="1" si="12"/>
        <v>#REF!</v>
      </c>
      <c r="AC481" s="234" t="str">
        <f t="shared" ca="1" si="13"/>
        <v>#REF!</v>
      </c>
      <c r="AD481" s="101" t="str">
        <f t="shared" ca="1" si="14"/>
        <v>#REF!</v>
      </c>
      <c r="AE481" s="101" t="str">
        <f t="shared" ca="1" si="15"/>
        <v>#REF!</v>
      </c>
      <c r="AF481" s="235" t="str">
        <f t="shared" ref="AF481:AG481" ca="1" si="558">AD481/U481</f>
        <v>#REF!</v>
      </c>
      <c r="AG481" s="235" t="str">
        <f t="shared" ca="1" si="558"/>
        <v>#REF!</v>
      </c>
      <c r="AH481" s="212"/>
      <c r="AI481" s="213"/>
      <c r="AJ481" s="4"/>
      <c r="AK481" s="4"/>
      <c r="AL481" s="4"/>
      <c r="AM481" s="4"/>
      <c r="AN481" s="4"/>
      <c r="AO481" s="4"/>
      <c r="AP481" s="4"/>
      <c r="AQ481" s="4"/>
      <c r="AR481" s="4"/>
      <c r="AS481" s="4"/>
      <c r="AT481" s="4"/>
      <c r="AU481" s="4"/>
    </row>
    <row r="482" spans="1:47" ht="13.2">
      <c r="A482" s="120"/>
      <c r="B482" s="113"/>
      <c r="C482" s="117"/>
      <c r="D482" s="117"/>
      <c r="E482" s="117"/>
      <c r="F482" s="123"/>
      <c r="G482" s="93" t="s">
        <v>145</v>
      </c>
      <c r="H482" s="125"/>
      <c r="I482" s="125"/>
      <c r="J482" s="82" t="str">
        <f t="shared" ca="1" si="147"/>
        <v>#REF!</v>
      </c>
      <c r="K482" s="82" t="str">
        <f t="shared" ca="1" si="256"/>
        <v>#REF!</v>
      </c>
      <c r="L482" s="82" t="str">
        <f t="shared" ca="1" si="199"/>
        <v>#REF!</v>
      </c>
      <c r="M482" s="125"/>
      <c r="N482" s="125"/>
      <c r="O482" s="230">
        <f t="shared" si="2"/>
        <v>0</v>
      </c>
      <c r="P482" s="231">
        <f t="shared" si="3"/>
        <v>0</v>
      </c>
      <c r="Q482" s="232" t="str">
        <f ca="1">ROUNDUP(HLOOKUP(IF(CEILING(L482,0.5)&lt;1,1,CEILING(L482,0.5)),'배송비 조회'!A$32:AY$36,2,0),-2)</f>
        <v>#REF!</v>
      </c>
      <c r="R482" s="232">
        <v>0</v>
      </c>
      <c r="S482" s="231" t="str">
        <f t="shared" ca="1" si="250"/>
        <v>#REF!</v>
      </c>
      <c r="T482" s="231" t="str">
        <f t="shared" ca="1" si="200"/>
        <v>#REF!</v>
      </c>
      <c r="U482" s="233" t="str">
        <f t="shared" ca="1" si="142"/>
        <v>#REF!</v>
      </c>
      <c r="V482" s="233" t="str">
        <f t="shared" ca="1" si="7"/>
        <v>#REF!</v>
      </c>
      <c r="W482" s="234">
        <v>0</v>
      </c>
      <c r="X482" s="234" t="str">
        <f t="shared" ca="1" si="8"/>
        <v>#REF!</v>
      </c>
      <c r="Y482" s="234" t="str">
        <f t="shared" ca="1" si="9"/>
        <v>#REF!</v>
      </c>
      <c r="Z482" s="234" t="str">
        <f t="shared" ca="1" si="10"/>
        <v>#REF!</v>
      </c>
      <c r="AA482" s="234" t="str">
        <f t="shared" ca="1" si="11"/>
        <v>#REF!</v>
      </c>
      <c r="AB482" s="234" t="str">
        <f t="shared" ca="1" si="12"/>
        <v>#REF!</v>
      </c>
      <c r="AC482" s="234" t="str">
        <f t="shared" ca="1" si="13"/>
        <v>#REF!</v>
      </c>
      <c r="AD482" s="101" t="str">
        <f t="shared" ca="1" si="14"/>
        <v>#REF!</v>
      </c>
      <c r="AE482" s="101" t="str">
        <f t="shared" ca="1" si="15"/>
        <v>#REF!</v>
      </c>
      <c r="AF482" s="235" t="str">
        <f t="shared" ref="AF482:AG482" ca="1" si="559">AD482/U482</f>
        <v>#REF!</v>
      </c>
      <c r="AG482" s="235" t="str">
        <f t="shared" ca="1" si="559"/>
        <v>#REF!</v>
      </c>
      <c r="AH482" s="212"/>
      <c r="AI482" s="213"/>
      <c r="AJ482" s="4"/>
      <c r="AK482" s="4"/>
      <c r="AL482" s="4"/>
      <c r="AM482" s="4"/>
      <c r="AN482" s="4"/>
      <c r="AO482" s="4"/>
      <c r="AP482" s="4"/>
      <c r="AQ482" s="4"/>
      <c r="AR482" s="4"/>
      <c r="AS482" s="4"/>
      <c r="AT482" s="4"/>
      <c r="AU482" s="4"/>
    </row>
    <row r="483" spans="1:47" ht="13.2">
      <c r="A483" s="120"/>
      <c r="B483" s="113"/>
      <c r="C483" s="117"/>
      <c r="D483" s="117"/>
      <c r="E483" s="117"/>
      <c r="F483" s="123"/>
      <c r="G483" s="93" t="s">
        <v>145</v>
      </c>
      <c r="H483" s="125"/>
      <c r="I483" s="125"/>
      <c r="J483" s="82" t="str">
        <f t="shared" ca="1" si="147"/>
        <v>#REF!</v>
      </c>
      <c r="K483" s="82" t="str">
        <f t="shared" ca="1" si="256"/>
        <v>#REF!</v>
      </c>
      <c r="L483" s="82" t="str">
        <f t="shared" ca="1" si="199"/>
        <v>#REF!</v>
      </c>
      <c r="M483" s="125"/>
      <c r="N483" s="125"/>
      <c r="O483" s="230">
        <f t="shared" si="2"/>
        <v>0</v>
      </c>
      <c r="P483" s="231">
        <f t="shared" si="3"/>
        <v>0</v>
      </c>
      <c r="Q483" s="232" t="str">
        <f ca="1">ROUNDUP(HLOOKUP(IF(CEILING(L483,0.5)&lt;1,1,CEILING(L483,0.5)),'배송비 조회'!A$32:AY$36,2,0),-2)</f>
        <v>#REF!</v>
      </c>
      <c r="R483" s="232">
        <v>0</v>
      </c>
      <c r="S483" s="231" t="str">
        <f t="shared" ca="1" si="250"/>
        <v>#REF!</v>
      </c>
      <c r="T483" s="231" t="str">
        <f t="shared" ca="1" si="200"/>
        <v>#REF!</v>
      </c>
      <c r="U483" s="233" t="str">
        <f t="shared" ca="1" si="142"/>
        <v>#REF!</v>
      </c>
      <c r="V483" s="233" t="str">
        <f t="shared" ca="1" si="7"/>
        <v>#REF!</v>
      </c>
      <c r="W483" s="234">
        <v>0</v>
      </c>
      <c r="X483" s="234" t="str">
        <f t="shared" ca="1" si="8"/>
        <v>#REF!</v>
      </c>
      <c r="Y483" s="234" t="str">
        <f t="shared" ca="1" si="9"/>
        <v>#REF!</v>
      </c>
      <c r="Z483" s="234" t="str">
        <f t="shared" ca="1" si="10"/>
        <v>#REF!</v>
      </c>
      <c r="AA483" s="234" t="str">
        <f t="shared" ca="1" si="11"/>
        <v>#REF!</v>
      </c>
      <c r="AB483" s="234" t="str">
        <f t="shared" ca="1" si="12"/>
        <v>#REF!</v>
      </c>
      <c r="AC483" s="234" t="str">
        <f t="shared" ca="1" si="13"/>
        <v>#REF!</v>
      </c>
      <c r="AD483" s="101" t="str">
        <f t="shared" ca="1" si="14"/>
        <v>#REF!</v>
      </c>
      <c r="AE483" s="101" t="str">
        <f t="shared" ca="1" si="15"/>
        <v>#REF!</v>
      </c>
      <c r="AF483" s="235" t="str">
        <f t="shared" ref="AF483:AG483" ca="1" si="560">AD483/U483</f>
        <v>#REF!</v>
      </c>
      <c r="AG483" s="235" t="str">
        <f t="shared" ca="1" si="560"/>
        <v>#REF!</v>
      </c>
      <c r="AH483" s="212"/>
      <c r="AI483" s="213"/>
      <c r="AJ483" s="4"/>
      <c r="AK483" s="4"/>
      <c r="AL483" s="4"/>
      <c r="AM483" s="4"/>
      <c r="AN483" s="4"/>
      <c r="AO483" s="4"/>
      <c r="AP483" s="4"/>
      <c r="AQ483" s="4"/>
      <c r="AR483" s="4"/>
      <c r="AS483" s="4"/>
      <c r="AT483" s="4"/>
      <c r="AU483" s="4"/>
    </row>
    <row r="484" spans="1:47" ht="13.2">
      <c r="A484" s="120"/>
      <c r="B484" s="113"/>
      <c r="C484" s="117"/>
      <c r="D484" s="117"/>
      <c r="E484" s="117"/>
      <c r="F484" s="123"/>
      <c r="G484" s="93" t="s">
        <v>145</v>
      </c>
      <c r="H484" s="125"/>
      <c r="I484" s="125"/>
      <c r="J484" s="82" t="str">
        <f t="shared" ca="1" si="147"/>
        <v>#REF!</v>
      </c>
      <c r="K484" s="82" t="str">
        <f t="shared" ca="1" si="256"/>
        <v>#REF!</v>
      </c>
      <c r="L484" s="82" t="str">
        <f t="shared" ca="1" si="199"/>
        <v>#REF!</v>
      </c>
      <c r="M484" s="125"/>
      <c r="N484" s="125"/>
      <c r="O484" s="230">
        <f t="shared" si="2"/>
        <v>0</v>
      </c>
      <c r="P484" s="231">
        <f t="shared" si="3"/>
        <v>0</v>
      </c>
      <c r="Q484" s="232" t="str">
        <f ca="1">ROUNDUP(HLOOKUP(IF(CEILING(L484,0.5)&lt;1,1,CEILING(L484,0.5)),'배송비 조회'!A$32:AY$36,2,0),-2)</f>
        <v>#REF!</v>
      </c>
      <c r="R484" s="232">
        <v>0</v>
      </c>
      <c r="S484" s="231" t="str">
        <f t="shared" ca="1" si="250"/>
        <v>#REF!</v>
      </c>
      <c r="T484" s="231" t="str">
        <f t="shared" ca="1" si="200"/>
        <v>#REF!</v>
      </c>
      <c r="U484" s="233" t="str">
        <f t="shared" ca="1" si="142"/>
        <v>#REF!</v>
      </c>
      <c r="V484" s="233" t="str">
        <f t="shared" ca="1" si="7"/>
        <v>#REF!</v>
      </c>
      <c r="W484" s="234">
        <v>0</v>
      </c>
      <c r="X484" s="234" t="str">
        <f t="shared" ca="1" si="8"/>
        <v>#REF!</v>
      </c>
      <c r="Y484" s="234" t="str">
        <f t="shared" ca="1" si="9"/>
        <v>#REF!</v>
      </c>
      <c r="Z484" s="234" t="str">
        <f t="shared" ca="1" si="10"/>
        <v>#REF!</v>
      </c>
      <c r="AA484" s="234" t="str">
        <f t="shared" ca="1" si="11"/>
        <v>#REF!</v>
      </c>
      <c r="AB484" s="234" t="str">
        <f t="shared" ca="1" si="12"/>
        <v>#REF!</v>
      </c>
      <c r="AC484" s="234" t="str">
        <f t="shared" ca="1" si="13"/>
        <v>#REF!</v>
      </c>
      <c r="AD484" s="101" t="str">
        <f t="shared" ca="1" si="14"/>
        <v>#REF!</v>
      </c>
      <c r="AE484" s="101" t="str">
        <f t="shared" ca="1" si="15"/>
        <v>#REF!</v>
      </c>
      <c r="AF484" s="235" t="str">
        <f t="shared" ref="AF484:AG484" ca="1" si="561">AD484/U484</f>
        <v>#REF!</v>
      </c>
      <c r="AG484" s="235" t="str">
        <f t="shared" ca="1" si="561"/>
        <v>#REF!</v>
      </c>
      <c r="AH484" s="212"/>
      <c r="AI484" s="213"/>
      <c r="AJ484" s="4"/>
      <c r="AK484" s="4"/>
      <c r="AL484" s="4"/>
      <c r="AM484" s="4"/>
      <c r="AN484" s="4"/>
      <c r="AO484" s="4"/>
      <c r="AP484" s="4"/>
      <c r="AQ484" s="4"/>
      <c r="AR484" s="4"/>
      <c r="AS484" s="4"/>
      <c r="AT484" s="4"/>
      <c r="AU484" s="4"/>
    </row>
    <row r="485" spans="1:47" ht="13.2">
      <c r="A485" s="120"/>
      <c r="B485" s="113"/>
      <c r="C485" s="117"/>
      <c r="D485" s="117"/>
      <c r="E485" s="117"/>
      <c r="F485" s="123"/>
      <c r="G485" s="93" t="s">
        <v>145</v>
      </c>
      <c r="H485" s="125"/>
      <c r="I485" s="125"/>
      <c r="J485" s="82" t="str">
        <f t="shared" ca="1" si="147"/>
        <v>#REF!</v>
      </c>
      <c r="K485" s="82" t="str">
        <f t="shared" ca="1" si="256"/>
        <v>#REF!</v>
      </c>
      <c r="L485" s="82" t="str">
        <f t="shared" ca="1" si="199"/>
        <v>#REF!</v>
      </c>
      <c r="M485" s="125"/>
      <c r="N485" s="125"/>
      <c r="O485" s="230">
        <f t="shared" si="2"/>
        <v>0</v>
      </c>
      <c r="P485" s="231">
        <f t="shared" si="3"/>
        <v>0</v>
      </c>
      <c r="Q485" s="232" t="str">
        <f ca="1">ROUNDUP(HLOOKUP(IF(CEILING(L485,0.5)&lt;1,1,CEILING(L485,0.5)),'배송비 조회'!A$32:AY$36,2,0),-2)</f>
        <v>#REF!</v>
      </c>
      <c r="R485" s="232">
        <v>0</v>
      </c>
      <c r="S485" s="231" t="str">
        <f t="shared" ca="1" si="250"/>
        <v>#REF!</v>
      </c>
      <c r="T485" s="231" t="str">
        <f t="shared" ca="1" si="200"/>
        <v>#REF!</v>
      </c>
      <c r="U485" s="233" t="str">
        <f t="shared" ca="1" si="142"/>
        <v>#REF!</v>
      </c>
      <c r="V485" s="233" t="str">
        <f t="shared" ca="1" si="7"/>
        <v>#REF!</v>
      </c>
      <c r="W485" s="234">
        <v>0</v>
      </c>
      <c r="X485" s="234" t="str">
        <f t="shared" ca="1" si="8"/>
        <v>#REF!</v>
      </c>
      <c r="Y485" s="234" t="str">
        <f t="shared" ca="1" si="9"/>
        <v>#REF!</v>
      </c>
      <c r="Z485" s="234" t="str">
        <f t="shared" ca="1" si="10"/>
        <v>#REF!</v>
      </c>
      <c r="AA485" s="234" t="str">
        <f t="shared" ca="1" si="11"/>
        <v>#REF!</v>
      </c>
      <c r="AB485" s="234" t="str">
        <f t="shared" ca="1" si="12"/>
        <v>#REF!</v>
      </c>
      <c r="AC485" s="234" t="str">
        <f t="shared" ca="1" si="13"/>
        <v>#REF!</v>
      </c>
      <c r="AD485" s="101" t="str">
        <f t="shared" ca="1" si="14"/>
        <v>#REF!</v>
      </c>
      <c r="AE485" s="101" t="str">
        <f t="shared" ca="1" si="15"/>
        <v>#REF!</v>
      </c>
      <c r="AF485" s="235" t="str">
        <f t="shared" ref="AF485:AG485" ca="1" si="562">AD485/U485</f>
        <v>#REF!</v>
      </c>
      <c r="AG485" s="235" t="str">
        <f t="shared" ca="1" si="562"/>
        <v>#REF!</v>
      </c>
      <c r="AH485" s="212"/>
      <c r="AI485" s="213"/>
      <c r="AJ485" s="4"/>
      <c r="AK485" s="4"/>
      <c r="AL485" s="4"/>
      <c r="AM485" s="4"/>
      <c r="AN485" s="4"/>
      <c r="AO485" s="4"/>
      <c r="AP485" s="4"/>
      <c r="AQ485" s="4"/>
      <c r="AR485" s="4"/>
      <c r="AS485" s="4"/>
      <c r="AT485" s="4"/>
      <c r="AU485" s="4"/>
    </row>
    <row r="486" spans="1:47" ht="13.2">
      <c r="A486" s="120"/>
      <c r="B486" s="113"/>
      <c r="C486" s="117"/>
      <c r="D486" s="117"/>
      <c r="E486" s="117"/>
      <c r="F486" s="123"/>
      <c r="G486" s="93" t="s">
        <v>145</v>
      </c>
      <c r="H486" s="125"/>
      <c r="I486" s="125"/>
      <c r="J486" s="82" t="str">
        <f t="shared" ca="1" si="147"/>
        <v>#REF!</v>
      </c>
      <c r="K486" s="82" t="str">
        <f t="shared" ca="1" si="256"/>
        <v>#REF!</v>
      </c>
      <c r="L486" s="82" t="str">
        <f t="shared" ca="1" si="199"/>
        <v>#REF!</v>
      </c>
      <c r="M486" s="125"/>
      <c r="N486" s="125"/>
      <c r="O486" s="230">
        <f t="shared" si="2"/>
        <v>0</v>
      </c>
      <c r="P486" s="231">
        <f t="shared" si="3"/>
        <v>0</v>
      </c>
      <c r="Q486" s="232" t="str">
        <f ca="1">ROUNDUP(HLOOKUP(IF(CEILING(L486,0.5)&lt;1,1,CEILING(L486,0.5)),'배송비 조회'!A$32:AY$36,2,0),-2)</f>
        <v>#REF!</v>
      </c>
      <c r="R486" s="232">
        <v>0</v>
      </c>
      <c r="S486" s="231" t="str">
        <f t="shared" ca="1" si="250"/>
        <v>#REF!</v>
      </c>
      <c r="T486" s="231" t="str">
        <f t="shared" ca="1" si="200"/>
        <v>#REF!</v>
      </c>
      <c r="U486" s="233" t="str">
        <f t="shared" ca="1" si="142"/>
        <v>#REF!</v>
      </c>
      <c r="V486" s="233" t="str">
        <f t="shared" ca="1" si="7"/>
        <v>#REF!</v>
      </c>
      <c r="W486" s="234">
        <v>0</v>
      </c>
      <c r="X486" s="234" t="str">
        <f t="shared" ca="1" si="8"/>
        <v>#REF!</v>
      </c>
      <c r="Y486" s="234" t="str">
        <f t="shared" ca="1" si="9"/>
        <v>#REF!</v>
      </c>
      <c r="Z486" s="234" t="str">
        <f t="shared" ca="1" si="10"/>
        <v>#REF!</v>
      </c>
      <c r="AA486" s="234" t="str">
        <f t="shared" ca="1" si="11"/>
        <v>#REF!</v>
      </c>
      <c r="AB486" s="234" t="str">
        <f t="shared" ca="1" si="12"/>
        <v>#REF!</v>
      </c>
      <c r="AC486" s="234" t="str">
        <f t="shared" ca="1" si="13"/>
        <v>#REF!</v>
      </c>
      <c r="AD486" s="101" t="str">
        <f t="shared" ca="1" si="14"/>
        <v>#REF!</v>
      </c>
      <c r="AE486" s="101" t="str">
        <f t="shared" ca="1" si="15"/>
        <v>#REF!</v>
      </c>
      <c r="AF486" s="235" t="str">
        <f t="shared" ref="AF486:AG486" ca="1" si="563">AD486/U486</f>
        <v>#REF!</v>
      </c>
      <c r="AG486" s="235" t="str">
        <f t="shared" ca="1" si="563"/>
        <v>#REF!</v>
      </c>
      <c r="AH486" s="212"/>
      <c r="AI486" s="213"/>
      <c r="AJ486" s="4"/>
      <c r="AK486" s="4"/>
      <c r="AL486" s="4"/>
      <c r="AM486" s="4"/>
      <c r="AN486" s="4"/>
      <c r="AO486" s="4"/>
      <c r="AP486" s="4"/>
      <c r="AQ486" s="4"/>
      <c r="AR486" s="4"/>
      <c r="AS486" s="4"/>
      <c r="AT486" s="4"/>
      <c r="AU486" s="4"/>
    </row>
    <row r="487" spans="1:47" ht="13.2">
      <c r="A487" s="120"/>
      <c r="B487" s="113"/>
      <c r="C487" s="117"/>
      <c r="D487" s="117"/>
      <c r="E487" s="117"/>
      <c r="F487" s="123"/>
      <c r="G487" s="93" t="s">
        <v>145</v>
      </c>
      <c r="H487" s="125"/>
      <c r="I487" s="125"/>
      <c r="J487" s="82" t="str">
        <f t="shared" ca="1" si="147"/>
        <v>#REF!</v>
      </c>
      <c r="K487" s="82" t="str">
        <f t="shared" ca="1" si="256"/>
        <v>#REF!</v>
      </c>
      <c r="L487" s="82" t="str">
        <f t="shared" ca="1" si="199"/>
        <v>#REF!</v>
      </c>
      <c r="M487" s="125"/>
      <c r="N487" s="125"/>
      <c r="O487" s="230">
        <f t="shared" si="2"/>
        <v>0</v>
      </c>
      <c r="P487" s="231">
        <f t="shared" si="3"/>
        <v>0</v>
      </c>
      <c r="Q487" s="232" t="str">
        <f ca="1">ROUNDUP(HLOOKUP(IF(CEILING(L487,0.5)&lt;1,1,CEILING(L487,0.5)),'배송비 조회'!A$32:AY$36,2,0),-2)</f>
        <v>#REF!</v>
      </c>
      <c r="R487" s="232">
        <v>0</v>
      </c>
      <c r="S487" s="231" t="str">
        <f t="shared" ca="1" si="250"/>
        <v>#REF!</v>
      </c>
      <c r="T487" s="231" t="str">
        <f t="shared" ca="1" si="200"/>
        <v>#REF!</v>
      </c>
      <c r="U487" s="233" t="str">
        <f t="shared" ca="1" si="142"/>
        <v>#REF!</v>
      </c>
      <c r="V487" s="233" t="str">
        <f t="shared" ca="1" si="7"/>
        <v>#REF!</v>
      </c>
      <c r="W487" s="234">
        <v>0</v>
      </c>
      <c r="X487" s="234" t="str">
        <f t="shared" ca="1" si="8"/>
        <v>#REF!</v>
      </c>
      <c r="Y487" s="234" t="str">
        <f t="shared" ca="1" si="9"/>
        <v>#REF!</v>
      </c>
      <c r="Z487" s="234" t="str">
        <f t="shared" ca="1" si="10"/>
        <v>#REF!</v>
      </c>
      <c r="AA487" s="234" t="str">
        <f t="shared" ca="1" si="11"/>
        <v>#REF!</v>
      </c>
      <c r="AB487" s="234" t="str">
        <f t="shared" ca="1" si="12"/>
        <v>#REF!</v>
      </c>
      <c r="AC487" s="234" t="str">
        <f t="shared" ca="1" si="13"/>
        <v>#REF!</v>
      </c>
      <c r="AD487" s="101" t="str">
        <f t="shared" ca="1" si="14"/>
        <v>#REF!</v>
      </c>
      <c r="AE487" s="101" t="str">
        <f t="shared" ca="1" si="15"/>
        <v>#REF!</v>
      </c>
      <c r="AF487" s="235" t="str">
        <f t="shared" ref="AF487:AG487" ca="1" si="564">AD487/U487</f>
        <v>#REF!</v>
      </c>
      <c r="AG487" s="235" t="str">
        <f t="shared" ca="1" si="564"/>
        <v>#REF!</v>
      </c>
      <c r="AH487" s="212"/>
      <c r="AI487" s="213"/>
      <c r="AJ487" s="4"/>
      <c r="AK487" s="4"/>
      <c r="AL487" s="4"/>
      <c r="AM487" s="4"/>
      <c r="AN487" s="4"/>
      <c r="AO487" s="4"/>
      <c r="AP487" s="4"/>
      <c r="AQ487" s="4"/>
      <c r="AR487" s="4"/>
      <c r="AS487" s="4"/>
      <c r="AT487" s="4"/>
      <c r="AU487" s="4"/>
    </row>
    <row r="488" spans="1:47" ht="13.2">
      <c r="A488" s="120"/>
      <c r="B488" s="113"/>
      <c r="C488" s="117"/>
      <c r="D488" s="117"/>
      <c r="E488" s="117"/>
      <c r="F488" s="123"/>
      <c r="G488" s="93" t="s">
        <v>145</v>
      </c>
      <c r="H488" s="125"/>
      <c r="I488" s="125"/>
      <c r="J488" s="82" t="str">
        <f t="shared" ca="1" si="147"/>
        <v>#REF!</v>
      </c>
      <c r="K488" s="82" t="str">
        <f t="shared" ca="1" si="256"/>
        <v>#REF!</v>
      </c>
      <c r="L488" s="82" t="str">
        <f t="shared" ca="1" si="199"/>
        <v>#REF!</v>
      </c>
      <c r="M488" s="125"/>
      <c r="N488" s="125"/>
      <c r="O488" s="230">
        <f t="shared" si="2"/>
        <v>0</v>
      </c>
      <c r="P488" s="231">
        <f t="shared" si="3"/>
        <v>0</v>
      </c>
      <c r="Q488" s="232" t="str">
        <f ca="1">ROUNDUP(HLOOKUP(IF(CEILING(L488,0.5)&lt;1,1,CEILING(L488,0.5)),'배송비 조회'!A$32:AY$36,2,0),-2)</f>
        <v>#REF!</v>
      </c>
      <c r="R488" s="232">
        <v>0</v>
      </c>
      <c r="S488" s="231" t="str">
        <f t="shared" ca="1" si="250"/>
        <v>#REF!</v>
      </c>
      <c r="T488" s="231" t="str">
        <f t="shared" ca="1" si="200"/>
        <v>#REF!</v>
      </c>
      <c r="U488" s="233" t="str">
        <f t="shared" ca="1" si="142"/>
        <v>#REF!</v>
      </c>
      <c r="V488" s="233" t="str">
        <f t="shared" ca="1" si="7"/>
        <v>#REF!</v>
      </c>
      <c r="W488" s="234">
        <v>0</v>
      </c>
      <c r="X488" s="234" t="str">
        <f t="shared" ca="1" si="8"/>
        <v>#REF!</v>
      </c>
      <c r="Y488" s="234" t="str">
        <f t="shared" ca="1" si="9"/>
        <v>#REF!</v>
      </c>
      <c r="Z488" s="234" t="str">
        <f t="shared" ca="1" si="10"/>
        <v>#REF!</v>
      </c>
      <c r="AA488" s="234" t="str">
        <f t="shared" ca="1" si="11"/>
        <v>#REF!</v>
      </c>
      <c r="AB488" s="234" t="str">
        <f t="shared" ca="1" si="12"/>
        <v>#REF!</v>
      </c>
      <c r="AC488" s="234" t="str">
        <f t="shared" ca="1" si="13"/>
        <v>#REF!</v>
      </c>
      <c r="AD488" s="101" t="str">
        <f t="shared" ca="1" si="14"/>
        <v>#REF!</v>
      </c>
      <c r="AE488" s="101" t="str">
        <f t="shared" ca="1" si="15"/>
        <v>#REF!</v>
      </c>
      <c r="AF488" s="235" t="str">
        <f t="shared" ref="AF488:AG488" ca="1" si="565">AD488/U488</f>
        <v>#REF!</v>
      </c>
      <c r="AG488" s="235" t="str">
        <f t="shared" ca="1" si="565"/>
        <v>#REF!</v>
      </c>
      <c r="AH488" s="212"/>
      <c r="AI488" s="213"/>
      <c r="AJ488" s="4"/>
      <c r="AK488" s="4"/>
      <c r="AL488" s="4"/>
      <c r="AM488" s="4"/>
      <c r="AN488" s="4"/>
      <c r="AO488" s="4"/>
      <c r="AP488" s="4"/>
      <c r="AQ488" s="4"/>
      <c r="AR488" s="4"/>
      <c r="AS488" s="4"/>
      <c r="AT488" s="4"/>
      <c r="AU488" s="4"/>
    </row>
    <row r="489" spans="1:47" ht="13.2">
      <c r="A489" s="120"/>
      <c r="B489" s="113"/>
      <c r="C489" s="117"/>
      <c r="D489" s="117"/>
      <c r="E489" s="117"/>
      <c r="F489" s="123"/>
      <c r="G489" s="93" t="s">
        <v>145</v>
      </c>
      <c r="H489" s="125"/>
      <c r="I489" s="125"/>
      <c r="J489" s="82" t="str">
        <f t="shared" ca="1" si="147"/>
        <v>#REF!</v>
      </c>
      <c r="K489" s="82" t="str">
        <f t="shared" ca="1" si="256"/>
        <v>#REF!</v>
      </c>
      <c r="L489" s="82" t="str">
        <f t="shared" ca="1" si="199"/>
        <v>#REF!</v>
      </c>
      <c r="M489" s="125"/>
      <c r="N489" s="125"/>
      <c r="O489" s="230">
        <f t="shared" si="2"/>
        <v>0</v>
      </c>
      <c r="P489" s="231">
        <f t="shared" si="3"/>
        <v>0</v>
      </c>
      <c r="Q489" s="232" t="str">
        <f ca="1">ROUNDUP(HLOOKUP(IF(CEILING(L489,0.5)&lt;1,1,CEILING(L489,0.5)),'배송비 조회'!A$32:AY$36,2,0),-2)</f>
        <v>#REF!</v>
      </c>
      <c r="R489" s="232">
        <v>0</v>
      </c>
      <c r="S489" s="231" t="str">
        <f t="shared" ca="1" si="250"/>
        <v>#REF!</v>
      </c>
      <c r="T489" s="231" t="str">
        <f t="shared" ca="1" si="200"/>
        <v>#REF!</v>
      </c>
      <c r="U489" s="233" t="str">
        <f t="shared" ca="1" si="142"/>
        <v>#REF!</v>
      </c>
      <c r="V489" s="233" t="str">
        <f t="shared" ca="1" si="7"/>
        <v>#REF!</v>
      </c>
      <c r="W489" s="234">
        <v>0</v>
      </c>
      <c r="X489" s="234" t="str">
        <f t="shared" ca="1" si="8"/>
        <v>#REF!</v>
      </c>
      <c r="Y489" s="234" t="str">
        <f t="shared" ca="1" si="9"/>
        <v>#REF!</v>
      </c>
      <c r="Z489" s="234" t="str">
        <f t="shared" ca="1" si="10"/>
        <v>#REF!</v>
      </c>
      <c r="AA489" s="234" t="str">
        <f t="shared" ca="1" si="11"/>
        <v>#REF!</v>
      </c>
      <c r="AB489" s="234" t="str">
        <f t="shared" ca="1" si="12"/>
        <v>#REF!</v>
      </c>
      <c r="AC489" s="234" t="str">
        <f t="shared" ca="1" si="13"/>
        <v>#REF!</v>
      </c>
      <c r="AD489" s="101" t="str">
        <f t="shared" ca="1" si="14"/>
        <v>#REF!</v>
      </c>
      <c r="AE489" s="101" t="str">
        <f t="shared" ca="1" si="15"/>
        <v>#REF!</v>
      </c>
      <c r="AF489" s="235" t="str">
        <f t="shared" ref="AF489:AG489" ca="1" si="566">AD489/U489</f>
        <v>#REF!</v>
      </c>
      <c r="AG489" s="235" t="str">
        <f t="shared" ca="1" si="566"/>
        <v>#REF!</v>
      </c>
      <c r="AH489" s="212"/>
      <c r="AI489" s="213"/>
      <c r="AJ489" s="4"/>
      <c r="AK489" s="4"/>
      <c r="AL489" s="4"/>
      <c r="AM489" s="4"/>
      <c r="AN489" s="4"/>
      <c r="AO489" s="4"/>
      <c r="AP489" s="4"/>
      <c r="AQ489" s="4"/>
      <c r="AR489" s="4"/>
      <c r="AS489" s="4"/>
      <c r="AT489" s="4"/>
      <c r="AU489" s="4"/>
    </row>
    <row r="490" spans="1:47" ht="13.2">
      <c r="A490" s="120"/>
      <c r="B490" s="113"/>
      <c r="C490" s="117"/>
      <c r="D490" s="117"/>
      <c r="E490" s="117"/>
      <c r="F490" s="123"/>
      <c r="G490" s="93" t="s">
        <v>145</v>
      </c>
      <c r="H490" s="125"/>
      <c r="I490" s="125"/>
      <c r="J490" s="82" t="str">
        <f t="shared" ca="1" si="147"/>
        <v>#REF!</v>
      </c>
      <c r="K490" s="82" t="str">
        <f t="shared" ca="1" si="256"/>
        <v>#REF!</v>
      </c>
      <c r="L490" s="82" t="str">
        <f t="shared" ca="1" si="199"/>
        <v>#REF!</v>
      </c>
      <c r="M490" s="125"/>
      <c r="N490" s="125"/>
      <c r="O490" s="230">
        <f t="shared" si="2"/>
        <v>0</v>
      </c>
      <c r="P490" s="231">
        <f t="shared" si="3"/>
        <v>0</v>
      </c>
      <c r="Q490" s="232" t="str">
        <f ca="1">ROUNDUP(HLOOKUP(IF(CEILING(L490,0.5)&lt;1,1,CEILING(L490,0.5)),'배송비 조회'!A$32:AY$36,2,0),-2)</f>
        <v>#REF!</v>
      </c>
      <c r="R490" s="232">
        <v>0</v>
      </c>
      <c r="S490" s="231" t="str">
        <f t="shared" ca="1" si="250"/>
        <v>#REF!</v>
      </c>
      <c r="T490" s="231" t="str">
        <f t="shared" ca="1" si="200"/>
        <v>#REF!</v>
      </c>
      <c r="U490" s="233" t="str">
        <f t="shared" ca="1" si="142"/>
        <v>#REF!</v>
      </c>
      <c r="V490" s="233" t="str">
        <f t="shared" ca="1" si="7"/>
        <v>#REF!</v>
      </c>
      <c r="W490" s="234">
        <v>0</v>
      </c>
      <c r="X490" s="234" t="str">
        <f t="shared" ca="1" si="8"/>
        <v>#REF!</v>
      </c>
      <c r="Y490" s="234" t="str">
        <f t="shared" ca="1" si="9"/>
        <v>#REF!</v>
      </c>
      <c r="Z490" s="234" t="str">
        <f t="shared" ca="1" si="10"/>
        <v>#REF!</v>
      </c>
      <c r="AA490" s="234" t="str">
        <f t="shared" ca="1" si="11"/>
        <v>#REF!</v>
      </c>
      <c r="AB490" s="234" t="str">
        <f t="shared" ca="1" si="12"/>
        <v>#REF!</v>
      </c>
      <c r="AC490" s="234" t="str">
        <f t="shared" ca="1" si="13"/>
        <v>#REF!</v>
      </c>
      <c r="AD490" s="101" t="str">
        <f t="shared" ca="1" si="14"/>
        <v>#REF!</v>
      </c>
      <c r="AE490" s="101" t="str">
        <f t="shared" ca="1" si="15"/>
        <v>#REF!</v>
      </c>
      <c r="AF490" s="235" t="str">
        <f t="shared" ref="AF490:AG490" ca="1" si="567">AD490/U490</f>
        <v>#REF!</v>
      </c>
      <c r="AG490" s="235" t="str">
        <f t="shared" ca="1" si="567"/>
        <v>#REF!</v>
      </c>
      <c r="AH490" s="212"/>
      <c r="AI490" s="213"/>
      <c r="AJ490" s="4"/>
      <c r="AK490" s="4"/>
      <c r="AL490" s="4"/>
      <c r="AM490" s="4"/>
      <c r="AN490" s="4"/>
      <c r="AO490" s="4"/>
      <c r="AP490" s="4"/>
      <c r="AQ490" s="4"/>
      <c r="AR490" s="4"/>
      <c r="AS490" s="4"/>
      <c r="AT490" s="4"/>
      <c r="AU490" s="4"/>
    </row>
    <row r="491" spans="1:47" ht="13.2">
      <c r="A491" s="120"/>
      <c r="B491" s="113"/>
      <c r="C491" s="117"/>
      <c r="D491" s="117"/>
      <c r="E491" s="117"/>
      <c r="F491" s="123"/>
      <c r="G491" s="93" t="s">
        <v>145</v>
      </c>
      <c r="H491" s="125"/>
      <c r="I491" s="125"/>
      <c r="J491" s="82" t="str">
        <f t="shared" ca="1" si="147"/>
        <v>#REF!</v>
      </c>
      <c r="K491" s="82" t="str">
        <f t="shared" ca="1" si="256"/>
        <v>#REF!</v>
      </c>
      <c r="L491" s="82" t="str">
        <f t="shared" ca="1" si="199"/>
        <v>#REF!</v>
      </c>
      <c r="M491" s="125"/>
      <c r="N491" s="125"/>
      <c r="O491" s="230">
        <f t="shared" si="2"/>
        <v>0</v>
      </c>
      <c r="P491" s="231">
        <f t="shared" si="3"/>
        <v>0</v>
      </c>
      <c r="Q491" s="232" t="str">
        <f ca="1">ROUNDUP(HLOOKUP(IF(CEILING(L491,0.5)&lt;1,1,CEILING(L491,0.5)),'배송비 조회'!A$32:AY$36,2,0),-2)</f>
        <v>#REF!</v>
      </c>
      <c r="R491" s="232">
        <v>0</v>
      </c>
      <c r="S491" s="231" t="str">
        <f t="shared" ca="1" si="250"/>
        <v>#REF!</v>
      </c>
      <c r="T491" s="231" t="str">
        <f t="shared" ca="1" si="200"/>
        <v>#REF!</v>
      </c>
      <c r="U491" s="233" t="str">
        <f t="shared" ca="1" si="142"/>
        <v>#REF!</v>
      </c>
      <c r="V491" s="233" t="str">
        <f t="shared" ca="1" si="7"/>
        <v>#REF!</v>
      </c>
      <c r="W491" s="234">
        <v>0</v>
      </c>
      <c r="X491" s="234" t="str">
        <f t="shared" ca="1" si="8"/>
        <v>#REF!</v>
      </c>
      <c r="Y491" s="234" t="str">
        <f t="shared" ca="1" si="9"/>
        <v>#REF!</v>
      </c>
      <c r="Z491" s="234" t="str">
        <f t="shared" ca="1" si="10"/>
        <v>#REF!</v>
      </c>
      <c r="AA491" s="234" t="str">
        <f t="shared" ca="1" si="11"/>
        <v>#REF!</v>
      </c>
      <c r="AB491" s="234" t="str">
        <f t="shared" ca="1" si="12"/>
        <v>#REF!</v>
      </c>
      <c r="AC491" s="234" t="str">
        <f t="shared" ca="1" si="13"/>
        <v>#REF!</v>
      </c>
      <c r="AD491" s="101" t="str">
        <f t="shared" ca="1" si="14"/>
        <v>#REF!</v>
      </c>
      <c r="AE491" s="101" t="str">
        <f t="shared" ca="1" si="15"/>
        <v>#REF!</v>
      </c>
      <c r="AF491" s="235" t="str">
        <f t="shared" ref="AF491:AG491" ca="1" si="568">AD491/U491</f>
        <v>#REF!</v>
      </c>
      <c r="AG491" s="235" t="str">
        <f t="shared" ca="1" si="568"/>
        <v>#REF!</v>
      </c>
      <c r="AH491" s="212"/>
      <c r="AI491" s="213"/>
      <c r="AJ491" s="4"/>
      <c r="AK491" s="4"/>
      <c r="AL491" s="4"/>
      <c r="AM491" s="4"/>
      <c r="AN491" s="4"/>
      <c r="AO491" s="4"/>
      <c r="AP491" s="4"/>
      <c r="AQ491" s="4"/>
      <c r="AR491" s="4"/>
      <c r="AS491" s="4"/>
      <c r="AT491" s="4"/>
      <c r="AU491" s="4"/>
    </row>
    <row r="492" spans="1:47" ht="13.2">
      <c r="A492" s="120"/>
      <c r="B492" s="113"/>
      <c r="C492" s="117"/>
      <c r="D492" s="117"/>
      <c r="E492" s="117"/>
      <c r="F492" s="123"/>
      <c r="G492" s="93" t="s">
        <v>145</v>
      </c>
      <c r="H492" s="125"/>
      <c r="I492" s="125"/>
      <c r="J492" s="82" t="str">
        <f t="shared" ca="1" si="147"/>
        <v>#REF!</v>
      </c>
      <c r="K492" s="82" t="str">
        <f t="shared" ca="1" si="256"/>
        <v>#REF!</v>
      </c>
      <c r="L492" s="82" t="str">
        <f t="shared" ca="1" si="199"/>
        <v>#REF!</v>
      </c>
      <c r="M492" s="125"/>
      <c r="N492" s="125"/>
      <c r="O492" s="230">
        <f t="shared" si="2"/>
        <v>0</v>
      </c>
      <c r="P492" s="231">
        <f t="shared" si="3"/>
        <v>0</v>
      </c>
      <c r="Q492" s="232" t="str">
        <f ca="1">ROUNDUP(HLOOKUP(IF(CEILING(L492,0.5)&lt;1,1,CEILING(L492,0.5)),'배송비 조회'!A$32:AY$36,2,0),-2)</f>
        <v>#REF!</v>
      </c>
      <c r="R492" s="232">
        <v>0</v>
      </c>
      <c r="S492" s="231" t="str">
        <f t="shared" ca="1" si="250"/>
        <v>#REF!</v>
      </c>
      <c r="T492" s="231" t="str">
        <f t="shared" ca="1" si="200"/>
        <v>#REF!</v>
      </c>
      <c r="U492" s="233" t="str">
        <f t="shared" ca="1" si="142"/>
        <v>#REF!</v>
      </c>
      <c r="V492" s="233" t="str">
        <f t="shared" ca="1" si="7"/>
        <v>#REF!</v>
      </c>
      <c r="W492" s="234">
        <v>0</v>
      </c>
      <c r="X492" s="234" t="str">
        <f t="shared" ca="1" si="8"/>
        <v>#REF!</v>
      </c>
      <c r="Y492" s="234" t="str">
        <f t="shared" ca="1" si="9"/>
        <v>#REF!</v>
      </c>
      <c r="Z492" s="234" t="str">
        <f t="shared" ca="1" si="10"/>
        <v>#REF!</v>
      </c>
      <c r="AA492" s="234" t="str">
        <f t="shared" ca="1" si="11"/>
        <v>#REF!</v>
      </c>
      <c r="AB492" s="234" t="str">
        <f t="shared" ca="1" si="12"/>
        <v>#REF!</v>
      </c>
      <c r="AC492" s="234" t="str">
        <f t="shared" ca="1" si="13"/>
        <v>#REF!</v>
      </c>
      <c r="AD492" s="101" t="str">
        <f t="shared" ca="1" si="14"/>
        <v>#REF!</v>
      </c>
      <c r="AE492" s="101" t="str">
        <f t="shared" ca="1" si="15"/>
        <v>#REF!</v>
      </c>
      <c r="AF492" s="235" t="str">
        <f t="shared" ref="AF492:AG492" ca="1" si="569">AD492/U492</f>
        <v>#REF!</v>
      </c>
      <c r="AG492" s="235" t="str">
        <f t="shared" ca="1" si="569"/>
        <v>#REF!</v>
      </c>
      <c r="AH492" s="212"/>
      <c r="AI492" s="213"/>
      <c r="AJ492" s="4"/>
      <c r="AK492" s="4"/>
      <c r="AL492" s="4"/>
      <c r="AM492" s="4"/>
      <c r="AN492" s="4"/>
      <c r="AO492" s="4"/>
      <c r="AP492" s="4"/>
      <c r="AQ492" s="4"/>
      <c r="AR492" s="4"/>
      <c r="AS492" s="4"/>
      <c r="AT492" s="4"/>
      <c r="AU492" s="4"/>
    </row>
    <row r="493" spans="1:47" ht="13.2">
      <c r="A493" s="120"/>
      <c r="B493" s="113"/>
      <c r="C493" s="117"/>
      <c r="D493" s="117"/>
      <c r="E493" s="117"/>
      <c r="F493" s="123"/>
      <c r="G493" s="93" t="s">
        <v>145</v>
      </c>
      <c r="H493" s="125"/>
      <c r="I493" s="125"/>
      <c r="J493" s="82" t="str">
        <f t="shared" ca="1" si="147"/>
        <v>#REF!</v>
      </c>
      <c r="K493" s="82" t="str">
        <f t="shared" ca="1" si="256"/>
        <v>#REF!</v>
      </c>
      <c r="L493" s="82" t="str">
        <f t="shared" ca="1" si="199"/>
        <v>#REF!</v>
      </c>
      <c r="M493" s="125"/>
      <c r="N493" s="125"/>
      <c r="O493" s="230">
        <f t="shared" si="2"/>
        <v>0</v>
      </c>
      <c r="P493" s="231">
        <f t="shared" si="3"/>
        <v>0</v>
      </c>
      <c r="Q493" s="232" t="str">
        <f ca="1">ROUNDUP(HLOOKUP(IF(CEILING(L493,0.5)&lt;1,1,CEILING(L493,0.5)),'배송비 조회'!A$32:AY$36,2,0),-2)</f>
        <v>#REF!</v>
      </c>
      <c r="R493" s="232">
        <v>0</v>
      </c>
      <c r="S493" s="231" t="str">
        <f t="shared" ca="1" si="250"/>
        <v>#REF!</v>
      </c>
      <c r="T493" s="231" t="str">
        <f t="shared" ca="1" si="200"/>
        <v>#REF!</v>
      </c>
      <c r="U493" s="233" t="str">
        <f t="shared" ca="1" si="142"/>
        <v>#REF!</v>
      </c>
      <c r="V493" s="233" t="str">
        <f t="shared" ca="1" si="7"/>
        <v>#REF!</v>
      </c>
      <c r="W493" s="234">
        <v>0</v>
      </c>
      <c r="X493" s="234" t="str">
        <f t="shared" ca="1" si="8"/>
        <v>#REF!</v>
      </c>
      <c r="Y493" s="234" t="str">
        <f t="shared" ca="1" si="9"/>
        <v>#REF!</v>
      </c>
      <c r="Z493" s="234" t="str">
        <f t="shared" ca="1" si="10"/>
        <v>#REF!</v>
      </c>
      <c r="AA493" s="234" t="str">
        <f t="shared" ca="1" si="11"/>
        <v>#REF!</v>
      </c>
      <c r="AB493" s="234" t="str">
        <f t="shared" ca="1" si="12"/>
        <v>#REF!</v>
      </c>
      <c r="AC493" s="234" t="str">
        <f t="shared" ca="1" si="13"/>
        <v>#REF!</v>
      </c>
      <c r="AD493" s="101" t="str">
        <f t="shared" ca="1" si="14"/>
        <v>#REF!</v>
      </c>
      <c r="AE493" s="101" t="str">
        <f t="shared" ca="1" si="15"/>
        <v>#REF!</v>
      </c>
      <c r="AF493" s="235" t="str">
        <f t="shared" ref="AF493:AG493" ca="1" si="570">AD493/U493</f>
        <v>#REF!</v>
      </c>
      <c r="AG493" s="235" t="str">
        <f t="shared" ca="1" si="570"/>
        <v>#REF!</v>
      </c>
      <c r="AH493" s="212"/>
      <c r="AI493" s="213"/>
      <c r="AJ493" s="4"/>
      <c r="AK493" s="4"/>
      <c r="AL493" s="4"/>
      <c r="AM493" s="4"/>
      <c r="AN493" s="4"/>
      <c r="AO493" s="4"/>
      <c r="AP493" s="4"/>
      <c r="AQ493" s="4"/>
      <c r="AR493" s="4"/>
      <c r="AS493" s="4"/>
      <c r="AT493" s="4"/>
      <c r="AU493" s="4"/>
    </row>
    <row r="494" spans="1:47" ht="13.2">
      <c r="A494" s="120"/>
      <c r="B494" s="113"/>
      <c r="C494" s="117"/>
      <c r="D494" s="117"/>
      <c r="E494" s="117"/>
      <c r="F494" s="123"/>
      <c r="G494" s="93" t="s">
        <v>145</v>
      </c>
      <c r="H494" s="125"/>
      <c r="I494" s="125"/>
      <c r="J494" s="82" t="str">
        <f t="shared" ca="1" si="147"/>
        <v>#REF!</v>
      </c>
      <c r="K494" s="82" t="str">
        <f t="shared" ca="1" si="256"/>
        <v>#REF!</v>
      </c>
      <c r="L494" s="82" t="str">
        <f t="shared" ca="1" si="199"/>
        <v>#REF!</v>
      </c>
      <c r="M494" s="125"/>
      <c r="N494" s="125"/>
      <c r="O494" s="230">
        <f t="shared" si="2"/>
        <v>0</v>
      </c>
      <c r="P494" s="231">
        <f t="shared" si="3"/>
        <v>0</v>
      </c>
      <c r="Q494" s="232" t="str">
        <f ca="1">ROUNDUP(HLOOKUP(IF(CEILING(L494,0.5)&lt;1,1,CEILING(L494,0.5)),'배송비 조회'!A$32:AY$36,2,0),-2)</f>
        <v>#REF!</v>
      </c>
      <c r="R494" s="232">
        <v>0</v>
      </c>
      <c r="S494" s="231" t="str">
        <f t="shared" ca="1" si="250"/>
        <v>#REF!</v>
      </c>
      <c r="T494" s="231" t="str">
        <f t="shared" ca="1" si="200"/>
        <v>#REF!</v>
      </c>
      <c r="U494" s="233" t="str">
        <f t="shared" ca="1" si="142"/>
        <v>#REF!</v>
      </c>
      <c r="V494" s="233" t="str">
        <f t="shared" ca="1" si="7"/>
        <v>#REF!</v>
      </c>
      <c r="W494" s="234">
        <v>0</v>
      </c>
      <c r="X494" s="234" t="str">
        <f t="shared" ca="1" si="8"/>
        <v>#REF!</v>
      </c>
      <c r="Y494" s="234" t="str">
        <f t="shared" ca="1" si="9"/>
        <v>#REF!</v>
      </c>
      <c r="Z494" s="234" t="str">
        <f t="shared" ca="1" si="10"/>
        <v>#REF!</v>
      </c>
      <c r="AA494" s="234" t="str">
        <f t="shared" ca="1" si="11"/>
        <v>#REF!</v>
      </c>
      <c r="AB494" s="234" t="str">
        <f t="shared" ca="1" si="12"/>
        <v>#REF!</v>
      </c>
      <c r="AC494" s="234" t="str">
        <f t="shared" ca="1" si="13"/>
        <v>#REF!</v>
      </c>
      <c r="AD494" s="101" t="str">
        <f t="shared" ca="1" si="14"/>
        <v>#REF!</v>
      </c>
      <c r="AE494" s="101" t="str">
        <f t="shared" ca="1" si="15"/>
        <v>#REF!</v>
      </c>
      <c r="AF494" s="235" t="str">
        <f t="shared" ref="AF494:AG494" ca="1" si="571">AD494/U494</f>
        <v>#REF!</v>
      </c>
      <c r="AG494" s="235" t="str">
        <f t="shared" ca="1" si="571"/>
        <v>#REF!</v>
      </c>
      <c r="AH494" s="212"/>
      <c r="AI494" s="213"/>
      <c r="AJ494" s="4"/>
      <c r="AK494" s="4"/>
      <c r="AL494" s="4"/>
      <c r="AM494" s="4"/>
      <c r="AN494" s="4"/>
      <c r="AO494" s="4"/>
      <c r="AP494" s="4"/>
      <c r="AQ494" s="4"/>
      <c r="AR494" s="4"/>
      <c r="AS494" s="4"/>
      <c r="AT494" s="4"/>
      <c r="AU494" s="4"/>
    </row>
    <row r="495" spans="1:47" ht="13.2">
      <c r="A495" s="120"/>
      <c r="B495" s="113"/>
      <c r="C495" s="117"/>
      <c r="D495" s="117"/>
      <c r="E495" s="117"/>
      <c r="F495" s="123"/>
      <c r="G495" s="93" t="s">
        <v>145</v>
      </c>
      <c r="H495" s="125"/>
      <c r="I495" s="125"/>
      <c r="J495" s="82" t="str">
        <f t="shared" ca="1" si="147"/>
        <v>#REF!</v>
      </c>
      <c r="K495" s="82" t="str">
        <f t="shared" ca="1" si="256"/>
        <v>#REF!</v>
      </c>
      <c r="L495" s="82" t="str">
        <f t="shared" ca="1" si="199"/>
        <v>#REF!</v>
      </c>
      <c r="M495" s="125"/>
      <c r="N495" s="125"/>
      <c r="O495" s="230">
        <f t="shared" si="2"/>
        <v>0</v>
      </c>
      <c r="P495" s="231">
        <f t="shared" si="3"/>
        <v>0</v>
      </c>
      <c r="Q495" s="232" t="str">
        <f ca="1">ROUNDUP(HLOOKUP(IF(CEILING(L495,0.5)&lt;1,1,CEILING(L495,0.5)),'배송비 조회'!A$32:AY$36,2,0),-2)</f>
        <v>#REF!</v>
      </c>
      <c r="R495" s="232">
        <v>0</v>
      </c>
      <c r="S495" s="231" t="str">
        <f t="shared" ca="1" si="250"/>
        <v>#REF!</v>
      </c>
      <c r="T495" s="231" t="str">
        <f t="shared" ca="1" si="200"/>
        <v>#REF!</v>
      </c>
      <c r="U495" s="233" t="str">
        <f t="shared" ca="1" si="142"/>
        <v>#REF!</v>
      </c>
      <c r="V495" s="233" t="str">
        <f t="shared" ca="1" si="7"/>
        <v>#REF!</v>
      </c>
      <c r="W495" s="234">
        <v>0</v>
      </c>
      <c r="X495" s="234" t="str">
        <f t="shared" ca="1" si="8"/>
        <v>#REF!</v>
      </c>
      <c r="Y495" s="234" t="str">
        <f t="shared" ca="1" si="9"/>
        <v>#REF!</v>
      </c>
      <c r="Z495" s="234" t="str">
        <f t="shared" ca="1" si="10"/>
        <v>#REF!</v>
      </c>
      <c r="AA495" s="234" t="str">
        <f t="shared" ca="1" si="11"/>
        <v>#REF!</v>
      </c>
      <c r="AB495" s="234" t="str">
        <f t="shared" ca="1" si="12"/>
        <v>#REF!</v>
      </c>
      <c r="AC495" s="234" t="str">
        <f t="shared" ca="1" si="13"/>
        <v>#REF!</v>
      </c>
      <c r="AD495" s="101" t="str">
        <f t="shared" ca="1" si="14"/>
        <v>#REF!</v>
      </c>
      <c r="AE495" s="101" t="str">
        <f t="shared" ca="1" si="15"/>
        <v>#REF!</v>
      </c>
      <c r="AF495" s="235" t="str">
        <f t="shared" ref="AF495:AG495" ca="1" si="572">AD495/U495</f>
        <v>#REF!</v>
      </c>
      <c r="AG495" s="235" t="str">
        <f t="shared" ca="1" si="572"/>
        <v>#REF!</v>
      </c>
      <c r="AH495" s="212"/>
      <c r="AI495" s="213"/>
      <c r="AJ495" s="4"/>
      <c r="AK495" s="4"/>
      <c r="AL495" s="4"/>
      <c r="AM495" s="4"/>
      <c r="AN495" s="4"/>
      <c r="AO495" s="4"/>
      <c r="AP495" s="4"/>
      <c r="AQ495" s="4"/>
      <c r="AR495" s="4"/>
      <c r="AS495" s="4"/>
      <c r="AT495" s="4"/>
      <c r="AU495" s="4"/>
    </row>
    <row r="496" spans="1:47" ht="13.2">
      <c r="A496" s="120"/>
      <c r="B496" s="113"/>
      <c r="C496" s="117"/>
      <c r="D496" s="117"/>
      <c r="E496" s="117"/>
      <c r="F496" s="123"/>
      <c r="G496" s="93" t="s">
        <v>145</v>
      </c>
      <c r="H496" s="125"/>
      <c r="I496" s="125"/>
      <c r="J496" s="82" t="str">
        <f t="shared" ca="1" si="147"/>
        <v>#REF!</v>
      </c>
      <c r="K496" s="82" t="str">
        <f t="shared" ca="1" si="256"/>
        <v>#REF!</v>
      </c>
      <c r="L496" s="82" t="str">
        <f t="shared" ca="1" si="199"/>
        <v>#REF!</v>
      </c>
      <c r="M496" s="125"/>
      <c r="N496" s="125"/>
      <c r="O496" s="230">
        <f t="shared" si="2"/>
        <v>0</v>
      </c>
      <c r="P496" s="231">
        <f t="shared" si="3"/>
        <v>0</v>
      </c>
      <c r="Q496" s="232" t="str">
        <f ca="1">ROUNDUP(HLOOKUP(IF(CEILING(L496,0.5)&lt;1,1,CEILING(L496,0.5)),'배송비 조회'!A$32:AY$36,2,0),-2)</f>
        <v>#REF!</v>
      </c>
      <c r="R496" s="232">
        <v>0</v>
      </c>
      <c r="S496" s="231" t="str">
        <f t="shared" ca="1" si="250"/>
        <v>#REF!</v>
      </c>
      <c r="T496" s="231" t="str">
        <f t="shared" ca="1" si="200"/>
        <v>#REF!</v>
      </c>
      <c r="U496" s="233" t="str">
        <f t="shared" ca="1" si="142"/>
        <v>#REF!</v>
      </c>
      <c r="V496" s="233" t="str">
        <f t="shared" ca="1" si="7"/>
        <v>#REF!</v>
      </c>
      <c r="W496" s="234">
        <v>0</v>
      </c>
      <c r="X496" s="234" t="str">
        <f t="shared" ca="1" si="8"/>
        <v>#REF!</v>
      </c>
      <c r="Y496" s="234" t="str">
        <f t="shared" ca="1" si="9"/>
        <v>#REF!</v>
      </c>
      <c r="Z496" s="234" t="str">
        <f t="shared" ca="1" si="10"/>
        <v>#REF!</v>
      </c>
      <c r="AA496" s="234" t="str">
        <f t="shared" ca="1" si="11"/>
        <v>#REF!</v>
      </c>
      <c r="AB496" s="234" t="str">
        <f t="shared" ca="1" si="12"/>
        <v>#REF!</v>
      </c>
      <c r="AC496" s="234" t="str">
        <f t="shared" ca="1" si="13"/>
        <v>#REF!</v>
      </c>
      <c r="AD496" s="101" t="str">
        <f t="shared" ca="1" si="14"/>
        <v>#REF!</v>
      </c>
      <c r="AE496" s="101" t="str">
        <f t="shared" ca="1" si="15"/>
        <v>#REF!</v>
      </c>
      <c r="AF496" s="235" t="str">
        <f t="shared" ref="AF496:AG496" ca="1" si="573">AD496/U496</f>
        <v>#REF!</v>
      </c>
      <c r="AG496" s="235" t="str">
        <f t="shared" ca="1" si="573"/>
        <v>#REF!</v>
      </c>
      <c r="AH496" s="212"/>
      <c r="AI496" s="213"/>
      <c r="AJ496" s="4"/>
      <c r="AK496" s="4"/>
      <c r="AL496" s="4"/>
      <c r="AM496" s="4"/>
      <c r="AN496" s="4"/>
      <c r="AO496" s="4"/>
      <c r="AP496" s="4"/>
      <c r="AQ496" s="4"/>
      <c r="AR496" s="4"/>
      <c r="AS496" s="4"/>
      <c r="AT496" s="4"/>
      <c r="AU496" s="4"/>
    </row>
    <row r="497" spans="1:47" ht="13.2">
      <c r="A497" s="120"/>
      <c r="B497" s="113"/>
      <c r="C497" s="117"/>
      <c r="D497" s="117"/>
      <c r="E497" s="117"/>
      <c r="F497" s="123"/>
      <c r="G497" s="93" t="s">
        <v>145</v>
      </c>
      <c r="H497" s="125"/>
      <c r="I497" s="125"/>
      <c r="J497" s="82" t="str">
        <f t="shared" ca="1" si="147"/>
        <v>#REF!</v>
      </c>
      <c r="K497" s="82" t="str">
        <f t="shared" ca="1" si="256"/>
        <v>#REF!</v>
      </c>
      <c r="L497" s="82" t="str">
        <f t="shared" ca="1" si="199"/>
        <v>#REF!</v>
      </c>
      <c r="M497" s="125"/>
      <c r="N497" s="125"/>
      <c r="O497" s="230">
        <f t="shared" si="2"/>
        <v>0</v>
      </c>
      <c r="P497" s="231">
        <f t="shared" si="3"/>
        <v>0</v>
      </c>
      <c r="Q497" s="232" t="str">
        <f ca="1">ROUNDUP(HLOOKUP(IF(CEILING(L497,0.5)&lt;1,1,CEILING(L497,0.5)),'배송비 조회'!A$32:AY$36,2,0),-2)</f>
        <v>#REF!</v>
      </c>
      <c r="R497" s="232">
        <v>0</v>
      </c>
      <c r="S497" s="231" t="str">
        <f t="shared" ca="1" si="250"/>
        <v>#REF!</v>
      </c>
      <c r="T497" s="231" t="str">
        <f t="shared" ca="1" si="200"/>
        <v>#REF!</v>
      </c>
      <c r="U497" s="233" t="str">
        <f t="shared" ca="1" si="142"/>
        <v>#REF!</v>
      </c>
      <c r="V497" s="233" t="str">
        <f t="shared" ca="1" si="7"/>
        <v>#REF!</v>
      </c>
      <c r="W497" s="234">
        <v>0</v>
      </c>
      <c r="X497" s="234" t="str">
        <f t="shared" ca="1" si="8"/>
        <v>#REF!</v>
      </c>
      <c r="Y497" s="234" t="str">
        <f t="shared" ca="1" si="9"/>
        <v>#REF!</v>
      </c>
      <c r="Z497" s="234" t="str">
        <f t="shared" ca="1" si="10"/>
        <v>#REF!</v>
      </c>
      <c r="AA497" s="234" t="str">
        <f t="shared" ca="1" si="11"/>
        <v>#REF!</v>
      </c>
      <c r="AB497" s="234" t="str">
        <f t="shared" ca="1" si="12"/>
        <v>#REF!</v>
      </c>
      <c r="AC497" s="234" t="str">
        <f t="shared" ca="1" si="13"/>
        <v>#REF!</v>
      </c>
      <c r="AD497" s="101" t="str">
        <f t="shared" ca="1" si="14"/>
        <v>#REF!</v>
      </c>
      <c r="AE497" s="101" t="str">
        <f t="shared" ca="1" si="15"/>
        <v>#REF!</v>
      </c>
      <c r="AF497" s="235" t="str">
        <f t="shared" ref="AF497:AG497" ca="1" si="574">AD497/U497</f>
        <v>#REF!</v>
      </c>
      <c r="AG497" s="235" t="str">
        <f t="shared" ca="1" si="574"/>
        <v>#REF!</v>
      </c>
      <c r="AH497" s="212"/>
      <c r="AI497" s="213"/>
      <c r="AJ497" s="4"/>
      <c r="AK497" s="4"/>
      <c r="AL497" s="4"/>
      <c r="AM497" s="4"/>
      <c r="AN497" s="4"/>
      <c r="AO497" s="4"/>
      <c r="AP497" s="4"/>
      <c r="AQ497" s="4"/>
      <c r="AR497" s="4"/>
      <c r="AS497" s="4"/>
      <c r="AT497" s="4"/>
      <c r="AU497" s="4"/>
    </row>
    <row r="498" spans="1:47" ht="13.2">
      <c r="A498" s="120"/>
      <c r="B498" s="113"/>
      <c r="C498" s="117"/>
      <c r="D498" s="117"/>
      <c r="E498" s="117"/>
      <c r="F498" s="123"/>
      <c r="G498" s="93" t="s">
        <v>145</v>
      </c>
      <c r="H498" s="125"/>
      <c r="I498" s="125"/>
      <c r="J498" s="82" t="str">
        <f t="shared" ca="1" si="147"/>
        <v>#REF!</v>
      </c>
      <c r="K498" s="82" t="str">
        <f t="shared" ca="1" si="256"/>
        <v>#REF!</v>
      </c>
      <c r="L498" s="82" t="str">
        <f t="shared" ca="1" si="199"/>
        <v>#REF!</v>
      </c>
      <c r="M498" s="125"/>
      <c r="N498" s="125"/>
      <c r="O498" s="230">
        <f t="shared" si="2"/>
        <v>0</v>
      </c>
      <c r="P498" s="231">
        <f t="shared" si="3"/>
        <v>0</v>
      </c>
      <c r="Q498" s="232" t="str">
        <f ca="1">ROUNDUP(HLOOKUP(IF(CEILING(L498,0.5)&lt;1,1,CEILING(L498,0.5)),'배송비 조회'!A$32:AY$36,2,0),-2)</f>
        <v>#REF!</v>
      </c>
      <c r="R498" s="232">
        <v>0</v>
      </c>
      <c r="S498" s="231" t="str">
        <f t="shared" ca="1" si="250"/>
        <v>#REF!</v>
      </c>
      <c r="T498" s="231" t="str">
        <f t="shared" ca="1" si="200"/>
        <v>#REF!</v>
      </c>
      <c r="U498" s="233" t="str">
        <f t="shared" ca="1" si="142"/>
        <v>#REF!</v>
      </c>
      <c r="V498" s="233" t="str">
        <f t="shared" ca="1" si="7"/>
        <v>#REF!</v>
      </c>
      <c r="W498" s="234">
        <v>0</v>
      </c>
      <c r="X498" s="234" t="str">
        <f t="shared" ca="1" si="8"/>
        <v>#REF!</v>
      </c>
      <c r="Y498" s="234" t="str">
        <f t="shared" ca="1" si="9"/>
        <v>#REF!</v>
      </c>
      <c r="Z498" s="234" t="str">
        <f t="shared" ca="1" si="10"/>
        <v>#REF!</v>
      </c>
      <c r="AA498" s="234" t="str">
        <f t="shared" ca="1" si="11"/>
        <v>#REF!</v>
      </c>
      <c r="AB498" s="234" t="str">
        <f t="shared" ca="1" si="12"/>
        <v>#REF!</v>
      </c>
      <c r="AC498" s="234" t="str">
        <f t="shared" ca="1" si="13"/>
        <v>#REF!</v>
      </c>
      <c r="AD498" s="101" t="str">
        <f t="shared" ca="1" si="14"/>
        <v>#REF!</v>
      </c>
      <c r="AE498" s="101" t="str">
        <f t="shared" ca="1" si="15"/>
        <v>#REF!</v>
      </c>
      <c r="AF498" s="235" t="str">
        <f t="shared" ref="AF498:AG498" ca="1" si="575">AD498/U498</f>
        <v>#REF!</v>
      </c>
      <c r="AG498" s="235" t="str">
        <f t="shared" ca="1" si="575"/>
        <v>#REF!</v>
      </c>
      <c r="AH498" s="212"/>
      <c r="AI498" s="213"/>
      <c r="AJ498" s="4"/>
      <c r="AK498" s="4"/>
      <c r="AL498" s="4"/>
      <c r="AM498" s="4"/>
      <c r="AN498" s="4"/>
      <c r="AO498" s="4"/>
      <c r="AP498" s="4"/>
      <c r="AQ498" s="4"/>
      <c r="AR498" s="4"/>
      <c r="AS498" s="4"/>
      <c r="AT498" s="4"/>
      <c r="AU498" s="4"/>
    </row>
    <row r="499" spans="1:47" ht="13.2">
      <c r="A499" s="120"/>
      <c r="B499" s="113"/>
      <c r="C499" s="117"/>
      <c r="D499" s="117"/>
      <c r="E499" s="117"/>
      <c r="F499" s="123"/>
      <c r="G499" s="93" t="s">
        <v>145</v>
      </c>
      <c r="H499" s="125"/>
      <c r="I499" s="125"/>
      <c r="J499" s="82" t="str">
        <f t="shared" ca="1" si="147"/>
        <v>#REF!</v>
      </c>
      <c r="K499" s="82" t="str">
        <f t="shared" ca="1" si="256"/>
        <v>#REF!</v>
      </c>
      <c r="L499" s="82" t="str">
        <f t="shared" ca="1" si="199"/>
        <v>#REF!</v>
      </c>
      <c r="M499" s="125"/>
      <c r="N499" s="125"/>
      <c r="O499" s="230">
        <f t="shared" si="2"/>
        <v>0</v>
      </c>
      <c r="P499" s="231">
        <f t="shared" si="3"/>
        <v>0</v>
      </c>
      <c r="Q499" s="232" t="str">
        <f ca="1">ROUNDUP(HLOOKUP(IF(CEILING(L499,0.5)&lt;1,1,CEILING(L499,0.5)),'배송비 조회'!A$32:AY$36,2,0),-2)</f>
        <v>#REF!</v>
      </c>
      <c r="R499" s="232">
        <v>0</v>
      </c>
      <c r="S499" s="231" t="str">
        <f t="shared" ca="1" si="250"/>
        <v>#REF!</v>
      </c>
      <c r="T499" s="231" t="str">
        <f t="shared" ca="1" si="200"/>
        <v>#REF!</v>
      </c>
      <c r="U499" s="233" t="str">
        <f t="shared" ca="1" si="142"/>
        <v>#REF!</v>
      </c>
      <c r="V499" s="233" t="str">
        <f t="shared" ca="1" si="7"/>
        <v>#REF!</v>
      </c>
      <c r="W499" s="234">
        <v>0</v>
      </c>
      <c r="X499" s="234" t="str">
        <f t="shared" ca="1" si="8"/>
        <v>#REF!</v>
      </c>
      <c r="Y499" s="234" t="str">
        <f t="shared" ca="1" si="9"/>
        <v>#REF!</v>
      </c>
      <c r="Z499" s="234" t="str">
        <f t="shared" ca="1" si="10"/>
        <v>#REF!</v>
      </c>
      <c r="AA499" s="234" t="str">
        <f t="shared" ca="1" si="11"/>
        <v>#REF!</v>
      </c>
      <c r="AB499" s="234" t="str">
        <f t="shared" ca="1" si="12"/>
        <v>#REF!</v>
      </c>
      <c r="AC499" s="234" t="str">
        <f t="shared" ca="1" si="13"/>
        <v>#REF!</v>
      </c>
      <c r="AD499" s="101" t="str">
        <f t="shared" ca="1" si="14"/>
        <v>#REF!</v>
      </c>
      <c r="AE499" s="101" t="str">
        <f t="shared" ca="1" si="15"/>
        <v>#REF!</v>
      </c>
      <c r="AF499" s="235" t="str">
        <f t="shared" ref="AF499:AG499" ca="1" si="576">AD499/U499</f>
        <v>#REF!</v>
      </c>
      <c r="AG499" s="235" t="str">
        <f t="shared" ca="1" si="576"/>
        <v>#REF!</v>
      </c>
      <c r="AH499" s="212"/>
      <c r="AI499" s="213"/>
      <c r="AJ499" s="4"/>
      <c r="AK499" s="4"/>
      <c r="AL499" s="4"/>
      <c r="AM499" s="4"/>
      <c r="AN499" s="4"/>
      <c r="AO499" s="4"/>
      <c r="AP499" s="4"/>
      <c r="AQ499" s="4"/>
      <c r="AR499" s="4"/>
      <c r="AS499" s="4"/>
      <c r="AT499" s="4"/>
      <c r="AU499" s="4"/>
    </row>
    <row r="500" spans="1:47" ht="13.2">
      <c r="A500" s="120"/>
      <c r="B500" s="113"/>
      <c r="C500" s="117"/>
      <c r="D500" s="117"/>
      <c r="E500" s="117"/>
      <c r="F500" s="123"/>
      <c r="G500" s="93" t="s">
        <v>145</v>
      </c>
      <c r="H500" s="125"/>
      <c r="I500" s="125"/>
      <c r="J500" s="82" t="str">
        <f t="shared" ca="1" si="147"/>
        <v>#REF!</v>
      </c>
      <c r="K500" s="82" t="str">
        <f t="shared" ca="1" si="256"/>
        <v>#REF!</v>
      </c>
      <c r="L500" s="82" t="str">
        <f t="shared" ca="1" si="199"/>
        <v>#REF!</v>
      </c>
      <c r="M500" s="125"/>
      <c r="N500" s="125"/>
      <c r="O500" s="230">
        <f t="shared" si="2"/>
        <v>0</v>
      </c>
      <c r="P500" s="231">
        <f t="shared" si="3"/>
        <v>0</v>
      </c>
      <c r="Q500" s="232" t="str">
        <f ca="1">ROUNDUP(HLOOKUP(IF(CEILING(L500,0.5)&lt;1,1,CEILING(L500,0.5)),'배송비 조회'!A$32:AY$36,2,0),-2)</f>
        <v>#REF!</v>
      </c>
      <c r="R500" s="232">
        <v>0</v>
      </c>
      <c r="S500" s="231" t="str">
        <f t="shared" ca="1" si="250"/>
        <v>#REF!</v>
      </c>
      <c r="T500" s="231" t="str">
        <f t="shared" ca="1" si="200"/>
        <v>#REF!</v>
      </c>
      <c r="U500" s="233" t="str">
        <f t="shared" ca="1" si="142"/>
        <v>#REF!</v>
      </c>
      <c r="V500" s="233" t="str">
        <f t="shared" ca="1" si="7"/>
        <v>#REF!</v>
      </c>
      <c r="W500" s="234">
        <v>0</v>
      </c>
      <c r="X500" s="234" t="str">
        <f t="shared" ca="1" si="8"/>
        <v>#REF!</v>
      </c>
      <c r="Y500" s="234" t="str">
        <f t="shared" ca="1" si="9"/>
        <v>#REF!</v>
      </c>
      <c r="Z500" s="234" t="str">
        <f t="shared" ca="1" si="10"/>
        <v>#REF!</v>
      </c>
      <c r="AA500" s="234" t="str">
        <f t="shared" ca="1" si="11"/>
        <v>#REF!</v>
      </c>
      <c r="AB500" s="234" t="str">
        <f t="shared" ca="1" si="12"/>
        <v>#REF!</v>
      </c>
      <c r="AC500" s="234" t="str">
        <f t="shared" ca="1" si="13"/>
        <v>#REF!</v>
      </c>
      <c r="AD500" s="101" t="str">
        <f t="shared" ca="1" si="14"/>
        <v>#REF!</v>
      </c>
      <c r="AE500" s="101" t="str">
        <f t="shared" ca="1" si="15"/>
        <v>#REF!</v>
      </c>
      <c r="AF500" s="235" t="str">
        <f t="shared" ref="AF500:AG500" ca="1" si="577">AD500/U500</f>
        <v>#REF!</v>
      </c>
      <c r="AG500" s="235" t="str">
        <f t="shared" ca="1" si="577"/>
        <v>#REF!</v>
      </c>
      <c r="AH500" s="212"/>
      <c r="AI500" s="213"/>
      <c r="AJ500" s="4"/>
      <c r="AK500" s="4"/>
      <c r="AL500" s="4"/>
      <c r="AM500" s="4"/>
      <c r="AN500" s="4"/>
      <c r="AO500" s="4"/>
      <c r="AP500" s="4"/>
      <c r="AQ500" s="4"/>
      <c r="AR500" s="4"/>
      <c r="AS500" s="4"/>
      <c r="AT500" s="4"/>
      <c r="AU500" s="4"/>
    </row>
    <row r="501" spans="1:47" ht="13.2">
      <c r="A501" s="120"/>
      <c r="B501" s="113"/>
      <c r="C501" s="117"/>
      <c r="D501" s="117"/>
      <c r="E501" s="117"/>
      <c r="F501" s="123"/>
      <c r="G501" s="93" t="s">
        <v>145</v>
      </c>
      <c r="H501" s="125"/>
      <c r="I501" s="125"/>
      <c r="J501" s="82" t="str">
        <f t="shared" ca="1" si="147"/>
        <v>#REF!</v>
      </c>
      <c r="K501" s="82" t="str">
        <f t="shared" ca="1" si="256"/>
        <v>#REF!</v>
      </c>
      <c r="L501" s="82" t="str">
        <f t="shared" ca="1" si="199"/>
        <v>#REF!</v>
      </c>
      <c r="M501" s="125"/>
      <c r="N501" s="125"/>
      <c r="O501" s="230">
        <f t="shared" si="2"/>
        <v>0</v>
      </c>
      <c r="P501" s="231">
        <f t="shared" si="3"/>
        <v>0</v>
      </c>
      <c r="Q501" s="232" t="str">
        <f ca="1">ROUNDUP(HLOOKUP(IF(CEILING(L501,0.5)&lt;1,1,CEILING(L501,0.5)),'배송비 조회'!A$32:AY$36,2,0),-2)</f>
        <v>#REF!</v>
      </c>
      <c r="R501" s="232">
        <v>0</v>
      </c>
      <c r="S501" s="231" t="str">
        <f t="shared" ca="1" si="250"/>
        <v>#REF!</v>
      </c>
      <c r="T501" s="231" t="str">
        <f t="shared" ca="1" si="200"/>
        <v>#REF!</v>
      </c>
      <c r="U501" s="233" t="str">
        <f t="shared" ca="1" si="142"/>
        <v>#REF!</v>
      </c>
      <c r="V501" s="233" t="str">
        <f t="shared" ca="1" si="7"/>
        <v>#REF!</v>
      </c>
      <c r="W501" s="234">
        <v>0</v>
      </c>
      <c r="X501" s="234" t="str">
        <f t="shared" ca="1" si="8"/>
        <v>#REF!</v>
      </c>
      <c r="Y501" s="234" t="str">
        <f t="shared" ca="1" si="9"/>
        <v>#REF!</v>
      </c>
      <c r="Z501" s="234" t="str">
        <f t="shared" ca="1" si="10"/>
        <v>#REF!</v>
      </c>
      <c r="AA501" s="234" t="str">
        <f t="shared" ca="1" si="11"/>
        <v>#REF!</v>
      </c>
      <c r="AB501" s="234" t="str">
        <f t="shared" ca="1" si="12"/>
        <v>#REF!</v>
      </c>
      <c r="AC501" s="234" t="str">
        <f t="shared" ca="1" si="13"/>
        <v>#REF!</v>
      </c>
      <c r="AD501" s="101" t="str">
        <f t="shared" ca="1" si="14"/>
        <v>#REF!</v>
      </c>
      <c r="AE501" s="101" t="str">
        <f t="shared" ca="1" si="15"/>
        <v>#REF!</v>
      </c>
      <c r="AF501" s="235" t="str">
        <f t="shared" ref="AF501:AG501" ca="1" si="578">AD501/U501</f>
        <v>#REF!</v>
      </c>
      <c r="AG501" s="235" t="str">
        <f t="shared" ca="1" si="578"/>
        <v>#REF!</v>
      </c>
      <c r="AH501" s="212"/>
      <c r="AI501" s="213"/>
      <c r="AJ501" s="4"/>
      <c r="AK501" s="4"/>
      <c r="AL501" s="4"/>
      <c r="AM501" s="4"/>
      <c r="AN501" s="4"/>
      <c r="AO501" s="4"/>
      <c r="AP501" s="4"/>
      <c r="AQ501" s="4"/>
      <c r="AR501" s="4"/>
      <c r="AS501" s="4"/>
      <c r="AT501" s="4"/>
      <c r="AU501" s="4"/>
    </row>
    <row r="502" spans="1:47" ht="13.2">
      <c r="A502" s="120"/>
      <c r="B502" s="113"/>
      <c r="C502" s="117"/>
      <c r="D502" s="117"/>
      <c r="E502" s="117"/>
      <c r="F502" s="123"/>
      <c r="G502" s="93" t="s">
        <v>145</v>
      </c>
      <c r="H502" s="125"/>
      <c r="I502" s="125"/>
      <c r="J502" s="82" t="str">
        <f t="shared" ca="1" si="147"/>
        <v>#REF!</v>
      </c>
      <c r="K502" s="82" t="str">
        <f t="shared" ca="1" si="256"/>
        <v>#REF!</v>
      </c>
      <c r="L502" s="82" t="str">
        <f t="shared" ca="1" si="199"/>
        <v>#REF!</v>
      </c>
      <c r="M502" s="125"/>
      <c r="N502" s="125"/>
      <c r="O502" s="230">
        <f t="shared" si="2"/>
        <v>0</v>
      </c>
      <c r="P502" s="231">
        <f t="shared" si="3"/>
        <v>0</v>
      </c>
      <c r="Q502" s="232" t="str">
        <f ca="1">ROUNDUP(HLOOKUP(IF(CEILING(L502,0.5)&lt;1,1,CEILING(L502,0.5)),'배송비 조회'!A$32:AY$36,2,0),-2)</f>
        <v>#REF!</v>
      </c>
      <c r="R502" s="232">
        <v>0</v>
      </c>
      <c r="S502" s="231" t="str">
        <f t="shared" ca="1" si="250"/>
        <v>#REF!</v>
      </c>
      <c r="T502" s="231" t="str">
        <f t="shared" ca="1" si="200"/>
        <v>#REF!</v>
      </c>
      <c r="U502" s="233" t="str">
        <f t="shared" ca="1" si="142"/>
        <v>#REF!</v>
      </c>
      <c r="V502" s="233" t="str">
        <f t="shared" ca="1" si="7"/>
        <v>#REF!</v>
      </c>
      <c r="W502" s="234">
        <v>0</v>
      </c>
      <c r="X502" s="234" t="str">
        <f t="shared" ca="1" si="8"/>
        <v>#REF!</v>
      </c>
      <c r="Y502" s="234" t="str">
        <f t="shared" ca="1" si="9"/>
        <v>#REF!</v>
      </c>
      <c r="Z502" s="234" t="str">
        <f t="shared" ca="1" si="10"/>
        <v>#REF!</v>
      </c>
      <c r="AA502" s="234" t="str">
        <f t="shared" ca="1" si="11"/>
        <v>#REF!</v>
      </c>
      <c r="AB502" s="234" t="str">
        <f t="shared" ca="1" si="12"/>
        <v>#REF!</v>
      </c>
      <c r="AC502" s="234" t="str">
        <f t="shared" ca="1" si="13"/>
        <v>#REF!</v>
      </c>
      <c r="AD502" s="101" t="str">
        <f t="shared" ca="1" si="14"/>
        <v>#REF!</v>
      </c>
      <c r="AE502" s="101" t="str">
        <f t="shared" ca="1" si="15"/>
        <v>#REF!</v>
      </c>
      <c r="AF502" s="235" t="str">
        <f t="shared" ref="AF502:AG502" ca="1" si="579">AD502/U502</f>
        <v>#REF!</v>
      </c>
      <c r="AG502" s="235" t="str">
        <f t="shared" ca="1" si="579"/>
        <v>#REF!</v>
      </c>
      <c r="AH502" s="212"/>
      <c r="AI502" s="213"/>
      <c r="AJ502" s="4"/>
      <c r="AK502" s="4"/>
      <c r="AL502" s="4"/>
      <c r="AM502" s="4"/>
      <c r="AN502" s="4"/>
      <c r="AO502" s="4"/>
      <c r="AP502" s="4"/>
      <c r="AQ502" s="4"/>
      <c r="AR502" s="4"/>
      <c r="AS502" s="4"/>
      <c r="AT502" s="4"/>
      <c r="AU502" s="4"/>
    </row>
    <row r="503" spans="1:47" ht="13.2">
      <c r="A503" s="120"/>
      <c r="B503" s="113"/>
      <c r="C503" s="117"/>
      <c r="D503" s="117"/>
      <c r="E503" s="117"/>
      <c r="F503" s="123"/>
      <c r="G503" s="93" t="s">
        <v>145</v>
      </c>
      <c r="H503" s="125"/>
      <c r="I503" s="125"/>
      <c r="J503" s="82" t="str">
        <f t="shared" ca="1" si="147"/>
        <v>#REF!</v>
      </c>
      <c r="K503" s="82" t="str">
        <f t="shared" ca="1" si="256"/>
        <v>#REF!</v>
      </c>
      <c r="L503" s="82" t="str">
        <f t="shared" ca="1" si="199"/>
        <v>#REF!</v>
      </c>
      <c r="M503" s="125"/>
      <c r="N503" s="125"/>
      <c r="O503" s="230">
        <f t="shared" si="2"/>
        <v>0</v>
      </c>
      <c r="P503" s="231">
        <f t="shared" si="3"/>
        <v>0</v>
      </c>
      <c r="Q503" s="232" t="str">
        <f ca="1">ROUNDUP(HLOOKUP(IF(CEILING(L503,0.5)&lt;1,1,CEILING(L503,0.5)),'배송비 조회'!A$32:AY$36,2,0),-2)</f>
        <v>#REF!</v>
      </c>
      <c r="R503" s="232">
        <v>0</v>
      </c>
      <c r="S503" s="231" t="str">
        <f t="shared" ca="1" si="250"/>
        <v>#REF!</v>
      </c>
      <c r="T503" s="231" t="str">
        <f t="shared" ca="1" si="200"/>
        <v>#REF!</v>
      </c>
      <c r="U503" s="233" t="str">
        <f t="shared" ca="1" si="142"/>
        <v>#REF!</v>
      </c>
      <c r="V503" s="233" t="str">
        <f t="shared" ca="1" si="7"/>
        <v>#REF!</v>
      </c>
      <c r="W503" s="234">
        <v>0</v>
      </c>
      <c r="X503" s="234" t="str">
        <f t="shared" ca="1" si="8"/>
        <v>#REF!</v>
      </c>
      <c r="Y503" s="234" t="str">
        <f t="shared" ca="1" si="9"/>
        <v>#REF!</v>
      </c>
      <c r="Z503" s="234" t="str">
        <f t="shared" ca="1" si="10"/>
        <v>#REF!</v>
      </c>
      <c r="AA503" s="234" t="str">
        <f t="shared" ca="1" si="11"/>
        <v>#REF!</v>
      </c>
      <c r="AB503" s="234" t="str">
        <f t="shared" ca="1" si="12"/>
        <v>#REF!</v>
      </c>
      <c r="AC503" s="234" t="str">
        <f t="shared" ca="1" si="13"/>
        <v>#REF!</v>
      </c>
      <c r="AD503" s="101" t="str">
        <f t="shared" ca="1" si="14"/>
        <v>#REF!</v>
      </c>
      <c r="AE503" s="101" t="str">
        <f t="shared" ca="1" si="15"/>
        <v>#REF!</v>
      </c>
      <c r="AF503" s="235" t="str">
        <f t="shared" ref="AF503:AG503" ca="1" si="580">AD503/U503</f>
        <v>#REF!</v>
      </c>
      <c r="AG503" s="235" t="str">
        <f t="shared" ca="1" si="580"/>
        <v>#REF!</v>
      </c>
      <c r="AH503" s="212"/>
      <c r="AI503" s="213"/>
      <c r="AJ503" s="4"/>
      <c r="AK503" s="4"/>
      <c r="AL503" s="4"/>
      <c r="AM503" s="4"/>
      <c r="AN503" s="4"/>
      <c r="AO503" s="4"/>
      <c r="AP503" s="4"/>
      <c r="AQ503" s="4"/>
      <c r="AR503" s="4"/>
      <c r="AS503" s="4"/>
      <c r="AT503" s="4"/>
      <c r="AU503" s="4"/>
    </row>
    <row r="504" spans="1:47" ht="13.2">
      <c r="A504" s="120"/>
      <c r="B504" s="113"/>
      <c r="C504" s="117"/>
      <c r="D504" s="117"/>
      <c r="E504" s="117"/>
      <c r="F504" s="123"/>
      <c r="G504" s="93" t="s">
        <v>145</v>
      </c>
      <c r="H504" s="125"/>
      <c r="I504" s="125"/>
      <c r="J504" s="82" t="str">
        <f t="shared" ca="1" si="147"/>
        <v>#REF!</v>
      </c>
      <c r="K504" s="82" t="str">
        <f t="shared" ca="1" si="256"/>
        <v>#REF!</v>
      </c>
      <c r="L504" s="82" t="str">
        <f t="shared" ca="1" si="199"/>
        <v>#REF!</v>
      </c>
      <c r="M504" s="125"/>
      <c r="N504" s="125"/>
      <c r="O504" s="230">
        <f t="shared" si="2"/>
        <v>0</v>
      </c>
      <c r="P504" s="231">
        <f t="shared" si="3"/>
        <v>0</v>
      </c>
      <c r="Q504" s="232" t="str">
        <f ca="1">ROUNDUP(HLOOKUP(IF(CEILING(L504,0.5)&lt;1,1,CEILING(L504,0.5)),'배송비 조회'!A$32:AY$36,2,0),-2)</f>
        <v>#REF!</v>
      </c>
      <c r="R504" s="232">
        <v>0</v>
      </c>
      <c r="S504" s="231" t="str">
        <f t="shared" ca="1" si="250"/>
        <v>#REF!</v>
      </c>
      <c r="T504" s="231" t="str">
        <f t="shared" ca="1" si="200"/>
        <v>#REF!</v>
      </c>
      <c r="U504" s="233" t="str">
        <f t="shared" ca="1" si="142"/>
        <v>#REF!</v>
      </c>
      <c r="V504" s="233" t="str">
        <f t="shared" ca="1" si="7"/>
        <v>#REF!</v>
      </c>
      <c r="W504" s="234">
        <v>0</v>
      </c>
      <c r="X504" s="234" t="str">
        <f t="shared" ca="1" si="8"/>
        <v>#REF!</v>
      </c>
      <c r="Y504" s="234" t="str">
        <f t="shared" ca="1" si="9"/>
        <v>#REF!</v>
      </c>
      <c r="Z504" s="234" t="str">
        <f t="shared" ca="1" si="10"/>
        <v>#REF!</v>
      </c>
      <c r="AA504" s="234" t="str">
        <f t="shared" ca="1" si="11"/>
        <v>#REF!</v>
      </c>
      <c r="AB504" s="234" t="str">
        <f t="shared" ca="1" si="12"/>
        <v>#REF!</v>
      </c>
      <c r="AC504" s="234" t="str">
        <f t="shared" ca="1" si="13"/>
        <v>#REF!</v>
      </c>
      <c r="AD504" s="101" t="str">
        <f t="shared" ca="1" si="14"/>
        <v>#REF!</v>
      </c>
      <c r="AE504" s="101" t="str">
        <f t="shared" ca="1" si="15"/>
        <v>#REF!</v>
      </c>
      <c r="AF504" s="235" t="str">
        <f t="shared" ref="AF504:AG504" ca="1" si="581">AD504/U504</f>
        <v>#REF!</v>
      </c>
      <c r="AG504" s="235" t="str">
        <f t="shared" ca="1" si="581"/>
        <v>#REF!</v>
      </c>
      <c r="AH504" s="212"/>
      <c r="AI504" s="213"/>
      <c r="AJ504" s="4"/>
      <c r="AK504" s="4"/>
      <c r="AL504" s="4"/>
      <c r="AM504" s="4"/>
      <c r="AN504" s="4"/>
      <c r="AO504" s="4"/>
      <c r="AP504" s="4"/>
      <c r="AQ504" s="4"/>
      <c r="AR504" s="4"/>
      <c r="AS504" s="4"/>
      <c r="AT504" s="4"/>
      <c r="AU504" s="4"/>
    </row>
    <row r="505" spans="1:47" ht="13.2">
      <c r="A505" s="120"/>
      <c r="B505" s="113"/>
      <c r="C505" s="117"/>
      <c r="D505" s="117"/>
      <c r="E505" s="117"/>
      <c r="F505" s="123"/>
      <c r="G505" s="93" t="s">
        <v>145</v>
      </c>
      <c r="H505" s="125"/>
      <c r="I505" s="125"/>
      <c r="J505" s="82" t="str">
        <f t="shared" ca="1" si="147"/>
        <v>#REF!</v>
      </c>
      <c r="K505" s="82" t="str">
        <f t="shared" ca="1" si="256"/>
        <v>#REF!</v>
      </c>
      <c r="L505" s="82" t="str">
        <f t="shared" ca="1" si="199"/>
        <v>#REF!</v>
      </c>
      <c r="M505" s="125"/>
      <c r="N505" s="125"/>
      <c r="O505" s="230">
        <f t="shared" si="2"/>
        <v>0</v>
      </c>
      <c r="P505" s="231">
        <f t="shared" si="3"/>
        <v>0</v>
      </c>
      <c r="Q505" s="232" t="str">
        <f ca="1">ROUNDUP(HLOOKUP(IF(CEILING(L505,0.5)&lt;1,1,CEILING(L505,0.5)),'배송비 조회'!A$32:AY$36,2,0),-2)</f>
        <v>#REF!</v>
      </c>
      <c r="R505" s="232">
        <v>0</v>
      </c>
      <c r="S505" s="231" t="str">
        <f t="shared" ca="1" si="250"/>
        <v>#REF!</v>
      </c>
      <c r="T505" s="231" t="str">
        <f t="shared" ca="1" si="200"/>
        <v>#REF!</v>
      </c>
      <c r="U505" s="233" t="str">
        <f t="shared" ca="1" si="142"/>
        <v>#REF!</v>
      </c>
      <c r="V505" s="233" t="str">
        <f t="shared" ca="1" si="7"/>
        <v>#REF!</v>
      </c>
      <c r="W505" s="234">
        <v>0</v>
      </c>
      <c r="X505" s="234" t="str">
        <f t="shared" ca="1" si="8"/>
        <v>#REF!</v>
      </c>
      <c r="Y505" s="234" t="str">
        <f t="shared" ca="1" si="9"/>
        <v>#REF!</v>
      </c>
      <c r="Z505" s="234" t="str">
        <f t="shared" ca="1" si="10"/>
        <v>#REF!</v>
      </c>
      <c r="AA505" s="234" t="str">
        <f t="shared" ca="1" si="11"/>
        <v>#REF!</v>
      </c>
      <c r="AB505" s="234" t="str">
        <f t="shared" ca="1" si="12"/>
        <v>#REF!</v>
      </c>
      <c r="AC505" s="234" t="str">
        <f t="shared" ca="1" si="13"/>
        <v>#REF!</v>
      </c>
      <c r="AD505" s="101" t="str">
        <f t="shared" ca="1" si="14"/>
        <v>#REF!</v>
      </c>
      <c r="AE505" s="101" t="str">
        <f t="shared" ca="1" si="15"/>
        <v>#REF!</v>
      </c>
      <c r="AF505" s="235" t="str">
        <f t="shared" ref="AF505:AG505" ca="1" si="582">AD505/U505</f>
        <v>#REF!</v>
      </c>
      <c r="AG505" s="235" t="str">
        <f t="shared" ca="1" si="582"/>
        <v>#REF!</v>
      </c>
      <c r="AH505" s="212"/>
      <c r="AI505" s="213"/>
      <c r="AJ505" s="4"/>
      <c r="AK505" s="4"/>
      <c r="AL505" s="4"/>
      <c r="AM505" s="4"/>
      <c r="AN505" s="4"/>
      <c r="AO505" s="4"/>
      <c r="AP505" s="4"/>
      <c r="AQ505" s="4"/>
      <c r="AR505" s="4"/>
      <c r="AS505" s="4"/>
      <c r="AT505" s="4"/>
      <c r="AU505" s="4"/>
    </row>
    <row r="506" spans="1:47" ht="13.2">
      <c r="A506" s="120"/>
      <c r="B506" s="113"/>
      <c r="C506" s="117"/>
      <c r="D506" s="117"/>
      <c r="E506" s="117"/>
      <c r="F506" s="123"/>
      <c r="G506" s="93" t="s">
        <v>145</v>
      </c>
      <c r="H506" s="125"/>
      <c r="I506" s="125"/>
      <c r="J506" s="82" t="str">
        <f t="shared" ca="1" si="147"/>
        <v>#REF!</v>
      </c>
      <c r="K506" s="82" t="str">
        <f t="shared" ca="1" si="256"/>
        <v>#REF!</v>
      </c>
      <c r="L506" s="82" t="str">
        <f t="shared" ca="1" si="199"/>
        <v>#REF!</v>
      </c>
      <c r="M506" s="125"/>
      <c r="N506" s="125"/>
      <c r="O506" s="230">
        <f t="shared" si="2"/>
        <v>0</v>
      </c>
      <c r="P506" s="231">
        <f t="shared" si="3"/>
        <v>0</v>
      </c>
      <c r="Q506" s="232" t="str">
        <f ca="1">ROUNDUP(HLOOKUP(IF(CEILING(L506,0.5)&lt;1,1,CEILING(L506,0.5)),'배송비 조회'!A$32:AY$36,2,0),-2)</f>
        <v>#REF!</v>
      </c>
      <c r="R506" s="232">
        <v>0</v>
      </c>
      <c r="S506" s="231" t="str">
        <f t="shared" ca="1" si="250"/>
        <v>#REF!</v>
      </c>
      <c r="T506" s="231" t="str">
        <f t="shared" ca="1" si="200"/>
        <v>#REF!</v>
      </c>
      <c r="U506" s="233" t="str">
        <f t="shared" ca="1" si="142"/>
        <v>#REF!</v>
      </c>
      <c r="V506" s="233" t="str">
        <f t="shared" ca="1" si="7"/>
        <v>#REF!</v>
      </c>
      <c r="W506" s="234">
        <v>0</v>
      </c>
      <c r="X506" s="234" t="str">
        <f t="shared" ca="1" si="8"/>
        <v>#REF!</v>
      </c>
      <c r="Y506" s="234" t="str">
        <f t="shared" ca="1" si="9"/>
        <v>#REF!</v>
      </c>
      <c r="Z506" s="234" t="str">
        <f t="shared" ca="1" si="10"/>
        <v>#REF!</v>
      </c>
      <c r="AA506" s="234" t="str">
        <f t="shared" ca="1" si="11"/>
        <v>#REF!</v>
      </c>
      <c r="AB506" s="234" t="str">
        <f t="shared" ca="1" si="12"/>
        <v>#REF!</v>
      </c>
      <c r="AC506" s="234" t="str">
        <f t="shared" ca="1" si="13"/>
        <v>#REF!</v>
      </c>
      <c r="AD506" s="101" t="str">
        <f t="shared" ca="1" si="14"/>
        <v>#REF!</v>
      </c>
      <c r="AE506" s="101" t="str">
        <f t="shared" ca="1" si="15"/>
        <v>#REF!</v>
      </c>
      <c r="AF506" s="235" t="str">
        <f t="shared" ref="AF506:AG506" ca="1" si="583">AD506/U506</f>
        <v>#REF!</v>
      </c>
      <c r="AG506" s="235" t="str">
        <f t="shared" ca="1" si="583"/>
        <v>#REF!</v>
      </c>
      <c r="AH506" s="212"/>
      <c r="AI506" s="213"/>
      <c r="AJ506" s="4"/>
      <c r="AK506" s="4"/>
      <c r="AL506" s="4"/>
      <c r="AM506" s="4"/>
      <c r="AN506" s="4"/>
      <c r="AO506" s="4"/>
      <c r="AP506" s="4"/>
      <c r="AQ506" s="4"/>
      <c r="AR506" s="4"/>
      <c r="AS506" s="4"/>
      <c r="AT506" s="4"/>
      <c r="AU506" s="4"/>
    </row>
    <row r="507" spans="1:47" ht="13.2">
      <c r="A507" s="120"/>
      <c r="B507" s="113"/>
      <c r="C507" s="117"/>
      <c r="D507" s="117"/>
      <c r="E507" s="117"/>
      <c r="F507" s="123"/>
      <c r="G507" s="93" t="s">
        <v>145</v>
      </c>
      <c r="H507" s="125"/>
      <c r="I507" s="125"/>
      <c r="J507" s="82" t="str">
        <f t="shared" ca="1" si="147"/>
        <v>#REF!</v>
      </c>
      <c r="K507" s="82" t="str">
        <f t="shared" ca="1" si="256"/>
        <v>#REF!</v>
      </c>
      <c r="L507" s="82" t="str">
        <f t="shared" ca="1" si="199"/>
        <v>#REF!</v>
      </c>
      <c r="M507" s="125"/>
      <c r="N507" s="125"/>
      <c r="O507" s="230">
        <f t="shared" si="2"/>
        <v>0</v>
      </c>
      <c r="P507" s="231">
        <f t="shared" si="3"/>
        <v>0</v>
      </c>
      <c r="Q507" s="232" t="str">
        <f ca="1">ROUNDUP(HLOOKUP(IF(CEILING(L507,0.5)&lt;1,1,CEILING(L507,0.5)),'배송비 조회'!A$32:AY$36,2,0),-2)</f>
        <v>#REF!</v>
      </c>
      <c r="R507" s="232">
        <v>0</v>
      </c>
      <c r="S507" s="231" t="str">
        <f t="shared" ca="1" si="250"/>
        <v>#REF!</v>
      </c>
      <c r="T507" s="231" t="str">
        <f t="shared" ca="1" si="200"/>
        <v>#REF!</v>
      </c>
      <c r="U507" s="233" t="str">
        <f t="shared" ca="1" si="142"/>
        <v>#REF!</v>
      </c>
      <c r="V507" s="233" t="str">
        <f t="shared" ca="1" si="7"/>
        <v>#REF!</v>
      </c>
      <c r="W507" s="234">
        <v>0</v>
      </c>
      <c r="X507" s="234" t="str">
        <f t="shared" ca="1" si="8"/>
        <v>#REF!</v>
      </c>
      <c r="Y507" s="234" t="str">
        <f t="shared" ca="1" si="9"/>
        <v>#REF!</v>
      </c>
      <c r="Z507" s="234" t="str">
        <f t="shared" ca="1" si="10"/>
        <v>#REF!</v>
      </c>
      <c r="AA507" s="234" t="str">
        <f t="shared" ca="1" si="11"/>
        <v>#REF!</v>
      </c>
      <c r="AB507" s="234" t="str">
        <f t="shared" ca="1" si="12"/>
        <v>#REF!</v>
      </c>
      <c r="AC507" s="234" t="str">
        <f t="shared" ca="1" si="13"/>
        <v>#REF!</v>
      </c>
      <c r="AD507" s="101" t="str">
        <f t="shared" ca="1" si="14"/>
        <v>#REF!</v>
      </c>
      <c r="AE507" s="101" t="str">
        <f t="shared" ca="1" si="15"/>
        <v>#REF!</v>
      </c>
      <c r="AF507" s="235" t="str">
        <f t="shared" ref="AF507:AG507" ca="1" si="584">AD507/U507</f>
        <v>#REF!</v>
      </c>
      <c r="AG507" s="235" t="str">
        <f t="shared" ca="1" si="584"/>
        <v>#REF!</v>
      </c>
      <c r="AH507" s="212"/>
      <c r="AI507" s="213"/>
      <c r="AJ507" s="4"/>
      <c r="AK507" s="4"/>
      <c r="AL507" s="4"/>
      <c r="AM507" s="4"/>
      <c r="AN507" s="4"/>
      <c r="AO507" s="4"/>
      <c r="AP507" s="4"/>
      <c r="AQ507" s="4"/>
      <c r="AR507" s="4"/>
      <c r="AS507" s="4"/>
      <c r="AT507" s="4"/>
      <c r="AU507" s="4"/>
    </row>
    <row r="508" spans="1:47" ht="13.2">
      <c r="A508" s="120"/>
      <c r="B508" s="113"/>
      <c r="C508" s="117"/>
      <c r="D508" s="117"/>
      <c r="E508" s="117"/>
      <c r="F508" s="123"/>
      <c r="G508" s="93" t="s">
        <v>145</v>
      </c>
      <c r="H508" s="125"/>
      <c r="I508" s="125"/>
      <c r="J508" s="82" t="str">
        <f t="shared" ca="1" si="147"/>
        <v>#REF!</v>
      </c>
      <c r="K508" s="82" t="str">
        <f t="shared" ca="1" si="256"/>
        <v>#REF!</v>
      </c>
      <c r="L508" s="82" t="str">
        <f t="shared" ca="1" si="199"/>
        <v>#REF!</v>
      </c>
      <c r="M508" s="125"/>
      <c r="N508" s="125"/>
      <c r="O508" s="230">
        <f t="shared" si="2"/>
        <v>0</v>
      </c>
      <c r="P508" s="231">
        <f t="shared" si="3"/>
        <v>0</v>
      </c>
      <c r="Q508" s="232" t="str">
        <f ca="1">ROUNDUP(HLOOKUP(IF(CEILING(L508,0.5)&lt;1,1,CEILING(L508,0.5)),'배송비 조회'!A$32:AY$36,2,0),-2)</f>
        <v>#REF!</v>
      </c>
      <c r="R508" s="232">
        <v>0</v>
      </c>
      <c r="S508" s="231" t="str">
        <f t="shared" ca="1" si="250"/>
        <v>#REF!</v>
      </c>
      <c r="T508" s="231" t="str">
        <f t="shared" ca="1" si="200"/>
        <v>#REF!</v>
      </c>
      <c r="U508" s="233" t="str">
        <f t="shared" ca="1" si="142"/>
        <v>#REF!</v>
      </c>
      <c r="V508" s="233" t="str">
        <f t="shared" ca="1" si="7"/>
        <v>#REF!</v>
      </c>
      <c r="W508" s="234">
        <v>0</v>
      </c>
      <c r="X508" s="234" t="str">
        <f t="shared" ca="1" si="8"/>
        <v>#REF!</v>
      </c>
      <c r="Y508" s="234" t="str">
        <f t="shared" ca="1" si="9"/>
        <v>#REF!</v>
      </c>
      <c r="Z508" s="234" t="str">
        <f t="shared" ca="1" si="10"/>
        <v>#REF!</v>
      </c>
      <c r="AA508" s="234" t="str">
        <f t="shared" ca="1" si="11"/>
        <v>#REF!</v>
      </c>
      <c r="AB508" s="234" t="str">
        <f t="shared" ca="1" si="12"/>
        <v>#REF!</v>
      </c>
      <c r="AC508" s="234" t="str">
        <f t="shared" ca="1" si="13"/>
        <v>#REF!</v>
      </c>
      <c r="AD508" s="101" t="str">
        <f t="shared" ca="1" si="14"/>
        <v>#REF!</v>
      </c>
      <c r="AE508" s="101" t="str">
        <f t="shared" ca="1" si="15"/>
        <v>#REF!</v>
      </c>
      <c r="AF508" s="235" t="str">
        <f t="shared" ref="AF508:AG508" ca="1" si="585">AD508/U508</f>
        <v>#REF!</v>
      </c>
      <c r="AG508" s="235" t="str">
        <f t="shared" ca="1" si="585"/>
        <v>#REF!</v>
      </c>
      <c r="AH508" s="212"/>
      <c r="AI508" s="213"/>
      <c r="AJ508" s="4"/>
      <c r="AK508" s="4"/>
      <c r="AL508" s="4"/>
      <c r="AM508" s="4"/>
      <c r="AN508" s="4"/>
      <c r="AO508" s="4"/>
      <c r="AP508" s="4"/>
      <c r="AQ508" s="4"/>
      <c r="AR508" s="4"/>
      <c r="AS508" s="4"/>
      <c r="AT508" s="4"/>
      <c r="AU508" s="4"/>
    </row>
    <row r="509" spans="1:47" ht="13.2">
      <c r="A509" s="120"/>
      <c r="B509" s="113"/>
      <c r="C509" s="117"/>
      <c r="D509" s="117"/>
      <c r="E509" s="117"/>
      <c r="F509" s="123"/>
      <c r="G509" s="93" t="s">
        <v>145</v>
      </c>
      <c r="H509" s="125"/>
      <c r="I509" s="125"/>
      <c r="J509" s="82" t="str">
        <f t="shared" ca="1" si="147"/>
        <v>#REF!</v>
      </c>
      <c r="K509" s="82" t="str">
        <f t="shared" ca="1" si="256"/>
        <v>#REF!</v>
      </c>
      <c r="L509" s="82" t="str">
        <f t="shared" ca="1" si="199"/>
        <v>#REF!</v>
      </c>
      <c r="M509" s="125"/>
      <c r="N509" s="125"/>
      <c r="O509" s="230">
        <f t="shared" si="2"/>
        <v>0</v>
      </c>
      <c r="P509" s="231">
        <f t="shared" si="3"/>
        <v>0</v>
      </c>
      <c r="Q509" s="232" t="str">
        <f ca="1">ROUNDUP(HLOOKUP(IF(CEILING(L509,0.5)&lt;1,1,CEILING(L509,0.5)),'배송비 조회'!A$32:AY$36,2,0),-2)</f>
        <v>#REF!</v>
      </c>
      <c r="R509" s="232">
        <v>0</v>
      </c>
      <c r="S509" s="231" t="str">
        <f t="shared" ca="1" si="250"/>
        <v>#REF!</v>
      </c>
      <c r="T509" s="231" t="str">
        <f t="shared" ca="1" si="200"/>
        <v>#REF!</v>
      </c>
      <c r="U509" s="233" t="str">
        <f t="shared" ca="1" si="142"/>
        <v>#REF!</v>
      </c>
      <c r="V509" s="233" t="str">
        <f t="shared" ca="1" si="7"/>
        <v>#REF!</v>
      </c>
      <c r="W509" s="234">
        <v>0</v>
      </c>
      <c r="X509" s="234" t="str">
        <f t="shared" ca="1" si="8"/>
        <v>#REF!</v>
      </c>
      <c r="Y509" s="234" t="str">
        <f t="shared" ca="1" si="9"/>
        <v>#REF!</v>
      </c>
      <c r="Z509" s="234" t="str">
        <f t="shared" ca="1" si="10"/>
        <v>#REF!</v>
      </c>
      <c r="AA509" s="234" t="str">
        <f t="shared" ca="1" si="11"/>
        <v>#REF!</v>
      </c>
      <c r="AB509" s="234" t="str">
        <f t="shared" ca="1" si="12"/>
        <v>#REF!</v>
      </c>
      <c r="AC509" s="234" t="str">
        <f t="shared" ca="1" si="13"/>
        <v>#REF!</v>
      </c>
      <c r="AD509" s="101" t="str">
        <f t="shared" ca="1" si="14"/>
        <v>#REF!</v>
      </c>
      <c r="AE509" s="101" t="str">
        <f t="shared" ca="1" si="15"/>
        <v>#REF!</v>
      </c>
      <c r="AF509" s="235" t="str">
        <f t="shared" ref="AF509:AG509" ca="1" si="586">AD509/U509</f>
        <v>#REF!</v>
      </c>
      <c r="AG509" s="235" t="str">
        <f t="shared" ca="1" si="586"/>
        <v>#REF!</v>
      </c>
      <c r="AH509" s="212"/>
      <c r="AI509" s="213"/>
      <c r="AJ509" s="4"/>
      <c r="AK509" s="4"/>
      <c r="AL509" s="4"/>
      <c r="AM509" s="4"/>
      <c r="AN509" s="4"/>
      <c r="AO509" s="4"/>
      <c r="AP509" s="4"/>
      <c r="AQ509" s="4"/>
      <c r="AR509" s="4"/>
      <c r="AS509" s="4"/>
      <c r="AT509" s="4"/>
      <c r="AU509" s="4"/>
    </row>
    <row r="510" spans="1:47" ht="13.2">
      <c r="A510" s="120"/>
      <c r="B510" s="113"/>
      <c r="C510" s="117"/>
      <c r="D510" s="117"/>
      <c r="E510" s="117"/>
      <c r="F510" s="123"/>
      <c r="G510" s="93" t="s">
        <v>145</v>
      </c>
      <c r="H510" s="125"/>
      <c r="I510" s="125"/>
      <c r="J510" s="82" t="str">
        <f t="shared" ca="1" si="147"/>
        <v>#REF!</v>
      </c>
      <c r="K510" s="82" t="str">
        <f t="shared" ca="1" si="256"/>
        <v>#REF!</v>
      </c>
      <c r="L510" s="82" t="str">
        <f t="shared" ca="1" si="199"/>
        <v>#REF!</v>
      </c>
      <c r="M510" s="125"/>
      <c r="N510" s="125"/>
      <c r="O510" s="230">
        <f t="shared" si="2"/>
        <v>0</v>
      </c>
      <c r="P510" s="231">
        <f t="shared" si="3"/>
        <v>0</v>
      </c>
      <c r="Q510" s="232" t="str">
        <f ca="1">ROUNDUP(HLOOKUP(IF(CEILING(L510,0.5)&lt;1,1,CEILING(L510,0.5)),'배송비 조회'!A$32:AY$36,2,0),-2)</f>
        <v>#REF!</v>
      </c>
      <c r="R510" s="232">
        <v>0</v>
      </c>
      <c r="S510" s="231" t="str">
        <f t="shared" ca="1" si="250"/>
        <v>#REF!</v>
      </c>
      <c r="T510" s="231" t="str">
        <f t="shared" ca="1" si="200"/>
        <v>#REF!</v>
      </c>
      <c r="U510" s="233" t="str">
        <f t="shared" ca="1" si="142"/>
        <v>#REF!</v>
      </c>
      <c r="V510" s="233" t="str">
        <f t="shared" ca="1" si="7"/>
        <v>#REF!</v>
      </c>
      <c r="W510" s="234">
        <v>0</v>
      </c>
      <c r="X510" s="234" t="str">
        <f t="shared" ca="1" si="8"/>
        <v>#REF!</v>
      </c>
      <c r="Y510" s="234" t="str">
        <f t="shared" ca="1" si="9"/>
        <v>#REF!</v>
      </c>
      <c r="Z510" s="234" t="str">
        <f t="shared" ca="1" si="10"/>
        <v>#REF!</v>
      </c>
      <c r="AA510" s="234" t="str">
        <f t="shared" ca="1" si="11"/>
        <v>#REF!</v>
      </c>
      <c r="AB510" s="234" t="str">
        <f t="shared" ca="1" si="12"/>
        <v>#REF!</v>
      </c>
      <c r="AC510" s="234" t="str">
        <f t="shared" ca="1" si="13"/>
        <v>#REF!</v>
      </c>
      <c r="AD510" s="101" t="str">
        <f t="shared" ca="1" si="14"/>
        <v>#REF!</v>
      </c>
      <c r="AE510" s="101" t="str">
        <f t="shared" ca="1" si="15"/>
        <v>#REF!</v>
      </c>
      <c r="AF510" s="235" t="str">
        <f t="shared" ref="AF510:AG510" ca="1" si="587">AD510/U510</f>
        <v>#REF!</v>
      </c>
      <c r="AG510" s="235" t="str">
        <f t="shared" ca="1" si="587"/>
        <v>#REF!</v>
      </c>
      <c r="AH510" s="212"/>
      <c r="AI510" s="213"/>
      <c r="AJ510" s="4"/>
      <c r="AK510" s="4"/>
      <c r="AL510" s="4"/>
      <c r="AM510" s="4"/>
      <c r="AN510" s="4"/>
      <c r="AO510" s="4"/>
      <c r="AP510" s="4"/>
      <c r="AQ510" s="4"/>
      <c r="AR510" s="4"/>
      <c r="AS510" s="4"/>
      <c r="AT510" s="4"/>
      <c r="AU510" s="4"/>
    </row>
    <row r="511" spans="1:47" ht="13.2">
      <c r="A511" s="120"/>
      <c r="B511" s="113"/>
      <c r="C511" s="117"/>
      <c r="D511" s="117"/>
      <c r="E511" s="117"/>
      <c r="F511" s="123"/>
      <c r="G511" s="93" t="s">
        <v>145</v>
      </c>
      <c r="H511" s="125"/>
      <c r="I511" s="125"/>
      <c r="J511" s="82" t="str">
        <f t="shared" ca="1" si="147"/>
        <v>#REF!</v>
      </c>
      <c r="K511" s="82" t="str">
        <f t="shared" ca="1" si="256"/>
        <v>#REF!</v>
      </c>
      <c r="L511" s="82" t="str">
        <f t="shared" ca="1" si="199"/>
        <v>#REF!</v>
      </c>
      <c r="M511" s="125"/>
      <c r="N511" s="125"/>
      <c r="O511" s="230">
        <f t="shared" si="2"/>
        <v>0</v>
      </c>
      <c r="P511" s="231">
        <f t="shared" si="3"/>
        <v>0</v>
      </c>
      <c r="Q511" s="232" t="str">
        <f ca="1">ROUNDUP(HLOOKUP(IF(CEILING(L511,0.5)&lt;1,1,CEILING(L511,0.5)),'배송비 조회'!A$32:AY$36,2,0),-2)</f>
        <v>#REF!</v>
      </c>
      <c r="R511" s="232">
        <v>0</v>
      </c>
      <c r="S511" s="231" t="str">
        <f t="shared" ca="1" si="250"/>
        <v>#REF!</v>
      </c>
      <c r="T511" s="231" t="str">
        <f t="shared" ca="1" si="200"/>
        <v>#REF!</v>
      </c>
      <c r="U511" s="233" t="str">
        <f t="shared" ca="1" si="142"/>
        <v>#REF!</v>
      </c>
      <c r="V511" s="233" t="str">
        <f t="shared" ca="1" si="7"/>
        <v>#REF!</v>
      </c>
      <c r="W511" s="234">
        <v>0</v>
      </c>
      <c r="X511" s="234" t="str">
        <f t="shared" ca="1" si="8"/>
        <v>#REF!</v>
      </c>
      <c r="Y511" s="234" t="str">
        <f t="shared" ca="1" si="9"/>
        <v>#REF!</v>
      </c>
      <c r="Z511" s="234" t="str">
        <f t="shared" ca="1" si="10"/>
        <v>#REF!</v>
      </c>
      <c r="AA511" s="234" t="str">
        <f t="shared" ca="1" si="11"/>
        <v>#REF!</v>
      </c>
      <c r="AB511" s="234" t="str">
        <f t="shared" ca="1" si="12"/>
        <v>#REF!</v>
      </c>
      <c r="AC511" s="234" t="str">
        <f t="shared" ca="1" si="13"/>
        <v>#REF!</v>
      </c>
      <c r="AD511" s="101" t="str">
        <f t="shared" ca="1" si="14"/>
        <v>#REF!</v>
      </c>
      <c r="AE511" s="101" t="str">
        <f t="shared" ca="1" si="15"/>
        <v>#REF!</v>
      </c>
      <c r="AF511" s="235" t="str">
        <f t="shared" ref="AF511:AG511" ca="1" si="588">AD511/U511</f>
        <v>#REF!</v>
      </c>
      <c r="AG511" s="235" t="str">
        <f t="shared" ca="1" si="588"/>
        <v>#REF!</v>
      </c>
      <c r="AH511" s="212"/>
      <c r="AI511" s="213"/>
      <c r="AJ511" s="4"/>
      <c r="AK511" s="4"/>
      <c r="AL511" s="4"/>
      <c r="AM511" s="4"/>
      <c r="AN511" s="4"/>
      <c r="AO511" s="4"/>
      <c r="AP511" s="4"/>
      <c r="AQ511" s="4"/>
      <c r="AR511" s="4"/>
      <c r="AS511" s="4"/>
      <c r="AT511" s="4"/>
      <c r="AU511" s="4"/>
    </row>
    <row r="512" spans="1:47" ht="13.2">
      <c r="A512" s="120"/>
      <c r="B512" s="113"/>
      <c r="C512" s="117"/>
      <c r="D512" s="117"/>
      <c r="E512" s="117"/>
      <c r="F512" s="123"/>
      <c r="G512" s="93" t="s">
        <v>145</v>
      </c>
      <c r="H512" s="125"/>
      <c r="I512" s="125"/>
      <c r="J512" s="82" t="str">
        <f t="shared" ca="1" si="147"/>
        <v>#REF!</v>
      </c>
      <c r="K512" s="82" t="str">
        <f t="shared" ca="1" si="256"/>
        <v>#REF!</v>
      </c>
      <c r="L512" s="82" t="str">
        <f t="shared" ca="1" si="199"/>
        <v>#REF!</v>
      </c>
      <c r="M512" s="125"/>
      <c r="N512" s="125"/>
      <c r="O512" s="230">
        <f t="shared" si="2"/>
        <v>0</v>
      </c>
      <c r="P512" s="231">
        <f t="shared" si="3"/>
        <v>0</v>
      </c>
      <c r="Q512" s="232" t="str">
        <f ca="1">ROUNDUP(HLOOKUP(IF(CEILING(L512,0.5)&lt;1,1,CEILING(L512,0.5)),'배송비 조회'!A$32:AY$36,2,0),-2)</f>
        <v>#REF!</v>
      </c>
      <c r="R512" s="232">
        <v>0</v>
      </c>
      <c r="S512" s="231" t="str">
        <f t="shared" ca="1" si="250"/>
        <v>#REF!</v>
      </c>
      <c r="T512" s="231" t="str">
        <f t="shared" ca="1" si="200"/>
        <v>#REF!</v>
      </c>
      <c r="U512" s="233" t="str">
        <f t="shared" ca="1" si="142"/>
        <v>#REF!</v>
      </c>
      <c r="V512" s="233" t="str">
        <f t="shared" ca="1" si="7"/>
        <v>#REF!</v>
      </c>
      <c r="W512" s="234">
        <v>0</v>
      </c>
      <c r="X512" s="234" t="str">
        <f t="shared" ca="1" si="8"/>
        <v>#REF!</v>
      </c>
      <c r="Y512" s="234" t="str">
        <f t="shared" ca="1" si="9"/>
        <v>#REF!</v>
      </c>
      <c r="Z512" s="234" t="str">
        <f t="shared" ca="1" si="10"/>
        <v>#REF!</v>
      </c>
      <c r="AA512" s="234" t="str">
        <f t="shared" ca="1" si="11"/>
        <v>#REF!</v>
      </c>
      <c r="AB512" s="234" t="str">
        <f t="shared" ca="1" si="12"/>
        <v>#REF!</v>
      </c>
      <c r="AC512" s="234" t="str">
        <f t="shared" ca="1" si="13"/>
        <v>#REF!</v>
      </c>
      <c r="AD512" s="101" t="str">
        <f t="shared" ca="1" si="14"/>
        <v>#REF!</v>
      </c>
      <c r="AE512" s="101" t="str">
        <f t="shared" ca="1" si="15"/>
        <v>#REF!</v>
      </c>
      <c r="AF512" s="235" t="str">
        <f t="shared" ref="AF512:AG512" ca="1" si="589">AD512/U512</f>
        <v>#REF!</v>
      </c>
      <c r="AG512" s="235" t="str">
        <f t="shared" ca="1" si="589"/>
        <v>#REF!</v>
      </c>
      <c r="AH512" s="212"/>
      <c r="AI512" s="213"/>
      <c r="AJ512" s="4"/>
      <c r="AK512" s="4"/>
      <c r="AL512" s="4"/>
      <c r="AM512" s="4"/>
      <c r="AN512" s="4"/>
      <c r="AO512" s="4"/>
      <c r="AP512" s="4"/>
      <c r="AQ512" s="4"/>
      <c r="AR512" s="4"/>
      <c r="AS512" s="4"/>
      <c r="AT512" s="4"/>
      <c r="AU512" s="4"/>
    </row>
    <row r="513" spans="1:47" ht="13.2">
      <c r="A513" s="120"/>
      <c r="B513" s="113"/>
      <c r="C513" s="117"/>
      <c r="D513" s="117"/>
      <c r="E513" s="117"/>
      <c r="F513" s="123"/>
      <c r="G513" s="93" t="s">
        <v>145</v>
      </c>
      <c r="H513" s="125"/>
      <c r="I513" s="125"/>
      <c r="J513" s="82" t="str">
        <f t="shared" ca="1" si="147"/>
        <v>#REF!</v>
      </c>
      <c r="K513" s="82" t="str">
        <f t="shared" ca="1" si="256"/>
        <v>#REF!</v>
      </c>
      <c r="L513" s="82" t="str">
        <f t="shared" ca="1" si="199"/>
        <v>#REF!</v>
      </c>
      <c r="M513" s="125"/>
      <c r="N513" s="125"/>
      <c r="O513" s="230">
        <f t="shared" si="2"/>
        <v>0</v>
      </c>
      <c r="P513" s="231">
        <f t="shared" si="3"/>
        <v>0</v>
      </c>
      <c r="Q513" s="232" t="str">
        <f ca="1">ROUNDUP(HLOOKUP(IF(CEILING(L513,0.5)&lt;1,1,CEILING(L513,0.5)),'배송비 조회'!A$32:AY$36,2,0),-2)</f>
        <v>#REF!</v>
      </c>
      <c r="R513" s="232">
        <v>0</v>
      </c>
      <c r="S513" s="231" t="str">
        <f t="shared" ca="1" si="250"/>
        <v>#REF!</v>
      </c>
      <c r="T513" s="231" t="str">
        <f t="shared" ca="1" si="200"/>
        <v>#REF!</v>
      </c>
      <c r="U513" s="233" t="str">
        <f t="shared" ca="1" si="142"/>
        <v>#REF!</v>
      </c>
      <c r="V513" s="233" t="str">
        <f t="shared" ca="1" si="7"/>
        <v>#REF!</v>
      </c>
      <c r="W513" s="234">
        <v>0</v>
      </c>
      <c r="X513" s="234" t="str">
        <f t="shared" ca="1" si="8"/>
        <v>#REF!</v>
      </c>
      <c r="Y513" s="234" t="str">
        <f t="shared" ca="1" si="9"/>
        <v>#REF!</v>
      </c>
      <c r="Z513" s="234" t="str">
        <f t="shared" ca="1" si="10"/>
        <v>#REF!</v>
      </c>
      <c r="AA513" s="234" t="str">
        <f t="shared" ca="1" si="11"/>
        <v>#REF!</v>
      </c>
      <c r="AB513" s="234" t="str">
        <f t="shared" ca="1" si="12"/>
        <v>#REF!</v>
      </c>
      <c r="AC513" s="234" t="str">
        <f t="shared" ca="1" si="13"/>
        <v>#REF!</v>
      </c>
      <c r="AD513" s="101" t="str">
        <f t="shared" ca="1" si="14"/>
        <v>#REF!</v>
      </c>
      <c r="AE513" s="101" t="str">
        <f t="shared" ca="1" si="15"/>
        <v>#REF!</v>
      </c>
      <c r="AF513" s="235" t="str">
        <f t="shared" ref="AF513:AG513" ca="1" si="590">AD513/U513</f>
        <v>#REF!</v>
      </c>
      <c r="AG513" s="235" t="str">
        <f t="shared" ca="1" si="590"/>
        <v>#REF!</v>
      </c>
      <c r="AH513" s="212"/>
      <c r="AI513" s="213"/>
      <c r="AJ513" s="4"/>
      <c r="AK513" s="4"/>
      <c r="AL513" s="4"/>
      <c r="AM513" s="4"/>
      <c r="AN513" s="4"/>
      <c r="AO513" s="4"/>
      <c r="AP513" s="4"/>
      <c r="AQ513" s="4"/>
      <c r="AR513" s="4"/>
      <c r="AS513" s="4"/>
      <c r="AT513" s="4"/>
      <c r="AU513" s="4"/>
    </row>
    <row r="514" spans="1:47" ht="13.2">
      <c r="A514" s="120"/>
      <c r="B514" s="113"/>
      <c r="C514" s="117"/>
      <c r="D514" s="117"/>
      <c r="E514" s="117"/>
      <c r="F514" s="123"/>
      <c r="G514" s="93" t="s">
        <v>145</v>
      </c>
      <c r="H514" s="125"/>
      <c r="I514" s="125"/>
      <c r="J514" s="82" t="str">
        <f t="shared" ca="1" si="147"/>
        <v>#REF!</v>
      </c>
      <c r="K514" s="82" t="str">
        <f t="shared" ca="1" si="256"/>
        <v>#REF!</v>
      </c>
      <c r="L514" s="82" t="str">
        <f t="shared" ca="1" si="199"/>
        <v>#REF!</v>
      </c>
      <c r="M514" s="125"/>
      <c r="N514" s="125"/>
      <c r="O514" s="230">
        <f t="shared" si="2"/>
        <v>0</v>
      </c>
      <c r="P514" s="231">
        <f t="shared" si="3"/>
        <v>0</v>
      </c>
      <c r="Q514" s="232" t="str">
        <f ca="1">ROUNDUP(HLOOKUP(IF(CEILING(L514,0.5)&lt;1,1,CEILING(L514,0.5)),'배송비 조회'!A$32:AY$36,2,0),-2)</f>
        <v>#REF!</v>
      </c>
      <c r="R514" s="232">
        <v>0</v>
      </c>
      <c r="S514" s="231" t="str">
        <f t="shared" ca="1" si="250"/>
        <v>#REF!</v>
      </c>
      <c r="T514" s="231" t="str">
        <f t="shared" ca="1" si="200"/>
        <v>#REF!</v>
      </c>
      <c r="U514" s="233" t="str">
        <f t="shared" ca="1" si="142"/>
        <v>#REF!</v>
      </c>
      <c r="V514" s="233" t="str">
        <f t="shared" ca="1" si="7"/>
        <v>#REF!</v>
      </c>
      <c r="W514" s="234">
        <v>0</v>
      </c>
      <c r="X514" s="234" t="str">
        <f t="shared" ca="1" si="8"/>
        <v>#REF!</v>
      </c>
      <c r="Y514" s="234" t="str">
        <f t="shared" ca="1" si="9"/>
        <v>#REF!</v>
      </c>
      <c r="Z514" s="234" t="str">
        <f t="shared" ca="1" si="10"/>
        <v>#REF!</v>
      </c>
      <c r="AA514" s="234" t="str">
        <f t="shared" ca="1" si="11"/>
        <v>#REF!</v>
      </c>
      <c r="AB514" s="234" t="str">
        <f t="shared" ca="1" si="12"/>
        <v>#REF!</v>
      </c>
      <c r="AC514" s="234" t="str">
        <f t="shared" ca="1" si="13"/>
        <v>#REF!</v>
      </c>
      <c r="AD514" s="101" t="str">
        <f t="shared" ca="1" si="14"/>
        <v>#REF!</v>
      </c>
      <c r="AE514" s="101" t="str">
        <f t="shared" ca="1" si="15"/>
        <v>#REF!</v>
      </c>
      <c r="AF514" s="235" t="str">
        <f t="shared" ref="AF514:AG514" ca="1" si="591">AD514/U514</f>
        <v>#REF!</v>
      </c>
      <c r="AG514" s="235" t="str">
        <f t="shared" ca="1" si="591"/>
        <v>#REF!</v>
      </c>
      <c r="AH514" s="212"/>
      <c r="AI514" s="213"/>
      <c r="AJ514" s="4"/>
      <c r="AK514" s="4"/>
      <c r="AL514" s="4"/>
      <c r="AM514" s="4"/>
      <c r="AN514" s="4"/>
      <c r="AO514" s="4"/>
      <c r="AP514" s="4"/>
      <c r="AQ514" s="4"/>
      <c r="AR514" s="4"/>
      <c r="AS514" s="4"/>
      <c r="AT514" s="4"/>
      <c r="AU514" s="4"/>
    </row>
    <row r="515" spans="1:47" ht="13.2">
      <c r="A515" s="120"/>
      <c r="B515" s="113"/>
      <c r="C515" s="117"/>
      <c r="D515" s="117"/>
      <c r="E515" s="117"/>
      <c r="F515" s="123"/>
      <c r="G515" s="93" t="s">
        <v>145</v>
      </c>
      <c r="H515" s="125"/>
      <c r="I515" s="125"/>
      <c r="J515" s="82" t="str">
        <f t="shared" ca="1" si="147"/>
        <v>#REF!</v>
      </c>
      <c r="K515" s="82" t="str">
        <f t="shared" ca="1" si="256"/>
        <v>#REF!</v>
      </c>
      <c r="L515" s="82" t="str">
        <f t="shared" ca="1" si="199"/>
        <v>#REF!</v>
      </c>
      <c r="M515" s="125"/>
      <c r="N515" s="125"/>
      <c r="O515" s="230">
        <f t="shared" si="2"/>
        <v>0</v>
      </c>
      <c r="P515" s="231">
        <f t="shared" si="3"/>
        <v>0</v>
      </c>
      <c r="Q515" s="232" t="str">
        <f ca="1">ROUNDUP(HLOOKUP(IF(CEILING(L515,0.5)&lt;1,1,CEILING(L515,0.5)),'배송비 조회'!A$32:AY$36,2,0),-2)</f>
        <v>#REF!</v>
      </c>
      <c r="R515" s="232">
        <v>0</v>
      </c>
      <c r="S515" s="231" t="str">
        <f t="shared" ca="1" si="250"/>
        <v>#REF!</v>
      </c>
      <c r="T515" s="231" t="str">
        <f t="shared" ca="1" si="200"/>
        <v>#REF!</v>
      </c>
      <c r="U515" s="233" t="str">
        <f t="shared" ca="1" si="142"/>
        <v>#REF!</v>
      </c>
      <c r="V515" s="233" t="str">
        <f t="shared" ca="1" si="7"/>
        <v>#REF!</v>
      </c>
      <c r="W515" s="234">
        <v>0</v>
      </c>
      <c r="X515" s="234" t="str">
        <f t="shared" ca="1" si="8"/>
        <v>#REF!</v>
      </c>
      <c r="Y515" s="234" t="str">
        <f t="shared" ca="1" si="9"/>
        <v>#REF!</v>
      </c>
      <c r="Z515" s="234" t="str">
        <f t="shared" ca="1" si="10"/>
        <v>#REF!</v>
      </c>
      <c r="AA515" s="234" t="str">
        <f t="shared" ca="1" si="11"/>
        <v>#REF!</v>
      </c>
      <c r="AB515" s="234" t="str">
        <f t="shared" ca="1" si="12"/>
        <v>#REF!</v>
      </c>
      <c r="AC515" s="234" t="str">
        <f t="shared" ca="1" si="13"/>
        <v>#REF!</v>
      </c>
      <c r="AD515" s="101" t="str">
        <f t="shared" ca="1" si="14"/>
        <v>#REF!</v>
      </c>
      <c r="AE515" s="101" t="str">
        <f t="shared" ca="1" si="15"/>
        <v>#REF!</v>
      </c>
      <c r="AF515" s="235" t="str">
        <f t="shared" ref="AF515:AG515" ca="1" si="592">AD515/U515</f>
        <v>#REF!</v>
      </c>
      <c r="AG515" s="235" t="str">
        <f t="shared" ca="1" si="592"/>
        <v>#REF!</v>
      </c>
      <c r="AH515" s="212"/>
      <c r="AI515" s="213"/>
      <c r="AJ515" s="4"/>
      <c r="AK515" s="4"/>
      <c r="AL515" s="4"/>
      <c r="AM515" s="4"/>
      <c r="AN515" s="4"/>
      <c r="AO515" s="4"/>
      <c r="AP515" s="4"/>
      <c r="AQ515" s="4"/>
      <c r="AR515" s="4"/>
      <c r="AS515" s="4"/>
      <c r="AT515" s="4"/>
      <c r="AU515" s="4"/>
    </row>
    <row r="516" spans="1:47" ht="13.2">
      <c r="A516" s="120"/>
      <c r="B516" s="113"/>
      <c r="C516" s="117"/>
      <c r="D516" s="117"/>
      <c r="E516" s="117"/>
      <c r="F516" s="123"/>
      <c r="G516" s="93" t="s">
        <v>145</v>
      </c>
      <c r="H516" s="125"/>
      <c r="I516" s="125"/>
      <c r="J516" s="82" t="str">
        <f t="shared" ca="1" si="147"/>
        <v>#REF!</v>
      </c>
      <c r="K516" s="82" t="str">
        <f t="shared" ca="1" si="256"/>
        <v>#REF!</v>
      </c>
      <c r="L516" s="82" t="str">
        <f t="shared" ca="1" si="199"/>
        <v>#REF!</v>
      </c>
      <c r="M516" s="125"/>
      <c r="N516" s="125"/>
      <c r="O516" s="230">
        <f t="shared" si="2"/>
        <v>0</v>
      </c>
      <c r="P516" s="231">
        <f t="shared" si="3"/>
        <v>0</v>
      </c>
      <c r="Q516" s="232" t="str">
        <f ca="1">ROUNDUP(HLOOKUP(IF(CEILING(L516,0.5)&lt;1,1,CEILING(L516,0.5)),'배송비 조회'!A$32:AY$36,2,0),-2)</f>
        <v>#REF!</v>
      </c>
      <c r="R516" s="232">
        <v>0</v>
      </c>
      <c r="S516" s="231" t="str">
        <f t="shared" ca="1" si="250"/>
        <v>#REF!</v>
      </c>
      <c r="T516" s="231" t="str">
        <f t="shared" ca="1" si="200"/>
        <v>#REF!</v>
      </c>
      <c r="U516" s="233" t="str">
        <f t="shared" ca="1" si="142"/>
        <v>#REF!</v>
      </c>
      <c r="V516" s="233" t="str">
        <f t="shared" ca="1" si="7"/>
        <v>#REF!</v>
      </c>
      <c r="W516" s="234">
        <v>0</v>
      </c>
      <c r="X516" s="234" t="str">
        <f t="shared" ca="1" si="8"/>
        <v>#REF!</v>
      </c>
      <c r="Y516" s="234" t="str">
        <f t="shared" ca="1" si="9"/>
        <v>#REF!</v>
      </c>
      <c r="Z516" s="234" t="str">
        <f t="shared" ca="1" si="10"/>
        <v>#REF!</v>
      </c>
      <c r="AA516" s="234" t="str">
        <f t="shared" ca="1" si="11"/>
        <v>#REF!</v>
      </c>
      <c r="AB516" s="234" t="str">
        <f t="shared" ca="1" si="12"/>
        <v>#REF!</v>
      </c>
      <c r="AC516" s="234" t="str">
        <f t="shared" ca="1" si="13"/>
        <v>#REF!</v>
      </c>
      <c r="AD516" s="101" t="str">
        <f t="shared" ca="1" si="14"/>
        <v>#REF!</v>
      </c>
      <c r="AE516" s="101" t="str">
        <f t="shared" ca="1" si="15"/>
        <v>#REF!</v>
      </c>
      <c r="AF516" s="235" t="str">
        <f t="shared" ref="AF516:AG516" ca="1" si="593">AD516/U516</f>
        <v>#REF!</v>
      </c>
      <c r="AG516" s="235" t="str">
        <f t="shared" ca="1" si="593"/>
        <v>#REF!</v>
      </c>
      <c r="AH516" s="212"/>
      <c r="AI516" s="213"/>
      <c r="AJ516" s="4"/>
      <c r="AK516" s="4"/>
      <c r="AL516" s="4"/>
      <c r="AM516" s="4"/>
      <c r="AN516" s="4"/>
      <c r="AO516" s="4"/>
      <c r="AP516" s="4"/>
      <c r="AQ516" s="4"/>
      <c r="AR516" s="4"/>
      <c r="AS516" s="4"/>
      <c r="AT516" s="4"/>
      <c r="AU516" s="4"/>
    </row>
    <row r="517" spans="1:47" ht="13.2">
      <c r="A517" s="120"/>
      <c r="B517" s="113"/>
      <c r="C517" s="117"/>
      <c r="D517" s="117"/>
      <c r="E517" s="117"/>
      <c r="F517" s="123"/>
      <c r="G517" s="93" t="s">
        <v>145</v>
      </c>
      <c r="H517" s="125"/>
      <c r="I517" s="125"/>
      <c r="J517" s="82" t="str">
        <f t="shared" ca="1" si="147"/>
        <v>#REF!</v>
      </c>
      <c r="K517" s="82" t="str">
        <f t="shared" ca="1" si="256"/>
        <v>#REF!</v>
      </c>
      <c r="L517" s="82" t="str">
        <f t="shared" ca="1" si="199"/>
        <v>#REF!</v>
      </c>
      <c r="M517" s="125"/>
      <c r="N517" s="125"/>
      <c r="O517" s="230">
        <f t="shared" si="2"/>
        <v>0</v>
      </c>
      <c r="P517" s="231">
        <f t="shared" si="3"/>
        <v>0</v>
      </c>
      <c r="Q517" s="232" t="str">
        <f ca="1">ROUNDUP(HLOOKUP(IF(CEILING(L517,0.5)&lt;1,1,CEILING(L517,0.5)),'배송비 조회'!A$32:AY$36,2,0),-2)</f>
        <v>#REF!</v>
      </c>
      <c r="R517" s="232">
        <v>0</v>
      </c>
      <c r="S517" s="231" t="str">
        <f t="shared" ca="1" si="250"/>
        <v>#REF!</v>
      </c>
      <c r="T517" s="231" t="str">
        <f t="shared" ca="1" si="200"/>
        <v>#REF!</v>
      </c>
      <c r="U517" s="233" t="str">
        <f t="shared" ca="1" si="142"/>
        <v>#REF!</v>
      </c>
      <c r="V517" s="233" t="str">
        <f t="shared" ca="1" si="7"/>
        <v>#REF!</v>
      </c>
      <c r="W517" s="234">
        <v>0</v>
      </c>
      <c r="X517" s="234" t="str">
        <f t="shared" ca="1" si="8"/>
        <v>#REF!</v>
      </c>
      <c r="Y517" s="234" t="str">
        <f t="shared" ca="1" si="9"/>
        <v>#REF!</v>
      </c>
      <c r="Z517" s="234" t="str">
        <f t="shared" ca="1" si="10"/>
        <v>#REF!</v>
      </c>
      <c r="AA517" s="234" t="str">
        <f t="shared" ca="1" si="11"/>
        <v>#REF!</v>
      </c>
      <c r="AB517" s="234" t="str">
        <f t="shared" ca="1" si="12"/>
        <v>#REF!</v>
      </c>
      <c r="AC517" s="234" t="str">
        <f t="shared" ca="1" si="13"/>
        <v>#REF!</v>
      </c>
      <c r="AD517" s="101" t="str">
        <f t="shared" ca="1" si="14"/>
        <v>#REF!</v>
      </c>
      <c r="AE517" s="101" t="str">
        <f t="shared" ca="1" si="15"/>
        <v>#REF!</v>
      </c>
      <c r="AF517" s="235" t="str">
        <f t="shared" ref="AF517:AG517" ca="1" si="594">AD517/U517</f>
        <v>#REF!</v>
      </c>
      <c r="AG517" s="235" t="str">
        <f t="shared" ca="1" si="594"/>
        <v>#REF!</v>
      </c>
      <c r="AH517" s="212"/>
      <c r="AI517" s="213"/>
      <c r="AJ517" s="4"/>
      <c r="AK517" s="4"/>
      <c r="AL517" s="4"/>
      <c r="AM517" s="4"/>
      <c r="AN517" s="4"/>
      <c r="AO517" s="4"/>
      <c r="AP517" s="4"/>
      <c r="AQ517" s="4"/>
      <c r="AR517" s="4"/>
      <c r="AS517" s="4"/>
      <c r="AT517" s="4"/>
      <c r="AU517" s="4"/>
    </row>
    <row r="518" spans="1:47" ht="13.2">
      <c r="A518" s="120"/>
      <c r="B518" s="113"/>
      <c r="C518" s="117"/>
      <c r="D518" s="117"/>
      <c r="E518" s="117"/>
      <c r="F518" s="123"/>
      <c r="G518" s="93" t="s">
        <v>145</v>
      </c>
      <c r="H518" s="125"/>
      <c r="I518" s="125"/>
      <c r="J518" s="82" t="str">
        <f t="shared" ca="1" si="147"/>
        <v>#REF!</v>
      </c>
      <c r="K518" s="82" t="str">
        <f t="shared" ca="1" si="256"/>
        <v>#REF!</v>
      </c>
      <c r="L518" s="82" t="str">
        <f t="shared" ca="1" si="199"/>
        <v>#REF!</v>
      </c>
      <c r="M518" s="125"/>
      <c r="N518" s="125"/>
      <c r="O518" s="230">
        <f t="shared" si="2"/>
        <v>0</v>
      </c>
      <c r="P518" s="231">
        <f t="shared" si="3"/>
        <v>0</v>
      </c>
      <c r="Q518" s="232" t="str">
        <f ca="1">ROUNDUP(HLOOKUP(IF(CEILING(L518,0.5)&lt;1,1,CEILING(L518,0.5)),'배송비 조회'!A$32:AY$36,2,0),-2)</f>
        <v>#REF!</v>
      </c>
      <c r="R518" s="232">
        <v>0</v>
      </c>
      <c r="S518" s="231" t="str">
        <f t="shared" ca="1" si="250"/>
        <v>#REF!</v>
      </c>
      <c r="T518" s="231" t="str">
        <f t="shared" ca="1" si="200"/>
        <v>#REF!</v>
      </c>
      <c r="U518" s="233" t="str">
        <f t="shared" ca="1" si="142"/>
        <v>#REF!</v>
      </c>
      <c r="V518" s="233" t="str">
        <f t="shared" ca="1" si="7"/>
        <v>#REF!</v>
      </c>
      <c r="W518" s="234">
        <v>0</v>
      </c>
      <c r="X518" s="234" t="str">
        <f t="shared" ca="1" si="8"/>
        <v>#REF!</v>
      </c>
      <c r="Y518" s="234" t="str">
        <f t="shared" ca="1" si="9"/>
        <v>#REF!</v>
      </c>
      <c r="Z518" s="234" t="str">
        <f t="shared" ca="1" si="10"/>
        <v>#REF!</v>
      </c>
      <c r="AA518" s="234" t="str">
        <f t="shared" ca="1" si="11"/>
        <v>#REF!</v>
      </c>
      <c r="AB518" s="234" t="str">
        <f t="shared" ca="1" si="12"/>
        <v>#REF!</v>
      </c>
      <c r="AC518" s="234" t="str">
        <f t="shared" ca="1" si="13"/>
        <v>#REF!</v>
      </c>
      <c r="AD518" s="101" t="str">
        <f t="shared" ca="1" si="14"/>
        <v>#REF!</v>
      </c>
      <c r="AE518" s="101" t="str">
        <f t="shared" ca="1" si="15"/>
        <v>#REF!</v>
      </c>
      <c r="AF518" s="235" t="str">
        <f t="shared" ref="AF518:AG518" ca="1" si="595">AD518/U518</f>
        <v>#REF!</v>
      </c>
      <c r="AG518" s="235" t="str">
        <f t="shared" ca="1" si="595"/>
        <v>#REF!</v>
      </c>
      <c r="AH518" s="212"/>
      <c r="AI518" s="213"/>
      <c r="AJ518" s="4"/>
      <c r="AK518" s="4"/>
      <c r="AL518" s="4"/>
      <c r="AM518" s="4"/>
      <c r="AN518" s="4"/>
      <c r="AO518" s="4"/>
      <c r="AP518" s="4"/>
      <c r="AQ518" s="4"/>
      <c r="AR518" s="4"/>
      <c r="AS518" s="4"/>
      <c r="AT518" s="4"/>
      <c r="AU518" s="4"/>
    </row>
    <row r="519" spans="1:47" ht="13.2">
      <c r="A519" s="120"/>
      <c r="B519" s="113"/>
      <c r="C519" s="117"/>
      <c r="D519" s="117"/>
      <c r="E519" s="117"/>
      <c r="F519" s="123"/>
      <c r="G519" s="93" t="s">
        <v>145</v>
      </c>
      <c r="H519" s="125"/>
      <c r="I519" s="125"/>
      <c r="J519" s="82" t="str">
        <f t="shared" ca="1" si="147"/>
        <v>#REF!</v>
      </c>
      <c r="K519" s="82" t="str">
        <f t="shared" ca="1" si="256"/>
        <v>#REF!</v>
      </c>
      <c r="L519" s="82" t="str">
        <f t="shared" ca="1" si="199"/>
        <v>#REF!</v>
      </c>
      <c r="M519" s="125"/>
      <c r="N519" s="125"/>
      <c r="O519" s="230">
        <f t="shared" si="2"/>
        <v>0</v>
      </c>
      <c r="P519" s="231">
        <f t="shared" si="3"/>
        <v>0</v>
      </c>
      <c r="Q519" s="232" t="str">
        <f ca="1">ROUNDUP(HLOOKUP(IF(CEILING(L519,0.5)&lt;1,1,CEILING(L519,0.5)),'배송비 조회'!A$32:AY$36,2,0),-2)</f>
        <v>#REF!</v>
      </c>
      <c r="R519" s="232">
        <v>0</v>
      </c>
      <c r="S519" s="231" t="str">
        <f t="shared" ca="1" si="250"/>
        <v>#REF!</v>
      </c>
      <c r="T519" s="231" t="str">
        <f t="shared" ca="1" si="200"/>
        <v>#REF!</v>
      </c>
      <c r="U519" s="233" t="str">
        <f t="shared" ca="1" si="142"/>
        <v>#REF!</v>
      </c>
      <c r="V519" s="233" t="str">
        <f t="shared" ca="1" si="7"/>
        <v>#REF!</v>
      </c>
      <c r="W519" s="234">
        <v>0</v>
      </c>
      <c r="X519" s="234" t="str">
        <f t="shared" ca="1" si="8"/>
        <v>#REF!</v>
      </c>
      <c r="Y519" s="234" t="str">
        <f t="shared" ca="1" si="9"/>
        <v>#REF!</v>
      </c>
      <c r="Z519" s="234" t="str">
        <f t="shared" ca="1" si="10"/>
        <v>#REF!</v>
      </c>
      <c r="AA519" s="234" t="str">
        <f t="shared" ca="1" si="11"/>
        <v>#REF!</v>
      </c>
      <c r="AB519" s="234" t="str">
        <f t="shared" ca="1" si="12"/>
        <v>#REF!</v>
      </c>
      <c r="AC519" s="234" t="str">
        <f t="shared" ca="1" si="13"/>
        <v>#REF!</v>
      </c>
      <c r="AD519" s="101" t="str">
        <f t="shared" ca="1" si="14"/>
        <v>#REF!</v>
      </c>
      <c r="AE519" s="101" t="str">
        <f t="shared" ca="1" si="15"/>
        <v>#REF!</v>
      </c>
      <c r="AF519" s="235" t="str">
        <f t="shared" ref="AF519:AG519" ca="1" si="596">AD519/U519</f>
        <v>#REF!</v>
      </c>
      <c r="AG519" s="235" t="str">
        <f t="shared" ca="1" si="596"/>
        <v>#REF!</v>
      </c>
      <c r="AH519" s="212"/>
      <c r="AI519" s="213"/>
      <c r="AJ519" s="4"/>
      <c r="AK519" s="4"/>
      <c r="AL519" s="4"/>
      <c r="AM519" s="4"/>
      <c r="AN519" s="4"/>
      <c r="AO519" s="4"/>
      <c r="AP519" s="4"/>
      <c r="AQ519" s="4"/>
      <c r="AR519" s="4"/>
      <c r="AS519" s="4"/>
      <c r="AT519" s="4"/>
      <c r="AU519" s="4"/>
    </row>
    <row r="520" spans="1:47" ht="13.2">
      <c r="A520" s="120"/>
      <c r="B520" s="113"/>
      <c r="C520" s="117"/>
      <c r="D520" s="117"/>
      <c r="E520" s="117"/>
      <c r="F520" s="123"/>
      <c r="G520" s="93" t="s">
        <v>145</v>
      </c>
      <c r="H520" s="125"/>
      <c r="I520" s="125"/>
      <c r="J520" s="82" t="str">
        <f t="shared" ca="1" si="147"/>
        <v>#REF!</v>
      </c>
      <c r="K520" s="82" t="str">
        <f t="shared" ca="1" si="256"/>
        <v>#REF!</v>
      </c>
      <c r="L520" s="82" t="str">
        <f t="shared" ca="1" si="199"/>
        <v>#REF!</v>
      </c>
      <c r="M520" s="125"/>
      <c r="N520" s="125"/>
      <c r="O520" s="230">
        <f t="shared" si="2"/>
        <v>0</v>
      </c>
      <c r="P520" s="231">
        <f t="shared" si="3"/>
        <v>0</v>
      </c>
      <c r="Q520" s="232" t="str">
        <f ca="1">ROUNDUP(HLOOKUP(IF(CEILING(L520,0.5)&lt;1,1,CEILING(L520,0.5)),'배송비 조회'!A$32:AY$36,2,0),-2)</f>
        <v>#REF!</v>
      </c>
      <c r="R520" s="232">
        <v>0</v>
      </c>
      <c r="S520" s="231" t="str">
        <f t="shared" ca="1" si="250"/>
        <v>#REF!</v>
      </c>
      <c r="T520" s="231" t="str">
        <f t="shared" ca="1" si="200"/>
        <v>#REF!</v>
      </c>
      <c r="U520" s="233" t="str">
        <f t="shared" ca="1" si="142"/>
        <v>#REF!</v>
      </c>
      <c r="V520" s="233" t="str">
        <f t="shared" ca="1" si="7"/>
        <v>#REF!</v>
      </c>
      <c r="W520" s="234">
        <v>0</v>
      </c>
      <c r="X520" s="234" t="str">
        <f t="shared" ca="1" si="8"/>
        <v>#REF!</v>
      </c>
      <c r="Y520" s="234" t="str">
        <f t="shared" ca="1" si="9"/>
        <v>#REF!</v>
      </c>
      <c r="Z520" s="234" t="str">
        <f t="shared" ca="1" si="10"/>
        <v>#REF!</v>
      </c>
      <c r="AA520" s="234" t="str">
        <f t="shared" ca="1" si="11"/>
        <v>#REF!</v>
      </c>
      <c r="AB520" s="234" t="str">
        <f t="shared" ca="1" si="12"/>
        <v>#REF!</v>
      </c>
      <c r="AC520" s="234" t="str">
        <f t="shared" ca="1" si="13"/>
        <v>#REF!</v>
      </c>
      <c r="AD520" s="101" t="str">
        <f t="shared" ca="1" si="14"/>
        <v>#REF!</v>
      </c>
      <c r="AE520" s="101" t="str">
        <f t="shared" ca="1" si="15"/>
        <v>#REF!</v>
      </c>
      <c r="AF520" s="235" t="str">
        <f t="shared" ref="AF520:AG520" ca="1" si="597">AD520/U520</f>
        <v>#REF!</v>
      </c>
      <c r="AG520" s="235" t="str">
        <f t="shared" ca="1" si="597"/>
        <v>#REF!</v>
      </c>
      <c r="AH520" s="212"/>
      <c r="AI520" s="213"/>
      <c r="AJ520" s="4"/>
      <c r="AK520" s="4"/>
      <c r="AL520" s="4"/>
      <c r="AM520" s="4"/>
      <c r="AN520" s="4"/>
      <c r="AO520" s="4"/>
      <c r="AP520" s="4"/>
      <c r="AQ520" s="4"/>
      <c r="AR520" s="4"/>
      <c r="AS520" s="4"/>
      <c r="AT520" s="4"/>
      <c r="AU520" s="4"/>
    </row>
    <row r="521" spans="1:47" ht="13.2">
      <c r="A521" s="120"/>
      <c r="B521" s="113"/>
      <c r="C521" s="117"/>
      <c r="D521" s="117"/>
      <c r="E521" s="117"/>
      <c r="F521" s="123"/>
      <c r="G521" s="93" t="s">
        <v>145</v>
      </c>
      <c r="H521" s="125"/>
      <c r="I521" s="125"/>
      <c r="J521" s="82" t="str">
        <f t="shared" ca="1" si="147"/>
        <v>#REF!</v>
      </c>
      <c r="K521" s="82" t="str">
        <f t="shared" ca="1" si="256"/>
        <v>#REF!</v>
      </c>
      <c r="L521" s="82" t="str">
        <f t="shared" ca="1" si="199"/>
        <v>#REF!</v>
      </c>
      <c r="M521" s="125"/>
      <c r="N521" s="125"/>
      <c r="O521" s="230">
        <f t="shared" si="2"/>
        <v>0</v>
      </c>
      <c r="P521" s="231">
        <f t="shared" si="3"/>
        <v>0</v>
      </c>
      <c r="Q521" s="232" t="str">
        <f ca="1">ROUNDUP(HLOOKUP(IF(CEILING(L521,0.5)&lt;1,1,CEILING(L521,0.5)),'배송비 조회'!A$32:AY$36,2,0),-2)</f>
        <v>#REF!</v>
      </c>
      <c r="R521" s="232">
        <v>0</v>
      </c>
      <c r="S521" s="231" t="str">
        <f t="shared" ca="1" si="250"/>
        <v>#REF!</v>
      </c>
      <c r="T521" s="231" t="str">
        <f t="shared" ca="1" si="200"/>
        <v>#REF!</v>
      </c>
      <c r="U521" s="233" t="str">
        <f t="shared" ca="1" si="142"/>
        <v>#REF!</v>
      </c>
      <c r="V521" s="233" t="str">
        <f t="shared" ca="1" si="7"/>
        <v>#REF!</v>
      </c>
      <c r="W521" s="234">
        <v>0</v>
      </c>
      <c r="X521" s="234" t="str">
        <f t="shared" ca="1" si="8"/>
        <v>#REF!</v>
      </c>
      <c r="Y521" s="234" t="str">
        <f t="shared" ca="1" si="9"/>
        <v>#REF!</v>
      </c>
      <c r="Z521" s="234" t="str">
        <f t="shared" ca="1" si="10"/>
        <v>#REF!</v>
      </c>
      <c r="AA521" s="234" t="str">
        <f t="shared" ca="1" si="11"/>
        <v>#REF!</v>
      </c>
      <c r="AB521" s="234" t="str">
        <f t="shared" ca="1" si="12"/>
        <v>#REF!</v>
      </c>
      <c r="AC521" s="234" t="str">
        <f t="shared" ca="1" si="13"/>
        <v>#REF!</v>
      </c>
      <c r="AD521" s="101" t="str">
        <f t="shared" ca="1" si="14"/>
        <v>#REF!</v>
      </c>
      <c r="AE521" s="101" t="str">
        <f t="shared" ca="1" si="15"/>
        <v>#REF!</v>
      </c>
      <c r="AF521" s="235" t="str">
        <f t="shared" ref="AF521:AG521" ca="1" si="598">AD521/U521</f>
        <v>#REF!</v>
      </c>
      <c r="AG521" s="235" t="str">
        <f t="shared" ca="1" si="598"/>
        <v>#REF!</v>
      </c>
      <c r="AH521" s="212"/>
      <c r="AI521" s="213"/>
      <c r="AJ521" s="4"/>
      <c r="AK521" s="4"/>
      <c r="AL521" s="4"/>
      <c r="AM521" s="4"/>
      <c r="AN521" s="4"/>
      <c r="AO521" s="4"/>
      <c r="AP521" s="4"/>
      <c r="AQ521" s="4"/>
      <c r="AR521" s="4"/>
      <c r="AS521" s="4"/>
      <c r="AT521" s="4"/>
      <c r="AU521" s="4"/>
    </row>
    <row r="522" spans="1:47" ht="13.2">
      <c r="A522" s="120"/>
      <c r="B522" s="113"/>
      <c r="C522" s="117"/>
      <c r="D522" s="117"/>
      <c r="E522" s="117"/>
      <c r="F522" s="123"/>
      <c r="G522" s="93" t="s">
        <v>145</v>
      </c>
      <c r="H522" s="125"/>
      <c r="I522" s="125"/>
      <c r="J522" s="82" t="str">
        <f t="shared" ca="1" si="147"/>
        <v>#REF!</v>
      </c>
      <c r="K522" s="82" t="str">
        <f t="shared" ca="1" si="256"/>
        <v>#REF!</v>
      </c>
      <c r="L522" s="82" t="str">
        <f t="shared" ca="1" si="199"/>
        <v>#REF!</v>
      </c>
      <c r="M522" s="125"/>
      <c r="N522" s="125"/>
      <c r="O522" s="230">
        <f t="shared" si="2"/>
        <v>0</v>
      </c>
      <c r="P522" s="231">
        <f t="shared" si="3"/>
        <v>0</v>
      </c>
      <c r="Q522" s="232" t="str">
        <f ca="1">ROUNDUP(HLOOKUP(IF(CEILING(L522,0.5)&lt;1,1,CEILING(L522,0.5)),'배송비 조회'!A$32:AY$36,2,0),-2)</f>
        <v>#REF!</v>
      </c>
      <c r="R522" s="232">
        <v>0</v>
      </c>
      <c r="S522" s="231" t="str">
        <f t="shared" ca="1" si="250"/>
        <v>#REF!</v>
      </c>
      <c r="T522" s="231" t="str">
        <f t="shared" ca="1" si="200"/>
        <v>#REF!</v>
      </c>
      <c r="U522" s="233" t="str">
        <f t="shared" ca="1" si="142"/>
        <v>#REF!</v>
      </c>
      <c r="V522" s="233" t="str">
        <f t="shared" ca="1" si="7"/>
        <v>#REF!</v>
      </c>
      <c r="W522" s="234">
        <v>0</v>
      </c>
      <c r="X522" s="234" t="str">
        <f t="shared" ca="1" si="8"/>
        <v>#REF!</v>
      </c>
      <c r="Y522" s="234" t="str">
        <f t="shared" ca="1" si="9"/>
        <v>#REF!</v>
      </c>
      <c r="Z522" s="234" t="str">
        <f t="shared" ca="1" si="10"/>
        <v>#REF!</v>
      </c>
      <c r="AA522" s="234" t="str">
        <f t="shared" ca="1" si="11"/>
        <v>#REF!</v>
      </c>
      <c r="AB522" s="234" t="str">
        <f t="shared" ca="1" si="12"/>
        <v>#REF!</v>
      </c>
      <c r="AC522" s="234" t="str">
        <f t="shared" ca="1" si="13"/>
        <v>#REF!</v>
      </c>
      <c r="AD522" s="101" t="str">
        <f t="shared" ca="1" si="14"/>
        <v>#REF!</v>
      </c>
      <c r="AE522" s="101" t="str">
        <f t="shared" ca="1" si="15"/>
        <v>#REF!</v>
      </c>
      <c r="AF522" s="235" t="str">
        <f t="shared" ref="AF522:AG522" ca="1" si="599">AD522/U522</f>
        <v>#REF!</v>
      </c>
      <c r="AG522" s="235" t="str">
        <f t="shared" ca="1" si="599"/>
        <v>#REF!</v>
      </c>
      <c r="AH522" s="212"/>
      <c r="AI522" s="213"/>
      <c r="AJ522" s="4"/>
      <c r="AK522" s="4"/>
      <c r="AL522" s="4"/>
      <c r="AM522" s="4"/>
      <c r="AN522" s="4"/>
      <c r="AO522" s="4"/>
      <c r="AP522" s="4"/>
      <c r="AQ522" s="4"/>
      <c r="AR522" s="4"/>
      <c r="AS522" s="4"/>
      <c r="AT522" s="4"/>
      <c r="AU522" s="4"/>
    </row>
    <row r="523" spans="1:47" ht="13.2">
      <c r="A523" s="120"/>
      <c r="B523" s="113"/>
      <c r="C523" s="117"/>
      <c r="D523" s="117"/>
      <c r="E523" s="117"/>
      <c r="F523" s="123"/>
      <c r="G523" s="93" t="s">
        <v>145</v>
      </c>
      <c r="H523" s="125"/>
      <c r="I523" s="125"/>
      <c r="J523" s="82" t="str">
        <f t="shared" ca="1" si="147"/>
        <v>#REF!</v>
      </c>
      <c r="K523" s="82" t="str">
        <f t="shared" ca="1" si="256"/>
        <v>#REF!</v>
      </c>
      <c r="L523" s="82" t="str">
        <f t="shared" ca="1" si="199"/>
        <v>#REF!</v>
      </c>
      <c r="M523" s="125"/>
      <c r="N523" s="125"/>
      <c r="O523" s="230">
        <f t="shared" si="2"/>
        <v>0</v>
      </c>
      <c r="P523" s="231">
        <f t="shared" si="3"/>
        <v>0</v>
      </c>
      <c r="Q523" s="232" t="str">
        <f ca="1">ROUNDUP(HLOOKUP(IF(CEILING(L523,0.5)&lt;1,1,CEILING(L523,0.5)),'배송비 조회'!A$32:AY$36,2,0),-2)</f>
        <v>#REF!</v>
      </c>
      <c r="R523" s="232">
        <v>0</v>
      </c>
      <c r="S523" s="231" t="str">
        <f t="shared" ca="1" si="250"/>
        <v>#REF!</v>
      </c>
      <c r="T523" s="231" t="str">
        <f t="shared" ca="1" si="200"/>
        <v>#REF!</v>
      </c>
      <c r="U523" s="233" t="str">
        <f t="shared" ca="1" si="142"/>
        <v>#REF!</v>
      </c>
      <c r="V523" s="233" t="str">
        <f t="shared" ca="1" si="7"/>
        <v>#REF!</v>
      </c>
      <c r="W523" s="234">
        <v>0</v>
      </c>
      <c r="X523" s="234" t="str">
        <f t="shared" ca="1" si="8"/>
        <v>#REF!</v>
      </c>
      <c r="Y523" s="234" t="str">
        <f t="shared" ca="1" si="9"/>
        <v>#REF!</v>
      </c>
      <c r="Z523" s="234" t="str">
        <f t="shared" ca="1" si="10"/>
        <v>#REF!</v>
      </c>
      <c r="AA523" s="234" t="str">
        <f t="shared" ca="1" si="11"/>
        <v>#REF!</v>
      </c>
      <c r="AB523" s="234" t="str">
        <f t="shared" ca="1" si="12"/>
        <v>#REF!</v>
      </c>
      <c r="AC523" s="234" t="str">
        <f t="shared" ca="1" si="13"/>
        <v>#REF!</v>
      </c>
      <c r="AD523" s="101" t="str">
        <f t="shared" ca="1" si="14"/>
        <v>#REF!</v>
      </c>
      <c r="AE523" s="101" t="str">
        <f t="shared" ca="1" si="15"/>
        <v>#REF!</v>
      </c>
      <c r="AF523" s="235" t="str">
        <f t="shared" ref="AF523:AG523" ca="1" si="600">AD523/U523</f>
        <v>#REF!</v>
      </c>
      <c r="AG523" s="235" t="str">
        <f t="shared" ca="1" si="600"/>
        <v>#REF!</v>
      </c>
      <c r="AH523" s="212"/>
      <c r="AI523" s="213"/>
      <c r="AJ523" s="4"/>
      <c r="AK523" s="4"/>
      <c r="AL523" s="4"/>
      <c r="AM523" s="4"/>
      <c r="AN523" s="4"/>
      <c r="AO523" s="4"/>
      <c r="AP523" s="4"/>
      <c r="AQ523" s="4"/>
      <c r="AR523" s="4"/>
      <c r="AS523" s="4"/>
      <c r="AT523" s="4"/>
      <c r="AU523" s="4"/>
    </row>
    <row r="524" spans="1:47" ht="13.2">
      <c r="A524" s="120"/>
      <c r="B524" s="113"/>
      <c r="C524" s="117"/>
      <c r="D524" s="117"/>
      <c r="E524" s="117"/>
      <c r="F524" s="123"/>
      <c r="G524" s="93" t="s">
        <v>145</v>
      </c>
      <c r="H524" s="125"/>
      <c r="I524" s="125"/>
      <c r="J524" s="82" t="str">
        <f t="shared" ca="1" si="147"/>
        <v>#REF!</v>
      </c>
      <c r="K524" s="82" t="str">
        <f t="shared" ca="1" si="256"/>
        <v>#REF!</v>
      </c>
      <c r="L524" s="82" t="str">
        <f t="shared" ca="1" si="199"/>
        <v>#REF!</v>
      </c>
      <c r="M524" s="125"/>
      <c r="N524" s="125"/>
      <c r="O524" s="230">
        <f t="shared" si="2"/>
        <v>0</v>
      </c>
      <c r="P524" s="231">
        <f t="shared" si="3"/>
        <v>0</v>
      </c>
      <c r="Q524" s="232" t="str">
        <f ca="1">ROUNDUP(HLOOKUP(IF(CEILING(L524,0.5)&lt;1,1,CEILING(L524,0.5)),'배송비 조회'!A$32:AY$36,2,0),-2)</f>
        <v>#REF!</v>
      </c>
      <c r="R524" s="232">
        <v>0</v>
      </c>
      <c r="S524" s="231" t="str">
        <f t="shared" ca="1" si="250"/>
        <v>#REF!</v>
      </c>
      <c r="T524" s="231" t="str">
        <f t="shared" ca="1" si="200"/>
        <v>#REF!</v>
      </c>
      <c r="U524" s="233" t="str">
        <f t="shared" ca="1" si="142"/>
        <v>#REF!</v>
      </c>
      <c r="V524" s="233" t="str">
        <f t="shared" ca="1" si="7"/>
        <v>#REF!</v>
      </c>
      <c r="W524" s="234">
        <v>0</v>
      </c>
      <c r="X524" s="234" t="str">
        <f t="shared" ca="1" si="8"/>
        <v>#REF!</v>
      </c>
      <c r="Y524" s="234" t="str">
        <f t="shared" ca="1" si="9"/>
        <v>#REF!</v>
      </c>
      <c r="Z524" s="234" t="str">
        <f t="shared" ca="1" si="10"/>
        <v>#REF!</v>
      </c>
      <c r="AA524" s="234" t="str">
        <f t="shared" ca="1" si="11"/>
        <v>#REF!</v>
      </c>
      <c r="AB524" s="234" t="str">
        <f t="shared" ca="1" si="12"/>
        <v>#REF!</v>
      </c>
      <c r="AC524" s="234" t="str">
        <f t="shared" ca="1" si="13"/>
        <v>#REF!</v>
      </c>
      <c r="AD524" s="101" t="str">
        <f t="shared" ca="1" si="14"/>
        <v>#REF!</v>
      </c>
      <c r="AE524" s="101" t="str">
        <f t="shared" ca="1" si="15"/>
        <v>#REF!</v>
      </c>
      <c r="AF524" s="235" t="str">
        <f t="shared" ref="AF524:AG524" ca="1" si="601">AD524/U524</f>
        <v>#REF!</v>
      </c>
      <c r="AG524" s="235" t="str">
        <f t="shared" ca="1" si="601"/>
        <v>#REF!</v>
      </c>
      <c r="AH524" s="212"/>
      <c r="AI524" s="213"/>
      <c r="AJ524" s="4"/>
      <c r="AK524" s="4"/>
      <c r="AL524" s="4"/>
      <c r="AM524" s="4"/>
      <c r="AN524" s="4"/>
      <c r="AO524" s="4"/>
      <c r="AP524" s="4"/>
      <c r="AQ524" s="4"/>
      <c r="AR524" s="4"/>
      <c r="AS524" s="4"/>
      <c r="AT524" s="4"/>
      <c r="AU524" s="4"/>
    </row>
    <row r="525" spans="1:47" ht="13.2">
      <c r="A525" s="120"/>
      <c r="B525" s="113"/>
      <c r="C525" s="117"/>
      <c r="D525" s="117"/>
      <c r="E525" s="117"/>
      <c r="F525" s="123"/>
      <c r="G525" s="93" t="s">
        <v>145</v>
      </c>
      <c r="H525" s="125"/>
      <c r="I525" s="125"/>
      <c r="J525" s="82" t="str">
        <f t="shared" ca="1" si="147"/>
        <v>#REF!</v>
      </c>
      <c r="K525" s="82" t="str">
        <f t="shared" ca="1" si="256"/>
        <v>#REF!</v>
      </c>
      <c r="L525" s="82" t="str">
        <f t="shared" ca="1" si="199"/>
        <v>#REF!</v>
      </c>
      <c r="M525" s="125"/>
      <c r="N525" s="125"/>
      <c r="O525" s="230">
        <f t="shared" si="2"/>
        <v>0</v>
      </c>
      <c r="P525" s="231">
        <f t="shared" si="3"/>
        <v>0</v>
      </c>
      <c r="Q525" s="232" t="str">
        <f ca="1">ROUNDUP(HLOOKUP(IF(CEILING(L525,0.5)&lt;1,1,CEILING(L525,0.5)),'배송비 조회'!A$32:AY$36,2,0),-2)</f>
        <v>#REF!</v>
      </c>
      <c r="R525" s="232">
        <v>0</v>
      </c>
      <c r="S525" s="231" t="str">
        <f t="shared" ca="1" si="250"/>
        <v>#REF!</v>
      </c>
      <c r="T525" s="231" t="str">
        <f t="shared" ca="1" si="200"/>
        <v>#REF!</v>
      </c>
      <c r="U525" s="233" t="str">
        <f t="shared" ca="1" si="142"/>
        <v>#REF!</v>
      </c>
      <c r="V525" s="233" t="str">
        <f t="shared" ca="1" si="7"/>
        <v>#REF!</v>
      </c>
      <c r="W525" s="234">
        <v>0</v>
      </c>
      <c r="X525" s="234" t="str">
        <f t="shared" ca="1" si="8"/>
        <v>#REF!</v>
      </c>
      <c r="Y525" s="234" t="str">
        <f t="shared" ca="1" si="9"/>
        <v>#REF!</v>
      </c>
      <c r="Z525" s="234" t="str">
        <f t="shared" ca="1" si="10"/>
        <v>#REF!</v>
      </c>
      <c r="AA525" s="234" t="str">
        <f t="shared" ca="1" si="11"/>
        <v>#REF!</v>
      </c>
      <c r="AB525" s="234" t="str">
        <f t="shared" ca="1" si="12"/>
        <v>#REF!</v>
      </c>
      <c r="AC525" s="234" t="str">
        <f t="shared" ca="1" si="13"/>
        <v>#REF!</v>
      </c>
      <c r="AD525" s="101" t="str">
        <f t="shared" ca="1" si="14"/>
        <v>#REF!</v>
      </c>
      <c r="AE525" s="101" t="str">
        <f t="shared" ca="1" si="15"/>
        <v>#REF!</v>
      </c>
      <c r="AF525" s="235" t="str">
        <f t="shared" ref="AF525:AG525" ca="1" si="602">AD525/U525</f>
        <v>#REF!</v>
      </c>
      <c r="AG525" s="235" t="str">
        <f t="shared" ca="1" si="602"/>
        <v>#REF!</v>
      </c>
      <c r="AH525" s="212"/>
      <c r="AI525" s="213"/>
      <c r="AJ525" s="4"/>
      <c r="AK525" s="4"/>
      <c r="AL525" s="4"/>
      <c r="AM525" s="4"/>
      <c r="AN525" s="4"/>
      <c r="AO525" s="4"/>
      <c r="AP525" s="4"/>
      <c r="AQ525" s="4"/>
      <c r="AR525" s="4"/>
      <c r="AS525" s="4"/>
      <c r="AT525" s="4"/>
      <c r="AU525" s="4"/>
    </row>
    <row r="526" spans="1:47" ht="13.2">
      <c r="A526" s="120"/>
      <c r="B526" s="113"/>
      <c r="C526" s="117"/>
      <c r="D526" s="117"/>
      <c r="E526" s="117"/>
      <c r="F526" s="123"/>
      <c r="G526" s="93" t="s">
        <v>145</v>
      </c>
      <c r="H526" s="125"/>
      <c r="I526" s="125"/>
      <c r="J526" s="82" t="str">
        <f t="shared" ca="1" si="147"/>
        <v>#REF!</v>
      </c>
      <c r="K526" s="82" t="str">
        <f t="shared" ca="1" si="256"/>
        <v>#REF!</v>
      </c>
      <c r="L526" s="82" t="str">
        <f t="shared" ca="1" si="199"/>
        <v>#REF!</v>
      </c>
      <c r="M526" s="125"/>
      <c r="N526" s="125"/>
      <c r="O526" s="230">
        <f t="shared" si="2"/>
        <v>0</v>
      </c>
      <c r="P526" s="231">
        <f t="shared" si="3"/>
        <v>0</v>
      </c>
      <c r="Q526" s="232" t="str">
        <f ca="1">ROUNDUP(HLOOKUP(IF(CEILING(L526,0.5)&lt;1,1,CEILING(L526,0.5)),'배송비 조회'!A$32:AY$36,2,0),-2)</f>
        <v>#REF!</v>
      </c>
      <c r="R526" s="232">
        <v>0</v>
      </c>
      <c r="S526" s="231" t="str">
        <f t="shared" ca="1" si="250"/>
        <v>#REF!</v>
      </c>
      <c r="T526" s="231" t="str">
        <f t="shared" ca="1" si="200"/>
        <v>#REF!</v>
      </c>
      <c r="U526" s="233" t="str">
        <f t="shared" ca="1" si="142"/>
        <v>#REF!</v>
      </c>
      <c r="V526" s="233" t="str">
        <f t="shared" ca="1" si="7"/>
        <v>#REF!</v>
      </c>
      <c r="W526" s="234">
        <v>0</v>
      </c>
      <c r="X526" s="234" t="str">
        <f t="shared" ca="1" si="8"/>
        <v>#REF!</v>
      </c>
      <c r="Y526" s="234" t="str">
        <f t="shared" ca="1" si="9"/>
        <v>#REF!</v>
      </c>
      <c r="Z526" s="234" t="str">
        <f t="shared" ca="1" si="10"/>
        <v>#REF!</v>
      </c>
      <c r="AA526" s="234" t="str">
        <f t="shared" ca="1" si="11"/>
        <v>#REF!</v>
      </c>
      <c r="AB526" s="234" t="str">
        <f t="shared" ca="1" si="12"/>
        <v>#REF!</v>
      </c>
      <c r="AC526" s="234" t="str">
        <f t="shared" ca="1" si="13"/>
        <v>#REF!</v>
      </c>
      <c r="AD526" s="101" t="str">
        <f t="shared" ca="1" si="14"/>
        <v>#REF!</v>
      </c>
      <c r="AE526" s="101" t="str">
        <f t="shared" ca="1" si="15"/>
        <v>#REF!</v>
      </c>
      <c r="AF526" s="235" t="str">
        <f t="shared" ref="AF526:AG526" ca="1" si="603">AD526/U526</f>
        <v>#REF!</v>
      </c>
      <c r="AG526" s="235" t="str">
        <f t="shared" ca="1" si="603"/>
        <v>#REF!</v>
      </c>
      <c r="AH526" s="212"/>
      <c r="AI526" s="213"/>
      <c r="AJ526" s="4"/>
      <c r="AK526" s="4"/>
      <c r="AL526" s="4"/>
      <c r="AM526" s="4"/>
      <c r="AN526" s="4"/>
      <c r="AO526" s="4"/>
      <c r="AP526" s="4"/>
      <c r="AQ526" s="4"/>
      <c r="AR526" s="4"/>
      <c r="AS526" s="4"/>
      <c r="AT526" s="4"/>
      <c r="AU526" s="4"/>
    </row>
    <row r="527" spans="1:47" ht="13.2">
      <c r="A527" s="120"/>
      <c r="B527" s="113"/>
      <c r="C527" s="117"/>
      <c r="D527" s="117"/>
      <c r="E527" s="117"/>
      <c r="F527" s="123"/>
      <c r="G527" s="93" t="s">
        <v>145</v>
      </c>
      <c r="H527" s="125"/>
      <c r="I527" s="125"/>
      <c r="J527" s="82" t="str">
        <f t="shared" ca="1" si="147"/>
        <v>#REF!</v>
      </c>
      <c r="K527" s="82" t="str">
        <f t="shared" ca="1" si="256"/>
        <v>#REF!</v>
      </c>
      <c r="L527" s="82" t="str">
        <f t="shared" ca="1" si="199"/>
        <v>#REF!</v>
      </c>
      <c r="M527" s="125"/>
      <c r="N527" s="125"/>
      <c r="O527" s="230">
        <f t="shared" si="2"/>
        <v>0</v>
      </c>
      <c r="P527" s="231">
        <f t="shared" si="3"/>
        <v>0</v>
      </c>
      <c r="Q527" s="232" t="str">
        <f ca="1">ROUNDUP(HLOOKUP(IF(CEILING(L527,0.5)&lt;1,1,CEILING(L527,0.5)),'배송비 조회'!A$32:AY$36,2,0),-2)</f>
        <v>#REF!</v>
      </c>
      <c r="R527" s="232">
        <v>0</v>
      </c>
      <c r="S527" s="231" t="str">
        <f t="shared" ca="1" si="250"/>
        <v>#REF!</v>
      </c>
      <c r="T527" s="231" t="str">
        <f t="shared" ca="1" si="200"/>
        <v>#REF!</v>
      </c>
      <c r="U527" s="233" t="str">
        <f t="shared" ca="1" si="142"/>
        <v>#REF!</v>
      </c>
      <c r="V527" s="233" t="str">
        <f t="shared" ca="1" si="7"/>
        <v>#REF!</v>
      </c>
      <c r="W527" s="234">
        <v>0</v>
      </c>
      <c r="X527" s="234" t="str">
        <f t="shared" ca="1" si="8"/>
        <v>#REF!</v>
      </c>
      <c r="Y527" s="234" t="str">
        <f t="shared" ca="1" si="9"/>
        <v>#REF!</v>
      </c>
      <c r="Z527" s="234" t="str">
        <f t="shared" ca="1" si="10"/>
        <v>#REF!</v>
      </c>
      <c r="AA527" s="234" t="str">
        <f t="shared" ca="1" si="11"/>
        <v>#REF!</v>
      </c>
      <c r="AB527" s="234" t="str">
        <f t="shared" ca="1" si="12"/>
        <v>#REF!</v>
      </c>
      <c r="AC527" s="234" t="str">
        <f t="shared" ca="1" si="13"/>
        <v>#REF!</v>
      </c>
      <c r="AD527" s="101" t="str">
        <f t="shared" ca="1" si="14"/>
        <v>#REF!</v>
      </c>
      <c r="AE527" s="101" t="str">
        <f t="shared" ca="1" si="15"/>
        <v>#REF!</v>
      </c>
      <c r="AF527" s="235" t="str">
        <f t="shared" ref="AF527:AG527" ca="1" si="604">AD527/U527</f>
        <v>#REF!</v>
      </c>
      <c r="AG527" s="235" t="str">
        <f t="shared" ca="1" si="604"/>
        <v>#REF!</v>
      </c>
      <c r="AH527" s="212"/>
      <c r="AI527" s="213"/>
      <c r="AJ527" s="4"/>
      <c r="AK527" s="4"/>
      <c r="AL527" s="4"/>
      <c r="AM527" s="4"/>
      <c r="AN527" s="4"/>
      <c r="AO527" s="4"/>
      <c r="AP527" s="4"/>
      <c r="AQ527" s="4"/>
      <c r="AR527" s="4"/>
      <c r="AS527" s="4"/>
      <c r="AT527" s="4"/>
      <c r="AU527" s="4"/>
    </row>
    <row r="528" spans="1:47" ht="13.2">
      <c r="A528" s="120"/>
      <c r="B528" s="113"/>
      <c r="C528" s="117"/>
      <c r="D528" s="117"/>
      <c r="E528" s="117"/>
      <c r="F528" s="123"/>
      <c r="G528" s="93" t="s">
        <v>145</v>
      </c>
      <c r="H528" s="125"/>
      <c r="I528" s="125"/>
      <c r="J528" s="82" t="str">
        <f t="shared" ca="1" si="147"/>
        <v>#REF!</v>
      </c>
      <c r="K528" s="82" t="str">
        <f t="shared" ca="1" si="256"/>
        <v>#REF!</v>
      </c>
      <c r="L528" s="82" t="str">
        <f t="shared" ca="1" si="199"/>
        <v>#REF!</v>
      </c>
      <c r="M528" s="125"/>
      <c r="N528" s="125"/>
      <c r="O528" s="230">
        <f t="shared" si="2"/>
        <v>0</v>
      </c>
      <c r="P528" s="231">
        <f t="shared" si="3"/>
        <v>0</v>
      </c>
      <c r="Q528" s="232" t="str">
        <f ca="1">ROUNDUP(HLOOKUP(IF(CEILING(L528,0.5)&lt;1,1,CEILING(L528,0.5)),'배송비 조회'!A$32:AY$36,2,0),-2)</f>
        <v>#REF!</v>
      </c>
      <c r="R528" s="232">
        <v>0</v>
      </c>
      <c r="S528" s="231" t="str">
        <f t="shared" ca="1" si="250"/>
        <v>#REF!</v>
      </c>
      <c r="T528" s="231" t="str">
        <f t="shared" ca="1" si="200"/>
        <v>#REF!</v>
      </c>
      <c r="U528" s="233" t="str">
        <f t="shared" ca="1" si="142"/>
        <v>#REF!</v>
      </c>
      <c r="V528" s="233" t="str">
        <f t="shared" ca="1" si="7"/>
        <v>#REF!</v>
      </c>
      <c r="W528" s="234">
        <v>0</v>
      </c>
      <c r="X528" s="234" t="str">
        <f t="shared" ca="1" si="8"/>
        <v>#REF!</v>
      </c>
      <c r="Y528" s="234" t="str">
        <f t="shared" ca="1" si="9"/>
        <v>#REF!</v>
      </c>
      <c r="Z528" s="234" t="str">
        <f t="shared" ca="1" si="10"/>
        <v>#REF!</v>
      </c>
      <c r="AA528" s="234" t="str">
        <f t="shared" ca="1" si="11"/>
        <v>#REF!</v>
      </c>
      <c r="AB528" s="234" t="str">
        <f t="shared" ca="1" si="12"/>
        <v>#REF!</v>
      </c>
      <c r="AC528" s="234" t="str">
        <f t="shared" ca="1" si="13"/>
        <v>#REF!</v>
      </c>
      <c r="AD528" s="101" t="str">
        <f t="shared" ca="1" si="14"/>
        <v>#REF!</v>
      </c>
      <c r="AE528" s="101" t="str">
        <f t="shared" ca="1" si="15"/>
        <v>#REF!</v>
      </c>
      <c r="AF528" s="235" t="str">
        <f t="shared" ref="AF528:AG528" ca="1" si="605">AD528/U528</f>
        <v>#REF!</v>
      </c>
      <c r="AG528" s="235" t="str">
        <f t="shared" ca="1" si="605"/>
        <v>#REF!</v>
      </c>
      <c r="AH528" s="212"/>
      <c r="AI528" s="213"/>
      <c r="AJ528" s="4"/>
      <c r="AK528" s="4"/>
      <c r="AL528" s="4"/>
      <c r="AM528" s="4"/>
      <c r="AN528" s="4"/>
      <c r="AO528" s="4"/>
      <c r="AP528" s="4"/>
      <c r="AQ528" s="4"/>
      <c r="AR528" s="4"/>
      <c r="AS528" s="4"/>
      <c r="AT528" s="4"/>
      <c r="AU528" s="4"/>
    </row>
    <row r="529" spans="1:47" ht="13.2">
      <c r="A529" s="120"/>
      <c r="B529" s="113"/>
      <c r="C529" s="117"/>
      <c r="D529" s="117"/>
      <c r="E529" s="117"/>
      <c r="F529" s="123"/>
      <c r="G529" s="93" t="s">
        <v>145</v>
      </c>
      <c r="H529" s="125"/>
      <c r="I529" s="125"/>
      <c r="J529" s="82" t="str">
        <f t="shared" ca="1" si="147"/>
        <v>#REF!</v>
      </c>
      <c r="K529" s="82" t="str">
        <f t="shared" ca="1" si="256"/>
        <v>#REF!</v>
      </c>
      <c r="L529" s="82" t="str">
        <f t="shared" ca="1" si="199"/>
        <v>#REF!</v>
      </c>
      <c r="M529" s="125"/>
      <c r="N529" s="125"/>
      <c r="O529" s="230">
        <f t="shared" si="2"/>
        <v>0</v>
      </c>
      <c r="P529" s="231">
        <f t="shared" si="3"/>
        <v>0</v>
      </c>
      <c r="Q529" s="232" t="str">
        <f ca="1">ROUNDUP(HLOOKUP(IF(CEILING(L529,0.5)&lt;1,1,CEILING(L529,0.5)),'배송비 조회'!A$32:AY$36,2,0),-2)</f>
        <v>#REF!</v>
      </c>
      <c r="R529" s="232">
        <v>0</v>
      </c>
      <c r="S529" s="231" t="str">
        <f t="shared" ca="1" si="250"/>
        <v>#REF!</v>
      </c>
      <c r="T529" s="231" t="str">
        <f t="shared" ca="1" si="200"/>
        <v>#REF!</v>
      </c>
      <c r="U529" s="233" t="str">
        <f t="shared" ca="1" si="142"/>
        <v>#REF!</v>
      </c>
      <c r="V529" s="233" t="str">
        <f t="shared" ca="1" si="7"/>
        <v>#REF!</v>
      </c>
      <c r="W529" s="234">
        <v>0</v>
      </c>
      <c r="X529" s="234" t="str">
        <f t="shared" ca="1" si="8"/>
        <v>#REF!</v>
      </c>
      <c r="Y529" s="234" t="str">
        <f t="shared" ca="1" si="9"/>
        <v>#REF!</v>
      </c>
      <c r="Z529" s="234" t="str">
        <f t="shared" ca="1" si="10"/>
        <v>#REF!</v>
      </c>
      <c r="AA529" s="234" t="str">
        <f t="shared" ca="1" si="11"/>
        <v>#REF!</v>
      </c>
      <c r="AB529" s="234" t="str">
        <f t="shared" ca="1" si="12"/>
        <v>#REF!</v>
      </c>
      <c r="AC529" s="234" t="str">
        <f t="shared" ca="1" si="13"/>
        <v>#REF!</v>
      </c>
      <c r="AD529" s="101" t="str">
        <f t="shared" ca="1" si="14"/>
        <v>#REF!</v>
      </c>
      <c r="AE529" s="101" t="str">
        <f t="shared" ca="1" si="15"/>
        <v>#REF!</v>
      </c>
      <c r="AF529" s="235" t="str">
        <f t="shared" ref="AF529:AG529" ca="1" si="606">AD529/U529</f>
        <v>#REF!</v>
      </c>
      <c r="AG529" s="235" t="str">
        <f t="shared" ca="1" si="606"/>
        <v>#REF!</v>
      </c>
      <c r="AH529" s="212"/>
      <c r="AI529" s="213"/>
      <c r="AJ529" s="4"/>
      <c r="AK529" s="4"/>
      <c r="AL529" s="4"/>
      <c r="AM529" s="4"/>
      <c r="AN529" s="4"/>
      <c r="AO529" s="4"/>
      <c r="AP529" s="4"/>
      <c r="AQ529" s="4"/>
      <c r="AR529" s="4"/>
      <c r="AS529" s="4"/>
      <c r="AT529" s="4"/>
      <c r="AU529" s="4"/>
    </row>
    <row r="530" spans="1:47" ht="13.2">
      <c r="A530" s="120"/>
      <c r="B530" s="113"/>
      <c r="C530" s="117"/>
      <c r="D530" s="117"/>
      <c r="E530" s="117"/>
      <c r="F530" s="123"/>
      <c r="G530" s="93" t="s">
        <v>145</v>
      </c>
      <c r="H530" s="125"/>
      <c r="I530" s="125"/>
      <c r="J530" s="82" t="str">
        <f t="shared" ca="1" si="147"/>
        <v>#REF!</v>
      </c>
      <c r="K530" s="82" t="str">
        <f t="shared" ca="1" si="256"/>
        <v>#REF!</v>
      </c>
      <c r="L530" s="82" t="str">
        <f t="shared" ca="1" si="199"/>
        <v>#REF!</v>
      </c>
      <c r="M530" s="125"/>
      <c r="N530" s="125"/>
      <c r="O530" s="230">
        <f t="shared" si="2"/>
        <v>0</v>
      </c>
      <c r="P530" s="231">
        <f t="shared" si="3"/>
        <v>0</v>
      </c>
      <c r="Q530" s="232" t="str">
        <f ca="1">ROUNDUP(HLOOKUP(IF(CEILING(L530,0.5)&lt;1,1,CEILING(L530,0.5)),'배송비 조회'!A$32:AY$36,2,0),-2)</f>
        <v>#REF!</v>
      </c>
      <c r="R530" s="232">
        <v>0</v>
      </c>
      <c r="S530" s="231" t="str">
        <f t="shared" ca="1" si="250"/>
        <v>#REF!</v>
      </c>
      <c r="T530" s="231" t="str">
        <f t="shared" ca="1" si="200"/>
        <v>#REF!</v>
      </c>
      <c r="U530" s="233" t="str">
        <f t="shared" ca="1" si="142"/>
        <v>#REF!</v>
      </c>
      <c r="V530" s="233" t="str">
        <f t="shared" ca="1" si="7"/>
        <v>#REF!</v>
      </c>
      <c r="W530" s="234">
        <v>0</v>
      </c>
      <c r="X530" s="234" t="str">
        <f t="shared" ca="1" si="8"/>
        <v>#REF!</v>
      </c>
      <c r="Y530" s="234" t="str">
        <f t="shared" ca="1" si="9"/>
        <v>#REF!</v>
      </c>
      <c r="Z530" s="234" t="str">
        <f t="shared" ca="1" si="10"/>
        <v>#REF!</v>
      </c>
      <c r="AA530" s="234" t="str">
        <f t="shared" ca="1" si="11"/>
        <v>#REF!</v>
      </c>
      <c r="AB530" s="234" t="str">
        <f t="shared" ca="1" si="12"/>
        <v>#REF!</v>
      </c>
      <c r="AC530" s="234" t="str">
        <f t="shared" ca="1" si="13"/>
        <v>#REF!</v>
      </c>
      <c r="AD530" s="101" t="str">
        <f t="shared" ca="1" si="14"/>
        <v>#REF!</v>
      </c>
      <c r="AE530" s="101" t="str">
        <f t="shared" ca="1" si="15"/>
        <v>#REF!</v>
      </c>
      <c r="AF530" s="235" t="str">
        <f t="shared" ref="AF530:AG530" ca="1" si="607">AD530/U530</f>
        <v>#REF!</v>
      </c>
      <c r="AG530" s="235" t="str">
        <f t="shared" ca="1" si="607"/>
        <v>#REF!</v>
      </c>
      <c r="AH530" s="212"/>
      <c r="AI530" s="213"/>
      <c r="AJ530" s="4"/>
      <c r="AK530" s="4"/>
      <c r="AL530" s="4"/>
      <c r="AM530" s="4"/>
      <c r="AN530" s="4"/>
      <c r="AO530" s="4"/>
      <c r="AP530" s="4"/>
      <c r="AQ530" s="4"/>
      <c r="AR530" s="4"/>
      <c r="AS530" s="4"/>
      <c r="AT530" s="4"/>
      <c r="AU530" s="4"/>
    </row>
    <row r="531" spans="1:47" ht="13.2">
      <c r="A531" s="120"/>
      <c r="B531" s="113"/>
      <c r="C531" s="117"/>
      <c r="D531" s="117"/>
      <c r="E531" s="117"/>
      <c r="F531" s="123"/>
      <c r="G531" s="93" t="s">
        <v>145</v>
      </c>
      <c r="H531" s="125"/>
      <c r="I531" s="125"/>
      <c r="J531" s="82" t="str">
        <f t="shared" ca="1" si="147"/>
        <v>#REF!</v>
      </c>
      <c r="K531" s="82" t="str">
        <f t="shared" ca="1" si="256"/>
        <v>#REF!</v>
      </c>
      <c r="L531" s="82" t="str">
        <f t="shared" ca="1" si="199"/>
        <v>#REF!</v>
      </c>
      <c r="M531" s="125"/>
      <c r="N531" s="125"/>
      <c r="O531" s="230">
        <f t="shared" si="2"/>
        <v>0</v>
      </c>
      <c r="P531" s="231">
        <f t="shared" si="3"/>
        <v>0</v>
      </c>
      <c r="Q531" s="232" t="str">
        <f ca="1">ROUNDUP(HLOOKUP(IF(CEILING(L531,0.5)&lt;1,1,CEILING(L531,0.5)),'배송비 조회'!A$32:AY$36,2,0),-2)</f>
        <v>#REF!</v>
      </c>
      <c r="R531" s="232">
        <v>0</v>
      </c>
      <c r="S531" s="231" t="str">
        <f t="shared" ca="1" si="250"/>
        <v>#REF!</v>
      </c>
      <c r="T531" s="231" t="str">
        <f t="shared" ca="1" si="200"/>
        <v>#REF!</v>
      </c>
      <c r="U531" s="233" t="str">
        <f t="shared" ca="1" si="142"/>
        <v>#REF!</v>
      </c>
      <c r="V531" s="233" t="str">
        <f t="shared" ca="1" si="7"/>
        <v>#REF!</v>
      </c>
      <c r="W531" s="234">
        <v>0</v>
      </c>
      <c r="X531" s="234" t="str">
        <f t="shared" ca="1" si="8"/>
        <v>#REF!</v>
      </c>
      <c r="Y531" s="234" t="str">
        <f t="shared" ca="1" si="9"/>
        <v>#REF!</v>
      </c>
      <c r="Z531" s="234" t="str">
        <f t="shared" ca="1" si="10"/>
        <v>#REF!</v>
      </c>
      <c r="AA531" s="234" t="str">
        <f t="shared" ca="1" si="11"/>
        <v>#REF!</v>
      </c>
      <c r="AB531" s="234" t="str">
        <f t="shared" ca="1" si="12"/>
        <v>#REF!</v>
      </c>
      <c r="AC531" s="234" t="str">
        <f t="shared" ca="1" si="13"/>
        <v>#REF!</v>
      </c>
      <c r="AD531" s="101" t="str">
        <f t="shared" ca="1" si="14"/>
        <v>#REF!</v>
      </c>
      <c r="AE531" s="101" t="str">
        <f t="shared" ca="1" si="15"/>
        <v>#REF!</v>
      </c>
      <c r="AF531" s="235" t="str">
        <f t="shared" ref="AF531:AG531" ca="1" si="608">AD531/U531</f>
        <v>#REF!</v>
      </c>
      <c r="AG531" s="235" t="str">
        <f t="shared" ca="1" si="608"/>
        <v>#REF!</v>
      </c>
      <c r="AH531" s="212"/>
      <c r="AI531" s="213"/>
      <c r="AJ531" s="4"/>
      <c r="AK531" s="4"/>
      <c r="AL531" s="4"/>
      <c r="AM531" s="4"/>
      <c r="AN531" s="4"/>
      <c r="AO531" s="4"/>
      <c r="AP531" s="4"/>
      <c r="AQ531" s="4"/>
      <c r="AR531" s="4"/>
      <c r="AS531" s="4"/>
      <c r="AT531" s="4"/>
      <c r="AU531" s="4"/>
    </row>
    <row r="532" spans="1:47" ht="13.2">
      <c r="A532" s="120"/>
      <c r="B532" s="113"/>
      <c r="C532" s="117"/>
      <c r="D532" s="117"/>
      <c r="E532" s="117"/>
      <c r="F532" s="123"/>
      <c r="G532" s="93" t="s">
        <v>145</v>
      </c>
      <c r="H532" s="125"/>
      <c r="I532" s="125"/>
      <c r="J532" s="82" t="str">
        <f t="shared" ca="1" si="147"/>
        <v>#REF!</v>
      </c>
      <c r="K532" s="82" t="str">
        <f t="shared" ca="1" si="256"/>
        <v>#REF!</v>
      </c>
      <c r="L532" s="82" t="str">
        <f t="shared" ca="1" si="199"/>
        <v>#REF!</v>
      </c>
      <c r="M532" s="125"/>
      <c r="N532" s="125"/>
      <c r="O532" s="230">
        <f t="shared" si="2"/>
        <v>0</v>
      </c>
      <c r="P532" s="231">
        <f t="shared" si="3"/>
        <v>0</v>
      </c>
      <c r="Q532" s="232" t="str">
        <f ca="1">ROUNDUP(HLOOKUP(IF(CEILING(L532,0.5)&lt;1,1,CEILING(L532,0.5)),'배송비 조회'!A$32:AY$36,2,0),-2)</f>
        <v>#REF!</v>
      </c>
      <c r="R532" s="232">
        <v>0</v>
      </c>
      <c r="S532" s="231" t="str">
        <f t="shared" ca="1" si="250"/>
        <v>#REF!</v>
      </c>
      <c r="T532" s="231" t="str">
        <f t="shared" ca="1" si="200"/>
        <v>#REF!</v>
      </c>
      <c r="U532" s="233" t="str">
        <f t="shared" ca="1" si="142"/>
        <v>#REF!</v>
      </c>
      <c r="V532" s="233" t="str">
        <f t="shared" ca="1" si="7"/>
        <v>#REF!</v>
      </c>
      <c r="W532" s="234">
        <v>0</v>
      </c>
      <c r="X532" s="234" t="str">
        <f t="shared" ca="1" si="8"/>
        <v>#REF!</v>
      </c>
      <c r="Y532" s="234" t="str">
        <f t="shared" ca="1" si="9"/>
        <v>#REF!</v>
      </c>
      <c r="Z532" s="234" t="str">
        <f t="shared" ca="1" si="10"/>
        <v>#REF!</v>
      </c>
      <c r="AA532" s="234" t="str">
        <f t="shared" ca="1" si="11"/>
        <v>#REF!</v>
      </c>
      <c r="AB532" s="234" t="str">
        <f t="shared" ca="1" si="12"/>
        <v>#REF!</v>
      </c>
      <c r="AC532" s="234" t="str">
        <f t="shared" ca="1" si="13"/>
        <v>#REF!</v>
      </c>
      <c r="AD532" s="101" t="str">
        <f t="shared" ca="1" si="14"/>
        <v>#REF!</v>
      </c>
      <c r="AE532" s="101" t="str">
        <f t="shared" ca="1" si="15"/>
        <v>#REF!</v>
      </c>
      <c r="AF532" s="235" t="str">
        <f t="shared" ref="AF532:AG532" ca="1" si="609">AD532/U532</f>
        <v>#REF!</v>
      </c>
      <c r="AG532" s="235" t="str">
        <f t="shared" ca="1" si="609"/>
        <v>#REF!</v>
      </c>
      <c r="AH532" s="212"/>
      <c r="AI532" s="213"/>
      <c r="AJ532" s="4"/>
      <c r="AK532" s="4"/>
      <c r="AL532" s="4"/>
      <c r="AM532" s="4"/>
      <c r="AN532" s="4"/>
      <c r="AO532" s="4"/>
      <c r="AP532" s="4"/>
      <c r="AQ532" s="4"/>
      <c r="AR532" s="4"/>
      <c r="AS532" s="4"/>
      <c r="AT532" s="4"/>
      <c r="AU532" s="4"/>
    </row>
    <row r="533" spans="1:47" ht="13.2">
      <c r="A533" s="120"/>
      <c r="B533" s="113"/>
      <c r="C533" s="117"/>
      <c r="D533" s="117"/>
      <c r="E533" s="117"/>
      <c r="F533" s="123"/>
      <c r="G533" s="93" t="s">
        <v>145</v>
      </c>
      <c r="H533" s="125"/>
      <c r="I533" s="125"/>
      <c r="J533" s="82" t="str">
        <f t="shared" ca="1" si="147"/>
        <v>#REF!</v>
      </c>
      <c r="K533" s="82" t="str">
        <f t="shared" ca="1" si="256"/>
        <v>#REF!</v>
      </c>
      <c r="L533" s="82" t="str">
        <f t="shared" ca="1" si="199"/>
        <v>#REF!</v>
      </c>
      <c r="M533" s="125"/>
      <c r="N533" s="125"/>
      <c r="O533" s="230">
        <f t="shared" si="2"/>
        <v>0</v>
      </c>
      <c r="P533" s="231">
        <f t="shared" si="3"/>
        <v>0</v>
      </c>
      <c r="Q533" s="232" t="str">
        <f ca="1">ROUNDUP(HLOOKUP(IF(CEILING(L533,0.5)&lt;1,1,CEILING(L533,0.5)),'배송비 조회'!A$32:AY$36,2,0),-2)</f>
        <v>#REF!</v>
      </c>
      <c r="R533" s="232">
        <v>0</v>
      </c>
      <c r="S533" s="231" t="str">
        <f t="shared" ca="1" si="250"/>
        <v>#REF!</v>
      </c>
      <c r="T533" s="231" t="str">
        <f t="shared" ca="1" si="200"/>
        <v>#REF!</v>
      </c>
      <c r="U533" s="233" t="str">
        <f t="shared" ca="1" si="142"/>
        <v>#REF!</v>
      </c>
      <c r="V533" s="233" t="str">
        <f t="shared" ca="1" si="7"/>
        <v>#REF!</v>
      </c>
      <c r="W533" s="234">
        <v>0</v>
      </c>
      <c r="X533" s="234" t="str">
        <f t="shared" ca="1" si="8"/>
        <v>#REF!</v>
      </c>
      <c r="Y533" s="234" t="str">
        <f t="shared" ca="1" si="9"/>
        <v>#REF!</v>
      </c>
      <c r="Z533" s="234" t="str">
        <f t="shared" ca="1" si="10"/>
        <v>#REF!</v>
      </c>
      <c r="AA533" s="234" t="str">
        <f t="shared" ca="1" si="11"/>
        <v>#REF!</v>
      </c>
      <c r="AB533" s="234" t="str">
        <f t="shared" ca="1" si="12"/>
        <v>#REF!</v>
      </c>
      <c r="AC533" s="234" t="str">
        <f t="shared" ca="1" si="13"/>
        <v>#REF!</v>
      </c>
      <c r="AD533" s="101" t="str">
        <f t="shared" ca="1" si="14"/>
        <v>#REF!</v>
      </c>
      <c r="AE533" s="101" t="str">
        <f t="shared" ca="1" si="15"/>
        <v>#REF!</v>
      </c>
      <c r="AF533" s="235" t="str">
        <f t="shared" ref="AF533:AG533" ca="1" si="610">AD533/U533</f>
        <v>#REF!</v>
      </c>
      <c r="AG533" s="235" t="str">
        <f t="shared" ca="1" si="610"/>
        <v>#REF!</v>
      </c>
      <c r="AH533" s="212"/>
      <c r="AI533" s="213"/>
      <c r="AJ533" s="4"/>
      <c r="AK533" s="4"/>
      <c r="AL533" s="4"/>
      <c r="AM533" s="4"/>
      <c r="AN533" s="4"/>
      <c r="AO533" s="4"/>
      <c r="AP533" s="4"/>
      <c r="AQ533" s="4"/>
      <c r="AR533" s="4"/>
      <c r="AS533" s="4"/>
      <c r="AT533" s="4"/>
      <c r="AU533" s="4"/>
    </row>
    <row r="534" spans="1:47" ht="13.2">
      <c r="A534" s="120"/>
      <c r="B534" s="113"/>
      <c r="C534" s="117"/>
      <c r="D534" s="117"/>
      <c r="E534" s="117"/>
      <c r="F534" s="123"/>
      <c r="G534" s="93" t="s">
        <v>145</v>
      </c>
      <c r="H534" s="125"/>
      <c r="I534" s="125"/>
      <c r="J534" s="82" t="str">
        <f t="shared" ca="1" si="147"/>
        <v>#REF!</v>
      </c>
      <c r="K534" s="82" t="str">
        <f t="shared" ca="1" si="256"/>
        <v>#REF!</v>
      </c>
      <c r="L534" s="82" t="str">
        <f t="shared" ca="1" si="199"/>
        <v>#REF!</v>
      </c>
      <c r="M534" s="125"/>
      <c r="N534" s="125"/>
      <c r="O534" s="230">
        <f t="shared" si="2"/>
        <v>0</v>
      </c>
      <c r="P534" s="231">
        <f t="shared" si="3"/>
        <v>0</v>
      </c>
      <c r="Q534" s="232" t="str">
        <f ca="1">ROUNDUP(HLOOKUP(IF(CEILING(L534,0.5)&lt;1,1,CEILING(L534,0.5)),'배송비 조회'!A$32:AY$36,2,0),-2)</f>
        <v>#REF!</v>
      </c>
      <c r="R534" s="232">
        <v>0</v>
      </c>
      <c r="S534" s="231" t="str">
        <f t="shared" ca="1" si="250"/>
        <v>#REF!</v>
      </c>
      <c r="T534" s="231" t="str">
        <f t="shared" ca="1" si="200"/>
        <v>#REF!</v>
      </c>
      <c r="U534" s="233" t="str">
        <f t="shared" ca="1" si="142"/>
        <v>#REF!</v>
      </c>
      <c r="V534" s="233" t="str">
        <f t="shared" ca="1" si="7"/>
        <v>#REF!</v>
      </c>
      <c r="W534" s="234">
        <v>0</v>
      </c>
      <c r="X534" s="234" t="str">
        <f t="shared" ca="1" si="8"/>
        <v>#REF!</v>
      </c>
      <c r="Y534" s="234" t="str">
        <f t="shared" ca="1" si="9"/>
        <v>#REF!</v>
      </c>
      <c r="Z534" s="234" t="str">
        <f t="shared" ca="1" si="10"/>
        <v>#REF!</v>
      </c>
      <c r="AA534" s="234" t="str">
        <f t="shared" ca="1" si="11"/>
        <v>#REF!</v>
      </c>
      <c r="AB534" s="234" t="str">
        <f t="shared" ca="1" si="12"/>
        <v>#REF!</v>
      </c>
      <c r="AC534" s="234" t="str">
        <f t="shared" ca="1" si="13"/>
        <v>#REF!</v>
      </c>
      <c r="AD534" s="101" t="str">
        <f t="shared" ca="1" si="14"/>
        <v>#REF!</v>
      </c>
      <c r="AE534" s="101" t="str">
        <f t="shared" ca="1" si="15"/>
        <v>#REF!</v>
      </c>
      <c r="AF534" s="235" t="str">
        <f t="shared" ref="AF534:AG534" ca="1" si="611">AD534/U534</f>
        <v>#REF!</v>
      </c>
      <c r="AG534" s="235" t="str">
        <f t="shared" ca="1" si="611"/>
        <v>#REF!</v>
      </c>
      <c r="AH534" s="212"/>
      <c r="AI534" s="213"/>
      <c r="AJ534" s="4"/>
      <c r="AK534" s="4"/>
      <c r="AL534" s="4"/>
      <c r="AM534" s="4"/>
      <c r="AN534" s="4"/>
      <c r="AO534" s="4"/>
      <c r="AP534" s="4"/>
      <c r="AQ534" s="4"/>
      <c r="AR534" s="4"/>
      <c r="AS534" s="4"/>
      <c r="AT534" s="4"/>
      <c r="AU534" s="4"/>
    </row>
    <row r="535" spans="1:47" ht="13.2">
      <c r="A535" s="120"/>
      <c r="B535" s="113"/>
      <c r="C535" s="117"/>
      <c r="D535" s="117"/>
      <c r="E535" s="117"/>
      <c r="F535" s="123"/>
      <c r="G535" s="93" t="s">
        <v>145</v>
      </c>
      <c r="H535" s="125"/>
      <c r="I535" s="125"/>
      <c r="J535" s="82" t="str">
        <f t="shared" ca="1" si="147"/>
        <v>#REF!</v>
      </c>
      <c r="K535" s="82" t="str">
        <f t="shared" ca="1" si="256"/>
        <v>#REF!</v>
      </c>
      <c r="L535" s="82" t="str">
        <f t="shared" ca="1" si="199"/>
        <v>#REF!</v>
      </c>
      <c r="M535" s="125"/>
      <c r="N535" s="125"/>
      <c r="O535" s="230">
        <f t="shared" si="2"/>
        <v>0</v>
      </c>
      <c r="P535" s="231">
        <f t="shared" si="3"/>
        <v>0</v>
      </c>
      <c r="Q535" s="232" t="str">
        <f ca="1">ROUNDUP(HLOOKUP(IF(CEILING(L535,0.5)&lt;1,1,CEILING(L535,0.5)),'배송비 조회'!A$32:AY$36,2,0),-2)</f>
        <v>#REF!</v>
      </c>
      <c r="R535" s="232">
        <v>0</v>
      </c>
      <c r="S535" s="231" t="str">
        <f t="shared" ca="1" si="250"/>
        <v>#REF!</v>
      </c>
      <c r="T535" s="231" t="str">
        <f t="shared" ca="1" si="200"/>
        <v>#REF!</v>
      </c>
      <c r="U535" s="233" t="str">
        <f t="shared" ca="1" si="142"/>
        <v>#REF!</v>
      </c>
      <c r="V535" s="233" t="str">
        <f t="shared" ca="1" si="7"/>
        <v>#REF!</v>
      </c>
      <c r="W535" s="234">
        <v>0</v>
      </c>
      <c r="X535" s="234" t="str">
        <f t="shared" ca="1" si="8"/>
        <v>#REF!</v>
      </c>
      <c r="Y535" s="234" t="str">
        <f t="shared" ca="1" si="9"/>
        <v>#REF!</v>
      </c>
      <c r="Z535" s="234" t="str">
        <f t="shared" ca="1" si="10"/>
        <v>#REF!</v>
      </c>
      <c r="AA535" s="234" t="str">
        <f t="shared" ca="1" si="11"/>
        <v>#REF!</v>
      </c>
      <c r="AB535" s="234" t="str">
        <f t="shared" ca="1" si="12"/>
        <v>#REF!</v>
      </c>
      <c r="AC535" s="234" t="str">
        <f t="shared" ca="1" si="13"/>
        <v>#REF!</v>
      </c>
      <c r="AD535" s="101" t="str">
        <f t="shared" ca="1" si="14"/>
        <v>#REF!</v>
      </c>
      <c r="AE535" s="101" t="str">
        <f t="shared" ca="1" si="15"/>
        <v>#REF!</v>
      </c>
      <c r="AF535" s="235" t="str">
        <f t="shared" ref="AF535:AG535" ca="1" si="612">AD535/U535</f>
        <v>#REF!</v>
      </c>
      <c r="AG535" s="235" t="str">
        <f t="shared" ca="1" si="612"/>
        <v>#REF!</v>
      </c>
      <c r="AH535" s="212"/>
      <c r="AI535" s="213"/>
      <c r="AJ535" s="4"/>
      <c r="AK535" s="4"/>
      <c r="AL535" s="4"/>
      <c r="AM535" s="4"/>
      <c r="AN535" s="4"/>
      <c r="AO535" s="4"/>
      <c r="AP535" s="4"/>
      <c r="AQ535" s="4"/>
      <c r="AR535" s="4"/>
      <c r="AS535" s="4"/>
      <c r="AT535" s="4"/>
      <c r="AU535" s="4"/>
    </row>
    <row r="536" spans="1:47" ht="13.2">
      <c r="A536" s="120"/>
      <c r="B536" s="113"/>
      <c r="C536" s="117"/>
      <c r="D536" s="117"/>
      <c r="E536" s="117"/>
      <c r="F536" s="123"/>
      <c r="G536" s="93" t="s">
        <v>145</v>
      </c>
      <c r="H536" s="125"/>
      <c r="I536" s="125"/>
      <c r="J536" s="82" t="str">
        <f t="shared" ca="1" si="147"/>
        <v>#REF!</v>
      </c>
      <c r="K536" s="82" t="str">
        <f t="shared" ca="1" si="256"/>
        <v>#REF!</v>
      </c>
      <c r="L536" s="82" t="str">
        <f t="shared" ca="1" si="199"/>
        <v>#REF!</v>
      </c>
      <c r="M536" s="125"/>
      <c r="N536" s="125"/>
      <c r="O536" s="230">
        <f t="shared" si="2"/>
        <v>0</v>
      </c>
      <c r="P536" s="231">
        <f t="shared" si="3"/>
        <v>0</v>
      </c>
      <c r="Q536" s="232" t="str">
        <f ca="1">ROUNDUP(HLOOKUP(IF(CEILING(L536,0.5)&lt;1,1,CEILING(L536,0.5)),'배송비 조회'!A$32:AY$36,2,0),-2)</f>
        <v>#REF!</v>
      </c>
      <c r="R536" s="232">
        <v>0</v>
      </c>
      <c r="S536" s="231" t="str">
        <f t="shared" ca="1" si="250"/>
        <v>#REF!</v>
      </c>
      <c r="T536" s="231" t="str">
        <f t="shared" ca="1" si="200"/>
        <v>#REF!</v>
      </c>
      <c r="U536" s="233" t="str">
        <f t="shared" ca="1" si="142"/>
        <v>#REF!</v>
      </c>
      <c r="V536" s="233" t="str">
        <f t="shared" ca="1" si="7"/>
        <v>#REF!</v>
      </c>
      <c r="W536" s="234">
        <v>0</v>
      </c>
      <c r="X536" s="234" t="str">
        <f t="shared" ca="1" si="8"/>
        <v>#REF!</v>
      </c>
      <c r="Y536" s="234" t="str">
        <f t="shared" ca="1" si="9"/>
        <v>#REF!</v>
      </c>
      <c r="Z536" s="234" t="str">
        <f t="shared" ca="1" si="10"/>
        <v>#REF!</v>
      </c>
      <c r="AA536" s="234" t="str">
        <f t="shared" ca="1" si="11"/>
        <v>#REF!</v>
      </c>
      <c r="AB536" s="234" t="str">
        <f t="shared" ca="1" si="12"/>
        <v>#REF!</v>
      </c>
      <c r="AC536" s="234" t="str">
        <f t="shared" ca="1" si="13"/>
        <v>#REF!</v>
      </c>
      <c r="AD536" s="101" t="str">
        <f t="shared" ca="1" si="14"/>
        <v>#REF!</v>
      </c>
      <c r="AE536" s="101" t="str">
        <f t="shared" ca="1" si="15"/>
        <v>#REF!</v>
      </c>
      <c r="AF536" s="235" t="str">
        <f t="shared" ref="AF536:AG536" ca="1" si="613">AD536/U536</f>
        <v>#REF!</v>
      </c>
      <c r="AG536" s="235" t="str">
        <f t="shared" ca="1" si="613"/>
        <v>#REF!</v>
      </c>
      <c r="AH536" s="212"/>
      <c r="AI536" s="213"/>
      <c r="AJ536" s="4"/>
      <c r="AK536" s="4"/>
      <c r="AL536" s="4"/>
      <c r="AM536" s="4"/>
      <c r="AN536" s="4"/>
      <c r="AO536" s="4"/>
      <c r="AP536" s="4"/>
      <c r="AQ536" s="4"/>
      <c r="AR536" s="4"/>
      <c r="AS536" s="4"/>
      <c r="AT536" s="4"/>
      <c r="AU536" s="4"/>
    </row>
    <row r="537" spans="1:47" ht="13.2">
      <c r="A537" s="120"/>
      <c r="B537" s="113"/>
      <c r="C537" s="117"/>
      <c r="D537" s="117"/>
      <c r="E537" s="117"/>
      <c r="F537" s="123"/>
      <c r="G537" s="93" t="s">
        <v>145</v>
      </c>
      <c r="H537" s="125"/>
      <c r="I537" s="125"/>
      <c r="J537" s="82" t="str">
        <f t="shared" ca="1" si="147"/>
        <v>#REF!</v>
      </c>
      <c r="K537" s="82" t="str">
        <f t="shared" ca="1" si="256"/>
        <v>#REF!</v>
      </c>
      <c r="L537" s="82" t="str">
        <f t="shared" ca="1" si="199"/>
        <v>#REF!</v>
      </c>
      <c r="M537" s="125"/>
      <c r="N537" s="125"/>
      <c r="O537" s="230">
        <f t="shared" si="2"/>
        <v>0</v>
      </c>
      <c r="P537" s="231">
        <f t="shared" si="3"/>
        <v>0</v>
      </c>
      <c r="Q537" s="232" t="str">
        <f ca="1">ROUNDUP(HLOOKUP(IF(CEILING(L537,0.5)&lt;1,1,CEILING(L537,0.5)),'배송비 조회'!A$32:AY$36,2,0),-2)</f>
        <v>#REF!</v>
      </c>
      <c r="R537" s="232">
        <v>0</v>
      </c>
      <c r="S537" s="231" t="str">
        <f t="shared" ca="1" si="250"/>
        <v>#REF!</v>
      </c>
      <c r="T537" s="231" t="str">
        <f t="shared" ca="1" si="200"/>
        <v>#REF!</v>
      </c>
      <c r="U537" s="233" t="str">
        <f t="shared" ca="1" si="142"/>
        <v>#REF!</v>
      </c>
      <c r="V537" s="233" t="str">
        <f t="shared" ca="1" si="7"/>
        <v>#REF!</v>
      </c>
      <c r="W537" s="234">
        <v>0</v>
      </c>
      <c r="X537" s="234" t="str">
        <f t="shared" ca="1" si="8"/>
        <v>#REF!</v>
      </c>
      <c r="Y537" s="234" t="str">
        <f t="shared" ca="1" si="9"/>
        <v>#REF!</v>
      </c>
      <c r="Z537" s="234" t="str">
        <f t="shared" ca="1" si="10"/>
        <v>#REF!</v>
      </c>
      <c r="AA537" s="234" t="str">
        <f t="shared" ca="1" si="11"/>
        <v>#REF!</v>
      </c>
      <c r="AB537" s="234" t="str">
        <f t="shared" ca="1" si="12"/>
        <v>#REF!</v>
      </c>
      <c r="AC537" s="234" t="str">
        <f t="shared" ca="1" si="13"/>
        <v>#REF!</v>
      </c>
      <c r="AD537" s="101" t="str">
        <f t="shared" ca="1" si="14"/>
        <v>#REF!</v>
      </c>
      <c r="AE537" s="101" t="str">
        <f t="shared" ca="1" si="15"/>
        <v>#REF!</v>
      </c>
      <c r="AF537" s="235" t="str">
        <f t="shared" ref="AF537:AG537" ca="1" si="614">AD537/U537</f>
        <v>#REF!</v>
      </c>
      <c r="AG537" s="235" t="str">
        <f t="shared" ca="1" si="614"/>
        <v>#REF!</v>
      </c>
      <c r="AH537" s="212"/>
      <c r="AI537" s="213"/>
      <c r="AJ537" s="4"/>
      <c r="AK537" s="4"/>
      <c r="AL537" s="4"/>
      <c r="AM537" s="4"/>
      <c r="AN537" s="4"/>
      <c r="AO537" s="4"/>
      <c r="AP537" s="4"/>
      <c r="AQ537" s="4"/>
      <c r="AR537" s="4"/>
      <c r="AS537" s="4"/>
      <c r="AT537" s="4"/>
      <c r="AU537" s="4"/>
    </row>
    <row r="538" spans="1:47" ht="13.2">
      <c r="A538" s="120"/>
      <c r="B538" s="113"/>
      <c r="C538" s="117"/>
      <c r="D538" s="117"/>
      <c r="E538" s="117"/>
      <c r="F538" s="123"/>
      <c r="G538" s="93" t="s">
        <v>145</v>
      </c>
      <c r="H538" s="125"/>
      <c r="I538" s="125"/>
      <c r="J538" s="82" t="str">
        <f t="shared" ca="1" si="147"/>
        <v>#REF!</v>
      </c>
      <c r="K538" s="82" t="str">
        <f t="shared" ca="1" si="256"/>
        <v>#REF!</v>
      </c>
      <c r="L538" s="82" t="str">
        <f t="shared" ca="1" si="199"/>
        <v>#REF!</v>
      </c>
      <c r="M538" s="125"/>
      <c r="N538" s="125"/>
      <c r="O538" s="230">
        <f t="shared" si="2"/>
        <v>0</v>
      </c>
      <c r="P538" s="231">
        <f t="shared" si="3"/>
        <v>0</v>
      </c>
      <c r="Q538" s="232" t="str">
        <f ca="1">ROUNDUP(HLOOKUP(IF(CEILING(L538,0.5)&lt;1,1,CEILING(L538,0.5)),'배송비 조회'!A$32:AY$36,2,0),-2)</f>
        <v>#REF!</v>
      </c>
      <c r="R538" s="232">
        <v>0</v>
      </c>
      <c r="S538" s="231" t="str">
        <f t="shared" ca="1" si="250"/>
        <v>#REF!</v>
      </c>
      <c r="T538" s="231" t="str">
        <f t="shared" ca="1" si="200"/>
        <v>#REF!</v>
      </c>
      <c r="U538" s="233" t="str">
        <f t="shared" ca="1" si="142"/>
        <v>#REF!</v>
      </c>
      <c r="V538" s="233" t="str">
        <f t="shared" ca="1" si="7"/>
        <v>#REF!</v>
      </c>
      <c r="W538" s="234">
        <v>0</v>
      </c>
      <c r="X538" s="234" t="str">
        <f t="shared" ca="1" si="8"/>
        <v>#REF!</v>
      </c>
      <c r="Y538" s="234" t="str">
        <f t="shared" ca="1" si="9"/>
        <v>#REF!</v>
      </c>
      <c r="Z538" s="234" t="str">
        <f t="shared" ca="1" si="10"/>
        <v>#REF!</v>
      </c>
      <c r="AA538" s="234" t="str">
        <f t="shared" ca="1" si="11"/>
        <v>#REF!</v>
      </c>
      <c r="AB538" s="234" t="str">
        <f t="shared" ca="1" si="12"/>
        <v>#REF!</v>
      </c>
      <c r="AC538" s="234" t="str">
        <f t="shared" ca="1" si="13"/>
        <v>#REF!</v>
      </c>
      <c r="AD538" s="101" t="str">
        <f t="shared" ca="1" si="14"/>
        <v>#REF!</v>
      </c>
      <c r="AE538" s="101" t="str">
        <f t="shared" ca="1" si="15"/>
        <v>#REF!</v>
      </c>
      <c r="AF538" s="235" t="str">
        <f t="shared" ref="AF538:AG538" ca="1" si="615">AD538/U538</f>
        <v>#REF!</v>
      </c>
      <c r="AG538" s="235" t="str">
        <f t="shared" ca="1" si="615"/>
        <v>#REF!</v>
      </c>
      <c r="AH538" s="212"/>
      <c r="AI538" s="213"/>
      <c r="AJ538" s="4"/>
      <c r="AK538" s="4"/>
      <c r="AL538" s="4"/>
      <c r="AM538" s="4"/>
      <c r="AN538" s="4"/>
      <c r="AO538" s="4"/>
      <c r="AP538" s="4"/>
      <c r="AQ538" s="4"/>
      <c r="AR538" s="4"/>
      <c r="AS538" s="4"/>
      <c r="AT538" s="4"/>
      <c r="AU538" s="4"/>
    </row>
    <row r="539" spans="1:47" ht="13.2">
      <c r="A539" s="120"/>
      <c r="B539" s="113"/>
      <c r="C539" s="117"/>
      <c r="D539" s="117"/>
      <c r="E539" s="117"/>
      <c r="F539" s="123"/>
      <c r="G539" s="93" t="s">
        <v>145</v>
      </c>
      <c r="H539" s="125"/>
      <c r="I539" s="125"/>
      <c r="J539" s="82" t="str">
        <f t="shared" ca="1" si="147"/>
        <v>#REF!</v>
      </c>
      <c r="K539" s="82" t="str">
        <f t="shared" ca="1" si="256"/>
        <v>#REF!</v>
      </c>
      <c r="L539" s="82" t="str">
        <f t="shared" ca="1" si="199"/>
        <v>#REF!</v>
      </c>
      <c r="M539" s="125"/>
      <c r="N539" s="125"/>
      <c r="O539" s="230">
        <f t="shared" si="2"/>
        <v>0</v>
      </c>
      <c r="P539" s="231">
        <f t="shared" si="3"/>
        <v>0</v>
      </c>
      <c r="Q539" s="232" t="str">
        <f ca="1">ROUNDUP(HLOOKUP(IF(CEILING(L539,0.5)&lt;1,1,CEILING(L539,0.5)),'배송비 조회'!A$32:AY$36,2,0),-2)</f>
        <v>#REF!</v>
      </c>
      <c r="R539" s="232">
        <v>0</v>
      </c>
      <c r="S539" s="231" t="str">
        <f t="shared" ca="1" si="250"/>
        <v>#REF!</v>
      </c>
      <c r="T539" s="231" t="str">
        <f t="shared" ca="1" si="200"/>
        <v>#REF!</v>
      </c>
      <c r="U539" s="233" t="str">
        <f t="shared" ca="1" si="142"/>
        <v>#REF!</v>
      </c>
      <c r="V539" s="233" t="str">
        <f t="shared" ca="1" si="7"/>
        <v>#REF!</v>
      </c>
      <c r="W539" s="234">
        <v>0</v>
      </c>
      <c r="X539" s="234" t="str">
        <f t="shared" ca="1" si="8"/>
        <v>#REF!</v>
      </c>
      <c r="Y539" s="234" t="str">
        <f t="shared" ca="1" si="9"/>
        <v>#REF!</v>
      </c>
      <c r="Z539" s="234" t="str">
        <f t="shared" ca="1" si="10"/>
        <v>#REF!</v>
      </c>
      <c r="AA539" s="234" t="str">
        <f t="shared" ca="1" si="11"/>
        <v>#REF!</v>
      </c>
      <c r="AB539" s="234" t="str">
        <f t="shared" ca="1" si="12"/>
        <v>#REF!</v>
      </c>
      <c r="AC539" s="234" t="str">
        <f t="shared" ca="1" si="13"/>
        <v>#REF!</v>
      </c>
      <c r="AD539" s="101" t="str">
        <f t="shared" ca="1" si="14"/>
        <v>#REF!</v>
      </c>
      <c r="AE539" s="101" t="str">
        <f t="shared" ca="1" si="15"/>
        <v>#REF!</v>
      </c>
      <c r="AF539" s="235" t="str">
        <f t="shared" ref="AF539:AG539" ca="1" si="616">AD539/U539</f>
        <v>#REF!</v>
      </c>
      <c r="AG539" s="235" t="str">
        <f t="shared" ca="1" si="616"/>
        <v>#REF!</v>
      </c>
      <c r="AH539" s="212"/>
      <c r="AI539" s="213"/>
      <c r="AJ539" s="4"/>
      <c r="AK539" s="4"/>
      <c r="AL539" s="4"/>
      <c r="AM539" s="4"/>
      <c r="AN539" s="4"/>
      <c r="AO539" s="4"/>
      <c r="AP539" s="4"/>
      <c r="AQ539" s="4"/>
      <c r="AR539" s="4"/>
      <c r="AS539" s="4"/>
      <c r="AT539" s="4"/>
      <c r="AU539" s="4"/>
    </row>
    <row r="540" spans="1:47" ht="13.2">
      <c r="A540" s="120"/>
      <c r="B540" s="113"/>
      <c r="C540" s="117"/>
      <c r="D540" s="117"/>
      <c r="E540" s="117"/>
      <c r="F540" s="123"/>
      <c r="G540" s="93" t="s">
        <v>145</v>
      </c>
      <c r="H540" s="125"/>
      <c r="I540" s="125"/>
      <c r="J540" s="82" t="str">
        <f t="shared" ca="1" si="147"/>
        <v>#REF!</v>
      </c>
      <c r="K540" s="82" t="str">
        <f t="shared" ca="1" si="256"/>
        <v>#REF!</v>
      </c>
      <c r="L540" s="82" t="str">
        <f t="shared" ca="1" si="199"/>
        <v>#REF!</v>
      </c>
      <c r="M540" s="125"/>
      <c r="N540" s="125"/>
      <c r="O540" s="230">
        <f t="shared" si="2"/>
        <v>0</v>
      </c>
      <c r="P540" s="231">
        <f t="shared" si="3"/>
        <v>0</v>
      </c>
      <c r="Q540" s="232" t="str">
        <f ca="1">ROUNDUP(HLOOKUP(IF(CEILING(L540,0.5)&lt;1,1,CEILING(L540,0.5)),'배송비 조회'!A$32:AY$36,2,0),-2)</f>
        <v>#REF!</v>
      </c>
      <c r="R540" s="232">
        <v>0</v>
      </c>
      <c r="S540" s="231" t="str">
        <f t="shared" ca="1" si="250"/>
        <v>#REF!</v>
      </c>
      <c r="T540" s="231" t="str">
        <f t="shared" ca="1" si="200"/>
        <v>#REF!</v>
      </c>
      <c r="U540" s="233" t="str">
        <f t="shared" ca="1" si="142"/>
        <v>#REF!</v>
      </c>
      <c r="V540" s="233" t="str">
        <f t="shared" ca="1" si="7"/>
        <v>#REF!</v>
      </c>
      <c r="W540" s="234">
        <v>0</v>
      </c>
      <c r="X540" s="234" t="str">
        <f t="shared" ca="1" si="8"/>
        <v>#REF!</v>
      </c>
      <c r="Y540" s="234" t="str">
        <f t="shared" ca="1" si="9"/>
        <v>#REF!</v>
      </c>
      <c r="Z540" s="234" t="str">
        <f t="shared" ca="1" si="10"/>
        <v>#REF!</v>
      </c>
      <c r="AA540" s="234" t="str">
        <f t="shared" ca="1" si="11"/>
        <v>#REF!</v>
      </c>
      <c r="AB540" s="234" t="str">
        <f t="shared" ca="1" si="12"/>
        <v>#REF!</v>
      </c>
      <c r="AC540" s="234" t="str">
        <f t="shared" ca="1" si="13"/>
        <v>#REF!</v>
      </c>
      <c r="AD540" s="101" t="str">
        <f t="shared" ca="1" si="14"/>
        <v>#REF!</v>
      </c>
      <c r="AE540" s="101" t="str">
        <f t="shared" ca="1" si="15"/>
        <v>#REF!</v>
      </c>
      <c r="AF540" s="235" t="str">
        <f t="shared" ref="AF540:AG540" ca="1" si="617">AD540/U540</f>
        <v>#REF!</v>
      </c>
      <c r="AG540" s="235" t="str">
        <f t="shared" ca="1" si="617"/>
        <v>#REF!</v>
      </c>
      <c r="AH540" s="212"/>
      <c r="AI540" s="213"/>
      <c r="AJ540" s="4"/>
      <c r="AK540" s="4"/>
      <c r="AL540" s="4"/>
      <c r="AM540" s="4"/>
      <c r="AN540" s="4"/>
      <c r="AO540" s="4"/>
      <c r="AP540" s="4"/>
      <c r="AQ540" s="4"/>
      <c r="AR540" s="4"/>
      <c r="AS540" s="4"/>
      <c r="AT540" s="4"/>
      <c r="AU540" s="4"/>
    </row>
    <row r="541" spans="1:47" ht="13.2">
      <c r="A541" s="120"/>
      <c r="B541" s="113"/>
      <c r="C541" s="117"/>
      <c r="D541" s="117"/>
      <c r="E541" s="117"/>
      <c r="F541" s="123"/>
      <c r="G541" s="93" t="s">
        <v>145</v>
      </c>
      <c r="H541" s="125"/>
      <c r="I541" s="125"/>
      <c r="J541" s="82" t="str">
        <f t="shared" ca="1" si="147"/>
        <v>#REF!</v>
      </c>
      <c r="K541" s="82" t="str">
        <f t="shared" ca="1" si="256"/>
        <v>#REF!</v>
      </c>
      <c r="L541" s="82" t="str">
        <f t="shared" ca="1" si="199"/>
        <v>#REF!</v>
      </c>
      <c r="M541" s="125"/>
      <c r="N541" s="125"/>
      <c r="O541" s="230">
        <f t="shared" si="2"/>
        <v>0</v>
      </c>
      <c r="P541" s="231">
        <f t="shared" si="3"/>
        <v>0</v>
      </c>
      <c r="Q541" s="232" t="str">
        <f ca="1">ROUNDUP(HLOOKUP(IF(CEILING(L541,0.5)&lt;1,1,CEILING(L541,0.5)),'배송비 조회'!A$32:AY$36,2,0),-2)</f>
        <v>#REF!</v>
      </c>
      <c r="R541" s="232">
        <v>0</v>
      </c>
      <c r="S541" s="231" t="str">
        <f t="shared" ca="1" si="250"/>
        <v>#REF!</v>
      </c>
      <c r="T541" s="231" t="str">
        <f t="shared" ca="1" si="200"/>
        <v>#REF!</v>
      </c>
      <c r="U541" s="233" t="str">
        <f t="shared" ca="1" si="142"/>
        <v>#REF!</v>
      </c>
      <c r="V541" s="233" t="str">
        <f t="shared" ca="1" si="7"/>
        <v>#REF!</v>
      </c>
      <c r="W541" s="234">
        <v>0</v>
      </c>
      <c r="X541" s="234" t="str">
        <f t="shared" ca="1" si="8"/>
        <v>#REF!</v>
      </c>
      <c r="Y541" s="234" t="str">
        <f t="shared" ca="1" si="9"/>
        <v>#REF!</v>
      </c>
      <c r="Z541" s="234" t="str">
        <f t="shared" ca="1" si="10"/>
        <v>#REF!</v>
      </c>
      <c r="AA541" s="234" t="str">
        <f t="shared" ca="1" si="11"/>
        <v>#REF!</v>
      </c>
      <c r="AB541" s="234" t="str">
        <f t="shared" ca="1" si="12"/>
        <v>#REF!</v>
      </c>
      <c r="AC541" s="234" t="str">
        <f t="shared" ca="1" si="13"/>
        <v>#REF!</v>
      </c>
      <c r="AD541" s="101" t="str">
        <f t="shared" ca="1" si="14"/>
        <v>#REF!</v>
      </c>
      <c r="AE541" s="101" t="str">
        <f t="shared" ca="1" si="15"/>
        <v>#REF!</v>
      </c>
      <c r="AF541" s="235" t="str">
        <f t="shared" ref="AF541:AG541" ca="1" si="618">AD541/U541</f>
        <v>#REF!</v>
      </c>
      <c r="AG541" s="235" t="str">
        <f t="shared" ca="1" si="618"/>
        <v>#REF!</v>
      </c>
      <c r="AH541" s="212"/>
      <c r="AI541" s="213"/>
      <c r="AJ541" s="4"/>
      <c r="AK541" s="4"/>
      <c r="AL541" s="4"/>
      <c r="AM541" s="4"/>
      <c r="AN541" s="4"/>
      <c r="AO541" s="4"/>
      <c r="AP541" s="4"/>
      <c r="AQ541" s="4"/>
      <c r="AR541" s="4"/>
      <c r="AS541" s="4"/>
      <c r="AT541" s="4"/>
      <c r="AU541" s="4"/>
    </row>
    <row r="542" spans="1:47" ht="13.2">
      <c r="A542" s="120"/>
      <c r="B542" s="113"/>
      <c r="C542" s="117"/>
      <c r="D542" s="117"/>
      <c r="E542" s="117"/>
      <c r="F542" s="123"/>
      <c r="G542" s="93" t="s">
        <v>145</v>
      </c>
      <c r="H542" s="125"/>
      <c r="I542" s="125"/>
      <c r="J542" s="82" t="str">
        <f t="shared" ca="1" si="147"/>
        <v>#REF!</v>
      </c>
      <c r="K542" s="82" t="str">
        <f t="shared" ca="1" si="256"/>
        <v>#REF!</v>
      </c>
      <c r="L542" s="82" t="str">
        <f t="shared" ca="1" si="199"/>
        <v>#REF!</v>
      </c>
      <c r="M542" s="125"/>
      <c r="N542" s="125"/>
      <c r="O542" s="230">
        <f t="shared" si="2"/>
        <v>0</v>
      </c>
      <c r="P542" s="231">
        <f t="shared" si="3"/>
        <v>0</v>
      </c>
      <c r="Q542" s="232" t="str">
        <f ca="1">ROUNDUP(HLOOKUP(IF(CEILING(L542,0.5)&lt;1,1,CEILING(L542,0.5)),'배송비 조회'!A$32:AY$36,2,0),-2)</f>
        <v>#REF!</v>
      </c>
      <c r="R542" s="232">
        <v>0</v>
      </c>
      <c r="S542" s="231" t="str">
        <f t="shared" ca="1" si="250"/>
        <v>#REF!</v>
      </c>
      <c r="T542" s="231" t="str">
        <f t="shared" ca="1" si="200"/>
        <v>#REF!</v>
      </c>
      <c r="U542" s="233" t="str">
        <f t="shared" ca="1" si="142"/>
        <v>#REF!</v>
      </c>
      <c r="V542" s="233" t="str">
        <f t="shared" ca="1" si="7"/>
        <v>#REF!</v>
      </c>
      <c r="W542" s="234">
        <v>0</v>
      </c>
      <c r="X542" s="234" t="str">
        <f t="shared" ca="1" si="8"/>
        <v>#REF!</v>
      </c>
      <c r="Y542" s="234" t="str">
        <f t="shared" ca="1" si="9"/>
        <v>#REF!</v>
      </c>
      <c r="Z542" s="234" t="str">
        <f t="shared" ca="1" si="10"/>
        <v>#REF!</v>
      </c>
      <c r="AA542" s="234" t="str">
        <f t="shared" ca="1" si="11"/>
        <v>#REF!</v>
      </c>
      <c r="AB542" s="234" t="str">
        <f t="shared" ca="1" si="12"/>
        <v>#REF!</v>
      </c>
      <c r="AC542" s="234" t="str">
        <f t="shared" ca="1" si="13"/>
        <v>#REF!</v>
      </c>
      <c r="AD542" s="101" t="str">
        <f t="shared" ca="1" si="14"/>
        <v>#REF!</v>
      </c>
      <c r="AE542" s="101" t="str">
        <f t="shared" ca="1" si="15"/>
        <v>#REF!</v>
      </c>
      <c r="AF542" s="235" t="str">
        <f t="shared" ref="AF542:AG542" ca="1" si="619">AD542/U542</f>
        <v>#REF!</v>
      </c>
      <c r="AG542" s="235" t="str">
        <f t="shared" ca="1" si="619"/>
        <v>#REF!</v>
      </c>
      <c r="AH542" s="212"/>
      <c r="AI542" s="213"/>
      <c r="AJ542" s="4"/>
      <c r="AK542" s="4"/>
      <c r="AL542" s="4"/>
      <c r="AM542" s="4"/>
      <c r="AN542" s="4"/>
      <c r="AO542" s="4"/>
      <c r="AP542" s="4"/>
      <c r="AQ542" s="4"/>
      <c r="AR542" s="4"/>
      <c r="AS542" s="4"/>
      <c r="AT542" s="4"/>
      <c r="AU542" s="4"/>
    </row>
    <row r="543" spans="1:47" ht="13.2">
      <c r="A543" s="120"/>
      <c r="B543" s="113"/>
      <c r="C543" s="117"/>
      <c r="D543" s="117"/>
      <c r="E543" s="117"/>
      <c r="F543" s="123"/>
      <c r="G543" s="93" t="s">
        <v>145</v>
      </c>
      <c r="H543" s="125"/>
      <c r="I543" s="125"/>
      <c r="J543" s="82" t="str">
        <f t="shared" ca="1" si="147"/>
        <v>#REF!</v>
      </c>
      <c r="K543" s="82" t="str">
        <f t="shared" ca="1" si="256"/>
        <v>#REF!</v>
      </c>
      <c r="L543" s="82" t="str">
        <f t="shared" ca="1" si="199"/>
        <v>#REF!</v>
      </c>
      <c r="M543" s="125"/>
      <c r="N543" s="125"/>
      <c r="O543" s="230">
        <f t="shared" si="2"/>
        <v>0</v>
      </c>
      <c r="P543" s="231">
        <f t="shared" si="3"/>
        <v>0</v>
      </c>
      <c r="Q543" s="232" t="str">
        <f ca="1">ROUNDUP(HLOOKUP(IF(CEILING(L543,0.5)&lt;1,1,CEILING(L543,0.5)),'배송비 조회'!A$32:AY$36,2,0),-2)</f>
        <v>#REF!</v>
      </c>
      <c r="R543" s="232">
        <v>0</v>
      </c>
      <c r="S543" s="231" t="str">
        <f t="shared" ca="1" si="250"/>
        <v>#REF!</v>
      </c>
      <c r="T543" s="231" t="str">
        <f t="shared" ca="1" si="200"/>
        <v>#REF!</v>
      </c>
      <c r="U543" s="233" t="str">
        <f t="shared" ca="1" si="142"/>
        <v>#REF!</v>
      </c>
      <c r="V543" s="233" t="str">
        <f t="shared" ca="1" si="7"/>
        <v>#REF!</v>
      </c>
      <c r="W543" s="234">
        <v>0</v>
      </c>
      <c r="X543" s="234" t="str">
        <f t="shared" ca="1" si="8"/>
        <v>#REF!</v>
      </c>
      <c r="Y543" s="234" t="str">
        <f t="shared" ca="1" si="9"/>
        <v>#REF!</v>
      </c>
      <c r="Z543" s="234" t="str">
        <f t="shared" ca="1" si="10"/>
        <v>#REF!</v>
      </c>
      <c r="AA543" s="234" t="str">
        <f t="shared" ca="1" si="11"/>
        <v>#REF!</v>
      </c>
      <c r="AB543" s="234" t="str">
        <f t="shared" ca="1" si="12"/>
        <v>#REF!</v>
      </c>
      <c r="AC543" s="234" t="str">
        <f t="shared" ca="1" si="13"/>
        <v>#REF!</v>
      </c>
      <c r="AD543" s="101" t="str">
        <f t="shared" ca="1" si="14"/>
        <v>#REF!</v>
      </c>
      <c r="AE543" s="101" t="str">
        <f t="shared" ca="1" si="15"/>
        <v>#REF!</v>
      </c>
      <c r="AF543" s="235" t="str">
        <f t="shared" ref="AF543:AG543" ca="1" si="620">AD543/U543</f>
        <v>#REF!</v>
      </c>
      <c r="AG543" s="235" t="str">
        <f t="shared" ca="1" si="620"/>
        <v>#REF!</v>
      </c>
      <c r="AH543" s="212"/>
      <c r="AI543" s="213"/>
      <c r="AJ543" s="4"/>
      <c r="AK543" s="4"/>
      <c r="AL543" s="4"/>
      <c r="AM543" s="4"/>
      <c r="AN543" s="4"/>
      <c r="AO543" s="4"/>
      <c r="AP543" s="4"/>
      <c r="AQ543" s="4"/>
      <c r="AR543" s="4"/>
      <c r="AS543" s="4"/>
      <c r="AT543" s="4"/>
      <c r="AU543" s="4"/>
    </row>
    <row r="544" spans="1:47" ht="13.2">
      <c r="A544" s="120"/>
      <c r="B544" s="113"/>
      <c r="C544" s="117"/>
      <c r="D544" s="117"/>
      <c r="E544" s="117"/>
      <c r="F544" s="123"/>
      <c r="G544" s="93" t="s">
        <v>145</v>
      </c>
      <c r="H544" s="125"/>
      <c r="I544" s="125"/>
      <c r="J544" s="82" t="str">
        <f t="shared" ca="1" si="147"/>
        <v>#REF!</v>
      </c>
      <c r="K544" s="82" t="str">
        <f t="shared" ca="1" si="256"/>
        <v>#REF!</v>
      </c>
      <c r="L544" s="82" t="str">
        <f t="shared" ca="1" si="199"/>
        <v>#REF!</v>
      </c>
      <c r="M544" s="125"/>
      <c r="N544" s="125"/>
      <c r="O544" s="230">
        <f t="shared" si="2"/>
        <v>0</v>
      </c>
      <c r="P544" s="231">
        <f t="shared" si="3"/>
        <v>0</v>
      </c>
      <c r="Q544" s="232" t="str">
        <f ca="1">ROUNDUP(HLOOKUP(IF(CEILING(L544,0.5)&lt;1,1,CEILING(L544,0.5)),'배송비 조회'!A$32:AY$36,2,0),-2)</f>
        <v>#REF!</v>
      </c>
      <c r="R544" s="232">
        <v>0</v>
      </c>
      <c r="S544" s="231" t="str">
        <f t="shared" ca="1" si="250"/>
        <v>#REF!</v>
      </c>
      <c r="T544" s="231" t="str">
        <f t="shared" ca="1" si="200"/>
        <v>#REF!</v>
      </c>
      <c r="U544" s="233" t="str">
        <f t="shared" ca="1" si="142"/>
        <v>#REF!</v>
      </c>
      <c r="V544" s="233" t="str">
        <f t="shared" ca="1" si="7"/>
        <v>#REF!</v>
      </c>
      <c r="W544" s="234">
        <v>0</v>
      </c>
      <c r="X544" s="234" t="str">
        <f t="shared" ca="1" si="8"/>
        <v>#REF!</v>
      </c>
      <c r="Y544" s="234" t="str">
        <f t="shared" ca="1" si="9"/>
        <v>#REF!</v>
      </c>
      <c r="Z544" s="234" t="str">
        <f t="shared" ca="1" si="10"/>
        <v>#REF!</v>
      </c>
      <c r="AA544" s="234" t="str">
        <f t="shared" ca="1" si="11"/>
        <v>#REF!</v>
      </c>
      <c r="AB544" s="234" t="str">
        <f t="shared" ca="1" si="12"/>
        <v>#REF!</v>
      </c>
      <c r="AC544" s="234" t="str">
        <f t="shared" ca="1" si="13"/>
        <v>#REF!</v>
      </c>
      <c r="AD544" s="101" t="str">
        <f t="shared" ca="1" si="14"/>
        <v>#REF!</v>
      </c>
      <c r="AE544" s="101" t="str">
        <f t="shared" ca="1" si="15"/>
        <v>#REF!</v>
      </c>
      <c r="AF544" s="235" t="str">
        <f t="shared" ref="AF544:AG544" ca="1" si="621">AD544/U544</f>
        <v>#REF!</v>
      </c>
      <c r="AG544" s="235" t="str">
        <f t="shared" ca="1" si="621"/>
        <v>#REF!</v>
      </c>
      <c r="AH544" s="212"/>
      <c r="AI544" s="213"/>
      <c r="AJ544" s="4"/>
      <c r="AK544" s="4"/>
      <c r="AL544" s="4"/>
      <c r="AM544" s="4"/>
      <c r="AN544" s="4"/>
      <c r="AO544" s="4"/>
      <c r="AP544" s="4"/>
      <c r="AQ544" s="4"/>
      <c r="AR544" s="4"/>
      <c r="AS544" s="4"/>
      <c r="AT544" s="4"/>
      <c r="AU544" s="4"/>
    </row>
    <row r="545" spans="1:47" ht="13.2">
      <c r="A545" s="120"/>
      <c r="B545" s="113"/>
      <c r="C545" s="117"/>
      <c r="D545" s="117"/>
      <c r="E545" s="117"/>
      <c r="F545" s="123"/>
      <c r="G545" s="93" t="s">
        <v>145</v>
      </c>
      <c r="H545" s="125"/>
      <c r="I545" s="125"/>
      <c r="J545" s="82" t="str">
        <f t="shared" ca="1" si="147"/>
        <v>#REF!</v>
      </c>
      <c r="K545" s="82" t="str">
        <f t="shared" ca="1" si="256"/>
        <v>#REF!</v>
      </c>
      <c r="L545" s="82" t="str">
        <f t="shared" ca="1" si="199"/>
        <v>#REF!</v>
      </c>
      <c r="M545" s="125"/>
      <c r="N545" s="125"/>
      <c r="O545" s="230">
        <f t="shared" si="2"/>
        <v>0</v>
      </c>
      <c r="P545" s="231">
        <f t="shared" si="3"/>
        <v>0</v>
      </c>
      <c r="Q545" s="232" t="str">
        <f ca="1">ROUNDUP(HLOOKUP(IF(CEILING(L545,0.5)&lt;1,1,CEILING(L545,0.5)),'배송비 조회'!A$32:AY$36,2,0),-2)</f>
        <v>#REF!</v>
      </c>
      <c r="R545" s="232">
        <v>0</v>
      </c>
      <c r="S545" s="231" t="str">
        <f t="shared" ca="1" si="250"/>
        <v>#REF!</v>
      </c>
      <c r="T545" s="231" t="str">
        <f t="shared" ca="1" si="200"/>
        <v>#REF!</v>
      </c>
      <c r="U545" s="233" t="str">
        <f t="shared" ca="1" si="142"/>
        <v>#REF!</v>
      </c>
      <c r="V545" s="233" t="str">
        <f t="shared" ca="1" si="7"/>
        <v>#REF!</v>
      </c>
      <c r="W545" s="234">
        <v>0</v>
      </c>
      <c r="X545" s="234" t="str">
        <f t="shared" ca="1" si="8"/>
        <v>#REF!</v>
      </c>
      <c r="Y545" s="234" t="str">
        <f t="shared" ca="1" si="9"/>
        <v>#REF!</v>
      </c>
      <c r="Z545" s="234" t="str">
        <f t="shared" ca="1" si="10"/>
        <v>#REF!</v>
      </c>
      <c r="AA545" s="234" t="str">
        <f t="shared" ca="1" si="11"/>
        <v>#REF!</v>
      </c>
      <c r="AB545" s="234" t="str">
        <f t="shared" ca="1" si="12"/>
        <v>#REF!</v>
      </c>
      <c r="AC545" s="234" t="str">
        <f t="shared" ca="1" si="13"/>
        <v>#REF!</v>
      </c>
      <c r="AD545" s="101" t="str">
        <f t="shared" ca="1" si="14"/>
        <v>#REF!</v>
      </c>
      <c r="AE545" s="101" t="str">
        <f t="shared" ca="1" si="15"/>
        <v>#REF!</v>
      </c>
      <c r="AF545" s="235" t="str">
        <f t="shared" ref="AF545:AG545" ca="1" si="622">AD545/U545</f>
        <v>#REF!</v>
      </c>
      <c r="AG545" s="235" t="str">
        <f t="shared" ca="1" si="622"/>
        <v>#REF!</v>
      </c>
      <c r="AH545" s="212"/>
      <c r="AI545" s="213"/>
      <c r="AJ545" s="4"/>
      <c r="AK545" s="4"/>
      <c r="AL545" s="4"/>
      <c r="AM545" s="4"/>
      <c r="AN545" s="4"/>
      <c r="AO545" s="4"/>
      <c r="AP545" s="4"/>
      <c r="AQ545" s="4"/>
      <c r="AR545" s="4"/>
      <c r="AS545" s="4"/>
      <c r="AT545" s="4"/>
      <c r="AU545" s="4"/>
    </row>
    <row r="546" spans="1:47" ht="13.2">
      <c r="A546" s="120"/>
      <c r="B546" s="113"/>
      <c r="C546" s="117"/>
      <c r="D546" s="117"/>
      <c r="E546" s="117"/>
      <c r="F546" s="123"/>
      <c r="G546" s="93" t="s">
        <v>145</v>
      </c>
      <c r="H546" s="125"/>
      <c r="I546" s="125"/>
      <c r="J546" s="82" t="str">
        <f t="shared" ca="1" si="147"/>
        <v>#REF!</v>
      </c>
      <c r="K546" s="82" t="str">
        <f t="shared" ca="1" si="256"/>
        <v>#REF!</v>
      </c>
      <c r="L546" s="82" t="str">
        <f t="shared" ca="1" si="199"/>
        <v>#REF!</v>
      </c>
      <c r="M546" s="125"/>
      <c r="N546" s="125"/>
      <c r="O546" s="230">
        <f t="shared" si="2"/>
        <v>0</v>
      </c>
      <c r="P546" s="231">
        <f t="shared" si="3"/>
        <v>0</v>
      </c>
      <c r="Q546" s="232" t="str">
        <f ca="1">ROUNDUP(HLOOKUP(IF(CEILING(L546,0.5)&lt;1,1,CEILING(L546,0.5)),'배송비 조회'!A$32:AY$36,2,0),-2)</f>
        <v>#REF!</v>
      </c>
      <c r="R546" s="232">
        <v>0</v>
      </c>
      <c r="S546" s="231" t="str">
        <f t="shared" ca="1" si="250"/>
        <v>#REF!</v>
      </c>
      <c r="T546" s="231" t="str">
        <f t="shared" ca="1" si="200"/>
        <v>#REF!</v>
      </c>
      <c r="U546" s="233" t="str">
        <f t="shared" ca="1" si="142"/>
        <v>#REF!</v>
      </c>
      <c r="V546" s="233" t="str">
        <f t="shared" ca="1" si="7"/>
        <v>#REF!</v>
      </c>
      <c r="W546" s="234">
        <v>0</v>
      </c>
      <c r="X546" s="234" t="str">
        <f t="shared" ca="1" si="8"/>
        <v>#REF!</v>
      </c>
      <c r="Y546" s="234" t="str">
        <f t="shared" ca="1" si="9"/>
        <v>#REF!</v>
      </c>
      <c r="Z546" s="234" t="str">
        <f t="shared" ca="1" si="10"/>
        <v>#REF!</v>
      </c>
      <c r="AA546" s="234" t="str">
        <f t="shared" ca="1" si="11"/>
        <v>#REF!</v>
      </c>
      <c r="AB546" s="234" t="str">
        <f t="shared" ca="1" si="12"/>
        <v>#REF!</v>
      </c>
      <c r="AC546" s="234" t="str">
        <f t="shared" ca="1" si="13"/>
        <v>#REF!</v>
      </c>
      <c r="AD546" s="101" t="str">
        <f t="shared" ca="1" si="14"/>
        <v>#REF!</v>
      </c>
      <c r="AE546" s="101" t="str">
        <f t="shared" ca="1" si="15"/>
        <v>#REF!</v>
      </c>
      <c r="AF546" s="235" t="str">
        <f t="shared" ref="AF546:AG546" ca="1" si="623">AD546/U546</f>
        <v>#REF!</v>
      </c>
      <c r="AG546" s="235" t="str">
        <f t="shared" ca="1" si="623"/>
        <v>#REF!</v>
      </c>
      <c r="AH546" s="212"/>
      <c r="AI546" s="213"/>
      <c r="AJ546" s="4"/>
      <c r="AK546" s="4"/>
      <c r="AL546" s="4"/>
      <c r="AM546" s="4"/>
      <c r="AN546" s="4"/>
      <c r="AO546" s="4"/>
      <c r="AP546" s="4"/>
      <c r="AQ546" s="4"/>
      <c r="AR546" s="4"/>
      <c r="AS546" s="4"/>
      <c r="AT546" s="4"/>
      <c r="AU546" s="4"/>
    </row>
    <row r="547" spans="1:47" ht="13.2">
      <c r="A547" s="120"/>
      <c r="B547" s="113"/>
      <c r="C547" s="117"/>
      <c r="D547" s="117"/>
      <c r="E547" s="117"/>
      <c r="F547" s="123"/>
      <c r="G547" s="93" t="s">
        <v>145</v>
      </c>
      <c r="H547" s="125"/>
      <c r="I547" s="125"/>
      <c r="J547" s="82" t="str">
        <f t="shared" ca="1" si="147"/>
        <v>#REF!</v>
      </c>
      <c r="K547" s="82" t="str">
        <f t="shared" ca="1" si="256"/>
        <v>#REF!</v>
      </c>
      <c r="L547" s="82" t="str">
        <f t="shared" ca="1" si="199"/>
        <v>#REF!</v>
      </c>
      <c r="M547" s="125"/>
      <c r="N547" s="125"/>
      <c r="O547" s="230">
        <f t="shared" si="2"/>
        <v>0</v>
      </c>
      <c r="P547" s="231">
        <f t="shared" si="3"/>
        <v>0</v>
      </c>
      <c r="Q547" s="232" t="str">
        <f ca="1">ROUNDUP(HLOOKUP(IF(CEILING(L547,0.5)&lt;1,1,CEILING(L547,0.5)),'배송비 조회'!A$32:AY$36,2,0),-2)</f>
        <v>#REF!</v>
      </c>
      <c r="R547" s="232">
        <v>0</v>
      </c>
      <c r="S547" s="231" t="str">
        <f t="shared" ca="1" si="250"/>
        <v>#REF!</v>
      </c>
      <c r="T547" s="231" t="str">
        <f t="shared" ca="1" si="200"/>
        <v>#REF!</v>
      </c>
      <c r="U547" s="233" t="str">
        <f t="shared" ca="1" si="142"/>
        <v>#REF!</v>
      </c>
      <c r="V547" s="233" t="str">
        <f t="shared" ca="1" si="7"/>
        <v>#REF!</v>
      </c>
      <c r="W547" s="234">
        <v>0</v>
      </c>
      <c r="X547" s="234" t="str">
        <f t="shared" ca="1" si="8"/>
        <v>#REF!</v>
      </c>
      <c r="Y547" s="234" t="str">
        <f t="shared" ca="1" si="9"/>
        <v>#REF!</v>
      </c>
      <c r="Z547" s="234" t="str">
        <f t="shared" ca="1" si="10"/>
        <v>#REF!</v>
      </c>
      <c r="AA547" s="234" t="str">
        <f t="shared" ca="1" si="11"/>
        <v>#REF!</v>
      </c>
      <c r="AB547" s="234" t="str">
        <f t="shared" ca="1" si="12"/>
        <v>#REF!</v>
      </c>
      <c r="AC547" s="234" t="str">
        <f t="shared" ca="1" si="13"/>
        <v>#REF!</v>
      </c>
      <c r="AD547" s="101" t="str">
        <f t="shared" ca="1" si="14"/>
        <v>#REF!</v>
      </c>
      <c r="AE547" s="101" t="str">
        <f t="shared" ca="1" si="15"/>
        <v>#REF!</v>
      </c>
      <c r="AF547" s="235" t="str">
        <f t="shared" ref="AF547:AG547" ca="1" si="624">AD547/U547</f>
        <v>#REF!</v>
      </c>
      <c r="AG547" s="235" t="str">
        <f t="shared" ca="1" si="624"/>
        <v>#REF!</v>
      </c>
      <c r="AH547" s="212"/>
      <c r="AI547" s="213"/>
      <c r="AJ547" s="4"/>
      <c r="AK547" s="4"/>
      <c r="AL547" s="4"/>
      <c r="AM547" s="4"/>
      <c r="AN547" s="4"/>
      <c r="AO547" s="4"/>
      <c r="AP547" s="4"/>
      <c r="AQ547" s="4"/>
      <c r="AR547" s="4"/>
      <c r="AS547" s="4"/>
      <c r="AT547" s="4"/>
      <c r="AU547" s="4"/>
    </row>
    <row r="548" spans="1:47" ht="13.2">
      <c r="A548" s="120"/>
      <c r="B548" s="113"/>
      <c r="C548" s="117"/>
      <c r="D548" s="117"/>
      <c r="E548" s="117"/>
      <c r="F548" s="123"/>
      <c r="G548" s="93" t="s">
        <v>145</v>
      </c>
      <c r="H548" s="125"/>
      <c r="I548" s="125"/>
      <c r="J548" s="82" t="str">
        <f t="shared" ca="1" si="147"/>
        <v>#REF!</v>
      </c>
      <c r="K548" s="82" t="str">
        <f t="shared" ca="1" si="256"/>
        <v>#REF!</v>
      </c>
      <c r="L548" s="82" t="str">
        <f t="shared" ca="1" si="199"/>
        <v>#REF!</v>
      </c>
      <c r="M548" s="125"/>
      <c r="N548" s="125"/>
      <c r="O548" s="230">
        <f t="shared" si="2"/>
        <v>0</v>
      </c>
      <c r="P548" s="231">
        <f t="shared" si="3"/>
        <v>0</v>
      </c>
      <c r="Q548" s="232" t="str">
        <f ca="1">ROUNDUP(HLOOKUP(IF(CEILING(L548,0.5)&lt;1,1,CEILING(L548,0.5)),'배송비 조회'!A$32:AY$36,2,0),-2)</f>
        <v>#REF!</v>
      </c>
      <c r="R548" s="232">
        <v>0</v>
      </c>
      <c r="S548" s="231" t="str">
        <f t="shared" ca="1" si="250"/>
        <v>#REF!</v>
      </c>
      <c r="T548" s="231" t="str">
        <f t="shared" ca="1" si="200"/>
        <v>#REF!</v>
      </c>
      <c r="U548" s="233" t="str">
        <f t="shared" ca="1" si="142"/>
        <v>#REF!</v>
      </c>
      <c r="V548" s="233" t="str">
        <f t="shared" ca="1" si="7"/>
        <v>#REF!</v>
      </c>
      <c r="W548" s="234">
        <v>0</v>
      </c>
      <c r="X548" s="234" t="str">
        <f t="shared" ca="1" si="8"/>
        <v>#REF!</v>
      </c>
      <c r="Y548" s="234" t="str">
        <f t="shared" ca="1" si="9"/>
        <v>#REF!</v>
      </c>
      <c r="Z548" s="234" t="str">
        <f t="shared" ca="1" si="10"/>
        <v>#REF!</v>
      </c>
      <c r="AA548" s="234" t="str">
        <f t="shared" ca="1" si="11"/>
        <v>#REF!</v>
      </c>
      <c r="AB548" s="234" t="str">
        <f t="shared" ca="1" si="12"/>
        <v>#REF!</v>
      </c>
      <c r="AC548" s="234" t="str">
        <f t="shared" ca="1" si="13"/>
        <v>#REF!</v>
      </c>
      <c r="AD548" s="101" t="str">
        <f t="shared" ca="1" si="14"/>
        <v>#REF!</v>
      </c>
      <c r="AE548" s="101" t="str">
        <f t="shared" ca="1" si="15"/>
        <v>#REF!</v>
      </c>
      <c r="AF548" s="235" t="str">
        <f t="shared" ref="AF548:AG548" ca="1" si="625">AD548/U548</f>
        <v>#REF!</v>
      </c>
      <c r="AG548" s="235" t="str">
        <f t="shared" ca="1" si="625"/>
        <v>#REF!</v>
      </c>
      <c r="AH548" s="212"/>
      <c r="AI548" s="213"/>
      <c r="AJ548" s="4"/>
      <c r="AK548" s="4"/>
      <c r="AL548" s="4"/>
      <c r="AM548" s="4"/>
      <c r="AN548" s="4"/>
      <c r="AO548" s="4"/>
      <c r="AP548" s="4"/>
      <c r="AQ548" s="4"/>
      <c r="AR548" s="4"/>
      <c r="AS548" s="4"/>
      <c r="AT548" s="4"/>
      <c r="AU548" s="4"/>
    </row>
    <row r="549" spans="1:47" ht="13.2">
      <c r="A549" s="120"/>
      <c r="B549" s="113"/>
      <c r="C549" s="117"/>
      <c r="D549" s="117"/>
      <c r="E549" s="117"/>
      <c r="F549" s="123"/>
      <c r="G549" s="93" t="s">
        <v>145</v>
      </c>
      <c r="H549" s="125"/>
      <c r="I549" s="125"/>
      <c r="J549" s="82" t="str">
        <f t="shared" ca="1" si="147"/>
        <v>#REF!</v>
      </c>
      <c r="K549" s="82" t="str">
        <f t="shared" ca="1" si="256"/>
        <v>#REF!</v>
      </c>
      <c r="L549" s="82" t="str">
        <f t="shared" ca="1" si="199"/>
        <v>#REF!</v>
      </c>
      <c r="M549" s="125"/>
      <c r="N549" s="125"/>
      <c r="O549" s="230">
        <f t="shared" si="2"/>
        <v>0</v>
      </c>
      <c r="P549" s="231">
        <f t="shared" si="3"/>
        <v>0</v>
      </c>
      <c r="Q549" s="232" t="str">
        <f ca="1">ROUNDUP(HLOOKUP(IF(CEILING(L549,0.5)&lt;1,1,CEILING(L549,0.5)),'배송비 조회'!A$32:AY$36,2,0),-2)</f>
        <v>#REF!</v>
      </c>
      <c r="R549" s="232">
        <v>0</v>
      </c>
      <c r="S549" s="231" t="str">
        <f t="shared" ca="1" si="250"/>
        <v>#REF!</v>
      </c>
      <c r="T549" s="231" t="str">
        <f t="shared" ca="1" si="200"/>
        <v>#REF!</v>
      </c>
      <c r="U549" s="233" t="str">
        <f t="shared" ca="1" si="142"/>
        <v>#REF!</v>
      </c>
      <c r="V549" s="233" t="str">
        <f t="shared" ca="1" si="7"/>
        <v>#REF!</v>
      </c>
      <c r="W549" s="234">
        <v>0</v>
      </c>
      <c r="X549" s="234" t="str">
        <f t="shared" ca="1" si="8"/>
        <v>#REF!</v>
      </c>
      <c r="Y549" s="234" t="str">
        <f t="shared" ca="1" si="9"/>
        <v>#REF!</v>
      </c>
      <c r="Z549" s="234" t="str">
        <f t="shared" ca="1" si="10"/>
        <v>#REF!</v>
      </c>
      <c r="AA549" s="234" t="str">
        <f t="shared" ca="1" si="11"/>
        <v>#REF!</v>
      </c>
      <c r="AB549" s="234" t="str">
        <f t="shared" ca="1" si="12"/>
        <v>#REF!</v>
      </c>
      <c r="AC549" s="234" t="str">
        <f t="shared" ca="1" si="13"/>
        <v>#REF!</v>
      </c>
      <c r="AD549" s="101" t="str">
        <f t="shared" ca="1" si="14"/>
        <v>#REF!</v>
      </c>
      <c r="AE549" s="101" t="str">
        <f t="shared" ca="1" si="15"/>
        <v>#REF!</v>
      </c>
      <c r="AF549" s="235" t="str">
        <f t="shared" ref="AF549:AG549" ca="1" si="626">AD549/U549</f>
        <v>#REF!</v>
      </c>
      <c r="AG549" s="235" t="str">
        <f t="shared" ca="1" si="626"/>
        <v>#REF!</v>
      </c>
      <c r="AH549" s="212"/>
      <c r="AI549" s="213"/>
      <c r="AJ549" s="4"/>
      <c r="AK549" s="4"/>
      <c r="AL549" s="4"/>
      <c r="AM549" s="4"/>
      <c r="AN549" s="4"/>
      <c r="AO549" s="4"/>
      <c r="AP549" s="4"/>
      <c r="AQ549" s="4"/>
      <c r="AR549" s="4"/>
      <c r="AS549" s="4"/>
      <c r="AT549" s="4"/>
      <c r="AU549" s="4"/>
    </row>
    <row r="550" spans="1:47" ht="13.2">
      <c r="A550" s="120"/>
      <c r="B550" s="113"/>
      <c r="C550" s="117"/>
      <c r="D550" s="117"/>
      <c r="E550" s="117"/>
      <c r="F550" s="123"/>
      <c r="G550" s="93" t="s">
        <v>145</v>
      </c>
      <c r="H550" s="125"/>
      <c r="I550" s="125"/>
      <c r="J550" s="82" t="str">
        <f t="shared" ca="1" si="147"/>
        <v>#REF!</v>
      </c>
      <c r="K550" s="82" t="str">
        <f t="shared" ca="1" si="256"/>
        <v>#REF!</v>
      </c>
      <c r="L550" s="82" t="str">
        <f t="shared" ca="1" si="199"/>
        <v>#REF!</v>
      </c>
      <c r="M550" s="125"/>
      <c r="N550" s="125"/>
      <c r="O550" s="230">
        <f t="shared" si="2"/>
        <v>0</v>
      </c>
      <c r="P550" s="231">
        <f t="shared" si="3"/>
        <v>0</v>
      </c>
      <c r="Q550" s="232" t="str">
        <f ca="1">ROUNDUP(HLOOKUP(IF(CEILING(L550,0.5)&lt;1,1,CEILING(L550,0.5)),'배송비 조회'!A$32:AY$36,2,0),-2)</f>
        <v>#REF!</v>
      </c>
      <c r="R550" s="232">
        <v>0</v>
      </c>
      <c r="S550" s="231" t="str">
        <f t="shared" ca="1" si="250"/>
        <v>#REF!</v>
      </c>
      <c r="T550" s="231" t="str">
        <f t="shared" ca="1" si="200"/>
        <v>#REF!</v>
      </c>
      <c r="U550" s="233" t="str">
        <f t="shared" ca="1" si="142"/>
        <v>#REF!</v>
      </c>
      <c r="V550" s="233" t="str">
        <f t="shared" ca="1" si="7"/>
        <v>#REF!</v>
      </c>
      <c r="W550" s="234">
        <v>0</v>
      </c>
      <c r="X550" s="234" t="str">
        <f t="shared" ca="1" si="8"/>
        <v>#REF!</v>
      </c>
      <c r="Y550" s="234" t="str">
        <f t="shared" ca="1" si="9"/>
        <v>#REF!</v>
      </c>
      <c r="Z550" s="234" t="str">
        <f t="shared" ca="1" si="10"/>
        <v>#REF!</v>
      </c>
      <c r="AA550" s="234" t="str">
        <f t="shared" ca="1" si="11"/>
        <v>#REF!</v>
      </c>
      <c r="AB550" s="234" t="str">
        <f t="shared" ca="1" si="12"/>
        <v>#REF!</v>
      </c>
      <c r="AC550" s="234" t="str">
        <f t="shared" ca="1" si="13"/>
        <v>#REF!</v>
      </c>
      <c r="AD550" s="101" t="str">
        <f t="shared" ca="1" si="14"/>
        <v>#REF!</v>
      </c>
      <c r="AE550" s="101" t="str">
        <f t="shared" ca="1" si="15"/>
        <v>#REF!</v>
      </c>
      <c r="AF550" s="235" t="str">
        <f t="shared" ref="AF550:AG550" ca="1" si="627">AD550/U550</f>
        <v>#REF!</v>
      </c>
      <c r="AG550" s="235" t="str">
        <f t="shared" ca="1" si="627"/>
        <v>#REF!</v>
      </c>
      <c r="AH550" s="212"/>
      <c r="AI550" s="213"/>
      <c r="AJ550" s="4"/>
      <c r="AK550" s="4"/>
      <c r="AL550" s="4"/>
      <c r="AM550" s="4"/>
      <c r="AN550" s="4"/>
      <c r="AO550" s="4"/>
      <c r="AP550" s="4"/>
      <c r="AQ550" s="4"/>
      <c r="AR550" s="4"/>
      <c r="AS550" s="4"/>
      <c r="AT550" s="4"/>
      <c r="AU550" s="4"/>
    </row>
    <row r="551" spans="1:47" ht="13.2">
      <c r="A551" s="120"/>
      <c r="B551" s="113"/>
      <c r="C551" s="117"/>
      <c r="D551" s="117"/>
      <c r="E551" s="117"/>
      <c r="F551" s="123"/>
      <c r="G551" s="93" t="s">
        <v>145</v>
      </c>
      <c r="H551" s="125"/>
      <c r="I551" s="125"/>
      <c r="J551" s="82" t="str">
        <f t="shared" ca="1" si="147"/>
        <v>#REF!</v>
      </c>
      <c r="K551" s="82" t="str">
        <f t="shared" ca="1" si="256"/>
        <v>#REF!</v>
      </c>
      <c r="L551" s="82" t="str">
        <f t="shared" ca="1" si="199"/>
        <v>#REF!</v>
      </c>
      <c r="M551" s="125"/>
      <c r="N551" s="125"/>
      <c r="O551" s="230">
        <f t="shared" si="2"/>
        <v>0</v>
      </c>
      <c r="P551" s="231">
        <f t="shared" si="3"/>
        <v>0</v>
      </c>
      <c r="Q551" s="232" t="str">
        <f ca="1">ROUNDUP(HLOOKUP(IF(CEILING(L551,0.5)&lt;1,1,CEILING(L551,0.5)),'배송비 조회'!A$32:AY$36,2,0),-2)</f>
        <v>#REF!</v>
      </c>
      <c r="R551" s="232">
        <v>0</v>
      </c>
      <c r="S551" s="231" t="str">
        <f t="shared" ca="1" si="250"/>
        <v>#REF!</v>
      </c>
      <c r="T551" s="231" t="str">
        <f t="shared" ca="1" si="200"/>
        <v>#REF!</v>
      </c>
      <c r="U551" s="233" t="str">
        <f t="shared" ca="1" si="142"/>
        <v>#REF!</v>
      </c>
      <c r="V551" s="233" t="str">
        <f t="shared" ca="1" si="7"/>
        <v>#REF!</v>
      </c>
      <c r="W551" s="234">
        <v>0</v>
      </c>
      <c r="X551" s="234" t="str">
        <f t="shared" ca="1" si="8"/>
        <v>#REF!</v>
      </c>
      <c r="Y551" s="234" t="str">
        <f t="shared" ca="1" si="9"/>
        <v>#REF!</v>
      </c>
      <c r="Z551" s="234" t="str">
        <f t="shared" ca="1" si="10"/>
        <v>#REF!</v>
      </c>
      <c r="AA551" s="234" t="str">
        <f t="shared" ca="1" si="11"/>
        <v>#REF!</v>
      </c>
      <c r="AB551" s="234" t="str">
        <f t="shared" ca="1" si="12"/>
        <v>#REF!</v>
      </c>
      <c r="AC551" s="234" t="str">
        <f t="shared" ca="1" si="13"/>
        <v>#REF!</v>
      </c>
      <c r="AD551" s="101" t="str">
        <f t="shared" ca="1" si="14"/>
        <v>#REF!</v>
      </c>
      <c r="AE551" s="101" t="str">
        <f t="shared" ca="1" si="15"/>
        <v>#REF!</v>
      </c>
      <c r="AF551" s="235" t="str">
        <f t="shared" ref="AF551:AG551" ca="1" si="628">AD551/U551</f>
        <v>#REF!</v>
      </c>
      <c r="AG551" s="235" t="str">
        <f t="shared" ca="1" si="628"/>
        <v>#REF!</v>
      </c>
      <c r="AH551" s="212"/>
      <c r="AI551" s="213"/>
      <c r="AJ551" s="4"/>
      <c r="AK551" s="4"/>
      <c r="AL551" s="4"/>
      <c r="AM551" s="4"/>
      <c r="AN551" s="4"/>
      <c r="AO551" s="4"/>
      <c r="AP551" s="4"/>
      <c r="AQ551" s="4"/>
      <c r="AR551" s="4"/>
      <c r="AS551" s="4"/>
      <c r="AT551" s="4"/>
      <c r="AU551" s="4"/>
    </row>
    <row r="552" spans="1:47" ht="13.2">
      <c r="A552" s="120"/>
      <c r="B552" s="113"/>
      <c r="C552" s="117"/>
      <c r="D552" s="117"/>
      <c r="E552" s="117"/>
      <c r="F552" s="123"/>
      <c r="G552" s="93" t="s">
        <v>145</v>
      </c>
      <c r="H552" s="125"/>
      <c r="I552" s="125"/>
      <c r="J552" s="82" t="str">
        <f t="shared" ca="1" si="147"/>
        <v>#REF!</v>
      </c>
      <c r="K552" s="82" t="str">
        <f t="shared" ca="1" si="256"/>
        <v>#REF!</v>
      </c>
      <c r="L552" s="82" t="str">
        <f t="shared" ca="1" si="199"/>
        <v>#REF!</v>
      </c>
      <c r="M552" s="125"/>
      <c r="N552" s="125"/>
      <c r="O552" s="230">
        <f t="shared" si="2"/>
        <v>0</v>
      </c>
      <c r="P552" s="231">
        <f t="shared" si="3"/>
        <v>0</v>
      </c>
      <c r="Q552" s="232" t="str">
        <f ca="1">ROUNDUP(HLOOKUP(IF(CEILING(L552,0.5)&lt;1,1,CEILING(L552,0.5)),'배송비 조회'!A$32:AY$36,2,0),-2)</f>
        <v>#REF!</v>
      </c>
      <c r="R552" s="232">
        <v>0</v>
      </c>
      <c r="S552" s="231" t="str">
        <f t="shared" ca="1" si="250"/>
        <v>#REF!</v>
      </c>
      <c r="T552" s="231" t="str">
        <f t="shared" ca="1" si="200"/>
        <v>#REF!</v>
      </c>
      <c r="U552" s="233" t="str">
        <f t="shared" ca="1" si="142"/>
        <v>#REF!</v>
      </c>
      <c r="V552" s="233" t="str">
        <f t="shared" ca="1" si="7"/>
        <v>#REF!</v>
      </c>
      <c r="W552" s="234">
        <v>0</v>
      </c>
      <c r="X552" s="234" t="str">
        <f t="shared" ca="1" si="8"/>
        <v>#REF!</v>
      </c>
      <c r="Y552" s="234" t="str">
        <f t="shared" ca="1" si="9"/>
        <v>#REF!</v>
      </c>
      <c r="Z552" s="234" t="str">
        <f t="shared" ca="1" si="10"/>
        <v>#REF!</v>
      </c>
      <c r="AA552" s="234" t="str">
        <f t="shared" ca="1" si="11"/>
        <v>#REF!</v>
      </c>
      <c r="AB552" s="234" t="str">
        <f t="shared" ca="1" si="12"/>
        <v>#REF!</v>
      </c>
      <c r="AC552" s="234" t="str">
        <f t="shared" ca="1" si="13"/>
        <v>#REF!</v>
      </c>
      <c r="AD552" s="101" t="str">
        <f t="shared" ca="1" si="14"/>
        <v>#REF!</v>
      </c>
      <c r="AE552" s="101" t="str">
        <f t="shared" ca="1" si="15"/>
        <v>#REF!</v>
      </c>
      <c r="AF552" s="235" t="str">
        <f t="shared" ref="AF552:AG552" ca="1" si="629">AD552/U552</f>
        <v>#REF!</v>
      </c>
      <c r="AG552" s="235" t="str">
        <f t="shared" ca="1" si="629"/>
        <v>#REF!</v>
      </c>
      <c r="AH552" s="212"/>
      <c r="AI552" s="213"/>
      <c r="AJ552" s="4"/>
      <c r="AK552" s="4"/>
      <c r="AL552" s="4"/>
      <c r="AM552" s="4"/>
      <c r="AN552" s="4"/>
      <c r="AO552" s="4"/>
      <c r="AP552" s="4"/>
      <c r="AQ552" s="4"/>
      <c r="AR552" s="4"/>
      <c r="AS552" s="4"/>
      <c r="AT552" s="4"/>
      <c r="AU552" s="4"/>
    </row>
    <row r="553" spans="1:47" ht="13.2">
      <c r="A553" s="120"/>
      <c r="B553" s="113"/>
      <c r="C553" s="117"/>
      <c r="D553" s="117"/>
      <c r="E553" s="117"/>
      <c r="F553" s="123"/>
      <c r="G553" s="93" t="s">
        <v>145</v>
      </c>
      <c r="H553" s="125"/>
      <c r="I553" s="125"/>
      <c r="J553" s="82" t="str">
        <f t="shared" ca="1" si="147"/>
        <v>#REF!</v>
      </c>
      <c r="K553" s="82" t="str">
        <f t="shared" ca="1" si="256"/>
        <v>#REF!</v>
      </c>
      <c r="L553" s="82" t="str">
        <f t="shared" ca="1" si="199"/>
        <v>#REF!</v>
      </c>
      <c r="M553" s="125"/>
      <c r="N553" s="125"/>
      <c r="O553" s="230">
        <f t="shared" si="2"/>
        <v>0</v>
      </c>
      <c r="P553" s="231">
        <f t="shared" si="3"/>
        <v>0</v>
      </c>
      <c r="Q553" s="232" t="str">
        <f ca="1">ROUNDUP(HLOOKUP(IF(CEILING(L553,0.5)&lt;1,1,CEILING(L553,0.5)),'배송비 조회'!A$32:AY$36,2,0),-2)</f>
        <v>#REF!</v>
      </c>
      <c r="R553" s="232">
        <v>0</v>
      </c>
      <c r="S553" s="231" t="str">
        <f t="shared" ca="1" si="250"/>
        <v>#REF!</v>
      </c>
      <c r="T553" s="231" t="str">
        <f t="shared" ca="1" si="200"/>
        <v>#REF!</v>
      </c>
      <c r="U553" s="233" t="str">
        <f t="shared" ca="1" si="142"/>
        <v>#REF!</v>
      </c>
      <c r="V553" s="233" t="str">
        <f t="shared" ca="1" si="7"/>
        <v>#REF!</v>
      </c>
      <c r="W553" s="234">
        <v>0</v>
      </c>
      <c r="X553" s="234" t="str">
        <f t="shared" ca="1" si="8"/>
        <v>#REF!</v>
      </c>
      <c r="Y553" s="234" t="str">
        <f t="shared" ca="1" si="9"/>
        <v>#REF!</v>
      </c>
      <c r="Z553" s="234" t="str">
        <f t="shared" ca="1" si="10"/>
        <v>#REF!</v>
      </c>
      <c r="AA553" s="234" t="str">
        <f t="shared" ca="1" si="11"/>
        <v>#REF!</v>
      </c>
      <c r="AB553" s="234" t="str">
        <f t="shared" ca="1" si="12"/>
        <v>#REF!</v>
      </c>
      <c r="AC553" s="234" t="str">
        <f t="shared" ca="1" si="13"/>
        <v>#REF!</v>
      </c>
      <c r="AD553" s="101" t="str">
        <f t="shared" ca="1" si="14"/>
        <v>#REF!</v>
      </c>
      <c r="AE553" s="101" t="str">
        <f t="shared" ca="1" si="15"/>
        <v>#REF!</v>
      </c>
      <c r="AF553" s="235" t="str">
        <f t="shared" ref="AF553:AG553" ca="1" si="630">AD553/U553</f>
        <v>#REF!</v>
      </c>
      <c r="AG553" s="235" t="str">
        <f t="shared" ca="1" si="630"/>
        <v>#REF!</v>
      </c>
      <c r="AH553" s="212"/>
      <c r="AI553" s="213"/>
      <c r="AJ553" s="4"/>
      <c r="AK553" s="4"/>
      <c r="AL553" s="4"/>
      <c r="AM553" s="4"/>
      <c r="AN553" s="4"/>
      <c r="AO553" s="4"/>
      <c r="AP553" s="4"/>
      <c r="AQ553" s="4"/>
      <c r="AR553" s="4"/>
      <c r="AS553" s="4"/>
      <c r="AT553" s="4"/>
      <c r="AU553" s="4"/>
    </row>
    <row r="554" spans="1:47" ht="13.2">
      <c r="A554" s="120"/>
      <c r="B554" s="113"/>
      <c r="C554" s="117"/>
      <c r="D554" s="117"/>
      <c r="E554" s="117"/>
      <c r="F554" s="123"/>
      <c r="G554" s="93" t="s">
        <v>145</v>
      </c>
      <c r="H554" s="125"/>
      <c r="I554" s="125"/>
      <c r="J554" s="82" t="str">
        <f t="shared" ca="1" si="147"/>
        <v>#REF!</v>
      </c>
      <c r="K554" s="82" t="str">
        <f t="shared" ca="1" si="256"/>
        <v>#REF!</v>
      </c>
      <c r="L554" s="82" t="str">
        <f t="shared" ca="1" si="199"/>
        <v>#REF!</v>
      </c>
      <c r="M554" s="125"/>
      <c r="N554" s="125"/>
      <c r="O554" s="230">
        <f t="shared" si="2"/>
        <v>0</v>
      </c>
      <c r="P554" s="231">
        <f t="shared" si="3"/>
        <v>0</v>
      </c>
      <c r="Q554" s="232" t="str">
        <f ca="1">ROUNDUP(HLOOKUP(IF(CEILING(L554,0.5)&lt;1,1,CEILING(L554,0.5)),'배송비 조회'!A$32:AY$36,2,0),-2)</f>
        <v>#REF!</v>
      </c>
      <c r="R554" s="232">
        <v>0</v>
      </c>
      <c r="S554" s="231" t="str">
        <f t="shared" ca="1" si="250"/>
        <v>#REF!</v>
      </c>
      <c r="T554" s="231" t="str">
        <f t="shared" ca="1" si="200"/>
        <v>#REF!</v>
      </c>
      <c r="U554" s="233" t="str">
        <f t="shared" ca="1" si="142"/>
        <v>#REF!</v>
      </c>
      <c r="V554" s="233" t="str">
        <f t="shared" ca="1" si="7"/>
        <v>#REF!</v>
      </c>
      <c r="W554" s="234">
        <v>0</v>
      </c>
      <c r="X554" s="234" t="str">
        <f t="shared" ca="1" si="8"/>
        <v>#REF!</v>
      </c>
      <c r="Y554" s="234" t="str">
        <f t="shared" ca="1" si="9"/>
        <v>#REF!</v>
      </c>
      <c r="Z554" s="234" t="str">
        <f t="shared" ca="1" si="10"/>
        <v>#REF!</v>
      </c>
      <c r="AA554" s="234" t="str">
        <f t="shared" ca="1" si="11"/>
        <v>#REF!</v>
      </c>
      <c r="AB554" s="234" t="str">
        <f t="shared" ca="1" si="12"/>
        <v>#REF!</v>
      </c>
      <c r="AC554" s="234" t="str">
        <f t="shared" ca="1" si="13"/>
        <v>#REF!</v>
      </c>
      <c r="AD554" s="101" t="str">
        <f t="shared" ca="1" si="14"/>
        <v>#REF!</v>
      </c>
      <c r="AE554" s="101" t="str">
        <f t="shared" ca="1" si="15"/>
        <v>#REF!</v>
      </c>
      <c r="AF554" s="235" t="str">
        <f t="shared" ref="AF554:AG554" ca="1" si="631">AD554/U554</f>
        <v>#REF!</v>
      </c>
      <c r="AG554" s="235" t="str">
        <f t="shared" ca="1" si="631"/>
        <v>#REF!</v>
      </c>
      <c r="AH554" s="212"/>
      <c r="AI554" s="213"/>
      <c r="AJ554" s="4"/>
      <c r="AK554" s="4"/>
      <c r="AL554" s="4"/>
      <c r="AM554" s="4"/>
      <c r="AN554" s="4"/>
      <c r="AO554" s="4"/>
      <c r="AP554" s="4"/>
      <c r="AQ554" s="4"/>
      <c r="AR554" s="4"/>
      <c r="AS554" s="4"/>
      <c r="AT554" s="4"/>
      <c r="AU554" s="4"/>
    </row>
    <row r="555" spans="1:47" ht="13.2">
      <c r="A555" s="120"/>
      <c r="B555" s="113"/>
      <c r="C555" s="117"/>
      <c r="D555" s="117"/>
      <c r="E555" s="117"/>
      <c r="F555" s="123"/>
      <c r="G555" s="93" t="s">
        <v>145</v>
      </c>
      <c r="H555" s="125"/>
      <c r="I555" s="125"/>
      <c r="J555" s="82" t="str">
        <f t="shared" ca="1" si="147"/>
        <v>#REF!</v>
      </c>
      <c r="K555" s="82" t="str">
        <f t="shared" ca="1" si="256"/>
        <v>#REF!</v>
      </c>
      <c r="L555" s="82" t="str">
        <f t="shared" ca="1" si="199"/>
        <v>#REF!</v>
      </c>
      <c r="M555" s="125"/>
      <c r="N555" s="125"/>
      <c r="O555" s="230">
        <f t="shared" si="2"/>
        <v>0</v>
      </c>
      <c r="P555" s="231">
        <f t="shared" si="3"/>
        <v>0</v>
      </c>
      <c r="Q555" s="232" t="str">
        <f ca="1">ROUNDUP(HLOOKUP(IF(CEILING(L555,0.5)&lt;1,1,CEILING(L555,0.5)),'배송비 조회'!A$32:AY$36,2,0),-2)</f>
        <v>#REF!</v>
      </c>
      <c r="R555" s="232">
        <v>0</v>
      </c>
      <c r="S555" s="231" t="str">
        <f t="shared" ca="1" si="250"/>
        <v>#REF!</v>
      </c>
      <c r="T555" s="231" t="str">
        <f t="shared" ca="1" si="200"/>
        <v>#REF!</v>
      </c>
      <c r="U555" s="233" t="str">
        <f t="shared" ca="1" si="142"/>
        <v>#REF!</v>
      </c>
      <c r="V555" s="233" t="str">
        <f t="shared" ca="1" si="7"/>
        <v>#REF!</v>
      </c>
      <c r="W555" s="234">
        <v>0</v>
      </c>
      <c r="X555" s="234" t="str">
        <f t="shared" ca="1" si="8"/>
        <v>#REF!</v>
      </c>
      <c r="Y555" s="234" t="str">
        <f t="shared" ca="1" si="9"/>
        <v>#REF!</v>
      </c>
      <c r="Z555" s="234" t="str">
        <f t="shared" ca="1" si="10"/>
        <v>#REF!</v>
      </c>
      <c r="AA555" s="234" t="str">
        <f t="shared" ca="1" si="11"/>
        <v>#REF!</v>
      </c>
      <c r="AB555" s="234" t="str">
        <f t="shared" ca="1" si="12"/>
        <v>#REF!</v>
      </c>
      <c r="AC555" s="234" t="str">
        <f t="shared" ca="1" si="13"/>
        <v>#REF!</v>
      </c>
      <c r="AD555" s="101" t="str">
        <f t="shared" ca="1" si="14"/>
        <v>#REF!</v>
      </c>
      <c r="AE555" s="101" t="str">
        <f t="shared" ca="1" si="15"/>
        <v>#REF!</v>
      </c>
      <c r="AF555" s="235" t="str">
        <f t="shared" ref="AF555:AG555" ca="1" si="632">AD555/U555</f>
        <v>#REF!</v>
      </c>
      <c r="AG555" s="235" t="str">
        <f t="shared" ca="1" si="632"/>
        <v>#REF!</v>
      </c>
      <c r="AH555" s="212"/>
      <c r="AI555" s="213"/>
      <c r="AJ555" s="4"/>
      <c r="AK555" s="4"/>
      <c r="AL555" s="4"/>
      <c r="AM555" s="4"/>
      <c r="AN555" s="4"/>
      <c r="AO555" s="4"/>
      <c r="AP555" s="4"/>
      <c r="AQ555" s="4"/>
      <c r="AR555" s="4"/>
      <c r="AS555" s="4"/>
      <c r="AT555" s="4"/>
      <c r="AU555" s="4"/>
    </row>
    <row r="556" spans="1:47" ht="13.2">
      <c r="A556" s="120"/>
      <c r="B556" s="113"/>
      <c r="C556" s="117"/>
      <c r="D556" s="117"/>
      <c r="E556" s="117"/>
      <c r="F556" s="123"/>
      <c r="G556" s="93" t="s">
        <v>145</v>
      </c>
      <c r="H556" s="125"/>
      <c r="I556" s="125"/>
      <c r="J556" s="82" t="str">
        <f t="shared" ca="1" si="147"/>
        <v>#REF!</v>
      </c>
      <c r="K556" s="82" t="str">
        <f t="shared" ca="1" si="256"/>
        <v>#REF!</v>
      </c>
      <c r="L556" s="82" t="str">
        <f t="shared" ca="1" si="199"/>
        <v>#REF!</v>
      </c>
      <c r="M556" s="125"/>
      <c r="N556" s="125"/>
      <c r="O556" s="230">
        <f t="shared" si="2"/>
        <v>0</v>
      </c>
      <c r="P556" s="231">
        <f t="shared" si="3"/>
        <v>0</v>
      </c>
      <c r="Q556" s="232" t="str">
        <f ca="1">ROUNDUP(HLOOKUP(IF(CEILING(L556,0.5)&lt;1,1,CEILING(L556,0.5)),'배송비 조회'!A$32:AY$36,2,0),-2)</f>
        <v>#REF!</v>
      </c>
      <c r="R556" s="232">
        <v>0</v>
      </c>
      <c r="S556" s="231" t="str">
        <f t="shared" ca="1" si="250"/>
        <v>#REF!</v>
      </c>
      <c r="T556" s="231" t="str">
        <f t="shared" ca="1" si="200"/>
        <v>#REF!</v>
      </c>
      <c r="U556" s="233" t="str">
        <f t="shared" ca="1" si="142"/>
        <v>#REF!</v>
      </c>
      <c r="V556" s="233" t="str">
        <f t="shared" ca="1" si="7"/>
        <v>#REF!</v>
      </c>
      <c r="W556" s="234">
        <v>0</v>
      </c>
      <c r="X556" s="234" t="str">
        <f t="shared" ca="1" si="8"/>
        <v>#REF!</v>
      </c>
      <c r="Y556" s="234" t="str">
        <f t="shared" ca="1" si="9"/>
        <v>#REF!</v>
      </c>
      <c r="Z556" s="234" t="str">
        <f t="shared" ca="1" si="10"/>
        <v>#REF!</v>
      </c>
      <c r="AA556" s="234" t="str">
        <f t="shared" ca="1" si="11"/>
        <v>#REF!</v>
      </c>
      <c r="AB556" s="234" t="str">
        <f t="shared" ca="1" si="12"/>
        <v>#REF!</v>
      </c>
      <c r="AC556" s="234" t="str">
        <f t="shared" ca="1" si="13"/>
        <v>#REF!</v>
      </c>
      <c r="AD556" s="101" t="str">
        <f t="shared" ca="1" si="14"/>
        <v>#REF!</v>
      </c>
      <c r="AE556" s="101" t="str">
        <f t="shared" ca="1" si="15"/>
        <v>#REF!</v>
      </c>
      <c r="AF556" s="235" t="str">
        <f t="shared" ref="AF556:AG556" ca="1" si="633">AD556/U556</f>
        <v>#REF!</v>
      </c>
      <c r="AG556" s="235" t="str">
        <f t="shared" ca="1" si="633"/>
        <v>#REF!</v>
      </c>
      <c r="AH556" s="212"/>
      <c r="AI556" s="213"/>
      <c r="AJ556" s="4"/>
      <c r="AK556" s="4"/>
      <c r="AL556" s="4"/>
      <c r="AM556" s="4"/>
      <c r="AN556" s="4"/>
      <c r="AO556" s="4"/>
      <c r="AP556" s="4"/>
      <c r="AQ556" s="4"/>
      <c r="AR556" s="4"/>
      <c r="AS556" s="4"/>
      <c r="AT556" s="4"/>
      <c r="AU556" s="4"/>
    </row>
    <row r="557" spans="1:47" ht="13.2">
      <c r="A557" s="120"/>
      <c r="B557" s="113"/>
      <c r="C557" s="117"/>
      <c r="D557" s="117"/>
      <c r="E557" s="117"/>
      <c r="F557" s="123"/>
      <c r="G557" s="93" t="s">
        <v>145</v>
      </c>
      <c r="H557" s="125"/>
      <c r="I557" s="125"/>
      <c r="J557" s="82" t="str">
        <f t="shared" ca="1" si="147"/>
        <v>#REF!</v>
      </c>
      <c r="K557" s="82" t="str">
        <f t="shared" ca="1" si="256"/>
        <v>#REF!</v>
      </c>
      <c r="L557" s="82" t="str">
        <f t="shared" ca="1" si="199"/>
        <v>#REF!</v>
      </c>
      <c r="M557" s="125"/>
      <c r="N557" s="125"/>
      <c r="O557" s="230">
        <f t="shared" si="2"/>
        <v>0</v>
      </c>
      <c r="P557" s="231">
        <f t="shared" si="3"/>
        <v>0</v>
      </c>
      <c r="Q557" s="232" t="str">
        <f ca="1">ROUNDUP(HLOOKUP(IF(CEILING(L557,0.5)&lt;1,1,CEILING(L557,0.5)),'배송비 조회'!A$32:AY$36,2,0),-2)</f>
        <v>#REF!</v>
      </c>
      <c r="R557" s="232">
        <v>0</v>
      </c>
      <c r="S557" s="231" t="str">
        <f t="shared" ca="1" si="250"/>
        <v>#REF!</v>
      </c>
      <c r="T557" s="231" t="str">
        <f t="shared" ca="1" si="200"/>
        <v>#REF!</v>
      </c>
      <c r="U557" s="233" t="str">
        <f t="shared" ca="1" si="142"/>
        <v>#REF!</v>
      </c>
      <c r="V557" s="233" t="str">
        <f t="shared" ca="1" si="7"/>
        <v>#REF!</v>
      </c>
      <c r="W557" s="234">
        <v>0</v>
      </c>
      <c r="X557" s="234" t="str">
        <f t="shared" ca="1" si="8"/>
        <v>#REF!</v>
      </c>
      <c r="Y557" s="234" t="str">
        <f t="shared" ca="1" si="9"/>
        <v>#REF!</v>
      </c>
      <c r="Z557" s="234" t="str">
        <f t="shared" ca="1" si="10"/>
        <v>#REF!</v>
      </c>
      <c r="AA557" s="234" t="str">
        <f t="shared" ca="1" si="11"/>
        <v>#REF!</v>
      </c>
      <c r="AB557" s="234" t="str">
        <f t="shared" ca="1" si="12"/>
        <v>#REF!</v>
      </c>
      <c r="AC557" s="234" t="str">
        <f t="shared" ca="1" si="13"/>
        <v>#REF!</v>
      </c>
      <c r="AD557" s="101" t="str">
        <f t="shared" ca="1" si="14"/>
        <v>#REF!</v>
      </c>
      <c r="AE557" s="101" t="str">
        <f t="shared" ca="1" si="15"/>
        <v>#REF!</v>
      </c>
      <c r="AF557" s="235" t="str">
        <f t="shared" ref="AF557:AG557" ca="1" si="634">AD557/U557</f>
        <v>#REF!</v>
      </c>
      <c r="AG557" s="235" t="str">
        <f t="shared" ca="1" si="634"/>
        <v>#REF!</v>
      </c>
      <c r="AH557" s="212"/>
      <c r="AI557" s="213"/>
      <c r="AJ557" s="4"/>
      <c r="AK557" s="4"/>
      <c r="AL557" s="4"/>
      <c r="AM557" s="4"/>
      <c r="AN557" s="4"/>
      <c r="AO557" s="4"/>
      <c r="AP557" s="4"/>
      <c r="AQ557" s="4"/>
      <c r="AR557" s="4"/>
      <c r="AS557" s="4"/>
      <c r="AT557" s="4"/>
      <c r="AU557" s="4"/>
    </row>
    <row r="558" spans="1:47" ht="13.2">
      <c r="A558" s="120"/>
      <c r="B558" s="113"/>
      <c r="C558" s="117"/>
      <c r="D558" s="117"/>
      <c r="E558" s="117"/>
      <c r="F558" s="123"/>
      <c r="G558" s="93" t="s">
        <v>145</v>
      </c>
      <c r="H558" s="125"/>
      <c r="I558" s="125"/>
      <c r="J558" s="82" t="str">
        <f t="shared" ca="1" si="147"/>
        <v>#REF!</v>
      </c>
      <c r="K558" s="82" t="str">
        <f t="shared" ca="1" si="256"/>
        <v>#REF!</v>
      </c>
      <c r="L558" s="82" t="str">
        <f t="shared" ca="1" si="199"/>
        <v>#REF!</v>
      </c>
      <c r="M558" s="125"/>
      <c r="N558" s="125"/>
      <c r="O558" s="230">
        <f t="shared" si="2"/>
        <v>0</v>
      </c>
      <c r="P558" s="231">
        <f t="shared" si="3"/>
        <v>0</v>
      </c>
      <c r="Q558" s="232" t="str">
        <f ca="1">ROUNDUP(HLOOKUP(IF(CEILING(L558,0.5)&lt;1,1,CEILING(L558,0.5)),'배송비 조회'!A$32:AY$36,2,0),-2)</f>
        <v>#REF!</v>
      </c>
      <c r="R558" s="232">
        <v>0</v>
      </c>
      <c r="S558" s="231" t="str">
        <f t="shared" ca="1" si="250"/>
        <v>#REF!</v>
      </c>
      <c r="T558" s="231" t="str">
        <f t="shared" ca="1" si="200"/>
        <v>#REF!</v>
      </c>
      <c r="U558" s="233" t="str">
        <f t="shared" ca="1" si="142"/>
        <v>#REF!</v>
      </c>
      <c r="V558" s="233" t="str">
        <f t="shared" ca="1" si="7"/>
        <v>#REF!</v>
      </c>
      <c r="W558" s="234">
        <v>0</v>
      </c>
      <c r="X558" s="234" t="str">
        <f t="shared" ca="1" si="8"/>
        <v>#REF!</v>
      </c>
      <c r="Y558" s="234" t="str">
        <f t="shared" ca="1" si="9"/>
        <v>#REF!</v>
      </c>
      <c r="Z558" s="234" t="str">
        <f t="shared" ca="1" si="10"/>
        <v>#REF!</v>
      </c>
      <c r="AA558" s="234" t="str">
        <f t="shared" ca="1" si="11"/>
        <v>#REF!</v>
      </c>
      <c r="AB558" s="234" t="str">
        <f t="shared" ca="1" si="12"/>
        <v>#REF!</v>
      </c>
      <c r="AC558" s="234" t="str">
        <f t="shared" ca="1" si="13"/>
        <v>#REF!</v>
      </c>
      <c r="AD558" s="101" t="str">
        <f t="shared" ca="1" si="14"/>
        <v>#REF!</v>
      </c>
      <c r="AE558" s="101" t="str">
        <f t="shared" ca="1" si="15"/>
        <v>#REF!</v>
      </c>
      <c r="AF558" s="235" t="str">
        <f t="shared" ref="AF558:AG558" ca="1" si="635">AD558/U558</f>
        <v>#REF!</v>
      </c>
      <c r="AG558" s="235" t="str">
        <f t="shared" ca="1" si="635"/>
        <v>#REF!</v>
      </c>
      <c r="AH558" s="212"/>
      <c r="AI558" s="213"/>
      <c r="AJ558" s="4"/>
      <c r="AK558" s="4"/>
      <c r="AL558" s="4"/>
      <c r="AM558" s="4"/>
      <c r="AN558" s="4"/>
      <c r="AO558" s="4"/>
      <c r="AP558" s="4"/>
      <c r="AQ558" s="4"/>
      <c r="AR558" s="4"/>
      <c r="AS558" s="4"/>
      <c r="AT558" s="4"/>
      <c r="AU558" s="4"/>
    </row>
    <row r="559" spans="1:47" ht="13.2">
      <c r="A559" s="120"/>
      <c r="B559" s="113"/>
      <c r="C559" s="117"/>
      <c r="D559" s="117"/>
      <c r="E559" s="117"/>
      <c r="F559" s="123"/>
      <c r="G559" s="93" t="s">
        <v>145</v>
      </c>
      <c r="H559" s="125"/>
      <c r="I559" s="125"/>
      <c r="J559" s="82" t="str">
        <f t="shared" ca="1" si="147"/>
        <v>#REF!</v>
      </c>
      <c r="K559" s="82" t="str">
        <f t="shared" ca="1" si="256"/>
        <v>#REF!</v>
      </c>
      <c r="L559" s="82" t="str">
        <f t="shared" ca="1" si="199"/>
        <v>#REF!</v>
      </c>
      <c r="M559" s="125"/>
      <c r="N559" s="125"/>
      <c r="O559" s="230">
        <f t="shared" si="2"/>
        <v>0</v>
      </c>
      <c r="P559" s="231">
        <f t="shared" si="3"/>
        <v>0</v>
      </c>
      <c r="Q559" s="232" t="str">
        <f ca="1">ROUNDUP(HLOOKUP(IF(CEILING(L559,0.5)&lt;1,1,CEILING(L559,0.5)),'배송비 조회'!A$32:AY$36,2,0),-2)</f>
        <v>#REF!</v>
      </c>
      <c r="R559" s="232">
        <v>0</v>
      </c>
      <c r="S559" s="231" t="str">
        <f t="shared" ca="1" si="250"/>
        <v>#REF!</v>
      </c>
      <c r="T559" s="231" t="str">
        <f t="shared" ca="1" si="200"/>
        <v>#REF!</v>
      </c>
      <c r="U559" s="233" t="str">
        <f t="shared" ca="1" si="142"/>
        <v>#REF!</v>
      </c>
      <c r="V559" s="233" t="str">
        <f t="shared" ca="1" si="7"/>
        <v>#REF!</v>
      </c>
      <c r="W559" s="234">
        <v>0</v>
      </c>
      <c r="X559" s="234" t="str">
        <f t="shared" ca="1" si="8"/>
        <v>#REF!</v>
      </c>
      <c r="Y559" s="234" t="str">
        <f t="shared" ca="1" si="9"/>
        <v>#REF!</v>
      </c>
      <c r="Z559" s="234" t="str">
        <f t="shared" ca="1" si="10"/>
        <v>#REF!</v>
      </c>
      <c r="AA559" s="234" t="str">
        <f t="shared" ca="1" si="11"/>
        <v>#REF!</v>
      </c>
      <c r="AB559" s="234" t="str">
        <f t="shared" ca="1" si="12"/>
        <v>#REF!</v>
      </c>
      <c r="AC559" s="234" t="str">
        <f t="shared" ca="1" si="13"/>
        <v>#REF!</v>
      </c>
      <c r="AD559" s="101" t="str">
        <f t="shared" ca="1" si="14"/>
        <v>#REF!</v>
      </c>
      <c r="AE559" s="101" t="str">
        <f t="shared" ca="1" si="15"/>
        <v>#REF!</v>
      </c>
      <c r="AF559" s="235" t="str">
        <f t="shared" ref="AF559:AG559" ca="1" si="636">AD559/U559</f>
        <v>#REF!</v>
      </c>
      <c r="AG559" s="235" t="str">
        <f t="shared" ca="1" si="636"/>
        <v>#REF!</v>
      </c>
      <c r="AH559" s="212"/>
      <c r="AI559" s="213"/>
      <c r="AJ559" s="4"/>
      <c r="AK559" s="4"/>
      <c r="AL559" s="4"/>
      <c r="AM559" s="4"/>
      <c r="AN559" s="4"/>
      <c r="AO559" s="4"/>
      <c r="AP559" s="4"/>
      <c r="AQ559" s="4"/>
      <c r="AR559" s="4"/>
      <c r="AS559" s="4"/>
      <c r="AT559" s="4"/>
      <c r="AU559" s="4"/>
    </row>
    <row r="560" spans="1:47" ht="13.2">
      <c r="A560" s="120"/>
      <c r="B560" s="113"/>
      <c r="C560" s="117"/>
      <c r="D560" s="117"/>
      <c r="E560" s="117"/>
      <c r="F560" s="123"/>
      <c r="G560" s="93" t="s">
        <v>145</v>
      </c>
      <c r="H560" s="125"/>
      <c r="I560" s="125"/>
      <c r="J560" s="82" t="str">
        <f t="shared" ca="1" si="147"/>
        <v>#REF!</v>
      </c>
      <c r="K560" s="82" t="str">
        <f t="shared" ca="1" si="256"/>
        <v>#REF!</v>
      </c>
      <c r="L560" s="82" t="str">
        <f t="shared" ca="1" si="199"/>
        <v>#REF!</v>
      </c>
      <c r="M560" s="125"/>
      <c r="N560" s="125"/>
      <c r="O560" s="230">
        <f t="shared" si="2"/>
        <v>0</v>
      </c>
      <c r="P560" s="231">
        <f t="shared" si="3"/>
        <v>0</v>
      </c>
      <c r="Q560" s="232" t="str">
        <f ca="1">ROUNDUP(HLOOKUP(IF(CEILING(L560,0.5)&lt;1,1,CEILING(L560,0.5)),'배송비 조회'!A$32:AY$36,2,0),-2)</f>
        <v>#REF!</v>
      </c>
      <c r="R560" s="232">
        <v>0</v>
      </c>
      <c r="S560" s="231" t="str">
        <f t="shared" ca="1" si="250"/>
        <v>#REF!</v>
      </c>
      <c r="T560" s="231" t="str">
        <f t="shared" ca="1" si="200"/>
        <v>#REF!</v>
      </c>
      <c r="U560" s="233" t="str">
        <f t="shared" ca="1" si="142"/>
        <v>#REF!</v>
      </c>
      <c r="V560" s="233" t="str">
        <f t="shared" ca="1" si="7"/>
        <v>#REF!</v>
      </c>
      <c r="W560" s="234">
        <v>0</v>
      </c>
      <c r="X560" s="234" t="str">
        <f t="shared" ca="1" si="8"/>
        <v>#REF!</v>
      </c>
      <c r="Y560" s="234" t="str">
        <f t="shared" ca="1" si="9"/>
        <v>#REF!</v>
      </c>
      <c r="Z560" s="234" t="str">
        <f t="shared" ca="1" si="10"/>
        <v>#REF!</v>
      </c>
      <c r="AA560" s="234" t="str">
        <f t="shared" ca="1" si="11"/>
        <v>#REF!</v>
      </c>
      <c r="AB560" s="234" t="str">
        <f t="shared" ca="1" si="12"/>
        <v>#REF!</v>
      </c>
      <c r="AC560" s="234" t="str">
        <f t="shared" ca="1" si="13"/>
        <v>#REF!</v>
      </c>
      <c r="AD560" s="101" t="str">
        <f t="shared" ca="1" si="14"/>
        <v>#REF!</v>
      </c>
      <c r="AE560" s="101" t="str">
        <f t="shared" ca="1" si="15"/>
        <v>#REF!</v>
      </c>
      <c r="AF560" s="235" t="str">
        <f t="shared" ref="AF560:AG560" ca="1" si="637">AD560/U560</f>
        <v>#REF!</v>
      </c>
      <c r="AG560" s="235" t="str">
        <f t="shared" ca="1" si="637"/>
        <v>#REF!</v>
      </c>
      <c r="AH560" s="212"/>
      <c r="AI560" s="213"/>
      <c r="AJ560" s="4"/>
      <c r="AK560" s="4"/>
      <c r="AL560" s="4"/>
      <c r="AM560" s="4"/>
      <c r="AN560" s="4"/>
      <c r="AO560" s="4"/>
      <c r="AP560" s="4"/>
      <c r="AQ560" s="4"/>
      <c r="AR560" s="4"/>
      <c r="AS560" s="4"/>
      <c r="AT560" s="4"/>
      <c r="AU560" s="4"/>
    </row>
    <row r="561" spans="1:47" ht="13.2">
      <c r="A561" s="120"/>
      <c r="B561" s="113"/>
      <c r="C561" s="117"/>
      <c r="D561" s="117"/>
      <c r="E561" s="117"/>
      <c r="F561" s="123"/>
      <c r="G561" s="93" t="s">
        <v>145</v>
      </c>
      <c r="H561" s="125"/>
      <c r="I561" s="125"/>
      <c r="J561" s="82" t="str">
        <f t="shared" ca="1" si="147"/>
        <v>#REF!</v>
      </c>
      <c r="K561" s="82" t="str">
        <f t="shared" ca="1" si="256"/>
        <v>#REF!</v>
      </c>
      <c r="L561" s="82" t="str">
        <f t="shared" ca="1" si="199"/>
        <v>#REF!</v>
      </c>
      <c r="M561" s="125"/>
      <c r="N561" s="125"/>
      <c r="O561" s="230">
        <f t="shared" si="2"/>
        <v>0</v>
      </c>
      <c r="P561" s="231">
        <f t="shared" si="3"/>
        <v>0</v>
      </c>
      <c r="Q561" s="232" t="str">
        <f ca="1">ROUNDUP(HLOOKUP(IF(CEILING(L561,0.5)&lt;1,1,CEILING(L561,0.5)),'배송비 조회'!A$32:AY$36,2,0),-2)</f>
        <v>#REF!</v>
      </c>
      <c r="R561" s="232">
        <v>0</v>
      </c>
      <c r="S561" s="231" t="str">
        <f t="shared" ca="1" si="250"/>
        <v>#REF!</v>
      </c>
      <c r="T561" s="231" t="str">
        <f t="shared" ca="1" si="200"/>
        <v>#REF!</v>
      </c>
      <c r="U561" s="233" t="str">
        <f t="shared" ca="1" si="142"/>
        <v>#REF!</v>
      </c>
      <c r="V561" s="233" t="str">
        <f t="shared" ca="1" si="7"/>
        <v>#REF!</v>
      </c>
      <c r="W561" s="234">
        <v>0</v>
      </c>
      <c r="X561" s="234" t="str">
        <f t="shared" ca="1" si="8"/>
        <v>#REF!</v>
      </c>
      <c r="Y561" s="234" t="str">
        <f t="shared" ca="1" si="9"/>
        <v>#REF!</v>
      </c>
      <c r="Z561" s="234" t="str">
        <f t="shared" ca="1" si="10"/>
        <v>#REF!</v>
      </c>
      <c r="AA561" s="234" t="str">
        <f t="shared" ca="1" si="11"/>
        <v>#REF!</v>
      </c>
      <c r="AB561" s="234" t="str">
        <f t="shared" ca="1" si="12"/>
        <v>#REF!</v>
      </c>
      <c r="AC561" s="234" t="str">
        <f t="shared" ca="1" si="13"/>
        <v>#REF!</v>
      </c>
      <c r="AD561" s="101" t="str">
        <f t="shared" ca="1" si="14"/>
        <v>#REF!</v>
      </c>
      <c r="AE561" s="101" t="str">
        <f t="shared" ca="1" si="15"/>
        <v>#REF!</v>
      </c>
      <c r="AF561" s="235" t="str">
        <f t="shared" ref="AF561:AG561" ca="1" si="638">AD561/U561</f>
        <v>#REF!</v>
      </c>
      <c r="AG561" s="235" t="str">
        <f t="shared" ca="1" si="638"/>
        <v>#REF!</v>
      </c>
      <c r="AH561" s="212"/>
      <c r="AI561" s="213"/>
      <c r="AJ561" s="4"/>
      <c r="AK561" s="4"/>
      <c r="AL561" s="4"/>
      <c r="AM561" s="4"/>
      <c r="AN561" s="4"/>
      <c r="AO561" s="4"/>
      <c r="AP561" s="4"/>
      <c r="AQ561" s="4"/>
      <c r="AR561" s="4"/>
      <c r="AS561" s="4"/>
      <c r="AT561" s="4"/>
      <c r="AU561" s="4"/>
    </row>
    <row r="562" spans="1:47" ht="13.2">
      <c r="A562" s="120"/>
      <c r="B562" s="113"/>
      <c r="C562" s="117"/>
      <c r="D562" s="117"/>
      <c r="E562" s="117"/>
      <c r="F562" s="123"/>
      <c r="G562" s="93" t="s">
        <v>145</v>
      </c>
      <c r="H562" s="125"/>
      <c r="I562" s="125"/>
      <c r="J562" s="82" t="str">
        <f t="shared" ca="1" si="147"/>
        <v>#REF!</v>
      </c>
      <c r="K562" s="82" t="str">
        <f t="shared" ca="1" si="256"/>
        <v>#REF!</v>
      </c>
      <c r="L562" s="82" t="str">
        <f t="shared" ca="1" si="199"/>
        <v>#REF!</v>
      </c>
      <c r="M562" s="125"/>
      <c r="N562" s="125"/>
      <c r="O562" s="230">
        <f t="shared" si="2"/>
        <v>0</v>
      </c>
      <c r="P562" s="231">
        <f t="shared" si="3"/>
        <v>0</v>
      </c>
      <c r="Q562" s="232" t="str">
        <f ca="1">ROUNDUP(HLOOKUP(IF(CEILING(L562,0.5)&lt;1,1,CEILING(L562,0.5)),'배송비 조회'!A$32:AY$36,2,0),-2)</f>
        <v>#REF!</v>
      </c>
      <c r="R562" s="232">
        <v>0</v>
      </c>
      <c r="S562" s="231" t="str">
        <f t="shared" ca="1" si="250"/>
        <v>#REF!</v>
      </c>
      <c r="T562" s="231" t="str">
        <f t="shared" ca="1" si="200"/>
        <v>#REF!</v>
      </c>
      <c r="U562" s="233" t="str">
        <f t="shared" ca="1" si="142"/>
        <v>#REF!</v>
      </c>
      <c r="V562" s="233" t="str">
        <f t="shared" ca="1" si="7"/>
        <v>#REF!</v>
      </c>
      <c r="W562" s="234">
        <v>0</v>
      </c>
      <c r="X562" s="234" t="str">
        <f t="shared" ca="1" si="8"/>
        <v>#REF!</v>
      </c>
      <c r="Y562" s="234" t="str">
        <f t="shared" ca="1" si="9"/>
        <v>#REF!</v>
      </c>
      <c r="Z562" s="234" t="str">
        <f t="shared" ca="1" si="10"/>
        <v>#REF!</v>
      </c>
      <c r="AA562" s="234" t="str">
        <f t="shared" ca="1" si="11"/>
        <v>#REF!</v>
      </c>
      <c r="AB562" s="234" t="str">
        <f t="shared" ca="1" si="12"/>
        <v>#REF!</v>
      </c>
      <c r="AC562" s="234" t="str">
        <f t="shared" ca="1" si="13"/>
        <v>#REF!</v>
      </c>
      <c r="AD562" s="101" t="str">
        <f t="shared" ca="1" si="14"/>
        <v>#REF!</v>
      </c>
      <c r="AE562" s="101" t="str">
        <f t="shared" ca="1" si="15"/>
        <v>#REF!</v>
      </c>
      <c r="AF562" s="235" t="str">
        <f t="shared" ref="AF562:AG562" ca="1" si="639">AD562/U562</f>
        <v>#REF!</v>
      </c>
      <c r="AG562" s="235" t="str">
        <f t="shared" ca="1" si="639"/>
        <v>#REF!</v>
      </c>
      <c r="AH562" s="212"/>
      <c r="AI562" s="213"/>
      <c r="AJ562" s="4"/>
      <c r="AK562" s="4"/>
      <c r="AL562" s="4"/>
      <c r="AM562" s="4"/>
      <c r="AN562" s="4"/>
      <c r="AO562" s="4"/>
      <c r="AP562" s="4"/>
      <c r="AQ562" s="4"/>
      <c r="AR562" s="4"/>
      <c r="AS562" s="4"/>
      <c r="AT562" s="4"/>
      <c r="AU562" s="4"/>
    </row>
    <row r="563" spans="1:47" ht="13.2">
      <c r="A563" s="120"/>
      <c r="B563" s="113"/>
      <c r="C563" s="117"/>
      <c r="D563" s="117"/>
      <c r="E563" s="117"/>
      <c r="F563" s="123"/>
      <c r="G563" s="93" t="s">
        <v>145</v>
      </c>
      <c r="H563" s="125"/>
      <c r="I563" s="125"/>
      <c r="J563" s="82" t="str">
        <f t="shared" ca="1" si="147"/>
        <v>#REF!</v>
      </c>
      <c r="K563" s="82" t="str">
        <f t="shared" ca="1" si="256"/>
        <v>#REF!</v>
      </c>
      <c r="L563" s="82" t="str">
        <f t="shared" ca="1" si="199"/>
        <v>#REF!</v>
      </c>
      <c r="M563" s="125"/>
      <c r="N563" s="125"/>
      <c r="O563" s="230">
        <f t="shared" si="2"/>
        <v>0</v>
      </c>
      <c r="P563" s="231">
        <f t="shared" si="3"/>
        <v>0</v>
      </c>
      <c r="Q563" s="232" t="str">
        <f ca="1">ROUNDUP(HLOOKUP(IF(CEILING(L563,0.5)&lt;1,1,CEILING(L563,0.5)),'배송비 조회'!A$32:AY$36,2,0),-2)</f>
        <v>#REF!</v>
      </c>
      <c r="R563" s="232">
        <v>0</v>
      </c>
      <c r="S563" s="231" t="str">
        <f t="shared" ca="1" si="250"/>
        <v>#REF!</v>
      </c>
      <c r="T563" s="231" t="str">
        <f t="shared" ca="1" si="200"/>
        <v>#REF!</v>
      </c>
      <c r="U563" s="233" t="str">
        <f t="shared" ca="1" si="142"/>
        <v>#REF!</v>
      </c>
      <c r="V563" s="233" t="str">
        <f t="shared" ca="1" si="7"/>
        <v>#REF!</v>
      </c>
      <c r="W563" s="234">
        <v>0</v>
      </c>
      <c r="X563" s="234" t="str">
        <f t="shared" ca="1" si="8"/>
        <v>#REF!</v>
      </c>
      <c r="Y563" s="234" t="str">
        <f t="shared" ca="1" si="9"/>
        <v>#REF!</v>
      </c>
      <c r="Z563" s="234" t="str">
        <f t="shared" ca="1" si="10"/>
        <v>#REF!</v>
      </c>
      <c r="AA563" s="234" t="str">
        <f t="shared" ca="1" si="11"/>
        <v>#REF!</v>
      </c>
      <c r="AB563" s="234" t="str">
        <f t="shared" ca="1" si="12"/>
        <v>#REF!</v>
      </c>
      <c r="AC563" s="234" t="str">
        <f t="shared" ca="1" si="13"/>
        <v>#REF!</v>
      </c>
      <c r="AD563" s="101" t="str">
        <f t="shared" ca="1" si="14"/>
        <v>#REF!</v>
      </c>
      <c r="AE563" s="101" t="str">
        <f t="shared" ca="1" si="15"/>
        <v>#REF!</v>
      </c>
      <c r="AF563" s="235" t="str">
        <f t="shared" ref="AF563:AG563" ca="1" si="640">AD563/U563</f>
        <v>#REF!</v>
      </c>
      <c r="AG563" s="235" t="str">
        <f t="shared" ca="1" si="640"/>
        <v>#REF!</v>
      </c>
      <c r="AH563" s="212"/>
      <c r="AI563" s="213"/>
      <c r="AJ563" s="4"/>
      <c r="AK563" s="4"/>
      <c r="AL563" s="4"/>
      <c r="AM563" s="4"/>
      <c r="AN563" s="4"/>
      <c r="AO563" s="4"/>
      <c r="AP563" s="4"/>
      <c r="AQ563" s="4"/>
      <c r="AR563" s="4"/>
      <c r="AS563" s="4"/>
      <c r="AT563" s="4"/>
      <c r="AU563" s="4"/>
    </row>
    <row r="564" spans="1:47" ht="13.2">
      <c r="A564" s="120"/>
      <c r="B564" s="113"/>
      <c r="C564" s="117"/>
      <c r="D564" s="117"/>
      <c r="E564" s="117"/>
      <c r="F564" s="123"/>
      <c r="G564" s="93" t="s">
        <v>145</v>
      </c>
      <c r="H564" s="125"/>
      <c r="I564" s="125"/>
      <c r="J564" s="82" t="str">
        <f t="shared" ca="1" si="147"/>
        <v>#REF!</v>
      </c>
      <c r="K564" s="82" t="str">
        <f t="shared" ca="1" si="256"/>
        <v>#REF!</v>
      </c>
      <c r="L564" s="82" t="str">
        <f t="shared" ca="1" si="199"/>
        <v>#REF!</v>
      </c>
      <c r="M564" s="125"/>
      <c r="N564" s="125"/>
      <c r="O564" s="230">
        <f t="shared" si="2"/>
        <v>0</v>
      </c>
      <c r="P564" s="231">
        <f t="shared" si="3"/>
        <v>0</v>
      </c>
      <c r="Q564" s="232" t="str">
        <f ca="1">ROUNDUP(HLOOKUP(IF(CEILING(L564,0.5)&lt;1,1,CEILING(L564,0.5)),'배송비 조회'!A$32:AY$36,2,0),-2)</f>
        <v>#REF!</v>
      </c>
      <c r="R564" s="232">
        <v>0</v>
      </c>
      <c r="S564" s="231" t="str">
        <f t="shared" ca="1" si="250"/>
        <v>#REF!</v>
      </c>
      <c r="T564" s="231" t="str">
        <f t="shared" ca="1" si="200"/>
        <v>#REF!</v>
      </c>
      <c r="U564" s="233" t="str">
        <f t="shared" ca="1" si="142"/>
        <v>#REF!</v>
      </c>
      <c r="V564" s="233" t="str">
        <f t="shared" ca="1" si="7"/>
        <v>#REF!</v>
      </c>
      <c r="W564" s="234">
        <v>0</v>
      </c>
      <c r="X564" s="234" t="str">
        <f t="shared" ca="1" si="8"/>
        <v>#REF!</v>
      </c>
      <c r="Y564" s="234" t="str">
        <f t="shared" ca="1" si="9"/>
        <v>#REF!</v>
      </c>
      <c r="Z564" s="234" t="str">
        <f t="shared" ca="1" si="10"/>
        <v>#REF!</v>
      </c>
      <c r="AA564" s="234" t="str">
        <f t="shared" ca="1" si="11"/>
        <v>#REF!</v>
      </c>
      <c r="AB564" s="234" t="str">
        <f t="shared" ca="1" si="12"/>
        <v>#REF!</v>
      </c>
      <c r="AC564" s="234" t="str">
        <f t="shared" ca="1" si="13"/>
        <v>#REF!</v>
      </c>
      <c r="AD564" s="101" t="str">
        <f t="shared" ca="1" si="14"/>
        <v>#REF!</v>
      </c>
      <c r="AE564" s="101" t="str">
        <f t="shared" ca="1" si="15"/>
        <v>#REF!</v>
      </c>
      <c r="AF564" s="235" t="str">
        <f t="shared" ref="AF564:AG564" ca="1" si="641">AD564/U564</f>
        <v>#REF!</v>
      </c>
      <c r="AG564" s="235" t="str">
        <f t="shared" ca="1" si="641"/>
        <v>#REF!</v>
      </c>
      <c r="AH564" s="212"/>
      <c r="AI564" s="213"/>
      <c r="AJ564" s="4"/>
      <c r="AK564" s="4"/>
      <c r="AL564" s="4"/>
      <c r="AM564" s="4"/>
      <c r="AN564" s="4"/>
      <c r="AO564" s="4"/>
      <c r="AP564" s="4"/>
      <c r="AQ564" s="4"/>
      <c r="AR564" s="4"/>
      <c r="AS564" s="4"/>
      <c r="AT564" s="4"/>
      <c r="AU564" s="4"/>
    </row>
    <row r="565" spans="1:47" ht="13.2">
      <c r="A565" s="120"/>
      <c r="B565" s="113"/>
      <c r="C565" s="117"/>
      <c r="D565" s="117"/>
      <c r="E565" s="117"/>
      <c r="F565" s="123"/>
      <c r="G565" s="93" t="s">
        <v>145</v>
      </c>
      <c r="H565" s="125"/>
      <c r="I565" s="125"/>
      <c r="J565" s="82" t="str">
        <f t="shared" ca="1" si="147"/>
        <v>#REF!</v>
      </c>
      <c r="K565" s="82" t="str">
        <f t="shared" ca="1" si="256"/>
        <v>#REF!</v>
      </c>
      <c r="L565" s="82" t="str">
        <f t="shared" ca="1" si="199"/>
        <v>#REF!</v>
      </c>
      <c r="M565" s="125"/>
      <c r="N565" s="125"/>
      <c r="O565" s="230">
        <f t="shared" si="2"/>
        <v>0</v>
      </c>
      <c r="P565" s="231">
        <f t="shared" si="3"/>
        <v>0</v>
      </c>
      <c r="Q565" s="232" t="str">
        <f ca="1">ROUNDUP(HLOOKUP(IF(CEILING(L565,0.5)&lt;1,1,CEILING(L565,0.5)),'배송비 조회'!A$32:AY$36,2,0),-2)</f>
        <v>#REF!</v>
      </c>
      <c r="R565" s="232">
        <v>0</v>
      </c>
      <c r="S565" s="231" t="str">
        <f t="shared" ca="1" si="250"/>
        <v>#REF!</v>
      </c>
      <c r="T565" s="231" t="str">
        <f t="shared" ca="1" si="200"/>
        <v>#REF!</v>
      </c>
      <c r="U565" s="233" t="str">
        <f t="shared" ca="1" si="142"/>
        <v>#REF!</v>
      </c>
      <c r="V565" s="233" t="str">
        <f t="shared" ca="1" si="7"/>
        <v>#REF!</v>
      </c>
      <c r="W565" s="234">
        <v>0</v>
      </c>
      <c r="X565" s="234" t="str">
        <f t="shared" ca="1" si="8"/>
        <v>#REF!</v>
      </c>
      <c r="Y565" s="234" t="str">
        <f t="shared" ca="1" si="9"/>
        <v>#REF!</v>
      </c>
      <c r="Z565" s="234" t="str">
        <f t="shared" ca="1" si="10"/>
        <v>#REF!</v>
      </c>
      <c r="AA565" s="234" t="str">
        <f t="shared" ca="1" si="11"/>
        <v>#REF!</v>
      </c>
      <c r="AB565" s="234" t="str">
        <f t="shared" ca="1" si="12"/>
        <v>#REF!</v>
      </c>
      <c r="AC565" s="234" t="str">
        <f t="shared" ca="1" si="13"/>
        <v>#REF!</v>
      </c>
      <c r="AD565" s="101" t="str">
        <f t="shared" ca="1" si="14"/>
        <v>#REF!</v>
      </c>
      <c r="AE565" s="101" t="str">
        <f t="shared" ca="1" si="15"/>
        <v>#REF!</v>
      </c>
      <c r="AF565" s="235" t="str">
        <f t="shared" ref="AF565:AG565" ca="1" si="642">AD565/U565</f>
        <v>#REF!</v>
      </c>
      <c r="AG565" s="235" t="str">
        <f t="shared" ca="1" si="642"/>
        <v>#REF!</v>
      </c>
      <c r="AH565" s="212"/>
      <c r="AI565" s="213"/>
      <c r="AJ565" s="4"/>
      <c r="AK565" s="4"/>
      <c r="AL565" s="4"/>
      <c r="AM565" s="4"/>
      <c r="AN565" s="4"/>
      <c r="AO565" s="4"/>
      <c r="AP565" s="4"/>
      <c r="AQ565" s="4"/>
      <c r="AR565" s="4"/>
      <c r="AS565" s="4"/>
      <c r="AT565" s="4"/>
      <c r="AU565" s="4"/>
    </row>
    <row r="566" spans="1:47" ht="13.2">
      <c r="A566" s="120"/>
      <c r="B566" s="113"/>
      <c r="C566" s="117"/>
      <c r="D566" s="117"/>
      <c r="E566" s="117"/>
      <c r="F566" s="123"/>
      <c r="G566" s="93" t="s">
        <v>145</v>
      </c>
      <c r="H566" s="125"/>
      <c r="I566" s="125"/>
      <c r="J566" s="82" t="str">
        <f t="shared" ca="1" si="147"/>
        <v>#REF!</v>
      </c>
      <c r="K566" s="82" t="str">
        <f t="shared" ca="1" si="256"/>
        <v>#REF!</v>
      </c>
      <c r="L566" s="82" t="str">
        <f t="shared" ca="1" si="199"/>
        <v>#REF!</v>
      </c>
      <c r="M566" s="125"/>
      <c r="N566" s="125"/>
      <c r="O566" s="230">
        <f t="shared" si="2"/>
        <v>0</v>
      </c>
      <c r="P566" s="231">
        <f t="shared" si="3"/>
        <v>0</v>
      </c>
      <c r="Q566" s="232" t="str">
        <f ca="1">ROUNDUP(HLOOKUP(IF(CEILING(L566,0.5)&lt;1,1,CEILING(L566,0.5)),'배송비 조회'!A$32:AY$36,2,0),-2)</f>
        <v>#REF!</v>
      </c>
      <c r="R566" s="232">
        <v>0</v>
      </c>
      <c r="S566" s="231" t="str">
        <f t="shared" ca="1" si="250"/>
        <v>#REF!</v>
      </c>
      <c r="T566" s="231" t="str">
        <f t="shared" ca="1" si="200"/>
        <v>#REF!</v>
      </c>
      <c r="U566" s="233" t="str">
        <f t="shared" ca="1" si="142"/>
        <v>#REF!</v>
      </c>
      <c r="V566" s="233" t="str">
        <f t="shared" ca="1" si="7"/>
        <v>#REF!</v>
      </c>
      <c r="W566" s="234">
        <v>0</v>
      </c>
      <c r="X566" s="234" t="str">
        <f t="shared" ca="1" si="8"/>
        <v>#REF!</v>
      </c>
      <c r="Y566" s="234" t="str">
        <f t="shared" ca="1" si="9"/>
        <v>#REF!</v>
      </c>
      <c r="Z566" s="234" t="str">
        <f t="shared" ca="1" si="10"/>
        <v>#REF!</v>
      </c>
      <c r="AA566" s="234" t="str">
        <f t="shared" ca="1" si="11"/>
        <v>#REF!</v>
      </c>
      <c r="AB566" s="234" t="str">
        <f t="shared" ca="1" si="12"/>
        <v>#REF!</v>
      </c>
      <c r="AC566" s="234" t="str">
        <f t="shared" ca="1" si="13"/>
        <v>#REF!</v>
      </c>
      <c r="AD566" s="101" t="str">
        <f t="shared" ca="1" si="14"/>
        <v>#REF!</v>
      </c>
      <c r="AE566" s="101" t="str">
        <f t="shared" ca="1" si="15"/>
        <v>#REF!</v>
      </c>
      <c r="AF566" s="235" t="str">
        <f t="shared" ref="AF566:AG566" ca="1" si="643">AD566/U566</f>
        <v>#REF!</v>
      </c>
      <c r="AG566" s="235" t="str">
        <f t="shared" ca="1" si="643"/>
        <v>#REF!</v>
      </c>
      <c r="AH566" s="212"/>
      <c r="AI566" s="213"/>
      <c r="AJ566" s="4"/>
      <c r="AK566" s="4"/>
      <c r="AL566" s="4"/>
      <c r="AM566" s="4"/>
      <c r="AN566" s="4"/>
      <c r="AO566" s="4"/>
      <c r="AP566" s="4"/>
      <c r="AQ566" s="4"/>
      <c r="AR566" s="4"/>
      <c r="AS566" s="4"/>
      <c r="AT566" s="4"/>
      <c r="AU566" s="4"/>
    </row>
    <row r="567" spans="1:47" ht="13.2">
      <c r="A567" s="120"/>
      <c r="B567" s="113"/>
      <c r="C567" s="117"/>
      <c r="D567" s="117"/>
      <c r="E567" s="117"/>
      <c r="F567" s="123"/>
      <c r="G567" s="93" t="s">
        <v>145</v>
      </c>
      <c r="H567" s="125"/>
      <c r="I567" s="125"/>
      <c r="J567" s="82" t="str">
        <f t="shared" ca="1" si="147"/>
        <v>#REF!</v>
      </c>
      <c r="K567" s="82" t="str">
        <f t="shared" ca="1" si="256"/>
        <v>#REF!</v>
      </c>
      <c r="L567" s="82" t="str">
        <f t="shared" ca="1" si="199"/>
        <v>#REF!</v>
      </c>
      <c r="M567" s="125"/>
      <c r="N567" s="125"/>
      <c r="O567" s="230">
        <f t="shared" si="2"/>
        <v>0</v>
      </c>
      <c r="P567" s="231">
        <f t="shared" si="3"/>
        <v>0</v>
      </c>
      <c r="Q567" s="232" t="str">
        <f ca="1">ROUNDUP(HLOOKUP(IF(CEILING(L567,0.5)&lt;1,1,CEILING(L567,0.5)),'배송비 조회'!A$32:AY$36,2,0),-2)</f>
        <v>#REF!</v>
      </c>
      <c r="R567" s="232">
        <v>0</v>
      </c>
      <c r="S567" s="231" t="str">
        <f t="shared" ca="1" si="250"/>
        <v>#REF!</v>
      </c>
      <c r="T567" s="231" t="str">
        <f t="shared" ca="1" si="200"/>
        <v>#REF!</v>
      </c>
      <c r="U567" s="233" t="str">
        <f t="shared" ca="1" si="142"/>
        <v>#REF!</v>
      </c>
      <c r="V567" s="233" t="str">
        <f t="shared" ca="1" si="7"/>
        <v>#REF!</v>
      </c>
      <c r="W567" s="234">
        <v>0</v>
      </c>
      <c r="X567" s="234" t="str">
        <f t="shared" ca="1" si="8"/>
        <v>#REF!</v>
      </c>
      <c r="Y567" s="234" t="str">
        <f t="shared" ca="1" si="9"/>
        <v>#REF!</v>
      </c>
      <c r="Z567" s="234" t="str">
        <f t="shared" ca="1" si="10"/>
        <v>#REF!</v>
      </c>
      <c r="AA567" s="234" t="str">
        <f t="shared" ca="1" si="11"/>
        <v>#REF!</v>
      </c>
      <c r="AB567" s="234" t="str">
        <f t="shared" ca="1" si="12"/>
        <v>#REF!</v>
      </c>
      <c r="AC567" s="234" t="str">
        <f t="shared" ca="1" si="13"/>
        <v>#REF!</v>
      </c>
      <c r="AD567" s="101" t="str">
        <f t="shared" ca="1" si="14"/>
        <v>#REF!</v>
      </c>
      <c r="AE567" s="101" t="str">
        <f t="shared" ca="1" si="15"/>
        <v>#REF!</v>
      </c>
      <c r="AF567" s="235" t="str">
        <f t="shared" ref="AF567:AG567" ca="1" si="644">AD567/U567</f>
        <v>#REF!</v>
      </c>
      <c r="AG567" s="235" t="str">
        <f t="shared" ca="1" si="644"/>
        <v>#REF!</v>
      </c>
      <c r="AH567" s="212"/>
      <c r="AI567" s="213"/>
      <c r="AJ567" s="4"/>
      <c r="AK567" s="4"/>
      <c r="AL567" s="4"/>
      <c r="AM567" s="4"/>
      <c r="AN567" s="4"/>
      <c r="AO567" s="4"/>
      <c r="AP567" s="4"/>
      <c r="AQ567" s="4"/>
      <c r="AR567" s="4"/>
      <c r="AS567" s="4"/>
      <c r="AT567" s="4"/>
      <c r="AU567" s="4"/>
    </row>
    <row r="568" spans="1:47" ht="13.2">
      <c r="A568" s="120"/>
      <c r="B568" s="113"/>
      <c r="C568" s="117"/>
      <c r="D568" s="117"/>
      <c r="E568" s="117"/>
      <c r="F568" s="123"/>
      <c r="G568" s="93" t="s">
        <v>145</v>
      </c>
      <c r="H568" s="125"/>
      <c r="I568" s="125"/>
      <c r="J568" s="82" t="str">
        <f t="shared" ca="1" si="147"/>
        <v>#REF!</v>
      </c>
      <c r="K568" s="82" t="str">
        <f t="shared" ca="1" si="256"/>
        <v>#REF!</v>
      </c>
      <c r="L568" s="82" t="str">
        <f t="shared" ca="1" si="199"/>
        <v>#REF!</v>
      </c>
      <c r="M568" s="125"/>
      <c r="N568" s="125"/>
      <c r="O568" s="230">
        <f t="shared" si="2"/>
        <v>0</v>
      </c>
      <c r="P568" s="231">
        <f t="shared" si="3"/>
        <v>0</v>
      </c>
      <c r="Q568" s="232" t="str">
        <f ca="1">ROUNDUP(HLOOKUP(IF(CEILING(L568,0.5)&lt;1,1,CEILING(L568,0.5)),'배송비 조회'!A$32:AY$36,2,0),-2)</f>
        <v>#REF!</v>
      </c>
      <c r="R568" s="232">
        <v>0</v>
      </c>
      <c r="S568" s="231" t="str">
        <f t="shared" ca="1" si="250"/>
        <v>#REF!</v>
      </c>
      <c r="T568" s="231" t="str">
        <f t="shared" ca="1" si="200"/>
        <v>#REF!</v>
      </c>
      <c r="U568" s="233" t="str">
        <f t="shared" ca="1" si="142"/>
        <v>#REF!</v>
      </c>
      <c r="V568" s="233" t="str">
        <f t="shared" ca="1" si="7"/>
        <v>#REF!</v>
      </c>
      <c r="W568" s="234">
        <v>0</v>
      </c>
      <c r="X568" s="234" t="str">
        <f t="shared" ca="1" si="8"/>
        <v>#REF!</v>
      </c>
      <c r="Y568" s="234" t="str">
        <f t="shared" ca="1" si="9"/>
        <v>#REF!</v>
      </c>
      <c r="Z568" s="234" t="str">
        <f t="shared" ca="1" si="10"/>
        <v>#REF!</v>
      </c>
      <c r="AA568" s="234" t="str">
        <f t="shared" ca="1" si="11"/>
        <v>#REF!</v>
      </c>
      <c r="AB568" s="234" t="str">
        <f t="shared" ca="1" si="12"/>
        <v>#REF!</v>
      </c>
      <c r="AC568" s="234" t="str">
        <f t="shared" ca="1" si="13"/>
        <v>#REF!</v>
      </c>
      <c r="AD568" s="101" t="str">
        <f t="shared" ca="1" si="14"/>
        <v>#REF!</v>
      </c>
      <c r="AE568" s="101" t="str">
        <f t="shared" ca="1" si="15"/>
        <v>#REF!</v>
      </c>
      <c r="AF568" s="235" t="str">
        <f t="shared" ref="AF568:AG568" ca="1" si="645">AD568/U568</f>
        <v>#REF!</v>
      </c>
      <c r="AG568" s="235" t="str">
        <f t="shared" ca="1" si="645"/>
        <v>#REF!</v>
      </c>
      <c r="AH568" s="212"/>
      <c r="AI568" s="213"/>
      <c r="AJ568" s="4"/>
      <c r="AK568" s="4"/>
      <c r="AL568" s="4"/>
      <c r="AM568" s="4"/>
      <c r="AN568" s="4"/>
      <c r="AO568" s="4"/>
      <c r="AP568" s="4"/>
      <c r="AQ568" s="4"/>
      <c r="AR568" s="4"/>
      <c r="AS568" s="4"/>
      <c r="AT568" s="4"/>
      <c r="AU568" s="4"/>
    </row>
    <row r="569" spans="1:47" ht="13.2">
      <c r="A569" s="120"/>
      <c r="B569" s="113"/>
      <c r="C569" s="117"/>
      <c r="D569" s="117"/>
      <c r="E569" s="117"/>
      <c r="F569" s="123"/>
      <c r="G569" s="93" t="s">
        <v>145</v>
      </c>
      <c r="H569" s="125"/>
      <c r="I569" s="125"/>
      <c r="J569" s="82" t="str">
        <f t="shared" ca="1" si="147"/>
        <v>#REF!</v>
      </c>
      <c r="K569" s="82" t="str">
        <f t="shared" ca="1" si="256"/>
        <v>#REF!</v>
      </c>
      <c r="L569" s="82" t="str">
        <f t="shared" ca="1" si="199"/>
        <v>#REF!</v>
      </c>
      <c r="M569" s="125"/>
      <c r="N569" s="125"/>
      <c r="O569" s="230">
        <f t="shared" si="2"/>
        <v>0</v>
      </c>
      <c r="P569" s="231">
        <f t="shared" si="3"/>
        <v>0</v>
      </c>
      <c r="Q569" s="232" t="str">
        <f ca="1">ROUNDUP(HLOOKUP(IF(CEILING(L569,0.5)&lt;1,1,CEILING(L569,0.5)),'배송비 조회'!A$32:AY$36,2,0),-2)</f>
        <v>#REF!</v>
      </c>
      <c r="R569" s="232">
        <v>0</v>
      </c>
      <c r="S569" s="231" t="str">
        <f t="shared" ca="1" si="250"/>
        <v>#REF!</v>
      </c>
      <c r="T569" s="231" t="str">
        <f t="shared" ca="1" si="200"/>
        <v>#REF!</v>
      </c>
      <c r="U569" s="233" t="str">
        <f t="shared" ca="1" si="142"/>
        <v>#REF!</v>
      </c>
      <c r="V569" s="233" t="str">
        <f t="shared" ca="1" si="7"/>
        <v>#REF!</v>
      </c>
      <c r="W569" s="234">
        <v>0</v>
      </c>
      <c r="X569" s="234" t="str">
        <f t="shared" ca="1" si="8"/>
        <v>#REF!</v>
      </c>
      <c r="Y569" s="234" t="str">
        <f t="shared" ca="1" si="9"/>
        <v>#REF!</v>
      </c>
      <c r="Z569" s="234" t="str">
        <f t="shared" ca="1" si="10"/>
        <v>#REF!</v>
      </c>
      <c r="AA569" s="234" t="str">
        <f t="shared" ca="1" si="11"/>
        <v>#REF!</v>
      </c>
      <c r="AB569" s="234" t="str">
        <f t="shared" ca="1" si="12"/>
        <v>#REF!</v>
      </c>
      <c r="AC569" s="234" t="str">
        <f t="shared" ca="1" si="13"/>
        <v>#REF!</v>
      </c>
      <c r="AD569" s="101" t="str">
        <f t="shared" ca="1" si="14"/>
        <v>#REF!</v>
      </c>
      <c r="AE569" s="101" t="str">
        <f t="shared" ca="1" si="15"/>
        <v>#REF!</v>
      </c>
      <c r="AF569" s="235" t="str">
        <f t="shared" ref="AF569:AG569" ca="1" si="646">AD569/U569</f>
        <v>#REF!</v>
      </c>
      <c r="AG569" s="235" t="str">
        <f t="shared" ca="1" si="646"/>
        <v>#REF!</v>
      </c>
      <c r="AH569" s="212"/>
      <c r="AI569" s="213"/>
      <c r="AJ569" s="4"/>
      <c r="AK569" s="4"/>
      <c r="AL569" s="4"/>
      <c r="AM569" s="4"/>
      <c r="AN569" s="4"/>
      <c r="AO569" s="4"/>
      <c r="AP569" s="4"/>
      <c r="AQ569" s="4"/>
      <c r="AR569" s="4"/>
      <c r="AS569" s="4"/>
      <c r="AT569" s="4"/>
      <c r="AU569" s="4"/>
    </row>
    <row r="570" spans="1:47" ht="13.2">
      <c r="A570" s="120"/>
      <c r="B570" s="113"/>
      <c r="C570" s="117"/>
      <c r="D570" s="117"/>
      <c r="E570" s="117"/>
      <c r="F570" s="123"/>
      <c r="G570" s="93" t="s">
        <v>145</v>
      </c>
      <c r="H570" s="125"/>
      <c r="I570" s="125"/>
      <c r="J570" s="82" t="str">
        <f t="shared" ca="1" si="147"/>
        <v>#REF!</v>
      </c>
      <c r="K570" s="82" t="str">
        <f t="shared" ca="1" si="256"/>
        <v>#REF!</v>
      </c>
      <c r="L570" s="82" t="str">
        <f t="shared" ca="1" si="199"/>
        <v>#REF!</v>
      </c>
      <c r="M570" s="125"/>
      <c r="N570" s="125"/>
      <c r="O570" s="230">
        <f t="shared" si="2"/>
        <v>0</v>
      </c>
      <c r="P570" s="231">
        <f t="shared" si="3"/>
        <v>0</v>
      </c>
      <c r="Q570" s="232" t="str">
        <f ca="1">ROUNDUP(HLOOKUP(IF(CEILING(L570,0.5)&lt;1,1,CEILING(L570,0.5)),'배송비 조회'!A$32:AY$36,2,0),-2)</f>
        <v>#REF!</v>
      </c>
      <c r="R570" s="232">
        <v>0</v>
      </c>
      <c r="S570" s="231" t="str">
        <f t="shared" ca="1" si="250"/>
        <v>#REF!</v>
      </c>
      <c r="T570" s="231" t="str">
        <f t="shared" ca="1" si="200"/>
        <v>#REF!</v>
      </c>
      <c r="U570" s="233" t="str">
        <f t="shared" ca="1" si="142"/>
        <v>#REF!</v>
      </c>
      <c r="V570" s="233" t="str">
        <f t="shared" ca="1" si="7"/>
        <v>#REF!</v>
      </c>
      <c r="W570" s="234">
        <v>0</v>
      </c>
      <c r="X570" s="234" t="str">
        <f t="shared" ca="1" si="8"/>
        <v>#REF!</v>
      </c>
      <c r="Y570" s="234" t="str">
        <f t="shared" ca="1" si="9"/>
        <v>#REF!</v>
      </c>
      <c r="Z570" s="234" t="str">
        <f t="shared" ca="1" si="10"/>
        <v>#REF!</v>
      </c>
      <c r="AA570" s="234" t="str">
        <f t="shared" ca="1" si="11"/>
        <v>#REF!</v>
      </c>
      <c r="AB570" s="234" t="str">
        <f t="shared" ca="1" si="12"/>
        <v>#REF!</v>
      </c>
      <c r="AC570" s="234" t="str">
        <f t="shared" ca="1" si="13"/>
        <v>#REF!</v>
      </c>
      <c r="AD570" s="101" t="str">
        <f t="shared" ca="1" si="14"/>
        <v>#REF!</v>
      </c>
      <c r="AE570" s="101" t="str">
        <f t="shared" ca="1" si="15"/>
        <v>#REF!</v>
      </c>
      <c r="AF570" s="235" t="str">
        <f t="shared" ref="AF570:AG570" ca="1" si="647">AD570/U570</f>
        <v>#REF!</v>
      </c>
      <c r="AG570" s="235" t="str">
        <f t="shared" ca="1" si="647"/>
        <v>#REF!</v>
      </c>
      <c r="AH570" s="212"/>
      <c r="AI570" s="213"/>
      <c r="AJ570" s="4"/>
      <c r="AK570" s="4"/>
      <c r="AL570" s="4"/>
      <c r="AM570" s="4"/>
      <c r="AN570" s="4"/>
      <c r="AO570" s="4"/>
      <c r="AP570" s="4"/>
      <c r="AQ570" s="4"/>
      <c r="AR570" s="4"/>
      <c r="AS570" s="4"/>
      <c r="AT570" s="4"/>
      <c r="AU570" s="4"/>
    </row>
    <row r="571" spans="1:47" ht="13.2">
      <c r="A571" s="120"/>
      <c r="B571" s="113"/>
      <c r="C571" s="117"/>
      <c r="D571" s="117"/>
      <c r="E571" s="117"/>
      <c r="F571" s="123"/>
      <c r="G571" s="93" t="s">
        <v>145</v>
      </c>
      <c r="H571" s="125"/>
      <c r="I571" s="125"/>
      <c r="J571" s="82" t="str">
        <f t="shared" ca="1" si="147"/>
        <v>#REF!</v>
      </c>
      <c r="K571" s="82" t="str">
        <f t="shared" ca="1" si="256"/>
        <v>#REF!</v>
      </c>
      <c r="L571" s="82" t="str">
        <f t="shared" ca="1" si="199"/>
        <v>#REF!</v>
      </c>
      <c r="M571" s="125"/>
      <c r="N571" s="125"/>
      <c r="O571" s="230">
        <f t="shared" si="2"/>
        <v>0</v>
      </c>
      <c r="P571" s="231">
        <f t="shared" si="3"/>
        <v>0</v>
      </c>
      <c r="Q571" s="232" t="str">
        <f ca="1">ROUNDUP(HLOOKUP(IF(CEILING(L571,0.5)&lt;1,1,CEILING(L571,0.5)),'배송비 조회'!A$32:AY$36,2,0),-2)</f>
        <v>#REF!</v>
      </c>
      <c r="R571" s="232">
        <v>0</v>
      </c>
      <c r="S571" s="231" t="str">
        <f t="shared" ca="1" si="250"/>
        <v>#REF!</v>
      </c>
      <c r="T571" s="231" t="str">
        <f t="shared" ca="1" si="200"/>
        <v>#REF!</v>
      </c>
      <c r="U571" s="233" t="str">
        <f t="shared" ca="1" si="142"/>
        <v>#REF!</v>
      </c>
      <c r="V571" s="233" t="str">
        <f t="shared" ca="1" si="7"/>
        <v>#REF!</v>
      </c>
      <c r="W571" s="234">
        <v>0</v>
      </c>
      <c r="X571" s="234" t="str">
        <f t="shared" ca="1" si="8"/>
        <v>#REF!</v>
      </c>
      <c r="Y571" s="234" t="str">
        <f t="shared" ca="1" si="9"/>
        <v>#REF!</v>
      </c>
      <c r="Z571" s="234" t="str">
        <f t="shared" ca="1" si="10"/>
        <v>#REF!</v>
      </c>
      <c r="AA571" s="234" t="str">
        <f t="shared" ca="1" si="11"/>
        <v>#REF!</v>
      </c>
      <c r="AB571" s="234" t="str">
        <f t="shared" ca="1" si="12"/>
        <v>#REF!</v>
      </c>
      <c r="AC571" s="234" t="str">
        <f t="shared" ca="1" si="13"/>
        <v>#REF!</v>
      </c>
      <c r="AD571" s="101" t="str">
        <f t="shared" ca="1" si="14"/>
        <v>#REF!</v>
      </c>
      <c r="AE571" s="101" t="str">
        <f t="shared" ca="1" si="15"/>
        <v>#REF!</v>
      </c>
      <c r="AF571" s="235" t="str">
        <f t="shared" ref="AF571:AG571" ca="1" si="648">AD571/U571</f>
        <v>#REF!</v>
      </c>
      <c r="AG571" s="235" t="str">
        <f t="shared" ca="1" si="648"/>
        <v>#REF!</v>
      </c>
      <c r="AH571" s="212"/>
      <c r="AI571" s="213"/>
      <c r="AJ571" s="4"/>
      <c r="AK571" s="4"/>
      <c r="AL571" s="4"/>
      <c r="AM571" s="4"/>
      <c r="AN571" s="4"/>
      <c r="AO571" s="4"/>
      <c r="AP571" s="4"/>
      <c r="AQ571" s="4"/>
      <c r="AR571" s="4"/>
      <c r="AS571" s="4"/>
      <c r="AT571" s="4"/>
      <c r="AU571" s="4"/>
    </row>
    <row r="572" spans="1:47" ht="13.2">
      <c r="A572" s="120"/>
      <c r="B572" s="113"/>
      <c r="C572" s="117"/>
      <c r="D572" s="117"/>
      <c r="E572" s="117"/>
      <c r="F572" s="123"/>
      <c r="G572" s="93" t="s">
        <v>145</v>
      </c>
      <c r="H572" s="125"/>
      <c r="I572" s="125"/>
      <c r="J572" s="82" t="str">
        <f t="shared" ca="1" si="147"/>
        <v>#REF!</v>
      </c>
      <c r="K572" s="82" t="str">
        <f t="shared" ca="1" si="256"/>
        <v>#REF!</v>
      </c>
      <c r="L572" s="82" t="str">
        <f t="shared" ca="1" si="199"/>
        <v>#REF!</v>
      </c>
      <c r="M572" s="125"/>
      <c r="N572" s="125"/>
      <c r="O572" s="230">
        <f t="shared" si="2"/>
        <v>0</v>
      </c>
      <c r="P572" s="231">
        <f t="shared" si="3"/>
        <v>0</v>
      </c>
      <c r="Q572" s="232" t="str">
        <f ca="1">ROUNDUP(HLOOKUP(IF(CEILING(L572,0.5)&lt;1,1,CEILING(L572,0.5)),'배송비 조회'!A$32:AY$36,2,0),-2)</f>
        <v>#REF!</v>
      </c>
      <c r="R572" s="232">
        <v>0</v>
      </c>
      <c r="S572" s="231" t="str">
        <f t="shared" ca="1" si="250"/>
        <v>#REF!</v>
      </c>
      <c r="T572" s="231" t="str">
        <f t="shared" ca="1" si="200"/>
        <v>#REF!</v>
      </c>
      <c r="U572" s="233" t="str">
        <f t="shared" ca="1" si="142"/>
        <v>#REF!</v>
      </c>
      <c r="V572" s="233" t="str">
        <f t="shared" ca="1" si="7"/>
        <v>#REF!</v>
      </c>
      <c r="W572" s="234">
        <v>0</v>
      </c>
      <c r="X572" s="234" t="str">
        <f t="shared" ca="1" si="8"/>
        <v>#REF!</v>
      </c>
      <c r="Y572" s="234" t="str">
        <f t="shared" ca="1" si="9"/>
        <v>#REF!</v>
      </c>
      <c r="Z572" s="234" t="str">
        <f t="shared" ca="1" si="10"/>
        <v>#REF!</v>
      </c>
      <c r="AA572" s="234" t="str">
        <f t="shared" ca="1" si="11"/>
        <v>#REF!</v>
      </c>
      <c r="AB572" s="234" t="str">
        <f t="shared" ca="1" si="12"/>
        <v>#REF!</v>
      </c>
      <c r="AC572" s="234" t="str">
        <f t="shared" ca="1" si="13"/>
        <v>#REF!</v>
      </c>
      <c r="AD572" s="101" t="str">
        <f t="shared" ca="1" si="14"/>
        <v>#REF!</v>
      </c>
      <c r="AE572" s="101" t="str">
        <f t="shared" ca="1" si="15"/>
        <v>#REF!</v>
      </c>
      <c r="AF572" s="235" t="str">
        <f t="shared" ref="AF572:AG572" ca="1" si="649">AD572/U572</f>
        <v>#REF!</v>
      </c>
      <c r="AG572" s="235" t="str">
        <f t="shared" ca="1" si="649"/>
        <v>#REF!</v>
      </c>
      <c r="AH572" s="212"/>
      <c r="AI572" s="213"/>
      <c r="AJ572" s="4"/>
      <c r="AK572" s="4"/>
      <c r="AL572" s="4"/>
      <c r="AM572" s="4"/>
      <c r="AN572" s="4"/>
      <c r="AO572" s="4"/>
      <c r="AP572" s="4"/>
      <c r="AQ572" s="4"/>
      <c r="AR572" s="4"/>
      <c r="AS572" s="4"/>
      <c r="AT572" s="4"/>
      <c r="AU572" s="4"/>
    </row>
    <row r="573" spans="1:47" ht="13.2">
      <c r="A573" s="120"/>
      <c r="B573" s="113"/>
      <c r="C573" s="117"/>
      <c r="D573" s="117"/>
      <c r="E573" s="117"/>
      <c r="F573" s="123"/>
      <c r="G573" s="93" t="s">
        <v>145</v>
      </c>
      <c r="H573" s="125"/>
      <c r="I573" s="125"/>
      <c r="J573" s="82" t="str">
        <f t="shared" ca="1" si="147"/>
        <v>#REF!</v>
      </c>
      <c r="K573" s="82" t="str">
        <f t="shared" ca="1" si="256"/>
        <v>#REF!</v>
      </c>
      <c r="L573" s="82" t="str">
        <f t="shared" ca="1" si="199"/>
        <v>#REF!</v>
      </c>
      <c r="M573" s="125"/>
      <c r="N573" s="125"/>
      <c r="O573" s="230">
        <f t="shared" si="2"/>
        <v>0</v>
      </c>
      <c r="P573" s="231">
        <f t="shared" si="3"/>
        <v>0</v>
      </c>
      <c r="Q573" s="232" t="str">
        <f ca="1">ROUNDUP(HLOOKUP(IF(CEILING(L573,0.5)&lt;1,1,CEILING(L573,0.5)),'배송비 조회'!A$32:AY$36,2,0),-2)</f>
        <v>#REF!</v>
      </c>
      <c r="R573" s="232">
        <v>0</v>
      </c>
      <c r="S573" s="231" t="str">
        <f t="shared" ca="1" si="250"/>
        <v>#REF!</v>
      </c>
      <c r="T573" s="231" t="str">
        <f t="shared" ca="1" si="200"/>
        <v>#REF!</v>
      </c>
      <c r="U573" s="233" t="str">
        <f t="shared" ca="1" si="142"/>
        <v>#REF!</v>
      </c>
      <c r="V573" s="233" t="str">
        <f t="shared" ca="1" si="7"/>
        <v>#REF!</v>
      </c>
      <c r="W573" s="234">
        <v>0</v>
      </c>
      <c r="X573" s="234" t="str">
        <f t="shared" ca="1" si="8"/>
        <v>#REF!</v>
      </c>
      <c r="Y573" s="234" t="str">
        <f t="shared" ca="1" si="9"/>
        <v>#REF!</v>
      </c>
      <c r="Z573" s="234" t="str">
        <f t="shared" ca="1" si="10"/>
        <v>#REF!</v>
      </c>
      <c r="AA573" s="234" t="str">
        <f t="shared" ca="1" si="11"/>
        <v>#REF!</v>
      </c>
      <c r="AB573" s="234" t="str">
        <f t="shared" ca="1" si="12"/>
        <v>#REF!</v>
      </c>
      <c r="AC573" s="234" t="str">
        <f t="shared" ca="1" si="13"/>
        <v>#REF!</v>
      </c>
      <c r="AD573" s="101" t="str">
        <f t="shared" ca="1" si="14"/>
        <v>#REF!</v>
      </c>
      <c r="AE573" s="101" t="str">
        <f t="shared" ca="1" si="15"/>
        <v>#REF!</v>
      </c>
      <c r="AF573" s="235" t="str">
        <f t="shared" ref="AF573:AG573" ca="1" si="650">AD573/U573</f>
        <v>#REF!</v>
      </c>
      <c r="AG573" s="235" t="str">
        <f t="shared" ca="1" si="650"/>
        <v>#REF!</v>
      </c>
      <c r="AH573" s="212"/>
      <c r="AI573" s="213"/>
      <c r="AJ573" s="4"/>
      <c r="AK573" s="4"/>
      <c r="AL573" s="4"/>
      <c r="AM573" s="4"/>
      <c r="AN573" s="4"/>
      <c r="AO573" s="4"/>
      <c r="AP573" s="4"/>
      <c r="AQ573" s="4"/>
      <c r="AR573" s="4"/>
      <c r="AS573" s="4"/>
      <c r="AT573" s="4"/>
      <c r="AU573" s="4"/>
    </row>
    <row r="574" spans="1:47" ht="13.2">
      <c r="A574" s="120"/>
      <c r="B574" s="113"/>
      <c r="C574" s="117"/>
      <c r="D574" s="117"/>
      <c r="E574" s="117"/>
      <c r="F574" s="123"/>
      <c r="G574" s="93" t="s">
        <v>145</v>
      </c>
      <c r="H574" s="125"/>
      <c r="I574" s="125"/>
      <c r="J574" s="82" t="str">
        <f t="shared" ca="1" si="147"/>
        <v>#REF!</v>
      </c>
      <c r="K574" s="82" t="str">
        <f t="shared" ca="1" si="256"/>
        <v>#REF!</v>
      </c>
      <c r="L574" s="82" t="str">
        <f t="shared" ca="1" si="199"/>
        <v>#REF!</v>
      </c>
      <c r="M574" s="125"/>
      <c r="N574" s="125"/>
      <c r="O574" s="230">
        <f t="shared" si="2"/>
        <v>0</v>
      </c>
      <c r="P574" s="231">
        <f t="shared" si="3"/>
        <v>0</v>
      </c>
      <c r="Q574" s="232" t="str">
        <f ca="1">ROUNDUP(HLOOKUP(IF(CEILING(L574,0.5)&lt;1,1,CEILING(L574,0.5)),'배송비 조회'!A$32:AY$36,2,0),-2)</f>
        <v>#REF!</v>
      </c>
      <c r="R574" s="232">
        <v>0</v>
      </c>
      <c r="S574" s="231" t="str">
        <f t="shared" ca="1" si="250"/>
        <v>#REF!</v>
      </c>
      <c r="T574" s="231" t="str">
        <f t="shared" ca="1" si="200"/>
        <v>#REF!</v>
      </c>
      <c r="U574" s="233" t="str">
        <f t="shared" ca="1" si="142"/>
        <v>#REF!</v>
      </c>
      <c r="V574" s="233" t="str">
        <f t="shared" ca="1" si="7"/>
        <v>#REF!</v>
      </c>
      <c r="W574" s="234">
        <v>0</v>
      </c>
      <c r="X574" s="234" t="str">
        <f t="shared" ca="1" si="8"/>
        <v>#REF!</v>
      </c>
      <c r="Y574" s="234" t="str">
        <f t="shared" ca="1" si="9"/>
        <v>#REF!</v>
      </c>
      <c r="Z574" s="234" t="str">
        <f t="shared" ca="1" si="10"/>
        <v>#REF!</v>
      </c>
      <c r="AA574" s="234" t="str">
        <f t="shared" ca="1" si="11"/>
        <v>#REF!</v>
      </c>
      <c r="AB574" s="234" t="str">
        <f t="shared" ca="1" si="12"/>
        <v>#REF!</v>
      </c>
      <c r="AC574" s="234" t="str">
        <f t="shared" ca="1" si="13"/>
        <v>#REF!</v>
      </c>
      <c r="AD574" s="101" t="str">
        <f t="shared" ca="1" si="14"/>
        <v>#REF!</v>
      </c>
      <c r="AE574" s="101" t="str">
        <f t="shared" ca="1" si="15"/>
        <v>#REF!</v>
      </c>
      <c r="AF574" s="235" t="str">
        <f t="shared" ref="AF574:AG574" ca="1" si="651">AD574/U574</f>
        <v>#REF!</v>
      </c>
      <c r="AG574" s="235" t="str">
        <f t="shared" ca="1" si="651"/>
        <v>#REF!</v>
      </c>
      <c r="AH574" s="212"/>
      <c r="AI574" s="213"/>
      <c r="AJ574" s="4"/>
      <c r="AK574" s="4"/>
      <c r="AL574" s="4"/>
      <c r="AM574" s="4"/>
      <c r="AN574" s="4"/>
      <c r="AO574" s="4"/>
      <c r="AP574" s="4"/>
      <c r="AQ574" s="4"/>
      <c r="AR574" s="4"/>
      <c r="AS574" s="4"/>
      <c r="AT574" s="4"/>
      <c r="AU574" s="4"/>
    </row>
    <row r="575" spans="1:47" ht="13.2">
      <c r="A575" s="120"/>
      <c r="B575" s="113"/>
      <c r="C575" s="117"/>
      <c r="D575" s="117"/>
      <c r="E575" s="117"/>
      <c r="F575" s="123"/>
      <c r="G575" s="93" t="s">
        <v>145</v>
      </c>
      <c r="H575" s="125"/>
      <c r="I575" s="125"/>
      <c r="J575" s="82" t="str">
        <f t="shared" ca="1" si="147"/>
        <v>#REF!</v>
      </c>
      <c r="K575" s="82" t="str">
        <f t="shared" ca="1" si="256"/>
        <v>#REF!</v>
      </c>
      <c r="L575" s="82" t="str">
        <f t="shared" ca="1" si="199"/>
        <v>#REF!</v>
      </c>
      <c r="M575" s="125"/>
      <c r="N575" s="125"/>
      <c r="O575" s="230">
        <f t="shared" si="2"/>
        <v>0</v>
      </c>
      <c r="P575" s="231">
        <f t="shared" si="3"/>
        <v>0</v>
      </c>
      <c r="Q575" s="232" t="str">
        <f ca="1">ROUNDUP(HLOOKUP(IF(CEILING(L575,0.5)&lt;1,1,CEILING(L575,0.5)),'배송비 조회'!A$32:AY$36,2,0),-2)</f>
        <v>#REF!</v>
      </c>
      <c r="R575" s="232">
        <v>0</v>
      </c>
      <c r="S575" s="231" t="str">
        <f t="shared" ca="1" si="250"/>
        <v>#REF!</v>
      </c>
      <c r="T575" s="231" t="str">
        <f t="shared" ca="1" si="200"/>
        <v>#REF!</v>
      </c>
      <c r="U575" s="233" t="str">
        <f t="shared" ca="1" si="142"/>
        <v>#REF!</v>
      </c>
      <c r="V575" s="233" t="str">
        <f t="shared" ca="1" si="7"/>
        <v>#REF!</v>
      </c>
      <c r="W575" s="234">
        <v>0</v>
      </c>
      <c r="X575" s="234" t="str">
        <f t="shared" ca="1" si="8"/>
        <v>#REF!</v>
      </c>
      <c r="Y575" s="234" t="str">
        <f t="shared" ca="1" si="9"/>
        <v>#REF!</v>
      </c>
      <c r="Z575" s="234" t="str">
        <f t="shared" ca="1" si="10"/>
        <v>#REF!</v>
      </c>
      <c r="AA575" s="234" t="str">
        <f t="shared" ca="1" si="11"/>
        <v>#REF!</v>
      </c>
      <c r="AB575" s="234" t="str">
        <f t="shared" ca="1" si="12"/>
        <v>#REF!</v>
      </c>
      <c r="AC575" s="234" t="str">
        <f t="shared" ca="1" si="13"/>
        <v>#REF!</v>
      </c>
      <c r="AD575" s="101" t="str">
        <f t="shared" ca="1" si="14"/>
        <v>#REF!</v>
      </c>
      <c r="AE575" s="101" t="str">
        <f t="shared" ca="1" si="15"/>
        <v>#REF!</v>
      </c>
      <c r="AF575" s="235" t="str">
        <f t="shared" ref="AF575:AG575" ca="1" si="652">AD575/U575</f>
        <v>#REF!</v>
      </c>
      <c r="AG575" s="235" t="str">
        <f t="shared" ca="1" si="652"/>
        <v>#REF!</v>
      </c>
      <c r="AH575" s="212"/>
      <c r="AI575" s="213"/>
      <c r="AJ575" s="4"/>
      <c r="AK575" s="4"/>
      <c r="AL575" s="4"/>
      <c r="AM575" s="4"/>
      <c r="AN575" s="4"/>
      <c r="AO575" s="4"/>
      <c r="AP575" s="4"/>
      <c r="AQ575" s="4"/>
      <c r="AR575" s="4"/>
      <c r="AS575" s="4"/>
      <c r="AT575" s="4"/>
      <c r="AU575" s="4"/>
    </row>
    <row r="576" spans="1:47" ht="13.2">
      <c r="A576" s="120"/>
      <c r="B576" s="113"/>
      <c r="C576" s="117"/>
      <c r="D576" s="117"/>
      <c r="E576" s="117"/>
      <c r="F576" s="123"/>
      <c r="G576" s="93" t="s">
        <v>145</v>
      </c>
      <c r="H576" s="125"/>
      <c r="I576" s="125"/>
      <c r="J576" s="82" t="str">
        <f t="shared" ca="1" si="147"/>
        <v>#REF!</v>
      </c>
      <c r="K576" s="82" t="str">
        <f t="shared" ca="1" si="256"/>
        <v>#REF!</v>
      </c>
      <c r="L576" s="82" t="str">
        <f t="shared" ca="1" si="199"/>
        <v>#REF!</v>
      </c>
      <c r="M576" s="125"/>
      <c r="N576" s="125"/>
      <c r="O576" s="230">
        <f t="shared" si="2"/>
        <v>0</v>
      </c>
      <c r="P576" s="231">
        <f t="shared" si="3"/>
        <v>0</v>
      </c>
      <c r="Q576" s="232" t="str">
        <f ca="1">ROUNDUP(HLOOKUP(IF(CEILING(L576,0.5)&lt;1,1,CEILING(L576,0.5)),'배송비 조회'!A$32:AY$36,2,0),-2)</f>
        <v>#REF!</v>
      </c>
      <c r="R576" s="232">
        <v>0</v>
      </c>
      <c r="S576" s="231" t="str">
        <f t="shared" ca="1" si="250"/>
        <v>#REF!</v>
      </c>
      <c r="T576" s="231" t="str">
        <f t="shared" ca="1" si="200"/>
        <v>#REF!</v>
      </c>
      <c r="U576" s="233" t="str">
        <f t="shared" ca="1" si="142"/>
        <v>#REF!</v>
      </c>
      <c r="V576" s="233" t="str">
        <f t="shared" ca="1" si="7"/>
        <v>#REF!</v>
      </c>
      <c r="W576" s="234">
        <v>0</v>
      </c>
      <c r="X576" s="234" t="str">
        <f t="shared" ca="1" si="8"/>
        <v>#REF!</v>
      </c>
      <c r="Y576" s="234" t="str">
        <f t="shared" ca="1" si="9"/>
        <v>#REF!</v>
      </c>
      <c r="Z576" s="234" t="str">
        <f t="shared" ca="1" si="10"/>
        <v>#REF!</v>
      </c>
      <c r="AA576" s="234" t="str">
        <f t="shared" ca="1" si="11"/>
        <v>#REF!</v>
      </c>
      <c r="AB576" s="234" t="str">
        <f t="shared" ca="1" si="12"/>
        <v>#REF!</v>
      </c>
      <c r="AC576" s="234" t="str">
        <f t="shared" ca="1" si="13"/>
        <v>#REF!</v>
      </c>
      <c r="AD576" s="101" t="str">
        <f t="shared" ca="1" si="14"/>
        <v>#REF!</v>
      </c>
      <c r="AE576" s="101" t="str">
        <f t="shared" ca="1" si="15"/>
        <v>#REF!</v>
      </c>
      <c r="AF576" s="235" t="str">
        <f t="shared" ref="AF576:AG576" ca="1" si="653">AD576/U576</f>
        <v>#REF!</v>
      </c>
      <c r="AG576" s="235" t="str">
        <f t="shared" ca="1" si="653"/>
        <v>#REF!</v>
      </c>
      <c r="AH576" s="212"/>
      <c r="AI576" s="213"/>
      <c r="AJ576" s="4"/>
      <c r="AK576" s="4"/>
      <c r="AL576" s="4"/>
      <c r="AM576" s="4"/>
      <c r="AN576" s="4"/>
      <c r="AO576" s="4"/>
      <c r="AP576" s="4"/>
      <c r="AQ576" s="4"/>
      <c r="AR576" s="4"/>
      <c r="AS576" s="4"/>
      <c r="AT576" s="4"/>
      <c r="AU576" s="4"/>
    </row>
    <row r="577" spans="1:47" ht="13.2">
      <c r="A577" s="120"/>
      <c r="B577" s="113"/>
      <c r="C577" s="117"/>
      <c r="D577" s="117"/>
      <c r="E577" s="117"/>
      <c r="F577" s="123"/>
      <c r="G577" s="93" t="s">
        <v>145</v>
      </c>
      <c r="H577" s="125"/>
      <c r="I577" s="125"/>
      <c r="J577" s="82" t="str">
        <f t="shared" ca="1" si="147"/>
        <v>#REF!</v>
      </c>
      <c r="K577" s="82" t="str">
        <f t="shared" ca="1" si="256"/>
        <v>#REF!</v>
      </c>
      <c r="L577" s="82" t="str">
        <f t="shared" ca="1" si="199"/>
        <v>#REF!</v>
      </c>
      <c r="M577" s="125"/>
      <c r="N577" s="125"/>
      <c r="O577" s="230">
        <f t="shared" si="2"/>
        <v>0</v>
      </c>
      <c r="P577" s="231">
        <f t="shared" si="3"/>
        <v>0</v>
      </c>
      <c r="Q577" s="232" t="str">
        <f ca="1">ROUNDUP(HLOOKUP(IF(CEILING(L577,0.5)&lt;1,1,CEILING(L577,0.5)),'배송비 조회'!A$32:AY$36,2,0),-2)</f>
        <v>#REF!</v>
      </c>
      <c r="R577" s="232">
        <v>0</v>
      </c>
      <c r="S577" s="231" t="str">
        <f t="shared" ca="1" si="250"/>
        <v>#REF!</v>
      </c>
      <c r="T577" s="231" t="str">
        <f t="shared" ca="1" si="200"/>
        <v>#REF!</v>
      </c>
      <c r="U577" s="233" t="str">
        <f t="shared" ca="1" si="142"/>
        <v>#REF!</v>
      </c>
      <c r="V577" s="233" t="str">
        <f t="shared" ca="1" si="7"/>
        <v>#REF!</v>
      </c>
      <c r="W577" s="234">
        <v>0</v>
      </c>
      <c r="X577" s="234" t="str">
        <f t="shared" ca="1" si="8"/>
        <v>#REF!</v>
      </c>
      <c r="Y577" s="234" t="str">
        <f t="shared" ca="1" si="9"/>
        <v>#REF!</v>
      </c>
      <c r="Z577" s="234" t="str">
        <f t="shared" ca="1" si="10"/>
        <v>#REF!</v>
      </c>
      <c r="AA577" s="234" t="str">
        <f t="shared" ca="1" si="11"/>
        <v>#REF!</v>
      </c>
      <c r="AB577" s="234" t="str">
        <f t="shared" ca="1" si="12"/>
        <v>#REF!</v>
      </c>
      <c r="AC577" s="234" t="str">
        <f t="shared" ca="1" si="13"/>
        <v>#REF!</v>
      </c>
      <c r="AD577" s="101" t="str">
        <f t="shared" ca="1" si="14"/>
        <v>#REF!</v>
      </c>
      <c r="AE577" s="101" t="str">
        <f t="shared" ca="1" si="15"/>
        <v>#REF!</v>
      </c>
      <c r="AF577" s="235" t="str">
        <f t="shared" ref="AF577:AG577" ca="1" si="654">AD577/U577</f>
        <v>#REF!</v>
      </c>
      <c r="AG577" s="235" t="str">
        <f t="shared" ca="1" si="654"/>
        <v>#REF!</v>
      </c>
      <c r="AH577" s="212"/>
      <c r="AI577" s="213"/>
      <c r="AJ577" s="4"/>
      <c r="AK577" s="4"/>
      <c r="AL577" s="4"/>
      <c r="AM577" s="4"/>
      <c r="AN577" s="4"/>
      <c r="AO577" s="4"/>
      <c r="AP577" s="4"/>
      <c r="AQ577" s="4"/>
      <c r="AR577" s="4"/>
      <c r="AS577" s="4"/>
      <c r="AT577" s="4"/>
      <c r="AU577" s="4"/>
    </row>
    <row r="578" spans="1:47" ht="13.2">
      <c r="A578" s="120"/>
      <c r="B578" s="113"/>
      <c r="C578" s="117"/>
      <c r="D578" s="117"/>
      <c r="E578" s="117"/>
      <c r="F578" s="123"/>
      <c r="G578" s="93" t="s">
        <v>145</v>
      </c>
      <c r="H578" s="125"/>
      <c r="I578" s="125"/>
      <c r="J578" s="82" t="str">
        <f t="shared" ca="1" si="147"/>
        <v>#REF!</v>
      </c>
      <c r="K578" s="82" t="str">
        <f t="shared" ca="1" si="256"/>
        <v>#REF!</v>
      </c>
      <c r="L578" s="82" t="str">
        <f t="shared" ca="1" si="199"/>
        <v>#REF!</v>
      </c>
      <c r="M578" s="125"/>
      <c r="N578" s="125"/>
      <c r="O578" s="230">
        <f t="shared" si="2"/>
        <v>0</v>
      </c>
      <c r="P578" s="231">
        <f t="shared" si="3"/>
        <v>0</v>
      </c>
      <c r="Q578" s="232" t="str">
        <f ca="1">ROUNDUP(HLOOKUP(IF(CEILING(L578,0.5)&lt;1,1,CEILING(L578,0.5)),'배송비 조회'!A$32:AY$36,2,0),-2)</f>
        <v>#REF!</v>
      </c>
      <c r="R578" s="232">
        <v>0</v>
      </c>
      <c r="S578" s="231" t="str">
        <f t="shared" ca="1" si="250"/>
        <v>#REF!</v>
      </c>
      <c r="T578" s="231" t="str">
        <f t="shared" ca="1" si="200"/>
        <v>#REF!</v>
      </c>
      <c r="U578" s="233" t="str">
        <f t="shared" ca="1" si="142"/>
        <v>#REF!</v>
      </c>
      <c r="V578" s="233" t="str">
        <f t="shared" ca="1" si="7"/>
        <v>#REF!</v>
      </c>
      <c r="W578" s="234">
        <v>0</v>
      </c>
      <c r="X578" s="234" t="str">
        <f t="shared" ca="1" si="8"/>
        <v>#REF!</v>
      </c>
      <c r="Y578" s="234" t="str">
        <f t="shared" ca="1" si="9"/>
        <v>#REF!</v>
      </c>
      <c r="Z578" s="234" t="str">
        <f t="shared" ca="1" si="10"/>
        <v>#REF!</v>
      </c>
      <c r="AA578" s="234" t="str">
        <f t="shared" ca="1" si="11"/>
        <v>#REF!</v>
      </c>
      <c r="AB578" s="234" t="str">
        <f t="shared" ca="1" si="12"/>
        <v>#REF!</v>
      </c>
      <c r="AC578" s="234" t="str">
        <f t="shared" ca="1" si="13"/>
        <v>#REF!</v>
      </c>
      <c r="AD578" s="101" t="str">
        <f t="shared" ca="1" si="14"/>
        <v>#REF!</v>
      </c>
      <c r="AE578" s="101" t="str">
        <f t="shared" ca="1" si="15"/>
        <v>#REF!</v>
      </c>
      <c r="AF578" s="235" t="str">
        <f t="shared" ref="AF578:AG578" ca="1" si="655">AD578/U578</f>
        <v>#REF!</v>
      </c>
      <c r="AG578" s="235" t="str">
        <f t="shared" ca="1" si="655"/>
        <v>#REF!</v>
      </c>
      <c r="AH578" s="212"/>
      <c r="AI578" s="213"/>
      <c r="AJ578" s="4"/>
      <c r="AK578" s="4"/>
      <c r="AL578" s="4"/>
      <c r="AM578" s="4"/>
      <c r="AN578" s="4"/>
      <c r="AO578" s="4"/>
      <c r="AP578" s="4"/>
      <c r="AQ578" s="4"/>
      <c r="AR578" s="4"/>
      <c r="AS578" s="4"/>
      <c r="AT578" s="4"/>
      <c r="AU578" s="4"/>
    </row>
    <row r="579" spans="1:47" ht="13.2">
      <c r="A579" s="120"/>
      <c r="B579" s="113"/>
      <c r="C579" s="117"/>
      <c r="D579" s="117"/>
      <c r="E579" s="117"/>
      <c r="F579" s="123"/>
      <c r="G579" s="93" t="s">
        <v>145</v>
      </c>
      <c r="H579" s="125"/>
      <c r="I579" s="125"/>
      <c r="J579" s="82" t="str">
        <f t="shared" ca="1" si="147"/>
        <v>#REF!</v>
      </c>
      <c r="K579" s="82" t="str">
        <f t="shared" ca="1" si="256"/>
        <v>#REF!</v>
      </c>
      <c r="L579" s="82" t="str">
        <f t="shared" ca="1" si="199"/>
        <v>#REF!</v>
      </c>
      <c r="M579" s="125"/>
      <c r="N579" s="125"/>
      <c r="O579" s="230">
        <f t="shared" si="2"/>
        <v>0</v>
      </c>
      <c r="P579" s="231">
        <f t="shared" si="3"/>
        <v>0</v>
      </c>
      <c r="Q579" s="232" t="str">
        <f ca="1">ROUNDUP(HLOOKUP(IF(CEILING(L579,0.5)&lt;1,1,CEILING(L579,0.5)),'배송비 조회'!A$32:AY$36,2,0),-2)</f>
        <v>#REF!</v>
      </c>
      <c r="R579" s="232">
        <v>0</v>
      </c>
      <c r="S579" s="231" t="str">
        <f t="shared" ca="1" si="250"/>
        <v>#REF!</v>
      </c>
      <c r="T579" s="231" t="str">
        <f t="shared" ca="1" si="200"/>
        <v>#REF!</v>
      </c>
      <c r="U579" s="233" t="str">
        <f t="shared" ca="1" si="142"/>
        <v>#REF!</v>
      </c>
      <c r="V579" s="233" t="str">
        <f t="shared" ca="1" si="7"/>
        <v>#REF!</v>
      </c>
      <c r="W579" s="234">
        <v>0</v>
      </c>
      <c r="X579" s="234" t="str">
        <f t="shared" ca="1" si="8"/>
        <v>#REF!</v>
      </c>
      <c r="Y579" s="234" t="str">
        <f t="shared" ca="1" si="9"/>
        <v>#REF!</v>
      </c>
      <c r="Z579" s="234" t="str">
        <f t="shared" ca="1" si="10"/>
        <v>#REF!</v>
      </c>
      <c r="AA579" s="234" t="str">
        <f t="shared" ca="1" si="11"/>
        <v>#REF!</v>
      </c>
      <c r="AB579" s="234" t="str">
        <f t="shared" ca="1" si="12"/>
        <v>#REF!</v>
      </c>
      <c r="AC579" s="234" t="str">
        <f t="shared" ca="1" si="13"/>
        <v>#REF!</v>
      </c>
      <c r="AD579" s="101" t="str">
        <f t="shared" ca="1" si="14"/>
        <v>#REF!</v>
      </c>
      <c r="AE579" s="101" t="str">
        <f t="shared" ca="1" si="15"/>
        <v>#REF!</v>
      </c>
      <c r="AF579" s="235" t="str">
        <f t="shared" ref="AF579:AG579" ca="1" si="656">AD579/U579</f>
        <v>#REF!</v>
      </c>
      <c r="AG579" s="235" t="str">
        <f t="shared" ca="1" si="656"/>
        <v>#REF!</v>
      </c>
      <c r="AH579" s="212"/>
      <c r="AI579" s="213"/>
      <c r="AJ579" s="4"/>
      <c r="AK579" s="4"/>
      <c r="AL579" s="4"/>
      <c r="AM579" s="4"/>
      <c r="AN579" s="4"/>
      <c r="AO579" s="4"/>
      <c r="AP579" s="4"/>
      <c r="AQ579" s="4"/>
      <c r="AR579" s="4"/>
      <c r="AS579" s="4"/>
      <c r="AT579" s="4"/>
      <c r="AU579" s="4"/>
    </row>
    <row r="580" spans="1:47" ht="13.2">
      <c r="A580" s="120"/>
      <c r="B580" s="113"/>
      <c r="C580" s="117"/>
      <c r="D580" s="117"/>
      <c r="E580" s="117"/>
      <c r="F580" s="123"/>
      <c r="G580" s="93" t="s">
        <v>145</v>
      </c>
      <c r="H580" s="125"/>
      <c r="I580" s="125"/>
      <c r="J580" s="82" t="str">
        <f t="shared" ca="1" si="147"/>
        <v>#REF!</v>
      </c>
      <c r="K580" s="82" t="str">
        <f t="shared" ca="1" si="256"/>
        <v>#REF!</v>
      </c>
      <c r="L580" s="82" t="str">
        <f t="shared" ca="1" si="199"/>
        <v>#REF!</v>
      </c>
      <c r="M580" s="125"/>
      <c r="N580" s="125"/>
      <c r="O580" s="230">
        <f t="shared" si="2"/>
        <v>0</v>
      </c>
      <c r="P580" s="231">
        <f t="shared" si="3"/>
        <v>0</v>
      </c>
      <c r="Q580" s="232" t="str">
        <f ca="1">ROUNDUP(HLOOKUP(IF(CEILING(L580,0.5)&lt;1,1,CEILING(L580,0.5)),'배송비 조회'!A$32:AY$36,2,0),-2)</f>
        <v>#REF!</v>
      </c>
      <c r="R580" s="232">
        <v>0</v>
      </c>
      <c r="S580" s="231" t="str">
        <f t="shared" ca="1" si="250"/>
        <v>#REF!</v>
      </c>
      <c r="T580" s="231" t="str">
        <f t="shared" ca="1" si="200"/>
        <v>#REF!</v>
      </c>
      <c r="U580" s="233" t="str">
        <f t="shared" ca="1" si="142"/>
        <v>#REF!</v>
      </c>
      <c r="V580" s="233" t="str">
        <f t="shared" ca="1" si="7"/>
        <v>#REF!</v>
      </c>
      <c r="W580" s="234">
        <v>0</v>
      </c>
      <c r="X580" s="234" t="str">
        <f t="shared" ca="1" si="8"/>
        <v>#REF!</v>
      </c>
      <c r="Y580" s="234" t="str">
        <f t="shared" ca="1" si="9"/>
        <v>#REF!</v>
      </c>
      <c r="Z580" s="234" t="str">
        <f t="shared" ca="1" si="10"/>
        <v>#REF!</v>
      </c>
      <c r="AA580" s="234" t="str">
        <f t="shared" ca="1" si="11"/>
        <v>#REF!</v>
      </c>
      <c r="AB580" s="234" t="str">
        <f t="shared" ca="1" si="12"/>
        <v>#REF!</v>
      </c>
      <c r="AC580" s="234" t="str">
        <f t="shared" ca="1" si="13"/>
        <v>#REF!</v>
      </c>
      <c r="AD580" s="101" t="str">
        <f t="shared" ca="1" si="14"/>
        <v>#REF!</v>
      </c>
      <c r="AE580" s="101" t="str">
        <f t="shared" ca="1" si="15"/>
        <v>#REF!</v>
      </c>
      <c r="AF580" s="235" t="str">
        <f t="shared" ref="AF580:AG580" ca="1" si="657">AD580/U580</f>
        <v>#REF!</v>
      </c>
      <c r="AG580" s="235" t="str">
        <f t="shared" ca="1" si="657"/>
        <v>#REF!</v>
      </c>
      <c r="AH580" s="212"/>
      <c r="AI580" s="213"/>
      <c r="AJ580" s="4"/>
      <c r="AK580" s="4"/>
      <c r="AL580" s="4"/>
      <c r="AM580" s="4"/>
      <c r="AN580" s="4"/>
      <c r="AO580" s="4"/>
      <c r="AP580" s="4"/>
      <c r="AQ580" s="4"/>
      <c r="AR580" s="4"/>
      <c r="AS580" s="4"/>
      <c r="AT580" s="4"/>
      <c r="AU580" s="4"/>
    </row>
    <row r="581" spans="1:47" ht="13.2">
      <c r="A581" s="120"/>
      <c r="B581" s="113"/>
      <c r="C581" s="117"/>
      <c r="D581" s="117"/>
      <c r="E581" s="117"/>
      <c r="F581" s="123"/>
      <c r="G581" s="93" t="s">
        <v>145</v>
      </c>
      <c r="H581" s="125"/>
      <c r="I581" s="125"/>
      <c r="J581" s="82" t="str">
        <f t="shared" ca="1" si="147"/>
        <v>#REF!</v>
      </c>
      <c r="K581" s="82" t="str">
        <f t="shared" ca="1" si="256"/>
        <v>#REF!</v>
      </c>
      <c r="L581" s="82" t="str">
        <f t="shared" ca="1" si="199"/>
        <v>#REF!</v>
      </c>
      <c r="M581" s="125"/>
      <c r="N581" s="125"/>
      <c r="O581" s="230">
        <f t="shared" si="2"/>
        <v>0</v>
      </c>
      <c r="P581" s="231">
        <f t="shared" si="3"/>
        <v>0</v>
      </c>
      <c r="Q581" s="232" t="str">
        <f ca="1">ROUNDUP(HLOOKUP(IF(CEILING(L581,0.5)&lt;1,1,CEILING(L581,0.5)),'배송비 조회'!A$32:AY$36,2,0),-2)</f>
        <v>#REF!</v>
      </c>
      <c r="R581" s="232">
        <v>0</v>
      </c>
      <c r="S581" s="231" t="str">
        <f t="shared" ca="1" si="250"/>
        <v>#REF!</v>
      </c>
      <c r="T581" s="231" t="str">
        <f t="shared" ca="1" si="200"/>
        <v>#REF!</v>
      </c>
      <c r="U581" s="233" t="str">
        <f t="shared" ca="1" si="142"/>
        <v>#REF!</v>
      </c>
      <c r="V581" s="233" t="str">
        <f t="shared" ca="1" si="7"/>
        <v>#REF!</v>
      </c>
      <c r="W581" s="234">
        <v>0</v>
      </c>
      <c r="X581" s="234" t="str">
        <f t="shared" ca="1" si="8"/>
        <v>#REF!</v>
      </c>
      <c r="Y581" s="234" t="str">
        <f t="shared" ca="1" si="9"/>
        <v>#REF!</v>
      </c>
      <c r="Z581" s="234" t="str">
        <f t="shared" ca="1" si="10"/>
        <v>#REF!</v>
      </c>
      <c r="AA581" s="234" t="str">
        <f t="shared" ca="1" si="11"/>
        <v>#REF!</v>
      </c>
      <c r="AB581" s="234" t="str">
        <f t="shared" ca="1" si="12"/>
        <v>#REF!</v>
      </c>
      <c r="AC581" s="234" t="str">
        <f t="shared" ca="1" si="13"/>
        <v>#REF!</v>
      </c>
      <c r="AD581" s="101" t="str">
        <f t="shared" ca="1" si="14"/>
        <v>#REF!</v>
      </c>
      <c r="AE581" s="101" t="str">
        <f t="shared" ca="1" si="15"/>
        <v>#REF!</v>
      </c>
      <c r="AF581" s="235" t="str">
        <f t="shared" ref="AF581:AG581" ca="1" si="658">AD581/U581</f>
        <v>#REF!</v>
      </c>
      <c r="AG581" s="235" t="str">
        <f t="shared" ca="1" si="658"/>
        <v>#REF!</v>
      </c>
      <c r="AH581" s="212"/>
      <c r="AI581" s="213"/>
      <c r="AJ581" s="4"/>
      <c r="AK581" s="4"/>
      <c r="AL581" s="4"/>
      <c r="AM581" s="4"/>
      <c r="AN581" s="4"/>
      <c r="AO581" s="4"/>
      <c r="AP581" s="4"/>
      <c r="AQ581" s="4"/>
      <c r="AR581" s="4"/>
      <c r="AS581" s="4"/>
      <c r="AT581" s="4"/>
      <c r="AU581" s="4"/>
    </row>
    <row r="582" spans="1:47" ht="13.2">
      <c r="A582" s="120"/>
      <c r="B582" s="113"/>
      <c r="C582" s="117"/>
      <c r="D582" s="117"/>
      <c r="E582" s="117"/>
      <c r="F582" s="123"/>
      <c r="G582" s="93" t="s">
        <v>145</v>
      </c>
      <c r="H582" s="125"/>
      <c r="I582" s="125"/>
      <c r="J582" s="82" t="str">
        <f t="shared" ca="1" si="147"/>
        <v>#REF!</v>
      </c>
      <c r="K582" s="82" t="str">
        <f t="shared" ca="1" si="256"/>
        <v>#REF!</v>
      </c>
      <c r="L582" s="82" t="str">
        <f t="shared" ca="1" si="199"/>
        <v>#REF!</v>
      </c>
      <c r="M582" s="125"/>
      <c r="N582" s="125"/>
      <c r="O582" s="230">
        <f t="shared" si="2"/>
        <v>0</v>
      </c>
      <c r="P582" s="231">
        <f t="shared" si="3"/>
        <v>0</v>
      </c>
      <c r="Q582" s="232" t="str">
        <f ca="1">ROUNDUP(HLOOKUP(IF(CEILING(L582,0.5)&lt;1,1,CEILING(L582,0.5)),'배송비 조회'!A$32:AY$36,2,0),-2)</f>
        <v>#REF!</v>
      </c>
      <c r="R582" s="232">
        <v>0</v>
      </c>
      <c r="S582" s="231" t="str">
        <f t="shared" ca="1" si="250"/>
        <v>#REF!</v>
      </c>
      <c r="T582" s="231" t="str">
        <f t="shared" ca="1" si="200"/>
        <v>#REF!</v>
      </c>
      <c r="U582" s="233" t="str">
        <f t="shared" ca="1" si="142"/>
        <v>#REF!</v>
      </c>
      <c r="V582" s="233" t="str">
        <f t="shared" ca="1" si="7"/>
        <v>#REF!</v>
      </c>
      <c r="W582" s="234">
        <v>0</v>
      </c>
      <c r="X582" s="234" t="str">
        <f t="shared" ca="1" si="8"/>
        <v>#REF!</v>
      </c>
      <c r="Y582" s="234" t="str">
        <f t="shared" ca="1" si="9"/>
        <v>#REF!</v>
      </c>
      <c r="Z582" s="234" t="str">
        <f t="shared" ca="1" si="10"/>
        <v>#REF!</v>
      </c>
      <c r="AA582" s="234" t="str">
        <f t="shared" ca="1" si="11"/>
        <v>#REF!</v>
      </c>
      <c r="AB582" s="234" t="str">
        <f t="shared" ca="1" si="12"/>
        <v>#REF!</v>
      </c>
      <c r="AC582" s="234" t="str">
        <f t="shared" ca="1" si="13"/>
        <v>#REF!</v>
      </c>
      <c r="AD582" s="101" t="str">
        <f t="shared" ca="1" si="14"/>
        <v>#REF!</v>
      </c>
      <c r="AE582" s="101" t="str">
        <f t="shared" ca="1" si="15"/>
        <v>#REF!</v>
      </c>
      <c r="AF582" s="235" t="str">
        <f t="shared" ref="AF582:AG582" ca="1" si="659">AD582/U582</f>
        <v>#REF!</v>
      </c>
      <c r="AG582" s="235" t="str">
        <f t="shared" ca="1" si="659"/>
        <v>#REF!</v>
      </c>
      <c r="AH582" s="212"/>
      <c r="AI582" s="213"/>
      <c r="AJ582" s="4"/>
      <c r="AK582" s="4"/>
      <c r="AL582" s="4"/>
      <c r="AM582" s="4"/>
      <c r="AN582" s="4"/>
      <c r="AO582" s="4"/>
      <c r="AP582" s="4"/>
      <c r="AQ582" s="4"/>
      <c r="AR582" s="4"/>
      <c r="AS582" s="4"/>
      <c r="AT582" s="4"/>
      <c r="AU582" s="4"/>
    </row>
    <row r="583" spans="1:47" ht="13.2">
      <c r="A583" s="120"/>
      <c r="B583" s="113"/>
      <c r="C583" s="117"/>
      <c r="D583" s="117"/>
      <c r="E583" s="117"/>
      <c r="F583" s="123"/>
      <c r="G583" s="93" t="s">
        <v>145</v>
      </c>
      <c r="H583" s="125"/>
      <c r="I583" s="125"/>
      <c r="J583" s="82" t="str">
        <f t="shared" ca="1" si="147"/>
        <v>#REF!</v>
      </c>
      <c r="K583" s="82" t="str">
        <f t="shared" ca="1" si="256"/>
        <v>#REF!</v>
      </c>
      <c r="L583" s="82" t="str">
        <f t="shared" ca="1" si="199"/>
        <v>#REF!</v>
      </c>
      <c r="M583" s="125"/>
      <c r="N583" s="125"/>
      <c r="O583" s="230">
        <f t="shared" si="2"/>
        <v>0</v>
      </c>
      <c r="P583" s="231">
        <f t="shared" si="3"/>
        <v>0</v>
      </c>
      <c r="Q583" s="232" t="str">
        <f ca="1">ROUNDUP(HLOOKUP(IF(CEILING(L583,0.5)&lt;1,1,CEILING(L583,0.5)),'배송비 조회'!A$32:AY$36,2,0),-2)</f>
        <v>#REF!</v>
      </c>
      <c r="R583" s="232">
        <v>0</v>
      </c>
      <c r="S583" s="231" t="str">
        <f t="shared" ca="1" si="250"/>
        <v>#REF!</v>
      </c>
      <c r="T583" s="231" t="str">
        <f t="shared" ca="1" si="200"/>
        <v>#REF!</v>
      </c>
      <c r="U583" s="233" t="str">
        <f t="shared" ca="1" si="142"/>
        <v>#REF!</v>
      </c>
      <c r="V583" s="233" t="str">
        <f t="shared" ca="1" si="7"/>
        <v>#REF!</v>
      </c>
      <c r="W583" s="234">
        <v>0</v>
      </c>
      <c r="X583" s="234" t="str">
        <f t="shared" ca="1" si="8"/>
        <v>#REF!</v>
      </c>
      <c r="Y583" s="234" t="str">
        <f t="shared" ca="1" si="9"/>
        <v>#REF!</v>
      </c>
      <c r="Z583" s="234" t="str">
        <f t="shared" ca="1" si="10"/>
        <v>#REF!</v>
      </c>
      <c r="AA583" s="234" t="str">
        <f t="shared" ca="1" si="11"/>
        <v>#REF!</v>
      </c>
      <c r="AB583" s="234" t="str">
        <f t="shared" ca="1" si="12"/>
        <v>#REF!</v>
      </c>
      <c r="AC583" s="234" t="str">
        <f t="shared" ca="1" si="13"/>
        <v>#REF!</v>
      </c>
      <c r="AD583" s="101" t="str">
        <f t="shared" ca="1" si="14"/>
        <v>#REF!</v>
      </c>
      <c r="AE583" s="101" t="str">
        <f t="shared" ca="1" si="15"/>
        <v>#REF!</v>
      </c>
      <c r="AF583" s="235" t="str">
        <f t="shared" ref="AF583:AG583" ca="1" si="660">AD583/U583</f>
        <v>#REF!</v>
      </c>
      <c r="AG583" s="235" t="str">
        <f t="shared" ca="1" si="660"/>
        <v>#REF!</v>
      </c>
      <c r="AH583" s="212"/>
      <c r="AI583" s="213"/>
      <c r="AJ583" s="4"/>
      <c r="AK583" s="4"/>
      <c r="AL583" s="4"/>
      <c r="AM583" s="4"/>
      <c r="AN583" s="4"/>
      <c r="AO583" s="4"/>
      <c r="AP583" s="4"/>
      <c r="AQ583" s="4"/>
      <c r="AR583" s="4"/>
      <c r="AS583" s="4"/>
      <c r="AT583" s="4"/>
      <c r="AU583" s="4"/>
    </row>
    <row r="584" spans="1:47" ht="13.2">
      <c r="A584" s="120"/>
      <c r="B584" s="113"/>
      <c r="C584" s="117"/>
      <c r="D584" s="117"/>
      <c r="E584" s="117"/>
      <c r="F584" s="123"/>
      <c r="G584" s="93" t="s">
        <v>145</v>
      </c>
      <c r="H584" s="125"/>
      <c r="I584" s="125"/>
      <c r="J584" s="82" t="str">
        <f t="shared" ca="1" si="147"/>
        <v>#REF!</v>
      </c>
      <c r="K584" s="82" t="str">
        <f t="shared" ca="1" si="256"/>
        <v>#REF!</v>
      </c>
      <c r="L584" s="82" t="str">
        <f t="shared" ca="1" si="199"/>
        <v>#REF!</v>
      </c>
      <c r="M584" s="125"/>
      <c r="N584" s="125"/>
      <c r="O584" s="230">
        <f t="shared" si="2"/>
        <v>0</v>
      </c>
      <c r="P584" s="231">
        <f t="shared" si="3"/>
        <v>0</v>
      </c>
      <c r="Q584" s="232" t="str">
        <f ca="1">ROUNDUP(HLOOKUP(IF(CEILING(L584,0.5)&lt;1,1,CEILING(L584,0.5)),'배송비 조회'!A$32:AY$36,2,0),-2)</f>
        <v>#REF!</v>
      </c>
      <c r="R584" s="232">
        <v>0</v>
      </c>
      <c r="S584" s="231" t="str">
        <f t="shared" ca="1" si="250"/>
        <v>#REF!</v>
      </c>
      <c r="T584" s="231" t="str">
        <f t="shared" ca="1" si="200"/>
        <v>#REF!</v>
      </c>
      <c r="U584" s="233" t="str">
        <f t="shared" ca="1" si="142"/>
        <v>#REF!</v>
      </c>
      <c r="V584" s="233" t="str">
        <f t="shared" ca="1" si="7"/>
        <v>#REF!</v>
      </c>
      <c r="W584" s="234">
        <v>0</v>
      </c>
      <c r="X584" s="234" t="str">
        <f t="shared" ca="1" si="8"/>
        <v>#REF!</v>
      </c>
      <c r="Y584" s="234" t="str">
        <f t="shared" ca="1" si="9"/>
        <v>#REF!</v>
      </c>
      <c r="Z584" s="234" t="str">
        <f t="shared" ca="1" si="10"/>
        <v>#REF!</v>
      </c>
      <c r="AA584" s="234" t="str">
        <f t="shared" ca="1" si="11"/>
        <v>#REF!</v>
      </c>
      <c r="AB584" s="234" t="str">
        <f t="shared" ca="1" si="12"/>
        <v>#REF!</v>
      </c>
      <c r="AC584" s="234" t="str">
        <f t="shared" ca="1" si="13"/>
        <v>#REF!</v>
      </c>
      <c r="AD584" s="101" t="str">
        <f t="shared" ca="1" si="14"/>
        <v>#REF!</v>
      </c>
      <c r="AE584" s="101" t="str">
        <f t="shared" ca="1" si="15"/>
        <v>#REF!</v>
      </c>
      <c r="AF584" s="235" t="str">
        <f t="shared" ref="AF584:AG584" ca="1" si="661">AD584/U584</f>
        <v>#REF!</v>
      </c>
      <c r="AG584" s="235" t="str">
        <f t="shared" ca="1" si="661"/>
        <v>#REF!</v>
      </c>
      <c r="AH584" s="212"/>
      <c r="AI584" s="213"/>
      <c r="AJ584" s="4"/>
      <c r="AK584" s="4"/>
      <c r="AL584" s="4"/>
      <c r="AM584" s="4"/>
      <c r="AN584" s="4"/>
      <c r="AO584" s="4"/>
      <c r="AP584" s="4"/>
      <c r="AQ584" s="4"/>
      <c r="AR584" s="4"/>
      <c r="AS584" s="4"/>
      <c r="AT584" s="4"/>
      <c r="AU584" s="4"/>
    </row>
    <row r="585" spans="1:47" ht="13.2">
      <c r="A585" s="120"/>
      <c r="B585" s="113"/>
      <c r="C585" s="117"/>
      <c r="D585" s="117"/>
      <c r="E585" s="117"/>
      <c r="F585" s="123"/>
      <c r="G585" s="93" t="s">
        <v>145</v>
      </c>
      <c r="H585" s="125"/>
      <c r="I585" s="125"/>
      <c r="J585" s="82" t="str">
        <f t="shared" ca="1" si="147"/>
        <v>#REF!</v>
      </c>
      <c r="K585" s="82" t="str">
        <f t="shared" ca="1" si="256"/>
        <v>#REF!</v>
      </c>
      <c r="L585" s="82" t="str">
        <f t="shared" ca="1" si="199"/>
        <v>#REF!</v>
      </c>
      <c r="M585" s="125"/>
      <c r="N585" s="125"/>
      <c r="O585" s="230">
        <f t="shared" si="2"/>
        <v>0</v>
      </c>
      <c r="P585" s="231">
        <f t="shared" si="3"/>
        <v>0</v>
      </c>
      <c r="Q585" s="232" t="str">
        <f ca="1">ROUNDUP(HLOOKUP(IF(CEILING(L585,0.5)&lt;1,1,CEILING(L585,0.5)),'배송비 조회'!A$32:AY$36,2,0),-2)</f>
        <v>#REF!</v>
      </c>
      <c r="R585" s="232">
        <v>0</v>
      </c>
      <c r="S585" s="231" t="str">
        <f t="shared" ca="1" si="250"/>
        <v>#REF!</v>
      </c>
      <c r="T585" s="231" t="str">
        <f t="shared" ca="1" si="200"/>
        <v>#REF!</v>
      </c>
      <c r="U585" s="233" t="str">
        <f t="shared" ca="1" si="142"/>
        <v>#REF!</v>
      </c>
      <c r="V585" s="233" t="str">
        <f t="shared" ca="1" si="7"/>
        <v>#REF!</v>
      </c>
      <c r="W585" s="234">
        <v>0</v>
      </c>
      <c r="X585" s="234" t="str">
        <f t="shared" ca="1" si="8"/>
        <v>#REF!</v>
      </c>
      <c r="Y585" s="234" t="str">
        <f t="shared" ca="1" si="9"/>
        <v>#REF!</v>
      </c>
      <c r="Z585" s="234" t="str">
        <f t="shared" ca="1" si="10"/>
        <v>#REF!</v>
      </c>
      <c r="AA585" s="234" t="str">
        <f t="shared" ca="1" si="11"/>
        <v>#REF!</v>
      </c>
      <c r="AB585" s="234" t="str">
        <f t="shared" ca="1" si="12"/>
        <v>#REF!</v>
      </c>
      <c r="AC585" s="234" t="str">
        <f t="shared" ca="1" si="13"/>
        <v>#REF!</v>
      </c>
      <c r="AD585" s="101" t="str">
        <f t="shared" ca="1" si="14"/>
        <v>#REF!</v>
      </c>
      <c r="AE585" s="101" t="str">
        <f t="shared" ca="1" si="15"/>
        <v>#REF!</v>
      </c>
      <c r="AF585" s="235" t="str">
        <f t="shared" ref="AF585:AG585" ca="1" si="662">AD585/U585</f>
        <v>#REF!</v>
      </c>
      <c r="AG585" s="235" t="str">
        <f t="shared" ca="1" si="662"/>
        <v>#REF!</v>
      </c>
      <c r="AH585" s="212"/>
      <c r="AI585" s="213"/>
      <c r="AJ585" s="4"/>
      <c r="AK585" s="4"/>
      <c r="AL585" s="4"/>
      <c r="AM585" s="4"/>
      <c r="AN585" s="4"/>
      <c r="AO585" s="4"/>
      <c r="AP585" s="4"/>
      <c r="AQ585" s="4"/>
      <c r="AR585" s="4"/>
      <c r="AS585" s="4"/>
      <c r="AT585" s="4"/>
      <c r="AU585" s="4"/>
    </row>
    <row r="586" spans="1:47" ht="13.2">
      <c r="A586" s="120"/>
      <c r="B586" s="113"/>
      <c r="C586" s="117"/>
      <c r="D586" s="117"/>
      <c r="E586" s="117"/>
      <c r="F586" s="123"/>
      <c r="G586" s="93" t="s">
        <v>145</v>
      </c>
      <c r="H586" s="125"/>
      <c r="I586" s="125"/>
      <c r="J586" s="82" t="str">
        <f t="shared" ca="1" si="147"/>
        <v>#REF!</v>
      </c>
      <c r="K586" s="82" t="str">
        <f t="shared" ca="1" si="256"/>
        <v>#REF!</v>
      </c>
      <c r="L586" s="82" t="str">
        <f t="shared" ca="1" si="199"/>
        <v>#REF!</v>
      </c>
      <c r="M586" s="125"/>
      <c r="N586" s="125"/>
      <c r="O586" s="230">
        <f t="shared" si="2"/>
        <v>0</v>
      </c>
      <c r="P586" s="231">
        <f t="shared" si="3"/>
        <v>0</v>
      </c>
      <c r="Q586" s="232" t="str">
        <f ca="1">ROUNDUP(HLOOKUP(IF(CEILING(L586,0.5)&lt;1,1,CEILING(L586,0.5)),'배송비 조회'!A$32:AY$36,2,0),-2)</f>
        <v>#REF!</v>
      </c>
      <c r="R586" s="232">
        <v>0</v>
      </c>
      <c r="S586" s="231" t="str">
        <f t="shared" ca="1" si="250"/>
        <v>#REF!</v>
      </c>
      <c r="T586" s="231" t="str">
        <f t="shared" ca="1" si="200"/>
        <v>#REF!</v>
      </c>
      <c r="U586" s="233" t="str">
        <f t="shared" ca="1" si="142"/>
        <v>#REF!</v>
      </c>
      <c r="V586" s="233" t="str">
        <f t="shared" ca="1" si="7"/>
        <v>#REF!</v>
      </c>
      <c r="W586" s="234">
        <v>0</v>
      </c>
      <c r="X586" s="234" t="str">
        <f t="shared" ca="1" si="8"/>
        <v>#REF!</v>
      </c>
      <c r="Y586" s="234" t="str">
        <f t="shared" ca="1" si="9"/>
        <v>#REF!</v>
      </c>
      <c r="Z586" s="234" t="str">
        <f t="shared" ca="1" si="10"/>
        <v>#REF!</v>
      </c>
      <c r="AA586" s="234" t="str">
        <f t="shared" ca="1" si="11"/>
        <v>#REF!</v>
      </c>
      <c r="AB586" s="234" t="str">
        <f t="shared" ca="1" si="12"/>
        <v>#REF!</v>
      </c>
      <c r="AC586" s="234" t="str">
        <f t="shared" ca="1" si="13"/>
        <v>#REF!</v>
      </c>
      <c r="AD586" s="101" t="str">
        <f t="shared" ca="1" si="14"/>
        <v>#REF!</v>
      </c>
      <c r="AE586" s="101" t="str">
        <f t="shared" ca="1" si="15"/>
        <v>#REF!</v>
      </c>
      <c r="AF586" s="235" t="str">
        <f t="shared" ref="AF586:AG586" ca="1" si="663">AD586/U586</f>
        <v>#REF!</v>
      </c>
      <c r="AG586" s="235" t="str">
        <f t="shared" ca="1" si="663"/>
        <v>#REF!</v>
      </c>
      <c r="AH586" s="212"/>
      <c r="AI586" s="213"/>
      <c r="AJ586" s="4"/>
      <c r="AK586" s="4"/>
      <c r="AL586" s="4"/>
      <c r="AM586" s="4"/>
      <c r="AN586" s="4"/>
      <c r="AO586" s="4"/>
      <c r="AP586" s="4"/>
      <c r="AQ586" s="4"/>
      <c r="AR586" s="4"/>
      <c r="AS586" s="4"/>
      <c r="AT586" s="4"/>
      <c r="AU586" s="4"/>
    </row>
    <row r="587" spans="1:47" ht="13.2">
      <c r="A587" s="120"/>
      <c r="B587" s="113"/>
      <c r="C587" s="117"/>
      <c r="D587" s="117"/>
      <c r="E587" s="117"/>
      <c r="F587" s="123"/>
      <c r="G587" s="93" t="s">
        <v>145</v>
      </c>
      <c r="H587" s="125"/>
      <c r="I587" s="125"/>
      <c r="J587" s="82" t="str">
        <f t="shared" ca="1" si="147"/>
        <v>#REF!</v>
      </c>
      <c r="K587" s="82" t="str">
        <f t="shared" ca="1" si="256"/>
        <v>#REF!</v>
      </c>
      <c r="L587" s="82" t="str">
        <f t="shared" ca="1" si="199"/>
        <v>#REF!</v>
      </c>
      <c r="M587" s="125"/>
      <c r="N587" s="125"/>
      <c r="O587" s="230">
        <f t="shared" si="2"/>
        <v>0</v>
      </c>
      <c r="P587" s="231">
        <f t="shared" si="3"/>
        <v>0</v>
      </c>
      <c r="Q587" s="232" t="str">
        <f ca="1">ROUNDUP(HLOOKUP(IF(CEILING(L587,0.5)&lt;1,1,CEILING(L587,0.5)),'배송비 조회'!A$32:AY$36,2,0),-2)</f>
        <v>#REF!</v>
      </c>
      <c r="R587" s="232">
        <v>0</v>
      </c>
      <c r="S587" s="231" t="str">
        <f t="shared" ca="1" si="250"/>
        <v>#REF!</v>
      </c>
      <c r="T587" s="231" t="str">
        <f t="shared" ca="1" si="200"/>
        <v>#REF!</v>
      </c>
      <c r="U587" s="233" t="str">
        <f t="shared" ca="1" si="142"/>
        <v>#REF!</v>
      </c>
      <c r="V587" s="233" t="str">
        <f t="shared" ca="1" si="7"/>
        <v>#REF!</v>
      </c>
      <c r="W587" s="234">
        <v>0</v>
      </c>
      <c r="X587" s="234" t="str">
        <f t="shared" ca="1" si="8"/>
        <v>#REF!</v>
      </c>
      <c r="Y587" s="234" t="str">
        <f t="shared" ca="1" si="9"/>
        <v>#REF!</v>
      </c>
      <c r="Z587" s="234" t="str">
        <f t="shared" ca="1" si="10"/>
        <v>#REF!</v>
      </c>
      <c r="AA587" s="234" t="str">
        <f t="shared" ca="1" si="11"/>
        <v>#REF!</v>
      </c>
      <c r="AB587" s="234" t="str">
        <f t="shared" ca="1" si="12"/>
        <v>#REF!</v>
      </c>
      <c r="AC587" s="234" t="str">
        <f t="shared" ca="1" si="13"/>
        <v>#REF!</v>
      </c>
      <c r="AD587" s="101" t="str">
        <f t="shared" ca="1" si="14"/>
        <v>#REF!</v>
      </c>
      <c r="AE587" s="101" t="str">
        <f t="shared" ca="1" si="15"/>
        <v>#REF!</v>
      </c>
      <c r="AF587" s="235" t="str">
        <f t="shared" ref="AF587:AG587" ca="1" si="664">AD587/U587</f>
        <v>#REF!</v>
      </c>
      <c r="AG587" s="235" t="str">
        <f t="shared" ca="1" si="664"/>
        <v>#REF!</v>
      </c>
      <c r="AH587" s="212"/>
      <c r="AI587" s="213"/>
      <c r="AJ587" s="4"/>
      <c r="AK587" s="4"/>
      <c r="AL587" s="4"/>
      <c r="AM587" s="4"/>
      <c r="AN587" s="4"/>
      <c r="AO587" s="4"/>
      <c r="AP587" s="4"/>
      <c r="AQ587" s="4"/>
      <c r="AR587" s="4"/>
      <c r="AS587" s="4"/>
      <c r="AT587" s="4"/>
      <c r="AU587" s="4"/>
    </row>
    <row r="588" spans="1:47" ht="13.2">
      <c r="A588" s="120"/>
      <c r="B588" s="113"/>
      <c r="C588" s="117"/>
      <c r="D588" s="117"/>
      <c r="E588" s="117"/>
      <c r="F588" s="123"/>
      <c r="G588" s="93" t="s">
        <v>145</v>
      </c>
      <c r="H588" s="125"/>
      <c r="I588" s="125"/>
      <c r="J588" s="82" t="str">
        <f t="shared" ca="1" si="147"/>
        <v>#REF!</v>
      </c>
      <c r="K588" s="82" t="str">
        <f t="shared" ca="1" si="256"/>
        <v>#REF!</v>
      </c>
      <c r="L588" s="82" t="str">
        <f t="shared" ca="1" si="199"/>
        <v>#REF!</v>
      </c>
      <c r="M588" s="125"/>
      <c r="N588" s="125"/>
      <c r="O588" s="230">
        <f t="shared" si="2"/>
        <v>0</v>
      </c>
      <c r="P588" s="231">
        <f t="shared" si="3"/>
        <v>0</v>
      </c>
      <c r="Q588" s="232" t="str">
        <f ca="1">ROUNDUP(HLOOKUP(IF(CEILING(L588,0.5)&lt;1,1,CEILING(L588,0.5)),'배송비 조회'!A$32:AY$36,2,0),-2)</f>
        <v>#REF!</v>
      </c>
      <c r="R588" s="232">
        <v>0</v>
      </c>
      <c r="S588" s="231" t="str">
        <f t="shared" ca="1" si="250"/>
        <v>#REF!</v>
      </c>
      <c r="T588" s="231" t="str">
        <f t="shared" ca="1" si="200"/>
        <v>#REF!</v>
      </c>
      <c r="U588" s="233" t="str">
        <f t="shared" ca="1" si="142"/>
        <v>#REF!</v>
      </c>
      <c r="V588" s="233" t="str">
        <f t="shared" ca="1" si="7"/>
        <v>#REF!</v>
      </c>
      <c r="W588" s="234">
        <v>0</v>
      </c>
      <c r="X588" s="234" t="str">
        <f t="shared" ca="1" si="8"/>
        <v>#REF!</v>
      </c>
      <c r="Y588" s="234" t="str">
        <f t="shared" ca="1" si="9"/>
        <v>#REF!</v>
      </c>
      <c r="Z588" s="234" t="str">
        <f t="shared" ca="1" si="10"/>
        <v>#REF!</v>
      </c>
      <c r="AA588" s="234" t="str">
        <f t="shared" ca="1" si="11"/>
        <v>#REF!</v>
      </c>
      <c r="AB588" s="234" t="str">
        <f t="shared" ca="1" si="12"/>
        <v>#REF!</v>
      </c>
      <c r="AC588" s="234" t="str">
        <f t="shared" ca="1" si="13"/>
        <v>#REF!</v>
      </c>
      <c r="AD588" s="101" t="str">
        <f t="shared" ca="1" si="14"/>
        <v>#REF!</v>
      </c>
      <c r="AE588" s="101" t="str">
        <f t="shared" ca="1" si="15"/>
        <v>#REF!</v>
      </c>
      <c r="AF588" s="235" t="str">
        <f t="shared" ref="AF588:AG588" ca="1" si="665">AD588/U588</f>
        <v>#REF!</v>
      </c>
      <c r="AG588" s="235" t="str">
        <f t="shared" ca="1" si="665"/>
        <v>#REF!</v>
      </c>
      <c r="AH588" s="212"/>
      <c r="AI588" s="213"/>
      <c r="AJ588" s="4"/>
      <c r="AK588" s="4"/>
      <c r="AL588" s="4"/>
      <c r="AM588" s="4"/>
      <c r="AN588" s="4"/>
      <c r="AO588" s="4"/>
      <c r="AP588" s="4"/>
      <c r="AQ588" s="4"/>
      <c r="AR588" s="4"/>
      <c r="AS588" s="4"/>
      <c r="AT588" s="4"/>
      <c r="AU588" s="4"/>
    </row>
    <row r="589" spans="1:47" ht="13.2">
      <c r="A589" s="120"/>
      <c r="B589" s="113"/>
      <c r="C589" s="117"/>
      <c r="D589" s="117"/>
      <c r="E589" s="117"/>
      <c r="F589" s="123"/>
      <c r="G589" s="93" t="s">
        <v>145</v>
      </c>
      <c r="H589" s="125"/>
      <c r="I589" s="125"/>
      <c r="J589" s="82" t="str">
        <f t="shared" ca="1" si="147"/>
        <v>#REF!</v>
      </c>
      <c r="K589" s="82" t="str">
        <f t="shared" ca="1" si="256"/>
        <v>#REF!</v>
      </c>
      <c r="L589" s="82" t="str">
        <f t="shared" ca="1" si="199"/>
        <v>#REF!</v>
      </c>
      <c r="M589" s="125"/>
      <c r="N589" s="125"/>
      <c r="O589" s="230">
        <f t="shared" si="2"/>
        <v>0</v>
      </c>
      <c r="P589" s="231">
        <f t="shared" si="3"/>
        <v>0</v>
      </c>
      <c r="Q589" s="232" t="str">
        <f ca="1">ROUNDUP(HLOOKUP(IF(CEILING(L589,0.5)&lt;1,1,CEILING(L589,0.5)),'배송비 조회'!A$32:AY$36,2,0),-2)</f>
        <v>#REF!</v>
      </c>
      <c r="R589" s="232">
        <v>0</v>
      </c>
      <c r="S589" s="231" t="str">
        <f t="shared" ca="1" si="250"/>
        <v>#REF!</v>
      </c>
      <c r="T589" s="231" t="str">
        <f t="shared" ca="1" si="200"/>
        <v>#REF!</v>
      </c>
      <c r="U589" s="233" t="str">
        <f t="shared" ca="1" si="142"/>
        <v>#REF!</v>
      </c>
      <c r="V589" s="233" t="str">
        <f t="shared" ca="1" si="7"/>
        <v>#REF!</v>
      </c>
      <c r="W589" s="234">
        <v>0</v>
      </c>
      <c r="X589" s="234" t="str">
        <f t="shared" ca="1" si="8"/>
        <v>#REF!</v>
      </c>
      <c r="Y589" s="234" t="str">
        <f t="shared" ca="1" si="9"/>
        <v>#REF!</v>
      </c>
      <c r="Z589" s="234" t="str">
        <f t="shared" ca="1" si="10"/>
        <v>#REF!</v>
      </c>
      <c r="AA589" s="234" t="str">
        <f t="shared" ca="1" si="11"/>
        <v>#REF!</v>
      </c>
      <c r="AB589" s="234" t="str">
        <f t="shared" ca="1" si="12"/>
        <v>#REF!</v>
      </c>
      <c r="AC589" s="234" t="str">
        <f t="shared" ca="1" si="13"/>
        <v>#REF!</v>
      </c>
      <c r="AD589" s="101" t="str">
        <f t="shared" ca="1" si="14"/>
        <v>#REF!</v>
      </c>
      <c r="AE589" s="101" t="str">
        <f t="shared" ca="1" si="15"/>
        <v>#REF!</v>
      </c>
      <c r="AF589" s="235" t="str">
        <f t="shared" ref="AF589:AG589" ca="1" si="666">AD589/U589</f>
        <v>#REF!</v>
      </c>
      <c r="AG589" s="235" t="str">
        <f t="shared" ca="1" si="666"/>
        <v>#REF!</v>
      </c>
      <c r="AH589" s="212"/>
      <c r="AI589" s="213"/>
      <c r="AJ589" s="4"/>
      <c r="AK589" s="4"/>
      <c r="AL589" s="4"/>
      <c r="AM589" s="4"/>
      <c r="AN589" s="4"/>
      <c r="AO589" s="4"/>
      <c r="AP589" s="4"/>
      <c r="AQ589" s="4"/>
      <c r="AR589" s="4"/>
      <c r="AS589" s="4"/>
      <c r="AT589" s="4"/>
      <c r="AU589" s="4"/>
    </row>
    <row r="590" spans="1:47" ht="13.2">
      <c r="A590" s="120"/>
      <c r="B590" s="113"/>
      <c r="C590" s="117"/>
      <c r="D590" s="117"/>
      <c r="E590" s="117"/>
      <c r="F590" s="123"/>
      <c r="G590" s="93" t="s">
        <v>145</v>
      </c>
      <c r="H590" s="125"/>
      <c r="I590" s="125"/>
      <c r="J590" s="82" t="str">
        <f t="shared" ca="1" si="147"/>
        <v>#REF!</v>
      </c>
      <c r="K590" s="82" t="str">
        <f t="shared" ca="1" si="256"/>
        <v>#REF!</v>
      </c>
      <c r="L590" s="82" t="str">
        <f t="shared" ca="1" si="199"/>
        <v>#REF!</v>
      </c>
      <c r="M590" s="125"/>
      <c r="N590" s="125"/>
      <c r="O590" s="230">
        <f t="shared" si="2"/>
        <v>0</v>
      </c>
      <c r="P590" s="231">
        <f t="shared" si="3"/>
        <v>0</v>
      </c>
      <c r="Q590" s="232" t="str">
        <f ca="1">ROUNDUP(HLOOKUP(IF(CEILING(L590,0.5)&lt;1,1,CEILING(L590,0.5)),'배송비 조회'!A$32:AY$36,2,0),-2)</f>
        <v>#REF!</v>
      </c>
      <c r="R590" s="232">
        <v>0</v>
      </c>
      <c r="S590" s="231" t="str">
        <f t="shared" ca="1" si="250"/>
        <v>#REF!</v>
      </c>
      <c r="T590" s="231" t="str">
        <f t="shared" ca="1" si="200"/>
        <v>#REF!</v>
      </c>
      <c r="U590" s="233" t="str">
        <f t="shared" ca="1" si="142"/>
        <v>#REF!</v>
      </c>
      <c r="V590" s="233" t="str">
        <f t="shared" ca="1" si="7"/>
        <v>#REF!</v>
      </c>
      <c r="W590" s="234">
        <v>0</v>
      </c>
      <c r="X590" s="234" t="str">
        <f t="shared" ca="1" si="8"/>
        <v>#REF!</v>
      </c>
      <c r="Y590" s="234" t="str">
        <f t="shared" ca="1" si="9"/>
        <v>#REF!</v>
      </c>
      <c r="Z590" s="234" t="str">
        <f t="shared" ca="1" si="10"/>
        <v>#REF!</v>
      </c>
      <c r="AA590" s="234" t="str">
        <f t="shared" ca="1" si="11"/>
        <v>#REF!</v>
      </c>
      <c r="AB590" s="234" t="str">
        <f t="shared" ca="1" si="12"/>
        <v>#REF!</v>
      </c>
      <c r="AC590" s="234" t="str">
        <f t="shared" ca="1" si="13"/>
        <v>#REF!</v>
      </c>
      <c r="AD590" s="101" t="str">
        <f t="shared" ca="1" si="14"/>
        <v>#REF!</v>
      </c>
      <c r="AE590" s="101" t="str">
        <f t="shared" ca="1" si="15"/>
        <v>#REF!</v>
      </c>
      <c r="AF590" s="235" t="str">
        <f t="shared" ref="AF590:AG590" ca="1" si="667">AD590/U590</f>
        <v>#REF!</v>
      </c>
      <c r="AG590" s="235" t="str">
        <f t="shared" ca="1" si="667"/>
        <v>#REF!</v>
      </c>
      <c r="AH590" s="212"/>
      <c r="AI590" s="213"/>
      <c r="AJ590" s="4"/>
      <c r="AK590" s="4"/>
      <c r="AL590" s="4"/>
      <c r="AM590" s="4"/>
      <c r="AN590" s="4"/>
      <c r="AO590" s="4"/>
      <c r="AP590" s="4"/>
      <c r="AQ590" s="4"/>
      <c r="AR590" s="4"/>
      <c r="AS590" s="4"/>
      <c r="AT590" s="4"/>
      <c r="AU590" s="4"/>
    </row>
    <row r="591" spans="1:47" ht="13.2">
      <c r="A591" s="120"/>
      <c r="B591" s="113"/>
      <c r="C591" s="117"/>
      <c r="D591" s="117"/>
      <c r="E591" s="117"/>
      <c r="F591" s="123"/>
      <c r="G591" s="93" t="s">
        <v>145</v>
      </c>
      <c r="H591" s="125"/>
      <c r="I591" s="125"/>
      <c r="J591" s="82" t="str">
        <f t="shared" ca="1" si="147"/>
        <v>#REF!</v>
      </c>
      <c r="K591" s="82" t="str">
        <f t="shared" ca="1" si="256"/>
        <v>#REF!</v>
      </c>
      <c r="L591" s="82" t="str">
        <f t="shared" ca="1" si="199"/>
        <v>#REF!</v>
      </c>
      <c r="M591" s="125"/>
      <c r="N591" s="125"/>
      <c r="O591" s="230">
        <f t="shared" si="2"/>
        <v>0</v>
      </c>
      <c r="P591" s="231">
        <f t="shared" si="3"/>
        <v>0</v>
      </c>
      <c r="Q591" s="232" t="str">
        <f ca="1">ROUNDUP(HLOOKUP(IF(CEILING(L591,0.5)&lt;1,1,CEILING(L591,0.5)),'배송비 조회'!A$32:AY$36,2,0),-2)</f>
        <v>#REF!</v>
      </c>
      <c r="R591" s="232">
        <v>0</v>
      </c>
      <c r="S591" s="231" t="str">
        <f t="shared" ca="1" si="250"/>
        <v>#REF!</v>
      </c>
      <c r="T591" s="231" t="str">
        <f t="shared" ca="1" si="200"/>
        <v>#REF!</v>
      </c>
      <c r="U591" s="233" t="str">
        <f t="shared" ca="1" si="142"/>
        <v>#REF!</v>
      </c>
      <c r="V591" s="233" t="str">
        <f t="shared" ca="1" si="7"/>
        <v>#REF!</v>
      </c>
      <c r="W591" s="234">
        <v>0</v>
      </c>
      <c r="X591" s="234" t="str">
        <f t="shared" ca="1" si="8"/>
        <v>#REF!</v>
      </c>
      <c r="Y591" s="234" t="str">
        <f t="shared" ca="1" si="9"/>
        <v>#REF!</v>
      </c>
      <c r="Z591" s="234" t="str">
        <f t="shared" ca="1" si="10"/>
        <v>#REF!</v>
      </c>
      <c r="AA591" s="234" t="str">
        <f t="shared" ca="1" si="11"/>
        <v>#REF!</v>
      </c>
      <c r="AB591" s="234" t="str">
        <f t="shared" ca="1" si="12"/>
        <v>#REF!</v>
      </c>
      <c r="AC591" s="234" t="str">
        <f t="shared" ca="1" si="13"/>
        <v>#REF!</v>
      </c>
      <c r="AD591" s="101" t="str">
        <f t="shared" ca="1" si="14"/>
        <v>#REF!</v>
      </c>
      <c r="AE591" s="101" t="str">
        <f t="shared" ca="1" si="15"/>
        <v>#REF!</v>
      </c>
      <c r="AF591" s="235" t="str">
        <f t="shared" ref="AF591:AG591" ca="1" si="668">AD591/U591</f>
        <v>#REF!</v>
      </c>
      <c r="AG591" s="235" t="str">
        <f t="shared" ca="1" si="668"/>
        <v>#REF!</v>
      </c>
      <c r="AH591" s="212"/>
      <c r="AI591" s="213"/>
      <c r="AJ591" s="4"/>
      <c r="AK591" s="4"/>
      <c r="AL591" s="4"/>
      <c r="AM591" s="4"/>
      <c r="AN591" s="4"/>
      <c r="AO591" s="4"/>
      <c r="AP591" s="4"/>
      <c r="AQ591" s="4"/>
      <c r="AR591" s="4"/>
      <c r="AS591" s="4"/>
      <c r="AT591" s="4"/>
      <c r="AU591" s="4"/>
    </row>
    <row r="592" spans="1:47" ht="13.2">
      <c r="A592" s="120"/>
      <c r="B592" s="113"/>
      <c r="C592" s="117"/>
      <c r="D592" s="117"/>
      <c r="E592" s="117"/>
      <c r="F592" s="123"/>
      <c r="G592" s="93" t="s">
        <v>145</v>
      </c>
      <c r="H592" s="125"/>
      <c r="I592" s="125"/>
      <c r="J592" s="82" t="str">
        <f t="shared" ca="1" si="147"/>
        <v>#REF!</v>
      </c>
      <c r="K592" s="82" t="str">
        <f t="shared" ca="1" si="256"/>
        <v>#REF!</v>
      </c>
      <c r="L592" s="82" t="str">
        <f t="shared" ca="1" si="199"/>
        <v>#REF!</v>
      </c>
      <c r="M592" s="125"/>
      <c r="N592" s="125"/>
      <c r="O592" s="230">
        <f t="shared" si="2"/>
        <v>0</v>
      </c>
      <c r="P592" s="231">
        <f t="shared" si="3"/>
        <v>0</v>
      </c>
      <c r="Q592" s="232" t="str">
        <f ca="1">ROUNDUP(HLOOKUP(IF(CEILING(L592,0.5)&lt;1,1,CEILING(L592,0.5)),'배송비 조회'!A$32:AY$36,2,0),-2)</f>
        <v>#REF!</v>
      </c>
      <c r="R592" s="232">
        <v>0</v>
      </c>
      <c r="S592" s="231" t="str">
        <f t="shared" ca="1" si="250"/>
        <v>#REF!</v>
      </c>
      <c r="T592" s="231" t="str">
        <f t="shared" ca="1" si="200"/>
        <v>#REF!</v>
      </c>
      <c r="U592" s="233" t="str">
        <f t="shared" ca="1" si="142"/>
        <v>#REF!</v>
      </c>
      <c r="V592" s="233" t="str">
        <f t="shared" ca="1" si="7"/>
        <v>#REF!</v>
      </c>
      <c r="W592" s="234">
        <v>0</v>
      </c>
      <c r="X592" s="234" t="str">
        <f t="shared" ca="1" si="8"/>
        <v>#REF!</v>
      </c>
      <c r="Y592" s="234" t="str">
        <f t="shared" ca="1" si="9"/>
        <v>#REF!</v>
      </c>
      <c r="Z592" s="234" t="str">
        <f t="shared" ca="1" si="10"/>
        <v>#REF!</v>
      </c>
      <c r="AA592" s="234" t="str">
        <f t="shared" ca="1" si="11"/>
        <v>#REF!</v>
      </c>
      <c r="AB592" s="234" t="str">
        <f t="shared" ca="1" si="12"/>
        <v>#REF!</v>
      </c>
      <c r="AC592" s="234" t="str">
        <f t="shared" ca="1" si="13"/>
        <v>#REF!</v>
      </c>
      <c r="AD592" s="101" t="str">
        <f t="shared" ca="1" si="14"/>
        <v>#REF!</v>
      </c>
      <c r="AE592" s="101" t="str">
        <f t="shared" ca="1" si="15"/>
        <v>#REF!</v>
      </c>
      <c r="AF592" s="235" t="str">
        <f t="shared" ref="AF592:AG592" ca="1" si="669">AD592/U592</f>
        <v>#REF!</v>
      </c>
      <c r="AG592" s="235" t="str">
        <f t="shared" ca="1" si="669"/>
        <v>#REF!</v>
      </c>
      <c r="AH592" s="212"/>
      <c r="AI592" s="213"/>
      <c r="AJ592" s="4"/>
      <c r="AK592" s="4"/>
      <c r="AL592" s="4"/>
      <c r="AM592" s="4"/>
      <c r="AN592" s="4"/>
      <c r="AO592" s="4"/>
      <c r="AP592" s="4"/>
      <c r="AQ592" s="4"/>
      <c r="AR592" s="4"/>
      <c r="AS592" s="4"/>
      <c r="AT592" s="4"/>
      <c r="AU592" s="4"/>
    </row>
    <row r="593" spans="1:47" ht="13.2">
      <c r="A593" s="120"/>
      <c r="B593" s="113"/>
      <c r="C593" s="117"/>
      <c r="D593" s="117"/>
      <c r="E593" s="117"/>
      <c r="F593" s="123"/>
      <c r="G593" s="93" t="s">
        <v>145</v>
      </c>
      <c r="H593" s="125"/>
      <c r="I593" s="125"/>
      <c r="J593" s="82" t="str">
        <f t="shared" ca="1" si="147"/>
        <v>#REF!</v>
      </c>
      <c r="K593" s="82" t="str">
        <f t="shared" ca="1" si="256"/>
        <v>#REF!</v>
      </c>
      <c r="L593" s="82" t="str">
        <f t="shared" ca="1" si="199"/>
        <v>#REF!</v>
      </c>
      <c r="M593" s="125"/>
      <c r="N593" s="125"/>
      <c r="O593" s="230">
        <f t="shared" si="2"/>
        <v>0</v>
      </c>
      <c r="P593" s="231">
        <f t="shared" si="3"/>
        <v>0</v>
      </c>
      <c r="Q593" s="232" t="str">
        <f ca="1">ROUNDUP(HLOOKUP(IF(CEILING(L593,0.5)&lt;1,1,CEILING(L593,0.5)),'배송비 조회'!A$32:AY$36,2,0),-2)</f>
        <v>#REF!</v>
      </c>
      <c r="R593" s="232">
        <v>0</v>
      </c>
      <c r="S593" s="231" t="str">
        <f t="shared" ca="1" si="250"/>
        <v>#REF!</v>
      </c>
      <c r="T593" s="231" t="str">
        <f t="shared" ca="1" si="200"/>
        <v>#REF!</v>
      </c>
      <c r="U593" s="233" t="str">
        <f t="shared" ca="1" si="142"/>
        <v>#REF!</v>
      </c>
      <c r="V593" s="233" t="str">
        <f t="shared" ca="1" si="7"/>
        <v>#REF!</v>
      </c>
      <c r="W593" s="234">
        <v>0</v>
      </c>
      <c r="X593" s="234" t="str">
        <f t="shared" ca="1" si="8"/>
        <v>#REF!</v>
      </c>
      <c r="Y593" s="234" t="str">
        <f t="shared" ca="1" si="9"/>
        <v>#REF!</v>
      </c>
      <c r="Z593" s="234" t="str">
        <f t="shared" ca="1" si="10"/>
        <v>#REF!</v>
      </c>
      <c r="AA593" s="234" t="str">
        <f t="shared" ca="1" si="11"/>
        <v>#REF!</v>
      </c>
      <c r="AB593" s="234" t="str">
        <f t="shared" ca="1" si="12"/>
        <v>#REF!</v>
      </c>
      <c r="AC593" s="234" t="str">
        <f t="shared" ca="1" si="13"/>
        <v>#REF!</v>
      </c>
      <c r="AD593" s="101" t="str">
        <f t="shared" ca="1" si="14"/>
        <v>#REF!</v>
      </c>
      <c r="AE593" s="101" t="str">
        <f t="shared" ca="1" si="15"/>
        <v>#REF!</v>
      </c>
      <c r="AF593" s="235" t="str">
        <f t="shared" ref="AF593:AG593" ca="1" si="670">AD593/U593</f>
        <v>#REF!</v>
      </c>
      <c r="AG593" s="235" t="str">
        <f t="shared" ca="1" si="670"/>
        <v>#REF!</v>
      </c>
      <c r="AH593" s="212"/>
      <c r="AI593" s="213"/>
      <c r="AJ593" s="4"/>
      <c r="AK593" s="4"/>
      <c r="AL593" s="4"/>
      <c r="AM593" s="4"/>
      <c r="AN593" s="4"/>
      <c r="AO593" s="4"/>
      <c r="AP593" s="4"/>
      <c r="AQ593" s="4"/>
      <c r="AR593" s="4"/>
      <c r="AS593" s="4"/>
      <c r="AT593" s="4"/>
      <c r="AU593" s="4"/>
    </row>
    <row r="594" spans="1:47" ht="13.2">
      <c r="A594" s="120"/>
      <c r="B594" s="113"/>
      <c r="C594" s="117"/>
      <c r="D594" s="117"/>
      <c r="E594" s="117"/>
      <c r="F594" s="123"/>
      <c r="G594" s="93" t="s">
        <v>145</v>
      </c>
      <c r="H594" s="125"/>
      <c r="I594" s="125"/>
      <c r="J594" s="82" t="str">
        <f t="shared" ca="1" si="147"/>
        <v>#REF!</v>
      </c>
      <c r="K594" s="82" t="str">
        <f t="shared" ca="1" si="256"/>
        <v>#REF!</v>
      </c>
      <c r="L594" s="82" t="str">
        <f t="shared" ca="1" si="199"/>
        <v>#REF!</v>
      </c>
      <c r="M594" s="125"/>
      <c r="N594" s="125"/>
      <c r="O594" s="230">
        <f t="shared" si="2"/>
        <v>0</v>
      </c>
      <c r="P594" s="231">
        <f t="shared" si="3"/>
        <v>0</v>
      </c>
      <c r="Q594" s="232" t="str">
        <f ca="1">ROUNDUP(HLOOKUP(IF(CEILING(L594,0.5)&lt;1,1,CEILING(L594,0.5)),'배송비 조회'!A$32:AY$36,2,0),-2)</f>
        <v>#REF!</v>
      </c>
      <c r="R594" s="232">
        <v>0</v>
      </c>
      <c r="S594" s="231" t="str">
        <f t="shared" ca="1" si="250"/>
        <v>#REF!</v>
      </c>
      <c r="T594" s="231" t="str">
        <f t="shared" ca="1" si="200"/>
        <v>#REF!</v>
      </c>
      <c r="U594" s="233" t="str">
        <f t="shared" ca="1" si="142"/>
        <v>#REF!</v>
      </c>
      <c r="V594" s="233" t="str">
        <f t="shared" ca="1" si="7"/>
        <v>#REF!</v>
      </c>
      <c r="W594" s="234">
        <v>0</v>
      </c>
      <c r="X594" s="234" t="str">
        <f t="shared" ca="1" si="8"/>
        <v>#REF!</v>
      </c>
      <c r="Y594" s="234" t="str">
        <f t="shared" ca="1" si="9"/>
        <v>#REF!</v>
      </c>
      <c r="Z594" s="234" t="str">
        <f t="shared" ca="1" si="10"/>
        <v>#REF!</v>
      </c>
      <c r="AA594" s="234" t="str">
        <f t="shared" ca="1" si="11"/>
        <v>#REF!</v>
      </c>
      <c r="AB594" s="234" t="str">
        <f t="shared" ca="1" si="12"/>
        <v>#REF!</v>
      </c>
      <c r="AC594" s="234" t="str">
        <f t="shared" ca="1" si="13"/>
        <v>#REF!</v>
      </c>
      <c r="AD594" s="101" t="str">
        <f t="shared" ca="1" si="14"/>
        <v>#REF!</v>
      </c>
      <c r="AE594" s="101" t="str">
        <f t="shared" ca="1" si="15"/>
        <v>#REF!</v>
      </c>
      <c r="AF594" s="235" t="str">
        <f t="shared" ref="AF594:AG594" ca="1" si="671">AD594/U594</f>
        <v>#REF!</v>
      </c>
      <c r="AG594" s="235" t="str">
        <f t="shared" ca="1" si="671"/>
        <v>#REF!</v>
      </c>
      <c r="AH594" s="212"/>
      <c r="AI594" s="213"/>
      <c r="AJ594" s="4"/>
      <c r="AK594" s="4"/>
      <c r="AL594" s="4"/>
      <c r="AM594" s="4"/>
      <c r="AN594" s="4"/>
      <c r="AO594" s="4"/>
      <c r="AP594" s="4"/>
      <c r="AQ594" s="4"/>
      <c r="AR594" s="4"/>
      <c r="AS594" s="4"/>
      <c r="AT594" s="4"/>
      <c r="AU594" s="4"/>
    </row>
    <row r="595" spans="1:47" ht="13.2">
      <c r="A595" s="120"/>
      <c r="B595" s="113"/>
      <c r="C595" s="117"/>
      <c r="D595" s="117"/>
      <c r="E595" s="117"/>
      <c r="F595" s="123"/>
      <c r="G595" s="93" t="s">
        <v>145</v>
      </c>
      <c r="H595" s="125"/>
      <c r="I595" s="125"/>
      <c r="J595" s="82" t="str">
        <f t="shared" ca="1" si="147"/>
        <v>#REF!</v>
      </c>
      <c r="K595" s="82" t="str">
        <f t="shared" ca="1" si="256"/>
        <v>#REF!</v>
      </c>
      <c r="L595" s="82" t="str">
        <f t="shared" ca="1" si="199"/>
        <v>#REF!</v>
      </c>
      <c r="M595" s="125"/>
      <c r="N595" s="125"/>
      <c r="O595" s="230">
        <f t="shared" si="2"/>
        <v>0</v>
      </c>
      <c r="P595" s="231">
        <f t="shared" si="3"/>
        <v>0</v>
      </c>
      <c r="Q595" s="232" t="str">
        <f ca="1">ROUNDUP(HLOOKUP(IF(CEILING(L595,0.5)&lt;1,1,CEILING(L595,0.5)),'배송비 조회'!A$32:AY$36,2,0),-2)</f>
        <v>#REF!</v>
      </c>
      <c r="R595" s="232">
        <v>0</v>
      </c>
      <c r="S595" s="231" t="str">
        <f t="shared" ca="1" si="250"/>
        <v>#REF!</v>
      </c>
      <c r="T595" s="231" t="str">
        <f t="shared" ca="1" si="200"/>
        <v>#REF!</v>
      </c>
      <c r="U595" s="233" t="str">
        <f t="shared" ca="1" si="142"/>
        <v>#REF!</v>
      </c>
      <c r="V595" s="233" t="str">
        <f t="shared" ca="1" si="7"/>
        <v>#REF!</v>
      </c>
      <c r="W595" s="234">
        <v>0</v>
      </c>
      <c r="X595" s="234" t="str">
        <f t="shared" ca="1" si="8"/>
        <v>#REF!</v>
      </c>
      <c r="Y595" s="234" t="str">
        <f t="shared" ca="1" si="9"/>
        <v>#REF!</v>
      </c>
      <c r="Z595" s="234" t="str">
        <f t="shared" ca="1" si="10"/>
        <v>#REF!</v>
      </c>
      <c r="AA595" s="234" t="str">
        <f t="shared" ca="1" si="11"/>
        <v>#REF!</v>
      </c>
      <c r="AB595" s="234" t="str">
        <f t="shared" ca="1" si="12"/>
        <v>#REF!</v>
      </c>
      <c r="AC595" s="234" t="str">
        <f t="shared" ca="1" si="13"/>
        <v>#REF!</v>
      </c>
      <c r="AD595" s="101" t="str">
        <f t="shared" ca="1" si="14"/>
        <v>#REF!</v>
      </c>
      <c r="AE595" s="101" t="str">
        <f t="shared" ca="1" si="15"/>
        <v>#REF!</v>
      </c>
      <c r="AF595" s="235" t="str">
        <f t="shared" ref="AF595:AG595" ca="1" si="672">AD595/U595</f>
        <v>#REF!</v>
      </c>
      <c r="AG595" s="235" t="str">
        <f t="shared" ca="1" si="672"/>
        <v>#REF!</v>
      </c>
      <c r="AH595" s="212"/>
      <c r="AI595" s="213"/>
      <c r="AJ595" s="4"/>
      <c r="AK595" s="4"/>
      <c r="AL595" s="4"/>
      <c r="AM595" s="4"/>
      <c r="AN595" s="4"/>
      <c r="AO595" s="4"/>
      <c r="AP595" s="4"/>
      <c r="AQ595" s="4"/>
      <c r="AR595" s="4"/>
      <c r="AS595" s="4"/>
      <c r="AT595" s="4"/>
      <c r="AU595" s="4"/>
    </row>
    <row r="596" spans="1:47" ht="13.2">
      <c r="A596" s="120"/>
      <c r="B596" s="113"/>
      <c r="C596" s="117"/>
      <c r="D596" s="117"/>
      <c r="E596" s="117"/>
      <c r="F596" s="123"/>
      <c r="G596" s="93" t="s">
        <v>145</v>
      </c>
      <c r="H596" s="125"/>
      <c r="I596" s="125"/>
      <c r="J596" s="82" t="str">
        <f t="shared" ca="1" si="147"/>
        <v>#REF!</v>
      </c>
      <c r="K596" s="82" t="str">
        <f t="shared" ca="1" si="256"/>
        <v>#REF!</v>
      </c>
      <c r="L596" s="82" t="str">
        <f t="shared" ca="1" si="199"/>
        <v>#REF!</v>
      </c>
      <c r="M596" s="125"/>
      <c r="N596" s="125"/>
      <c r="O596" s="230">
        <f t="shared" si="2"/>
        <v>0</v>
      </c>
      <c r="P596" s="231">
        <f t="shared" si="3"/>
        <v>0</v>
      </c>
      <c r="Q596" s="232" t="str">
        <f ca="1">ROUNDUP(HLOOKUP(IF(CEILING(L596,0.5)&lt;1,1,CEILING(L596,0.5)),'배송비 조회'!A$32:AY$36,2,0),-2)</f>
        <v>#REF!</v>
      </c>
      <c r="R596" s="232">
        <v>0</v>
      </c>
      <c r="S596" s="231" t="str">
        <f t="shared" ca="1" si="250"/>
        <v>#REF!</v>
      </c>
      <c r="T596" s="231" t="str">
        <f t="shared" ca="1" si="200"/>
        <v>#REF!</v>
      </c>
      <c r="U596" s="233" t="str">
        <f t="shared" ca="1" si="142"/>
        <v>#REF!</v>
      </c>
      <c r="V596" s="233" t="str">
        <f t="shared" ca="1" si="7"/>
        <v>#REF!</v>
      </c>
      <c r="W596" s="234">
        <v>0</v>
      </c>
      <c r="X596" s="234" t="str">
        <f t="shared" ca="1" si="8"/>
        <v>#REF!</v>
      </c>
      <c r="Y596" s="234" t="str">
        <f t="shared" ca="1" si="9"/>
        <v>#REF!</v>
      </c>
      <c r="Z596" s="234" t="str">
        <f t="shared" ca="1" si="10"/>
        <v>#REF!</v>
      </c>
      <c r="AA596" s="234" t="str">
        <f t="shared" ca="1" si="11"/>
        <v>#REF!</v>
      </c>
      <c r="AB596" s="234" t="str">
        <f t="shared" ca="1" si="12"/>
        <v>#REF!</v>
      </c>
      <c r="AC596" s="234" t="str">
        <f t="shared" ca="1" si="13"/>
        <v>#REF!</v>
      </c>
      <c r="AD596" s="101" t="str">
        <f t="shared" ca="1" si="14"/>
        <v>#REF!</v>
      </c>
      <c r="AE596" s="101" t="str">
        <f t="shared" ca="1" si="15"/>
        <v>#REF!</v>
      </c>
      <c r="AF596" s="235" t="str">
        <f t="shared" ref="AF596:AG596" ca="1" si="673">AD596/U596</f>
        <v>#REF!</v>
      </c>
      <c r="AG596" s="235" t="str">
        <f t="shared" ca="1" si="673"/>
        <v>#REF!</v>
      </c>
      <c r="AH596" s="212"/>
      <c r="AI596" s="213"/>
      <c r="AJ596" s="4"/>
      <c r="AK596" s="4"/>
      <c r="AL596" s="4"/>
      <c r="AM596" s="4"/>
      <c r="AN596" s="4"/>
      <c r="AO596" s="4"/>
      <c r="AP596" s="4"/>
      <c r="AQ596" s="4"/>
      <c r="AR596" s="4"/>
      <c r="AS596" s="4"/>
      <c r="AT596" s="4"/>
      <c r="AU596" s="4"/>
    </row>
    <row r="597" spans="1:47" ht="13.2">
      <c r="A597" s="120"/>
      <c r="B597" s="113"/>
      <c r="C597" s="117"/>
      <c r="D597" s="117"/>
      <c r="E597" s="117"/>
      <c r="F597" s="123"/>
      <c r="G597" s="93" t="s">
        <v>145</v>
      </c>
      <c r="H597" s="125"/>
      <c r="I597" s="125"/>
      <c r="J597" s="82" t="str">
        <f t="shared" ca="1" si="147"/>
        <v>#REF!</v>
      </c>
      <c r="K597" s="82" t="str">
        <f t="shared" ca="1" si="256"/>
        <v>#REF!</v>
      </c>
      <c r="L597" s="82" t="str">
        <f t="shared" ca="1" si="199"/>
        <v>#REF!</v>
      </c>
      <c r="M597" s="125"/>
      <c r="N597" s="125"/>
      <c r="O597" s="230">
        <f t="shared" si="2"/>
        <v>0</v>
      </c>
      <c r="P597" s="231">
        <f t="shared" si="3"/>
        <v>0</v>
      </c>
      <c r="Q597" s="232" t="str">
        <f ca="1">ROUNDUP(HLOOKUP(IF(CEILING(L597,0.5)&lt;1,1,CEILING(L597,0.5)),'배송비 조회'!A$32:AY$36,2,0),-2)</f>
        <v>#REF!</v>
      </c>
      <c r="R597" s="232">
        <v>0</v>
      </c>
      <c r="S597" s="231" t="str">
        <f t="shared" ca="1" si="250"/>
        <v>#REF!</v>
      </c>
      <c r="T597" s="231" t="str">
        <f t="shared" ca="1" si="200"/>
        <v>#REF!</v>
      </c>
      <c r="U597" s="233" t="str">
        <f t="shared" ca="1" si="142"/>
        <v>#REF!</v>
      </c>
      <c r="V597" s="233" t="str">
        <f t="shared" ca="1" si="7"/>
        <v>#REF!</v>
      </c>
      <c r="W597" s="234">
        <v>0</v>
      </c>
      <c r="X597" s="234" t="str">
        <f t="shared" ca="1" si="8"/>
        <v>#REF!</v>
      </c>
      <c r="Y597" s="234" t="str">
        <f t="shared" ca="1" si="9"/>
        <v>#REF!</v>
      </c>
      <c r="Z597" s="234" t="str">
        <f t="shared" ca="1" si="10"/>
        <v>#REF!</v>
      </c>
      <c r="AA597" s="234" t="str">
        <f t="shared" ca="1" si="11"/>
        <v>#REF!</v>
      </c>
      <c r="AB597" s="234" t="str">
        <f t="shared" ca="1" si="12"/>
        <v>#REF!</v>
      </c>
      <c r="AC597" s="234" t="str">
        <f t="shared" ca="1" si="13"/>
        <v>#REF!</v>
      </c>
      <c r="AD597" s="101" t="str">
        <f t="shared" ca="1" si="14"/>
        <v>#REF!</v>
      </c>
      <c r="AE597" s="101" t="str">
        <f t="shared" ca="1" si="15"/>
        <v>#REF!</v>
      </c>
      <c r="AF597" s="235" t="str">
        <f t="shared" ref="AF597:AG597" ca="1" si="674">AD597/U597</f>
        <v>#REF!</v>
      </c>
      <c r="AG597" s="235" t="str">
        <f t="shared" ca="1" si="674"/>
        <v>#REF!</v>
      </c>
      <c r="AH597" s="212"/>
      <c r="AI597" s="213"/>
      <c r="AJ597" s="4"/>
      <c r="AK597" s="4"/>
      <c r="AL597" s="4"/>
      <c r="AM597" s="4"/>
      <c r="AN597" s="4"/>
      <c r="AO597" s="4"/>
      <c r="AP597" s="4"/>
      <c r="AQ597" s="4"/>
      <c r="AR597" s="4"/>
      <c r="AS597" s="4"/>
      <c r="AT597" s="4"/>
      <c r="AU597" s="4"/>
    </row>
    <row r="598" spans="1:47" ht="13.2">
      <c r="A598" s="120"/>
      <c r="B598" s="113"/>
      <c r="C598" s="117"/>
      <c r="D598" s="117"/>
      <c r="E598" s="117"/>
      <c r="F598" s="123"/>
      <c r="G598" s="93" t="s">
        <v>145</v>
      </c>
      <c r="H598" s="125"/>
      <c r="I598" s="125"/>
      <c r="J598" s="82" t="str">
        <f t="shared" ca="1" si="147"/>
        <v>#REF!</v>
      </c>
      <c r="K598" s="82" t="str">
        <f t="shared" ca="1" si="256"/>
        <v>#REF!</v>
      </c>
      <c r="L598" s="82" t="str">
        <f t="shared" ca="1" si="199"/>
        <v>#REF!</v>
      </c>
      <c r="M598" s="125"/>
      <c r="N598" s="125"/>
      <c r="O598" s="230">
        <f t="shared" si="2"/>
        <v>0</v>
      </c>
      <c r="P598" s="231">
        <f t="shared" si="3"/>
        <v>0</v>
      </c>
      <c r="Q598" s="232" t="str">
        <f ca="1">ROUNDUP(HLOOKUP(IF(CEILING(L598,0.5)&lt;1,1,CEILING(L598,0.5)),'배송비 조회'!A$32:AY$36,2,0),-2)</f>
        <v>#REF!</v>
      </c>
      <c r="R598" s="232">
        <v>0</v>
      </c>
      <c r="S598" s="231" t="str">
        <f t="shared" ca="1" si="250"/>
        <v>#REF!</v>
      </c>
      <c r="T598" s="231" t="str">
        <f t="shared" ca="1" si="200"/>
        <v>#REF!</v>
      </c>
      <c r="U598" s="233" t="str">
        <f t="shared" ca="1" si="142"/>
        <v>#REF!</v>
      </c>
      <c r="V598" s="233" t="str">
        <f t="shared" ca="1" si="7"/>
        <v>#REF!</v>
      </c>
      <c r="W598" s="234">
        <v>0</v>
      </c>
      <c r="X598" s="234" t="str">
        <f t="shared" ca="1" si="8"/>
        <v>#REF!</v>
      </c>
      <c r="Y598" s="234" t="str">
        <f t="shared" ca="1" si="9"/>
        <v>#REF!</v>
      </c>
      <c r="Z598" s="234" t="str">
        <f t="shared" ca="1" si="10"/>
        <v>#REF!</v>
      </c>
      <c r="AA598" s="234" t="str">
        <f t="shared" ca="1" si="11"/>
        <v>#REF!</v>
      </c>
      <c r="AB598" s="234" t="str">
        <f t="shared" ca="1" si="12"/>
        <v>#REF!</v>
      </c>
      <c r="AC598" s="234" t="str">
        <f t="shared" ca="1" si="13"/>
        <v>#REF!</v>
      </c>
      <c r="AD598" s="101" t="str">
        <f t="shared" ca="1" si="14"/>
        <v>#REF!</v>
      </c>
      <c r="AE598" s="101" t="str">
        <f t="shared" ca="1" si="15"/>
        <v>#REF!</v>
      </c>
      <c r="AF598" s="235" t="str">
        <f t="shared" ref="AF598:AG598" ca="1" si="675">AD598/U598</f>
        <v>#REF!</v>
      </c>
      <c r="AG598" s="235" t="str">
        <f t="shared" ca="1" si="675"/>
        <v>#REF!</v>
      </c>
      <c r="AH598" s="212"/>
      <c r="AI598" s="213"/>
      <c r="AJ598" s="4"/>
      <c r="AK598" s="4"/>
      <c r="AL598" s="4"/>
      <c r="AM598" s="4"/>
      <c r="AN598" s="4"/>
      <c r="AO598" s="4"/>
      <c r="AP598" s="4"/>
      <c r="AQ598" s="4"/>
      <c r="AR598" s="4"/>
      <c r="AS598" s="4"/>
      <c r="AT598" s="4"/>
      <c r="AU598" s="4"/>
    </row>
    <row r="599" spans="1:47" ht="13.2">
      <c r="A599" s="120"/>
      <c r="B599" s="113"/>
      <c r="C599" s="117"/>
      <c r="D599" s="117"/>
      <c r="E599" s="117"/>
      <c r="F599" s="123"/>
      <c r="G599" s="93" t="s">
        <v>145</v>
      </c>
      <c r="H599" s="125"/>
      <c r="I599" s="125"/>
      <c r="J599" s="82" t="str">
        <f t="shared" ca="1" si="147"/>
        <v>#REF!</v>
      </c>
      <c r="K599" s="82" t="str">
        <f t="shared" ca="1" si="256"/>
        <v>#REF!</v>
      </c>
      <c r="L599" s="82" t="str">
        <f t="shared" ca="1" si="199"/>
        <v>#REF!</v>
      </c>
      <c r="M599" s="125"/>
      <c r="N599" s="125"/>
      <c r="O599" s="230">
        <f t="shared" si="2"/>
        <v>0</v>
      </c>
      <c r="P599" s="231">
        <f t="shared" si="3"/>
        <v>0</v>
      </c>
      <c r="Q599" s="232" t="str">
        <f ca="1">ROUNDUP(HLOOKUP(IF(CEILING(L599,0.5)&lt;1,1,CEILING(L599,0.5)),'배송비 조회'!A$32:AY$36,2,0),-2)</f>
        <v>#REF!</v>
      </c>
      <c r="R599" s="232">
        <v>0</v>
      </c>
      <c r="S599" s="231" t="str">
        <f t="shared" ca="1" si="250"/>
        <v>#REF!</v>
      </c>
      <c r="T599" s="231" t="str">
        <f t="shared" ca="1" si="200"/>
        <v>#REF!</v>
      </c>
      <c r="U599" s="233" t="str">
        <f t="shared" ca="1" si="142"/>
        <v>#REF!</v>
      </c>
      <c r="V599" s="233" t="str">
        <f t="shared" ca="1" si="7"/>
        <v>#REF!</v>
      </c>
      <c r="W599" s="234">
        <v>0</v>
      </c>
      <c r="X599" s="234" t="str">
        <f t="shared" ca="1" si="8"/>
        <v>#REF!</v>
      </c>
      <c r="Y599" s="234" t="str">
        <f t="shared" ca="1" si="9"/>
        <v>#REF!</v>
      </c>
      <c r="Z599" s="234" t="str">
        <f t="shared" ca="1" si="10"/>
        <v>#REF!</v>
      </c>
      <c r="AA599" s="234" t="str">
        <f t="shared" ca="1" si="11"/>
        <v>#REF!</v>
      </c>
      <c r="AB599" s="234" t="str">
        <f t="shared" ca="1" si="12"/>
        <v>#REF!</v>
      </c>
      <c r="AC599" s="234" t="str">
        <f t="shared" ca="1" si="13"/>
        <v>#REF!</v>
      </c>
      <c r="AD599" s="101" t="str">
        <f t="shared" ca="1" si="14"/>
        <v>#REF!</v>
      </c>
      <c r="AE599" s="101" t="str">
        <f t="shared" ca="1" si="15"/>
        <v>#REF!</v>
      </c>
      <c r="AF599" s="235" t="str">
        <f t="shared" ref="AF599:AG599" ca="1" si="676">AD599/U599</f>
        <v>#REF!</v>
      </c>
      <c r="AG599" s="235" t="str">
        <f t="shared" ca="1" si="676"/>
        <v>#REF!</v>
      </c>
      <c r="AH599" s="212"/>
      <c r="AI599" s="213"/>
      <c r="AJ599" s="4"/>
      <c r="AK599" s="4"/>
      <c r="AL599" s="4"/>
      <c r="AM599" s="4"/>
      <c r="AN599" s="4"/>
      <c r="AO599" s="4"/>
      <c r="AP599" s="4"/>
      <c r="AQ599" s="4"/>
      <c r="AR599" s="4"/>
      <c r="AS599" s="4"/>
      <c r="AT599" s="4"/>
      <c r="AU599" s="4"/>
    </row>
    <row r="600" spans="1:47" ht="13.2">
      <c r="A600" s="120"/>
      <c r="B600" s="113"/>
      <c r="C600" s="117"/>
      <c r="D600" s="117"/>
      <c r="E600" s="117"/>
      <c r="F600" s="123"/>
      <c r="G600" s="93" t="s">
        <v>145</v>
      </c>
      <c r="H600" s="125"/>
      <c r="I600" s="125"/>
      <c r="J600" s="82" t="str">
        <f t="shared" ca="1" si="147"/>
        <v>#REF!</v>
      </c>
      <c r="K600" s="82" t="str">
        <f t="shared" ca="1" si="256"/>
        <v>#REF!</v>
      </c>
      <c r="L600" s="82" t="str">
        <f t="shared" ca="1" si="199"/>
        <v>#REF!</v>
      </c>
      <c r="M600" s="125"/>
      <c r="N600" s="125"/>
      <c r="O600" s="230">
        <f t="shared" si="2"/>
        <v>0</v>
      </c>
      <c r="P600" s="231">
        <f t="shared" si="3"/>
        <v>0</v>
      </c>
      <c r="Q600" s="232" t="str">
        <f ca="1">ROUNDUP(HLOOKUP(IF(CEILING(L600,0.5)&lt;1,1,CEILING(L600,0.5)),'배송비 조회'!A$32:AY$36,2,0),-2)</f>
        <v>#REF!</v>
      </c>
      <c r="R600" s="232">
        <v>0</v>
      </c>
      <c r="S600" s="231" t="str">
        <f t="shared" ca="1" si="250"/>
        <v>#REF!</v>
      </c>
      <c r="T600" s="231" t="str">
        <f t="shared" ca="1" si="200"/>
        <v>#REF!</v>
      </c>
      <c r="U600" s="233" t="str">
        <f t="shared" ca="1" si="142"/>
        <v>#REF!</v>
      </c>
      <c r="V600" s="233" t="str">
        <f t="shared" ca="1" si="7"/>
        <v>#REF!</v>
      </c>
      <c r="W600" s="234">
        <v>0</v>
      </c>
      <c r="X600" s="234" t="str">
        <f t="shared" ca="1" si="8"/>
        <v>#REF!</v>
      </c>
      <c r="Y600" s="234" t="str">
        <f t="shared" ca="1" si="9"/>
        <v>#REF!</v>
      </c>
      <c r="Z600" s="234" t="str">
        <f t="shared" ca="1" si="10"/>
        <v>#REF!</v>
      </c>
      <c r="AA600" s="234" t="str">
        <f t="shared" ca="1" si="11"/>
        <v>#REF!</v>
      </c>
      <c r="AB600" s="234" t="str">
        <f t="shared" ca="1" si="12"/>
        <v>#REF!</v>
      </c>
      <c r="AC600" s="234" t="str">
        <f t="shared" ca="1" si="13"/>
        <v>#REF!</v>
      </c>
      <c r="AD600" s="101" t="str">
        <f t="shared" ca="1" si="14"/>
        <v>#REF!</v>
      </c>
      <c r="AE600" s="101" t="str">
        <f t="shared" ca="1" si="15"/>
        <v>#REF!</v>
      </c>
      <c r="AF600" s="235" t="str">
        <f t="shared" ref="AF600:AG600" ca="1" si="677">AD600/U600</f>
        <v>#REF!</v>
      </c>
      <c r="AG600" s="235" t="str">
        <f t="shared" ca="1" si="677"/>
        <v>#REF!</v>
      </c>
      <c r="AH600" s="212"/>
      <c r="AI600" s="213"/>
      <c r="AJ600" s="4"/>
      <c r="AK600" s="4"/>
      <c r="AL600" s="4"/>
      <c r="AM600" s="4"/>
      <c r="AN600" s="4"/>
      <c r="AO600" s="4"/>
      <c r="AP600" s="4"/>
      <c r="AQ600" s="4"/>
      <c r="AR600" s="4"/>
      <c r="AS600" s="4"/>
      <c r="AT600" s="4"/>
      <c r="AU600" s="4"/>
    </row>
    <row r="601" spans="1:47" ht="13.2">
      <c r="A601" s="120"/>
      <c r="B601" s="113"/>
      <c r="C601" s="117"/>
      <c r="D601" s="117"/>
      <c r="E601" s="117"/>
      <c r="F601" s="123"/>
      <c r="G601" s="93" t="s">
        <v>145</v>
      </c>
      <c r="H601" s="125"/>
      <c r="I601" s="125"/>
      <c r="J601" s="82" t="str">
        <f t="shared" ca="1" si="147"/>
        <v>#REF!</v>
      </c>
      <c r="K601" s="82" t="str">
        <f t="shared" ca="1" si="256"/>
        <v>#REF!</v>
      </c>
      <c r="L601" s="82" t="str">
        <f t="shared" ca="1" si="199"/>
        <v>#REF!</v>
      </c>
      <c r="M601" s="125"/>
      <c r="N601" s="125"/>
      <c r="O601" s="230">
        <f t="shared" si="2"/>
        <v>0</v>
      </c>
      <c r="P601" s="231">
        <f t="shared" si="3"/>
        <v>0</v>
      </c>
      <c r="Q601" s="232" t="str">
        <f ca="1">ROUNDUP(HLOOKUP(IF(CEILING(L601,0.5)&lt;1,1,CEILING(L601,0.5)),'배송비 조회'!A$32:AY$36,2,0),-2)</f>
        <v>#REF!</v>
      </c>
      <c r="R601" s="232">
        <v>0</v>
      </c>
      <c r="S601" s="231" t="str">
        <f t="shared" ca="1" si="250"/>
        <v>#REF!</v>
      </c>
      <c r="T601" s="231" t="str">
        <f t="shared" ca="1" si="200"/>
        <v>#REF!</v>
      </c>
      <c r="U601" s="233" t="str">
        <f t="shared" ca="1" si="142"/>
        <v>#REF!</v>
      </c>
      <c r="V601" s="233" t="str">
        <f t="shared" ca="1" si="7"/>
        <v>#REF!</v>
      </c>
      <c r="W601" s="234">
        <v>0</v>
      </c>
      <c r="X601" s="234" t="str">
        <f t="shared" ca="1" si="8"/>
        <v>#REF!</v>
      </c>
      <c r="Y601" s="234" t="str">
        <f t="shared" ca="1" si="9"/>
        <v>#REF!</v>
      </c>
      <c r="Z601" s="234" t="str">
        <f t="shared" ca="1" si="10"/>
        <v>#REF!</v>
      </c>
      <c r="AA601" s="234" t="str">
        <f t="shared" ca="1" si="11"/>
        <v>#REF!</v>
      </c>
      <c r="AB601" s="234" t="str">
        <f t="shared" ca="1" si="12"/>
        <v>#REF!</v>
      </c>
      <c r="AC601" s="234" t="str">
        <f t="shared" ca="1" si="13"/>
        <v>#REF!</v>
      </c>
      <c r="AD601" s="101" t="str">
        <f t="shared" ca="1" si="14"/>
        <v>#REF!</v>
      </c>
      <c r="AE601" s="101" t="str">
        <f t="shared" ca="1" si="15"/>
        <v>#REF!</v>
      </c>
      <c r="AF601" s="235" t="str">
        <f t="shared" ref="AF601:AG601" ca="1" si="678">AD601/U601</f>
        <v>#REF!</v>
      </c>
      <c r="AG601" s="235" t="str">
        <f t="shared" ca="1" si="678"/>
        <v>#REF!</v>
      </c>
      <c r="AH601" s="212"/>
      <c r="AI601" s="213"/>
      <c r="AJ601" s="4"/>
      <c r="AK601" s="4"/>
      <c r="AL601" s="4"/>
      <c r="AM601" s="4"/>
      <c r="AN601" s="4"/>
      <c r="AO601" s="4"/>
      <c r="AP601" s="4"/>
      <c r="AQ601" s="4"/>
      <c r="AR601" s="4"/>
      <c r="AS601" s="4"/>
      <c r="AT601" s="4"/>
      <c r="AU601" s="4"/>
    </row>
    <row r="602" spans="1:47" ht="13.2">
      <c r="A602" s="120"/>
      <c r="B602" s="113"/>
      <c r="C602" s="117"/>
      <c r="D602" s="117"/>
      <c r="E602" s="117"/>
      <c r="F602" s="123"/>
      <c r="G602" s="93" t="s">
        <v>145</v>
      </c>
      <c r="H602" s="125"/>
      <c r="I602" s="125"/>
      <c r="J602" s="82" t="str">
        <f t="shared" ca="1" si="147"/>
        <v>#REF!</v>
      </c>
      <c r="K602" s="82" t="str">
        <f t="shared" ca="1" si="256"/>
        <v>#REF!</v>
      </c>
      <c r="L602" s="82" t="str">
        <f t="shared" ca="1" si="199"/>
        <v>#REF!</v>
      </c>
      <c r="M602" s="125"/>
      <c r="N602" s="125"/>
      <c r="O602" s="230">
        <f t="shared" si="2"/>
        <v>0</v>
      </c>
      <c r="P602" s="231">
        <f t="shared" si="3"/>
        <v>0</v>
      </c>
      <c r="Q602" s="232" t="str">
        <f ca="1">ROUNDUP(HLOOKUP(IF(CEILING(L602,0.5)&lt;1,1,CEILING(L602,0.5)),'배송비 조회'!A$32:AY$36,2,0),-2)</f>
        <v>#REF!</v>
      </c>
      <c r="R602" s="232">
        <v>0</v>
      </c>
      <c r="S602" s="231" t="str">
        <f t="shared" ca="1" si="250"/>
        <v>#REF!</v>
      </c>
      <c r="T602" s="231" t="str">
        <f t="shared" ca="1" si="200"/>
        <v>#REF!</v>
      </c>
      <c r="U602" s="233" t="str">
        <f t="shared" ca="1" si="142"/>
        <v>#REF!</v>
      </c>
      <c r="V602" s="233" t="str">
        <f t="shared" ca="1" si="7"/>
        <v>#REF!</v>
      </c>
      <c r="W602" s="234">
        <v>0</v>
      </c>
      <c r="X602" s="234" t="str">
        <f t="shared" ca="1" si="8"/>
        <v>#REF!</v>
      </c>
      <c r="Y602" s="234" t="str">
        <f t="shared" ca="1" si="9"/>
        <v>#REF!</v>
      </c>
      <c r="Z602" s="234" t="str">
        <f t="shared" ca="1" si="10"/>
        <v>#REF!</v>
      </c>
      <c r="AA602" s="234" t="str">
        <f t="shared" ca="1" si="11"/>
        <v>#REF!</v>
      </c>
      <c r="AB602" s="234" t="str">
        <f t="shared" ca="1" si="12"/>
        <v>#REF!</v>
      </c>
      <c r="AC602" s="234" t="str">
        <f t="shared" ca="1" si="13"/>
        <v>#REF!</v>
      </c>
      <c r="AD602" s="101" t="str">
        <f t="shared" ca="1" si="14"/>
        <v>#REF!</v>
      </c>
      <c r="AE602" s="101" t="str">
        <f t="shared" ca="1" si="15"/>
        <v>#REF!</v>
      </c>
      <c r="AF602" s="235" t="str">
        <f t="shared" ref="AF602:AG602" ca="1" si="679">AD602/U602</f>
        <v>#REF!</v>
      </c>
      <c r="AG602" s="235" t="str">
        <f t="shared" ca="1" si="679"/>
        <v>#REF!</v>
      </c>
      <c r="AH602" s="212"/>
      <c r="AI602" s="213"/>
      <c r="AJ602" s="4"/>
      <c r="AK602" s="4"/>
      <c r="AL602" s="4"/>
      <c r="AM602" s="4"/>
      <c r="AN602" s="4"/>
      <c r="AO602" s="4"/>
      <c r="AP602" s="4"/>
      <c r="AQ602" s="4"/>
      <c r="AR602" s="4"/>
      <c r="AS602" s="4"/>
      <c r="AT602" s="4"/>
      <c r="AU602" s="4"/>
    </row>
    <row r="603" spans="1:47" ht="13.2">
      <c r="A603" s="120"/>
      <c r="B603" s="113"/>
      <c r="C603" s="117"/>
      <c r="D603" s="117"/>
      <c r="E603" s="117"/>
      <c r="F603" s="123"/>
      <c r="G603" s="93" t="s">
        <v>145</v>
      </c>
      <c r="H603" s="125"/>
      <c r="I603" s="125"/>
      <c r="J603" s="82" t="str">
        <f t="shared" ca="1" si="147"/>
        <v>#REF!</v>
      </c>
      <c r="K603" s="82" t="str">
        <f t="shared" ca="1" si="256"/>
        <v>#REF!</v>
      </c>
      <c r="L603" s="82" t="str">
        <f t="shared" ca="1" si="199"/>
        <v>#REF!</v>
      </c>
      <c r="M603" s="125"/>
      <c r="N603" s="125"/>
      <c r="O603" s="230">
        <f t="shared" si="2"/>
        <v>0</v>
      </c>
      <c r="P603" s="231">
        <f t="shared" si="3"/>
        <v>0</v>
      </c>
      <c r="Q603" s="232" t="str">
        <f ca="1">ROUNDUP(HLOOKUP(IF(CEILING(L603,0.5)&lt;1,1,CEILING(L603,0.5)),'배송비 조회'!A$32:AY$36,2,0),-2)</f>
        <v>#REF!</v>
      </c>
      <c r="R603" s="232">
        <v>0</v>
      </c>
      <c r="S603" s="231" t="str">
        <f t="shared" ca="1" si="250"/>
        <v>#REF!</v>
      </c>
      <c r="T603" s="231" t="str">
        <f t="shared" ca="1" si="200"/>
        <v>#REF!</v>
      </c>
      <c r="U603" s="233" t="str">
        <f t="shared" ca="1" si="142"/>
        <v>#REF!</v>
      </c>
      <c r="V603" s="233" t="str">
        <f t="shared" ca="1" si="7"/>
        <v>#REF!</v>
      </c>
      <c r="W603" s="234">
        <v>0</v>
      </c>
      <c r="X603" s="234" t="str">
        <f t="shared" ca="1" si="8"/>
        <v>#REF!</v>
      </c>
      <c r="Y603" s="234" t="str">
        <f t="shared" ca="1" si="9"/>
        <v>#REF!</v>
      </c>
      <c r="Z603" s="234" t="str">
        <f t="shared" ca="1" si="10"/>
        <v>#REF!</v>
      </c>
      <c r="AA603" s="234" t="str">
        <f t="shared" ca="1" si="11"/>
        <v>#REF!</v>
      </c>
      <c r="AB603" s="234" t="str">
        <f t="shared" ca="1" si="12"/>
        <v>#REF!</v>
      </c>
      <c r="AC603" s="234" t="str">
        <f t="shared" ca="1" si="13"/>
        <v>#REF!</v>
      </c>
      <c r="AD603" s="101" t="str">
        <f t="shared" ca="1" si="14"/>
        <v>#REF!</v>
      </c>
      <c r="AE603" s="101" t="str">
        <f t="shared" ca="1" si="15"/>
        <v>#REF!</v>
      </c>
      <c r="AF603" s="235" t="str">
        <f t="shared" ref="AF603:AG603" ca="1" si="680">AD603/U603</f>
        <v>#REF!</v>
      </c>
      <c r="AG603" s="235" t="str">
        <f t="shared" ca="1" si="680"/>
        <v>#REF!</v>
      </c>
      <c r="AH603" s="212"/>
      <c r="AI603" s="213"/>
      <c r="AJ603" s="4"/>
      <c r="AK603" s="4"/>
      <c r="AL603" s="4"/>
      <c r="AM603" s="4"/>
      <c r="AN603" s="4"/>
      <c r="AO603" s="4"/>
      <c r="AP603" s="4"/>
      <c r="AQ603" s="4"/>
      <c r="AR603" s="4"/>
      <c r="AS603" s="4"/>
      <c r="AT603" s="4"/>
      <c r="AU603" s="4"/>
    </row>
    <row r="604" spans="1:47" ht="13.2">
      <c r="A604" s="120"/>
      <c r="B604" s="113"/>
      <c r="C604" s="117"/>
      <c r="D604" s="117"/>
      <c r="E604" s="117"/>
      <c r="F604" s="123"/>
      <c r="G604" s="93" t="s">
        <v>145</v>
      </c>
      <c r="H604" s="125"/>
      <c r="I604" s="125"/>
      <c r="J604" s="82" t="str">
        <f t="shared" ca="1" si="147"/>
        <v>#REF!</v>
      </c>
      <c r="K604" s="82" t="str">
        <f t="shared" ca="1" si="256"/>
        <v>#REF!</v>
      </c>
      <c r="L604" s="82" t="str">
        <f t="shared" ca="1" si="199"/>
        <v>#REF!</v>
      </c>
      <c r="M604" s="125"/>
      <c r="N604" s="125"/>
      <c r="O604" s="230">
        <f t="shared" si="2"/>
        <v>0</v>
      </c>
      <c r="P604" s="231">
        <f t="shared" si="3"/>
        <v>0</v>
      </c>
      <c r="Q604" s="232" t="str">
        <f ca="1">ROUNDUP(HLOOKUP(IF(CEILING(L604,0.5)&lt;1,1,CEILING(L604,0.5)),'배송비 조회'!A$32:AY$36,2,0),-2)</f>
        <v>#REF!</v>
      </c>
      <c r="R604" s="232">
        <v>0</v>
      </c>
      <c r="S604" s="231" t="str">
        <f t="shared" ca="1" si="250"/>
        <v>#REF!</v>
      </c>
      <c r="T604" s="231" t="str">
        <f t="shared" ca="1" si="200"/>
        <v>#REF!</v>
      </c>
      <c r="U604" s="233" t="str">
        <f t="shared" ca="1" si="142"/>
        <v>#REF!</v>
      </c>
      <c r="V604" s="233" t="str">
        <f t="shared" ca="1" si="7"/>
        <v>#REF!</v>
      </c>
      <c r="W604" s="234">
        <v>0</v>
      </c>
      <c r="X604" s="234" t="str">
        <f t="shared" ca="1" si="8"/>
        <v>#REF!</v>
      </c>
      <c r="Y604" s="234" t="str">
        <f t="shared" ca="1" si="9"/>
        <v>#REF!</v>
      </c>
      <c r="Z604" s="234" t="str">
        <f t="shared" ca="1" si="10"/>
        <v>#REF!</v>
      </c>
      <c r="AA604" s="234" t="str">
        <f t="shared" ca="1" si="11"/>
        <v>#REF!</v>
      </c>
      <c r="AB604" s="234" t="str">
        <f t="shared" ca="1" si="12"/>
        <v>#REF!</v>
      </c>
      <c r="AC604" s="234" t="str">
        <f t="shared" ca="1" si="13"/>
        <v>#REF!</v>
      </c>
      <c r="AD604" s="101" t="str">
        <f t="shared" ca="1" si="14"/>
        <v>#REF!</v>
      </c>
      <c r="AE604" s="101" t="str">
        <f t="shared" ca="1" si="15"/>
        <v>#REF!</v>
      </c>
      <c r="AF604" s="235" t="str">
        <f t="shared" ref="AF604:AG604" ca="1" si="681">AD604/U604</f>
        <v>#REF!</v>
      </c>
      <c r="AG604" s="235" t="str">
        <f t="shared" ca="1" si="681"/>
        <v>#REF!</v>
      </c>
      <c r="AH604" s="212"/>
      <c r="AI604" s="213"/>
      <c r="AJ604" s="4"/>
      <c r="AK604" s="4"/>
      <c r="AL604" s="4"/>
      <c r="AM604" s="4"/>
      <c r="AN604" s="4"/>
      <c r="AO604" s="4"/>
      <c r="AP604" s="4"/>
      <c r="AQ604" s="4"/>
      <c r="AR604" s="4"/>
      <c r="AS604" s="4"/>
      <c r="AT604" s="4"/>
      <c r="AU604" s="4"/>
    </row>
    <row r="605" spans="1:47" ht="13.2">
      <c r="A605" s="120"/>
      <c r="B605" s="113"/>
      <c r="C605" s="117"/>
      <c r="D605" s="117"/>
      <c r="E605" s="117"/>
      <c r="F605" s="123"/>
      <c r="G605" s="93" t="s">
        <v>145</v>
      </c>
      <c r="H605" s="125"/>
      <c r="I605" s="125"/>
      <c r="J605" s="82" t="str">
        <f t="shared" ca="1" si="147"/>
        <v>#REF!</v>
      </c>
      <c r="K605" s="82" t="str">
        <f t="shared" ca="1" si="256"/>
        <v>#REF!</v>
      </c>
      <c r="L605" s="82" t="str">
        <f t="shared" ca="1" si="199"/>
        <v>#REF!</v>
      </c>
      <c r="M605" s="125"/>
      <c r="N605" s="125"/>
      <c r="O605" s="230">
        <f t="shared" si="2"/>
        <v>0</v>
      </c>
      <c r="P605" s="231">
        <f t="shared" si="3"/>
        <v>0</v>
      </c>
      <c r="Q605" s="232" t="str">
        <f ca="1">ROUNDUP(HLOOKUP(IF(CEILING(L605,0.5)&lt;1,1,CEILING(L605,0.5)),'배송비 조회'!A$32:AY$36,2,0),-2)</f>
        <v>#REF!</v>
      </c>
      <c r="R605" s="232">
        <v>0</v>
      </c>
      <c r="S605" s="231" t="str">
        <f t="shared" ca="1" si="250"/>
        <v>#REF!</v>
      </c>
      <c r="T605" s="231" t="str">
        <f t="shared" ca="1" si="200"/>
        <v>#REF!</v>
      </c>
      <c r="U605" s="233" t="str">
        <f t="shared" ca="1" si="142"/>
        <v>#REF!</v>
      </c>
      <c r="V605" s="233" t="str">
        <f t="shared" ca="1" si="7"/>
        <v>#REF!</v>
      </c>
      <c r="W605" s="234">
        <v>0</v>
      </c>
      <c r="X605" s="234" t="str">
        <f t="shared" ca="1" si="8"/>
        <v>#REF!</v>
      </c>
      <c r="Y605" s="234" t="str">
        <f t="shared" ca="1" si="9"/>
        <v>#REF!</v>
      </c>
      <c r="Z605" s="234" t="str">
        <f t="shared" ca="1" si="10"/>
        <v>#REF!</v>
      </c>
      <c r="AA605" s="234" t="str">
        <f t="shared" ca="1" si="11"/>
        <v>#REF!</v>
      </c>
      <c r="AB605" s="234" t="str">
        <f t="shared" ca="1" si="12"/>
        <v>#REF!</v>
      </c>
      <c r="AC605" s="234" t="str">
        <f t="shared" ca="1" si="13"/>
        <v>#REF!</v>
      </c>
      <c r="AD605" s="101" t="str">
        <f t="shared" ca="1" si="14"/>
        <v>#REF!</v>
      </c>
      <c r="AE605" s="101" t="str">
        <f t="shared" ca="1" si="15"/>
        <v>#REF!</v>
      </c>
      <c r="AF605" s="235" t="str">
        <f t="shared" ref="AF605:AG605" ca="1" si="682">AD605/U605</f>
        <v>#REF!</v>
      </c>
      <c r="AG605" s="235" t="str">
        <f t="shared" ca="1" si="682"/>
        <v>#REF!</v>
      </c>
      <c r="AH605" s="212"/>
      <c r="AI605" s="213"/>
      <c r="AJ605" s="4"/>
      <c r="AK605" s="4"/>
      <c r="AL605" s="4"/>
      <c r="AM605" s="4"/>
      <c r="AN605" s="4"/>
      <c r="AO605" s="4"/>
      <c r="AP605" s="4"/>
      <c r="AQ605" s="4"/>
      <c r="AR605" s="4"/>
      <c r="AS605" s="4"/>
      <c r="AT605" s="4"/>
      <c r="AU605" s="4"/>
    </row>
    <row r="606" spans="1:47" ht="13.2">
      <c r="A606" s="120"/>
      <c r="B606" s="113"/>
      <c r="C606" s="117"/>
      <c r="D606" s="117"/>
      <c r="E606" s="117"/>
      <c r="F606" s="123"/>
      <c r="G606" s="93" t="s">
        <v>145</v>
      </c>
      <c r="H606" s="125"/>
      <c r="I606" s="125"/>
      <c r="J606" s="82" t="str">
        <f t="shared" ca="1" si="147"/>
        <v>#REF!</v>
      </c>
      <c r="K606" s="82" t="str">
        <f t="shared" ca="1" si="256"/>
        <v>#REF!</v>
      </c>
      <c r="L606" s="82" t="str">
        <f t="shared" ca="1" si="199"/>
        <v>#REF!</v>
      </c>
      <c r="M606" s="125"/>
      <c r="N606" s="125"/>
      <c r="O606" s="230">
        <f t="shared" si="2"/>
        <v>0</v>
      </c>
      <c r="P606" s="231">
        <f t="shared" si="3"/>
        <v>0</v>
      </c>
      <c r="Q606" s="232" t="str">
        <f ca="1">ROUNDUP(HLOOKUP(IF(CEILING(L606,0.5)&lt;1,1,CEILING(L606,0.5)),'배송비 조회'!A$32:AY$36,2,0),-2)</f>
        <v>#REF!</v>
      </c>
      <c r="R606" s="232">
        <v>0</v>
      </c>
      <c r="S606" s="231" t="str">
        <f t="shared" ca="1" si="250"/>
        <v>#REF!</v>
      </c>
      <c r="T606" s="231" t="str">
        <f t="shared" ca="1" si="200"/>
        <v>#REF!</v>
      </c>
      <c r="U606" s="233" t="str">
        <f t="shared" ca="1" si="142"/>
        <v>#REF!</v>
      </c>
      <c r="V606" s="233" t="str">
        <f t="shared" ca="1" si="7"/>
        <v>#REF!</v>
      </c>
      <c r="W606" s="234">
        <v>0</v>
      </c>
      <c r="X606" s="234" t="str">
        <f t="shared" ca="1" si="8"/>
        <v>#REF!</v>
      </c>
      <c r="Y606" s="234" t="str">
        <f t="shared" ca="1" si="9"/>
        <v>#REF!</v>
      </c>
      <c r="Z606" s="234" t="str">
        <f t="shared" ca="1" si="10"/>
        <v>#REF!</v>
      </c>
      <c r="AA606" s="234" t="str">
        <f t="shared" ca="1" si="11"/>
        <v>#REF!</v>
      </c>
      <c r="AB606" s="234" t="str">
        <f t="shared" ca="1" si="12"/>
        <v>#REF!</v>
      </c>
      <c r="AC606" s="234" t="str">
        <f t="shared" ca="1" si="13"/>
        <v>#REF!</v>
      </c>
      <c r="AD606" s="101" t="str">
        <f t="shared" ca="1" si="14"/>
        <v>#REF!</v>
      </c>
      <c r="AE606" s="101" t="str">
        <f t="shared" ca="1" si="15"/>
        <v>#REF!</v>
      </c>
      <c r="AF606" s="235" t="str">
        <f t="shared" ref="AF606:AG606" ca="1" si="683">AD606/U606</f>
        <v>#REF!</v>
      </c>
      <c r="AG606" s="235" t="str">
        <f t="shared" ca="1" si="683"/>
        <v>#REF!</v>
      </c>
      <c r="AH606" s="212"/>
      <c r="AI606" s="213"/>
      <c r="AJ606" s="4"/>
      <c r="AK606" s="4"/>
      <c r="AL606" s="4"/>
      <c r="AM606" s="4"/>
      <c r="AN606" s="4"/>
      <c r="AO606" s="4"/>
      <c r="AP606" s="4"/>
      <c r="AQ606" s="4"/>
      <c r="AR606" s="4"/>
      <c r="AS606" s="4"/>
      <c r="AT606" s="4"/>
      <c r="AU606" s="4"/>
    </row>
    <row r="607" spans="1:47" ht="13.2">
      <c r="A607" s="120"/>
      <c r="B607" s="113"/>
      <c r="C607" s="117"/>
      <c r="D607" s="117"/>
      <c r="E607" s="117"/>
      <c r="F607" s="123"/>
      <c r="G607" s="93" t="s">
        <v>145</v>
      </c>
      <c r="H607" s="125"/>
      <c r="I607" s="125"/>
      <c r="J607" s="82" t="str">
        <f t="shared" ca="1" si="147"/>
        <v>#REF!</v>
      </c>
      <c r="K607" s="82" t="str">
        <f t="shared" ca="1" si="256"/>
        <v>#REF!</v>
      </c>
      <c r="L607" s="82" t="str">
        <f t="shared" ca="1" si="199"/>
        <v>#REF!</v>
      </c>
      <c r="M607" s="125"/>
      <c r="N607" s="125"/>
      <c r="O607" s="230">
        <f t="shared" si="2"/>
        <v>0</v>
      </c>
      <c r="P607" s="231">
        <f t="shared" si="3"/>
        <v>0</v>
      </c>
      <c r="Q607" s="232" t="str">
        <f ca="1">ROUNDUP(HLOOKUP(IF(CEILING(L607,0.5)&lt;1,1,CEILING(L607,0.5)),'배송비 조회'!A$32:AY$36,2,0),-2)</f>
        <v>#REF!</v>
      </c>
      <c r="R607" s="232">
        <v>0</v>
      </c>
      <c r="S607" s="231" t="str">
        <f t="shared" ca="1" si="250"/>
        <v>#REF!</v>
      </c>
      <c r="T607" s="231" t="str">
        <f t="shared" ca="1" si="200"/>
        <v>#REF!</v>
      </c>
      <c r="U607" s="233" t="str">
        <f t="shared" ca="1" si="142"/>
        <v>#REF!</v>
      </c>
      <c r="V607" s="233" t="str">
        <f t="shared" ca="1" si="7"/>
        <v>#REF!</v>
      </c>
      <c r="W607" s="234">
        <v>0</v>
      </c>
      <c r="X607" s="234" t="str">
        <f t="shared" ca="1" si="8"/>
        <v>#REF!</v>
      </c>
      <c r="Y607" s="234" t="str">
        <f t="shared" ca="1" si="9"/>
        <v>#REF!</v>
      </c>
      <c r="Z607" s="234" t="str">
        <f t="shared" ca="1" si="10"/>
        <v>#REF!</v>
      </c>
      <c r="AA607" s="234" t="str">
        <f t="shared" ca="1" si="11"/>
        <v>#REF!</v>
      </c>
      <c r="AB607" s="234" t="str">
        <f t="shared" ca="1" si="12"/>
        <v>#REF!</v>
      </c>
      <c r="AC607" s="234" t="str">
        <f t="shared" ca="1" si="13"/>
        <v>#REF!</v>
      </c>
      <c r="AD607" s="101" t="str">
        <f t="shared" ca="1" si="14"/>
        <v>#REF!</v>
      </c>
      <c r="AE607" s="101" t="str">
        <f t="shared" ca="1" si="15"/>
        <v>#REF!</v>
      </c>
      <c r="AF607" s="235" t="str">
        <f t="shared" ref="AF607:AG607" ca="1" si="684">AD607/U607</f>
        <v>#REF!</v>
      </c>
      <c r="AG607" s="235" t="str">
        <f t="shared" ca="1" si="684"/>
        <v>#REF!</v>
      </c>
      <c r="AH607" s="212"/>
      <c r="AI607" s="213"/>
      <c r="AJ607" s="4"/>
      <c r="AK607" s="4"/>
      <c r="AL607" s="4"/>
      <c r="AM607" s="4"/>
      <c r="AN607" s="4"/>
      <c r="AO607" s="4"/>
      <c r="AP607" s="4"/>
      <c r="AQ607" s="4"/>
      <c r="AR607" s="4"/>
      <c r="AS607" s="4"/>
      <c r="AT607" s="4"/>
      <c r="AU607" s="4"/>
    </row>
    <row r="608" spans="1:47" ht="13.2">
      <c r="A608" s="120"/>
      <c r="B608" s="113"/>
      <c r="C608" s="117"/>
      <c r="D608" s="117"/>
      <c r="E608" s="117"/>
      <c r="F608" s="123"/>
      <c r="G608" s="93" t="s">
        <v>145</v>
      </c>
      <c r="H608" s="125"/>
      <c r="I608" s="125"/>
      <c r="J608" s="82" t="str">
        <f t="shared" ca="1" si="147"/>
        <v>#REF!</v>
      </c>
      <c r="K608" s="82" t="str">
        <f t="shared" ca="1" si="256"/>
        <v>#REF!</v>
      </c>
      <c r="L608" s="82" t="str">
        <f t="shared" ca="1" si="199"/>
        <v>#REF!</v>
      </c>
      <c r="M608" s="125"/>
      <c r="N608" s="125"/>
      <c r="O608" s="230">
        <f t="shared" si="2"/>
        <v>0</v>
      </c>
      <c r="P608" s="231">
        <f t="shared" si="3"/>
        <v>0</v>
      </c>
      <c r="Q608" s="232" t="str">
        <f ca="1">ROUNDUP(HLOOKUP(IF(CEILING(L608,0.5)&lt;1,1,CEILING(L608,0.5)),'배송비 조회'!A$32:AY$36,2,0),-2)</f>
        <v>#REF!</v>
      </c>
      <c r="R608" s="232">
        <v>0</v>
      </c>
      <c r="S608" s="231" t="str">
        <f t="shared" ca="1" si="250"/>
        <v>#REF!</v>
      </c>
      <c r="T608" s="231" t="str">
        <f t="shared" ca="1" si="200"/>
        <v>#REF!</v>
      </c>
      <c r="U608" s="233" t="str">
        <f t="shared" ca="1" si="142"/>
        <v>#REF!</v>
      </c>
      <c r="V608" s="233" t="str">
        <f t="shared" ca="1" si="7"/>
        <v>#REF!</v>
      </c>
      <c r="W608" s="234">
        <v>0</v>
      </c>
      <c r="X608" s="234" t="str">
        <f t="shared" ca="1" si="8"/>
        <v>#REF!</v>
      </c>
      <c r="Y608" s="234" t="str">
        <f t="shared" ca="1" si="9"/>
        <v>#REF!</v>
      </c>
      <c r="Z608" s="234" t="str">
        <f t="shared" ca="1" si="10"/>
        <v>#REF!</v>
      </c>
      <c r="AA608" s="234" t="str">
        <f t="shared" ca="1" si="11"/>
        <v>#REF!</v>
      </c>
      <c r="AB608" s="234" t="str">
        <f t="shared" ca="1" si="12"/>
        <v>#REF!</v>
      </c>
      <c r="AC608" s="234" t="str">
        <f t="shared" ca="1" si="13"/>
        <v>#REF!</v>
      </c>
      <c r="AD608" s="101" t="str">
        <f t="shared" ca="1" si="14"/>
        <v>#REF!</v>
      </c>
      <c r="AE608" s="101" t="str">
        <f t="shared" ca="1" si="15"/>
        <v>#REF!</v>
      </c>
      <c r="AF608" s="235" t="str">
        <f t="shared" ref="AF608:AG608" ca="1" si="685">AD608/U608</f>
        <v>#REF!</v>
      </c>
      <c r="AG608" s="235" t="str">
        <f t="shared" ca="1" si="685"/>
        <v>#REF!</v>
      </c>
      <c r="AH608" s="212"/>
      <c r="AI608" s="213"/>
      <c r="AJ608" s="4"/>
      <c r="AK608" s="4"/>
      <c r="AL608" s="4"/>
      <c r="AM608" s="4"/>
      <c r="AN608" s="4"/>
      <c r="AO608" s="4"/>
      <c r="AP608" s="4"/>
      <c r="AQ608" s="4"/>
      <c r="AR608" s="4"/>
      <c r="AS608" s="4"/>
      <c r="AT608" s="4"/>
      <c r="AU608" s="4"/>
    </row>
    <row r="609" spans="1:47" ht="13.2">
      <c r="A609" s="120"/>
      <c r="B609" s="113"/>
      <c r="C609" s="117"/>
      <c r="D609" s="117"/>
      <c r="E609" s="117"/>
      <c r="F609" s="123"/>
      <c r="G609" s="93" t="s">
        <v>145</v>
      </c>
      <c r="H609" s="125"/>
      <c r="I609" s="125"/>
      <c r="J609" s="82" t="str">
        <f t="shared" ca="1" si="147"/>
        <v>#REF!</v>
      </c>
      <c r="K609" s="82" t="str">
        <f t="shared" ca="1" si="256"/>
        <v>#REF!</v>
      </c>
      <c r="L609" s="82" t="str">
        <f t="shared" ca="1" si="199"/>
        <v>#REF!</v>
      </c>
      <c r="M609" s="125"/>
      <c r="N609" s="125"/>
      <c r="O609" s="230">
        <f t="shared" si="2"/>
        <v>0</v>
      </c>
      <c r="P609" s="231">
        <f t="shared" si="3"/>
        <v>0</v>
      </c>
      <c r="Q609" s="232" t="str">
        <f ca="1">ROUNDUP(HLOOKUP(IF(CEILING(L609,0.5)&lt;1,1,CEILING(L609,0.5)),'배송비 조회'!A$32:AY$36,2,0),-2)</f>
        <v>#REF!</v>
      </c>
      <c r="R609" s="232">
        <v>0</v>
      </c>
      <c r="S609" s="231" t="str">
        <f t="shared" ca="1" si="250"/>
        <v>#REF!</v>
      </c>
      <c r="T609" s="231" t="str">
        <f t="shared" ca="1" si="200"/>
        <v>#REF!</v>
      </c>
      <c r="U609" s="233" t="str">
        <f t="shared" ca="1" si="142"/>
        <v>#REF!</v>
      </c>
      <c r="V609" s="233" t="str">
        <f t="shared" ca="1" si="7"/>
        <v>#REF!</v>
      </c>
      <c r="W609" s="234">
        <v>0</v>
      </c>
      <c r="X609" s="234" t="str">
        <f t="shared" ca="1" si="8"/>
        <v>#REF!</v>
      </c>
      <c r="Y609" s="234" t="str">
        <f t="shared" ca="1" si="9"/>
        <v>#REF!</v>
      </c>
      <c r="Z609" s="234" t="str">
        <f t="shared" ca="1" si="10"/>
        <v>#REF!</v>
      </c>
      <c r="AA609" s="234" t="str">
        <f t="shared" ca="1" si="11"/>
        <v>#REF!</v>
      </c>
      <c r="AB609" s="234" t="str">
        <f t="shared" ca="1" si="12"/>
        <v>#REF!</v>
      </c>
      <c r="AC609" s="234" t="str">
        <f t="shared" ca="1" si="13"/>
        <v>#REF!</v>
      </c>
      <c r="AD609" s="101" t="str">
        <f t="shared" ca="1" si="14"/>
        <v>#REF!</v>
      </c>
      <c r="AE609" s="101" t="str">
        <f t="shared" ca="1" si="15"/>
        <v>#REF!</v>
      </c>
      <c r="AF609" s="235" t="str">
        <f t="shared" ref="AF609:AG609" ca="1" si="686">AD609/U609</f>
        <v>#REF!</v>
      </c>
      <c r="AG609" s="235" t="str">
        <f t="shared" ca="1" si="686"/>
        <v>#REF!</v>
      </c>
      <c r="AH609" s="212"/>
      <c r="AI609" s="213"/>
      <c r="AJ609" s="4"/>
      <c r="AK609" s="4"/>
      <c r="AL609" s="4"/>
      <c r="AM609" s="4"/>
      <c r="AN609" s="4"/>
      <c r="AO609" s="4"/>
      <c r="AP609" s="4"/>
      <c r="AQ609" s="4"/>
      <c r="AR609" s="4"/>
      <c r="AS609" s="4"/>
      <c r="AT609" s="4"/>
      <c r="AU609" s="4"/>
    </row>
    <row r="610" spans="1:47" ht="13.2">
      <c r="A610" s="120"/>
      <c r="B610" s="113"/>
      <c r="C610" s="117"/>
      <c r="D610" s="117"/>
      <c r="E610" s="117"/>
      <c r="F610" s="123"/>
      <c r="G610" s="93" t="s">
        <v>145</v>
      </c>
      <c r="H610" s="125"/>
      <c r="I610" s="125"/>
      <c r="J610" s="82" t="str">
        <f t="shared" ca="1" si="147"/>
        <v>#REF!</v>
      </c>
      <c r="K610" s="82" t="str">
        <f t="shared" ca="1" si="256"/>
        <v>#REF!</v>
      </c>
      <c r="L610" s="82" t="str">
        <f t="shared" ca="1" si="199"/>
        <v>#REF!</v>
      </c>
      <c r="M610" s="125"/>
      <c r="N610" s="125"/>
      <c r="O610" s="230">
        <f t="shared" si="2"/>
        <v>0</v>
      </c>
      <c r="P610" s="231">
        <f t="shared" si="3"/>
        <v>0</v>
      </c>
      <c r="Q610" s="232" t="str">
        <f ca="1">ROUNDUP(HLOOKUP(IF(CEILING(L610,0.5)&lt;1,1,CEILING(L610,0.5)),'배송비 조회'!A$32:AY$36,2,0),-2)</f>
        <v>#REF!</v>
      </c>
      <c r="R610" s="232">
        <v>0</v>
      </c>
      <c r="S610" s="231" t="str">
        <f t="shared" ca="1" si="250"/>
        <v>#REF!</v>
      </c>
      <c r="T610" s="231" t="str">
        <f t="shared" ca="1" si="200"/>
        <v>#REF!</v>
      </c>
      <c r="U610" s="233" t="str">
        <f t="shared" ca="1" si="142"/>
        <v>#REF!</v>
      </c>
      <c r="V610" s="233" t="str">
        <f t="shared" ca="1" si="7"/>
        <v>#REF!</v>
      </c>
      <c r="W610" s="234">
        <v>0</v>
      </c>
      <c r="X610" s="234" t="str">
        <f t="shared" ca="1" si="8"/>
        <v>#REF!</v>
      </c>
      <c r="Y610" s="234" t="str">
        <f t="shared" ca="1" si="9"/>
        <v>#REF!</v>
      </c>
      <c r="Z610" s="234" t="str">
        <f t="shared" ca="1" si="10"/>
        <v>#REF!</v>
      </c>
      <c r="AA610" s="234" t="str">
        <f t="shared" ca="1" si="11"/>
        <v>#REF!</v>
      </c>
      <c r="AB610" s="234" t="str">
        <f t="shared" ca="1" si="12"/>
        <v>#REF!</v>
      </c>
      <c r="AC610" s="234" t="str">
        <f t="shared" ca="1" si="13"/>
        <v>#REF!</v>
      </c>
      <c r="AD610" s="101" t="str">
        <f t="shared" ca="1" si="14"/>
        <v>#REF!</v>
      </c>
      <c r="AE610" s="101" t="str">
        <f t="shared" ca="1" si="15"/>
        <v>#REF!</v>
      </c>
      <c r="AF610" s="235" t="str">
        <f t="shared" ref="AF610:AG610" ca="1" si="687">AD610/U610</f>
        <v>#REF!</v>
      </c>
      <c r="AG610" s="235" t="str">
        <f t="shared" ca="1" si="687"/>
        <v>#REF!</v>
      </c>
      <c r="AH610" s="212"/>
      <c r="AI610" s="213"/>
      <c r="AJ610" s="4"/>
      <c r="AK610" s="4"/>
      <c r="AL610" s="4"/>
      <c r="AM610" s="4"/>
      <c r="AN610" s="4"/>
      <c r="AO610" s="4"/>
      <c r="AP610" s="4"/>
      <c r="AQ610" s="4"/>
      <c r="AR610" s="4"/>
      <c r="AS610" s="4"/>
      <c r="AT610" s="4"/>
      <c r="AU610" s="4"/>
    </row>
    <row r="611" spans="1:47" ht="13.2">
      <c r="A611" s="120"/>
      <c r="B611" s="113"/>
      <c r="C611" s="117"/>
      <c r="D611" s="117"/>
      <c r="E611" s="117"/>
      <c r="F611" s="123"/>
      <c r="G611" s="93" t="s">
        <v>145</v>
      </c>
      <c r="H611" s="125"/>
      <c r="I611" s="125"/>
      <c r="J611" s="82" t="str">
        <f t="shared" ca="1" si="147"/>
        <v>#REF!</v>
      </c>
      <c r="K611" s="82" t="str">
        <f t="shared" ca="1" si="256"/>
        <v>#REF!</v>
      </c>
      <c r="L611" s="82" t="str">
        <f t="shared" ca="1" si="199"/>
        <v>#REF!</v>
      </c>
      <c r="M611" s="125"/>
      <c r="N611" s="125"/>
      <c r="O611" s="230">
        <f t="shared" si="2"/>
        <v>0</v>
      </c>
      <c r="P611" s="231">
        <f t="shared" si="3"/>
        <v>0</v>
      </c>
      <c r="Q611" s="232" t="str">
        <f ca="1">ROUNDUP(HLOOKUP(IF(CEILING(L611,0.5)&lt;1,1,CEILING(L611,0.5)),'배송비 조회'!A$32:AY$36,2,0),-2)</f>
        <v>#REF!</v>
      </c>
      <c r="R611" s="232">
        <v>0</v>
      </c>
      <c r="S611" s="231" t="str">
        <f t="shared" ca="1" si="250"/>
        <v>#REF!</v>
      </c>
      <c r="T611" s="231" t="str">
        <f t="shared" ca="1" si="200"/>
        <v>#REF!</v>
      </c>
      <c r="U611" s="233" t="str">
        <f t="shared" ca="1" si="142"/>
        <v>#REF!</v>
      </c>
      <c r="V611" s="233" t="str">
        <f t="shared" ca="1" si="7"/>
        <v>#REF!</v>
      </c>
      <c r="W611" s="234">
        <v>0</v>
      </c>
      <c r="X611" s="234" t="str">
        <f t="shared" ca="1" si="8"/>
        <v>#REF!</v>
      </c>
      <c r="Y611" s="234" t="str">
        <f t="shared" ca="1" si="9"/>
        <v>#REF!</v>
      </c>
      <c r="Z611" s="234" t="str">
        <f t="shared" ca="1" si="10"/>
        <v>#REF!</v>
      </c>
      <c r="AA611" s="234" t="str">
        <f t="shared" ca="1" si="11"/>
        <v>#REF!</v>
      </c>
      <c r="AB611" s="234" t="str">
        <f t="shared" ca="1" si="12"/>
        <v>#REF!</v>
      </c>
      <c r="AC611" s="234" t="str">
        <f t="shared" ca="1" si="13"/>
        <v>#REF!</v>
      </c>
      <c r="AD611" s="101" t="str">
        <f t="shared" ca="1" si="14"/>
        <v>#REF!</v>
      </c>
      <c r="AE611" s="101" t="str">
        <f t="shared" ca="1" si="15"/>
        <v>#REF!</v>
      </c>
      <c r="AF611" s="235" t="str">
        <f t="shared" ref="AF611:AG611" ca="1" si="688">AD611/U611</f>
        <v>#REF!</v>
      </c>
      <c r="AG611" s="235" t="str">
        <f t="shared" ca="1" si="688"/>
        <v>#REF!</v>
      </c>
      <c r="AH611" s="212"/>
      <c r="AI611" s="213"/>
      <c r="AJ611" s="4"/>
      <c r="AK611" s="4"/>
      <c r="AL611" s="4"/>
      <c r="AM611" s="4"/>
      <c r="AN611" s="4"/>
      <c r="AO611" s="4"/>
      <c r="AP611" s="4"/>
      <c r="AQ611" s="4"/>
      <c r="AR611" s="4"/>
      <c r="AS611" s="4"/>
      <c r="AT611" s="4"/>
      <c r="AU611" s="4"/>
    </row>
    <row r="612" spans="1:47" ht="13.2">
      <c r="A612" s="120"/>
      <c r="B612" s="113"/>
      <c r="C612" s="117"/>
      <c r="D612" s="117"/>
      <c r="E612" s="117"/>
      <c r="F612" s="123"/>
      <c r="G612" s="93" t="s">
        <v>145</v>
      </c>
      <c r="H612" s="125"/>
      <c r="I612" s="125"/>
      <c r="J612" s="82" t="str">
        <f t="shared" ca="1" si="147"/>
        <v>#REF!</v>
      </c>
      <c r="K612" s="82" t="str">
        <f t="shared" ca="1" si="256"/>
        <v>#REF!</v>
      </c>
      <c r="L612" s="82" t="str">
        <f t="shared" ca="1" si="199"/>
        <v>#REF!</v>
      </c>
      <c r="M612" s="125"/>
      <c r="N612" s="125"/>
      <c r="O612" s="230">
        <f t="shared" si="2"/>
        <v>0</v>
      </c>
      <c r="P612" s="231">
        <f t="shared" si="3"/>
        <v>0</v>
      </c>
      <c r="Q612" s="232" t="str">
        <f ca="1">ROUNDUP(HLOOKUP(IF(CEILING(L612,0.5)&lt;1,1,CEILING(L612,0.5)),'배송비 조회'!A$32:AY$36,2,0),-2)</f>
        <v>#REF!</v>
      </c>
      <c r="R612" s="232">
        <v>0</v>
      </c>
      <c r="S612" s="231" t="str">
        <f t="shared" ca="1" si="250"/>
        <v>#REF!</v>
      </c>
      <c r="T612" s="231" t="str">
        <f t="shared" ca="1" si="200"/>
        <v>#REF!</v>
      </c>
      <c r="U612" s="233" t="str">
        <f t="shared" ca="1" si="142"/>
        <v>#REF!</v>
      </c>
      <c r="V612" s="233" t="str">
        <f t="shared" ca="1" si="7"/>
        <v>#REF!</v>
      </c>
      <c r="W612" s="234">
        <v>0</v>
      </c>
      <c r="X612" s="234" t="str">
        <f t="shared" ca="1" si="8"/>
        <v>#REF!</v>
      </c>
      <c r="Y612" s="234" t="str">
        <f t="shared" ca="1" si="9"/>
        <v>#REF!</v>
      </c>
      <c r="Z612" s="234" t="str">
        <f t="shared" ca="1" si="10"/>
        <v>#REF!</v>
      </c>
      <c r="AA612" s="234" t="str">
        <f t="shared" ca="1" si="11"/>
        <v>#REF!</v>
      </c>
      <c r="AB612" s="234" t="str">
        <f t="shared" ca="1" si="12"/>
        <v>#REF!</v>
      </c>
      <c r="AC612" s="234" t="str">
        <f t="shared" ca="1" si="13"/>
        <v>#REF!</v>
      </c>
      <c r="AD612" s="101" t="str">
        <f t="shared" ca="1" si="14"/>
        <v>#REF!</v>
      </c>
      <c r="AE612" s="101" t="str">
        <f t="shared" ca="1" si="15"/>
        <v>#REF!</v>
      </c>
      <c r="AF612" s="235" t="str">
        <f t="shared" ref="AF612:AG612" ca="1" si="689">AD612/U612</f>
        <v>#REF!</v>
      </c>
      <c r="AG612" s="235" t="str">
        <f t="shared" ca="1" si="689"/>
        <v>#REF!</v>
      </c>
      <c r="AH612" s="212"/>
      <c r="AI612" s="213"/>
      <c r="AJ612" s="4"/>
      <c r="AK612" s="4"/>
      <c r="AL612" s="4"/>
      <c r="AM612" s="4"/>
      <c r="AN612" s="4"/>
      <c r="AO612" s="4"/>
      <c r="AP612" s="4"/>
      <c r="AQ612" s="4"/>
      <c r="AR612" s="4"/>
      <c r="AS612" s="4"/>
      <c r="AT612" s="4"/>
      <c r="AU612" s="4"/>
    </row>
    <row r="613" spans="1:47" ht="13.2">
      <c r="A613" s="120"/>
      <c r="B613" s="113"/>
      <c r="C613" s="117"/>
      <c r="D613" s="117"/>
      <c r="E613" s="117"/>
      <c r="F613" s="123"/>
      <c r="G613" s="93" t="s">
        <v>145</v>
      </c>
      <c r="H613" s="125"/>
      <c r="I613" s="125"/>
      <c r="J613" s="82" t="str">
        <f t="shared" ca="1" si="147"/>
        <v>#REF!</v>
      </c>
      <c r="K613" s="82" t="str">
        <f t="shared" ca="1" si="256"/>
        <v>#REF!</v>
      </c>
      <c r="L613" s="82" t="str">
        <f t="shared" ca="1" si="199"/>
        <v>#REF!</v>
      </c>
      <c r="M613" s="125"/>
      <c r="N613" s="125"/>
      <c r="O613" s="230">
        <f t="shared" si="2"/>
        <v>0</v>
      </c>
      <c r="P613" s="231">
        <f t="shared" si="3"/>
        <v>0</v>
      </c>
      <c r="Q613" s="232" t="str">
        <f ca="1">ROUNDUP(HLOOKUP(IF(CEILING(L613,0.5)&lt;1,1,CEILING(L613,0.5)),'배송비 조회'!A$32:AY$36,2,0),-2)</f>
        <v>#REF!</v>
      </c>
      <c r="R613" s="232">
        <v>0</v>
      </c>
      <c r="S613" s="231" t="str">
        <f t="shared" ca="1" si="250"/>
        <v>#REF!</v>
      </c>
      <c r="T613" s="231" t="str">
        <f t="shared" ca="1" si="200"/>
        <v>#REF!</v>
      </c>
      <c r="U613" s="233" t="str">
        <f t="shared" ca="1" si="142"/>
        <v>#REF!</v>
      </c>
      <c r="V613" s="233" t="str">
        <f t="shared" ca="1" si="7"/>
        <v>#REF!</v>
      </c>
      <c r="W613" s="234">
        <v>0</v>
      </c>
      <c r="X613" s="234" t="str">
        <f t="shared" ca="1" si="8"/>
        <v>#REF!</v>
      </c>
      <c r="Y613" s="234" t="str">
        <f t="shared" ca="1" si="9"/>
        <v>#REF!</v>
      </c>
      <c r="Z613" s="234" t="str">
        <f t="shared" ca="1" si="10"/>
        <v>#REF!</v>
      </c>
      <c r="AA613" s="234" t="str">
        <f t="shared" ca="1" si="11"/>
        <v>#REF!</v>
      </c>
      <c r="AB613" s="234" t="str">
        <f t="shared" ca="1" si="12"/>
        <v>#REF!</v>
      </c>
      <c r="AC613" s="234" t="str">
        <f t="shared" ca="1" si="13"/>
        <v>#REF!</v>
      </c>
      <c r="AD613" s="101" t="str">
        <f t="shared" ca="1" si="14"/>
        <v>#REF!</v>
      </c>
      <c r="AE613" s="101" t="str">
        <f t="shared" ca="1" si="15"/>
        <v>#REF!</v>
      </c>
      <c r="AF613" s="235" t="str">
        <f t="shared" ref="AF613:AG613" ca="1" si="690">AD613/U613</f>
        <v>#REF!</v>
      </c>
      <c r="AG613" s="235" t="str">
        <f t="shared" ca="1" si="690"/>
        <v>#REF!</v>
      </c>
      <c r="AH613" s="212"/>
      <c r="AI613" s="213"/>
      <c r="AJ613" s="4"/>
      <c r="AK613" s="4"/>
      <c r="AL613" s="4"/>
      <c r="AM613" s="4"/>
      <c r="AN613" s="4"/>
      <c r="AO613" s="4"/>
      <c r="AP613" s="4"/>
      <c r="AQ613" s="4"/>
      <c r="AR613" s="4"/>
      <c r="AS613" s="4"/>
      <c r="AT613" s="4"/>
      <c r="AU613" s="4"/>
    </row>
    <row r="614" spans="1:47" ht="13.2">
      <c r="A614" s="120"/>
      <c r="B614" s="113"/>
      <c r="C614" s="117"/>
      <c r="D614" s="117"/>
      <c r="E614" s="117"/>
      <c r="F614" s="123"/>
      <c r="G614" s="93" t="s">
        <v>145</v>
      </c>
      <c r="H614" s="125"/>
      <c r="I614" s="125"/>
      <c r="J614" s="82" t="str">
        <f t="shared" ca="1" si="147"/>
        <v>#REF!</v>
      </c>
      <c r="K614" s="82" t="str">
        <f t="shared" ca="1" si="256"/>
        <v>#REF!</v>
      </c>
      <c r="L614" s="82" t="str">
        <f t="shared" ca="1" si="199"/>
        <v>#REF!</v>
      </c>
      <c r="M614" s="125"/>
      <c r="N614" s="125"/>
      <c r="O614" s="230">
        <f t="shared" si="2"/>
        <v>0</v>
      </c>
      <c r="P614" s="231">
        <f t="shared" si="3"/>
        <v>0</v>
      </c>
      <c r="Q614" s="232" t="str">
        <f ca="1">ROUNDUP(HLOOKUP(IF(CEILING(L614,0.5)&lt;1,1,CEILING(L614,0.5)),'배송비 조회'!A$32:AY$36,2,0),-2)</f>
        <v>#REF!</v>
      </c>
      <c r="R614" s="232">
        <v>0</v>
      </c>
      <c r="S614" s="231" t="str">
        <f t="shared" ca="1" si="250"/>
        <v>#REF!</v>
      </c>
      <c r="T614" s="231" t="str">
        <f t="shared" ca="1" si="200"/>
        <v>#REF!</v>
      </c>
      <c r="U614" s="233" t="str">
        <f t="shared" ca="1" si="142"/>
        <v>#REF!</v>
      </c>
      <c r="V614" s="233" t="str">
        <f t="shared" ca="1" si="7"/>
        <v>#REF!</v>
      </c>
      <c r="W614" s="234">
        <v>0</v>
      </c>
      <c r="X614" s="234" t="str">
        <f t="shared" ca="1" si="8"/>
        <v>#REF!</v>
      </c>
      <c r="Y614" s="234" t="str">
        <f t="shared" ca="1" si="9"/>
        <v>#REF!</v>
      </c>
      <c r="Z614" s="234" t="str">
        <f t="shared" ca="1" si="10"/>
        <v>#REF!</v>
      </c>
      <c r="AA614" s="234" t="str">
        <f t="shared" ca="1" si="11"/>
        <v>#REF!</v>
      </c>
      <c r="AB614" s="234" t="str">
        <f t="shared" ca="1" si="12"/>
        <v>#REF!</v>
      </c>
      <c r="AC614" s="234" t="str">
        <f t="shared" ca="1" si="13"/>
        <v>#REF!</v>
      </c>
      <c r="AD614" s="101" t="str">
        <f t="shared" ca="1" si="14"/>
        <v>#REF!</v>
      </c>
      <c r="AE614" s="101" t="str">
        <f t="shared" ca="1" si="15"/>
        <v>#REF!</v>
      </c>
      <c r="AF614" s="235" t="str">
        <f t="shared" ref="AF614:AG614" ca="1" si="691">AD614/U614</f>
        <v>#REF!</v>
      </c>
      <c r="AG614" s="235" t="str">
        <f t="shared" ca="1" si="691"/>
        <v>#REF!</v>
      </c>
      <c r="AH614" s="212"/>
      <c r="AI614" s="213"/>
      <c r="AJ614" s="4"/>
      <c r="AK614" s="4"/>
      <c r="AL614" s="4"/>
      <c r="AM614" s="4"/>
      <c r="AN614" s="4"/>
      <c r="AO614" s="4"/>
      <c r="AP614" s="4"/>
      <c r="AQ614" s="4"/>
      <c r="AR614" s="4"/>
      <c r="AS614" s="4"/>
      <c r="AT614" s="4"/>
      <c r="AU614" s="4"/>
    </row>
    <row r="615" spans="1:47" ht="13.2">
      <c r="A615" s="120"/>
      <c r="B615" s="113"/>
      <c r="C615" s="117"/>
      <c r="D615" s="117"/>
      <c r="E615" s="117"/>
      <c r="F615" s="123"/>
      <c r="G615" s="93" t="s">
        <v>145</v>
      </c>
      <c r="H615" s="125"/>
      <c r="I615" s="125"/>
      <c r="J615" s="82" t="str">
        <f t="shared" ca="1" si="147"/>
        <v>#REF!</v>
      </c>
      <c r="K615" s="82" t="str">
        <f t="shared" ca="1" si="256"/>
        <v>#REF!</v>
      </c>
      <c r="L615" s="82" t="str">
        <f t="shared" ca="1" si="199"/>
        <v>#REF!</v>
      </c>
      <c r="M615" s="125"/>
      <c r="N615" s="125"/>
      <c r="O615" s="230">
        <f t="shared" si="2"/>
        <v>0</v>
      </c>
      <c r="P615" s="231">
        <f t="shared" si="3"/>
        <v>0</v>
      </c>
      <c r="Q615" s="232" t="str">
        <f ca="1">ROUNDUP(HLOOKUP(IF(CEILING(L615,0.5)&lt;1,1,CEILING(L615,0.5)),'배송비 조회'!A$32:AY$36,2,0),-2)</f>
        <v>#REF!</v>
      </c>
      <c r="R615" s="232">
        <v>0</v>
      </c>
      <c r="S615" s="231" t="str">
        <f t="shared" ca="1" si="250"/>
        <v>#REF!</v>
      </c>
      <c r="T615" s="231" t="str">
        <f t="shared" ca="1" si="200"/>
        <v>#REF!</v>
      </c>
      <c r="U615" s="233" t="str">
        <f t="shared" ca="1" si="142"/>
        <v>#REF!</v>
      </c>
      <c r="V615" s="233" t="str">
        <f t="shared" ca="1" si="7"/>
        <v>#REF!</v>
      </c>
      <c r="W615" s="234">
        <v>0</v>
      </c>
      <c r="X615" s="234" t="str">
        <f t="shared" ca="1" si="8"/>
        <v>#REF!</v>
      </c>
      <c r="Y615" s="234" t="str">
        <f t="shared" ca="1" si="9"/>
        <v>#REF!</v>
      </c>
      <c r="Z615" s="234" t="str">
        <f t="shared" ca="1" si="10"/>
        <v>#REF!</v>
      </c>
      <c r="AA615" s="234" t="str">
        <f t="shared" ca="1" si="11"/>
        <v>#REF!</v>
      </c>
      <c r="AB615" s="234" t="str">
        <f t="shared" ca="1" si="12"/>
        <v>#REF!</v>
      </c>
      <c r="AC615" s="234" t="str">
        <f t="shared" ca="1" si="13"/>
        <v>#REF!</v>
      </c>
      <c r="AD615" s="101" t="str">
        <f t="shared" ca="1" si="14"/>
        <v>#REF!</v>
      </c>
      <c r="AE615" s="101" t="str">
        <f t="shared" ca="1" si="15"/>
        <v>#REF!</v>
      </c>
      <c r="AF615" s="235" t="str">
        <f t="shared" ref="AF615:AG615" ca="1" si="692">AD615/U615</f>
        <v>#REF!</v>
      </c>
      <c r="AG615" s="235" t="str">
        <f t="shared" ca="1" si="692"/>
        <v>#REF!</v>
      </c>
      <c r="AH615" s="212"/>
      <c r="AI615" s="213"/>
      <c r="AJ615" s="4"/>
      <c r="AK615" s="4"/>
      <c r="AL615" s="4"/>
      <c r="AM615" s="4"/>
      <c r="AN615" s="4"/>
      <c r="AO615" s="4"/>
      <c r="AP615" s="4"/>
      <c r="AQ615" s="4"/>
      <c r="AR615" s="4"/>
      <c r="AS615" s="4"/>
      <c r="AT615" s="4"/>
      <c r="AU615" s="4"/>
    </row>
    <row r="616" spans="1:47" ht="13.2">
      <c r="A616" s="120"/>
      <c r="B616" s="113"/>
      <c r="C616" s="117"/>
      <c r="D616" s="117"/>
      <c r="E616" s="117"/>
      <c r="F616" s="123"/>
      <c r="G616" s="93" t="s">
        <v>145</v>
      </c>
      <c r="H616" s="125"/>
      <c r="I616" s="125"/>
      <c r="J616" s="82" t="str">
        <f t="shared" ca="1" si="147"/>
        <v>#REF!</v>
      </c>
      <c r="K616" s="82" t="str">
        <f t="shared" ca="1" si="256"/>
        <v>#REF!</v>
      </c>
      <c r="L616" s="82" t="str">
        <f t="shared" ca="1" si="199"/>
        <v>#REF!</v>
      </c>
      <c r="M616" s="125"/>
      <c r="N616" s="125"/>
      <c r="O616" s="230">
        <f t="shared" si="2"/>
        <v>0</v>
      </c>
      <c r="P616" s="231">
        <f t="shared" si="3"/>
        <v>0</v>
      </c>
      <c r="Q616" s="232" t="str">
        <f ca="1">ROUNDUP(HLOOKUP(IF(CEILING(L616,0.5)&lt;1,1,CEILING(L616,0.5)),'배송비 조회'!A$32:AY$36,2,0),-2)</f>
        <v>#REF!</v>
      </c>
      <c r="R616" s="232">
        <v>0</v>
      </c>
      <c r="S616" s="231" t="str">
        <f t="shared" ca="1" si="250"/>
        <v>#REF!</v>
      </c>
      <c r="T616" s="231" t="str">
        <f t="shared" ca="1" si="200"/>
        <v>#REF!</v>
      </c>
      <c r="U616" s="233" t="str">
        <f t="shared" ca="1" si="142"/>
        <v>#REF!</v>
      </c>
      <c r="V616" s="233" t="str">
        <f t="shared" ca="1" si="7"/>
        <v>#REF!</v>
      </c>
      <c r="W616" s="234">
        <v>0</v>
      </c>
      <c r="X616" s="234" t="str">
        <f t="shared" ca="1" si="8"/>
        <v>#REF!</v>
      </c>
      <c r="Y616" s="234" t="str">
        <f t="shared" ca="1" si="9"/>
        <v>#REF!</v>
      </c>
      <c r="Z616" s="234" t="str">
        <f t="shared" ca="1" si="10"/>
        <v>#REF!</v>
      </c>
      <c r="AA616" s="234" t="str">
        <f t="shared" ca="1" si="11"/>
        <v>#REF!</v>
      </c>
      <c r="AB616" s="234" t="str">
        <f t="shared" ca="1" si="12"/>
        <v>#REF!</v>
      </c>
      <c r="AC616" s="234" t="str">
        <f t="shared" ca="1" si="13"/>
        <v>#REF!</v>
      </c>
      <c r="AD616" s="101" t="str">
        <f t="shared" ca="1" si="14"/>
        <v>#REF!</v>
      </c>
      <c r="AE616" s="101" t="str">
        <f t="shared" ca="1" si="15"/>
        <v>#REF!</v>
      </c>
      <c r="AF616" s="235" t="str">
        <f t="shared" ref="AF616:AG616" ca="1" si="693">AD616/U616</f>
        <v>#REF!</v>
      </c>
      <c r="AG616" s="235" t="str">
        <f t="shared" ca="1" si="693"/>
        <v>#REF!</v>
      </c>
      <c r="AH616" s="212"/>
      <c r="AI616" s="213"/>
      <c r="AJ616" s="4"/>
      <c r="AK616" s="4"/>
      <c r="AL616" s="4"/>
      <c r="AM616" s="4"/>
      <c r="AN616" s="4"/>
      <c r="AO616" s="4"/>
      <c r="AP616" s="4"/>
      <c r="AQ616" s="4"/>
      <c r="AR616" s="4"/>
      <c r="AS616" s="4"/>
      <c r="AT616" s="4"/>
      <c r="AU616" s="4"/>
    </row>
    <row r="617" spans="1:47" ht="13.2">
      <c r="A617" s="120"/>
      <c r="B617" s="113"/>
      <c r="C617" s="117"/>
      <c r="D617" s="117"/>
      <c r="E617" s="117"/>
      <c r="F617" s="123"/>
      <c r="G617" s="93" t="s">
        <v>145</v>
      </c>
      <c r="H617" s="125"/>
      <c r="I617" s="125"/>
      <c r="J617" s="82" t="str">
        <f t="shared" ca="1" si="147"/>
        <v>#REF!</v>
      </c>
      <c r="K617" s="82" t="str">
        <f t="shared" ca="1" si="256"/>
        <v>#REF!</v>
      </c>
      <c r="L617" s="82" t="str">
        <f t="shared" ca="1" si="199"/>
        <v>#REF!</v>
      </c>
      <c r="M617" s="125"/>
      <c r="N617" s="125"/>
      <c r="O617" s="230">
        <f t="shared" si="2"/>
        <v>0</v>
      </c>
      <c r="P617" s="231">
        <f t="shared" si="3"/>
        <v>0</v>
      </c>
      <c r="Q617" s="232" t="str">
        <f ca="1">ROUNDUP(HLOOKUP(IF(CEILING(L617,0.5)&lt;1,1,CEILING(L617,0.5)),'배송비 조회'!A$32:AY$36,2,0),-2)</f>
        <v>#REF!</v>
      </c>
      <c r="R617" s="232">
        <v>0</v>
      </c>
      <c r="S617" s="231" t="str">
        <f t="shared" ca="1" si="250"/>
        <v>#REF!</v>
      </c>
      <c r="T617" s="231" t="str">
        <f t="shared" ca="1" si="200"/>
        <v>#REF!</v>
      </c>
      <c r="U617" s="233" t="str">
        <f t="shared" ca="1" si="142"/>
        <v>#REF!</v>
      </c>
      <c r="V617" s="233" t="str">
        <f t="shared" ca="1" si="7"/>
        <v>#REF!</v>
      </c>
      <c r="W617" s="234">
        <v>0</v>
      </c>
      <c r="X617" s="234" t="str">
        <f t="shared" ca="1" si="8"/>
        <v>#REF!</v>
      </c>
      <c r="Y617" s="234" t="str">
        <f t="shared" ca="1" si="9"/>
        <v>#REF!</v>
      </c>
      <c r="Z617" s="234" t="str">
        <f t="shared" ca="1" si="10"/>
        <v>#REF!</v>
      </c>
      <c r="AA617" s="234" t="str">
        <f t="shared" ca="1" si="11"/>
        <v>#REF!</v>
      </c>
      <c r="AB617" s="234" t="str">
        <f t="shared" ca="1" si="12"/>
        <v>#REF!</v>
      </c>
      <c r="AC617" s="234" t="str">
        <f t="shared" ca="1" si="13"/>
        <v>#REF!</v>
      </c>
      <c r="AD617" s="101" t="str">
        <f t="shared" ca="1" si="14"/>
        <v>#REF!</v>
      </c>
      <c r="AE617" s="101" t="str">
        <f t="shared" ca="1" si="15"/>
        <v>#REF!</v>
      </c>
      <c r="AF617" s="235" t="str">
        <f t="shared" ref="AF617:AG617" ca="1" si="694">AD617/U617</f>
        <v>#REF!</v>
      </c>
      <c r="AG617" s="235" t="str">
        <f t="shared" ca="1" si="694"/>
        <v>#REF!</v>
      </c>
      <c r="AH617" s="212"/>
      <c r="AI617" s="213"/>
      <c r="AJ617" s="4"/>
      <c r="AK617" s="4"/>
      <c r="AL617" s="4"/>
      <c r="AM617" s="4"/>
      <c r="AN617" s="4"/>
      <c r="AO617" s="4"/>
      <c r="AP617" s="4"/>
      <c r="AQ617" s="4"/>
      <c r="AR617" s="4"/>
      <c r="AS617" s="4"/>
      <c r="AT617" s="4"/>
      <c r="AU617" s="4"/>
    </row>
    <row r="618" spans="1:47" ht="13.2">
      <c r="A618" s="120"/>
      <c r="B618" s="113"/>
      <c r="C618" s="117"/>
      <c r="D618" s="117"/>
      <c r="E618" s="117"/>
      <c r="F618" s="123"/>
      <c r="G618" s="93" t="s">
        <v>145</v>
      </c>
      <c r="H618" s="125"/>
      <c r="I618" s="125"/>
      <c r="J618" s="82" t="str">
        <f t="shared" ca="1" si="147"/>
        <v>#REF!</v>
      </c>
      <c r="K618" s="82" t="str">
        <f t="shared" ca="1" si="256"/>
        <v>#REF!</v>
      </c>
      <c r="L618" s="82" t="str">
        <f t="shared" ca="1" si="199"/>
        <v>#REF!</v>
      </c>
      <c r="M618" s="125"/>
      <c r="N618" s="125"/>
      <c r="O618" s="230">
        <f t="shared" si="2"/>
        <v>0</v>
      </c>
      <c r="P618" s="231">
        <f t="shared" si="3"/>
        <v>0</v>
      </c>
      <c r="Q618" s="232" t="str">
        <f ca="1">ROUNDUP(HLOOKUP(IF(CEILING(L618,0.5)&lt;1,1,CEILING(L618,0.5)),'배송비 조회'!A$32:AY$36,2,0),-2)</f>
        <v>#REF!</v>
      </c>
      <c r="R618" s="232">
        <v>0</v>
      </c>
      <c r="S618" s="231" t="str">
        <f t="shared" ca="1" si="250"/>
        <v>#REF!</v>
      </c>
      <c r="T618" s="231" t="str">
        <f t="shared" ca="1" si="200"/>
        <v>#REF!</v>
      </c>
      <c r="U618" s="233" t="str">
        <f t="shared" ca="1" si="142"/>
        <v>#REF!</v>
      </c>
      <c r="V618" s="233" t="str">
        <f t="shared" ca="1" si="7"/>
        <v>#REF!</v>
      </c>
      <c r="W618" s="234">
        <v>0</v>
      </c>
      <c r="X618" s="234" t="str">
        <f t="shared" ca="1" si="8"/>
        <v>#REF!</v>
      </c>
      <c r="Y618" s="234" t="str">
        <f t="shared" ca="1" si="9"/>
        <v>#REF!</v>
      </c>
      <c r="Z618" s="234" t="str">
        <f t="shared" ca="1" si="10"/>
        <v>#REF!</v>
      </c>
      <c r="AA618" s="234" t="str">
        <f t="shared" ca="1" si="11"/>
        <v>#REF!</v>
      </c>
      <c r="AB618" s="234" t="str">
        <f t="shared" ca="1" si="12"/>
        <v>#REF!</v>
      </c>
      <c r="AC618" s="234" t="str">
        <f t="shared" ca="1" si="13"/>
        <v>#REF!</v>
      </c>
      <c r="AD618" s="101" t="str">
        <f t="shared" ca="1" si="14"/>
        <v>#REF!</v>
      </c>
      <c r="AE618" s="101" t="str">
        <f t="shared" ca="1" si="15"/>
        <v>#REF!</v>
      </c>
      <c r="AF618" s="235" t="str">
        <f t="shared" ref="AF618:AG618" ca="1" si="695">AD618/U618</f>
        <v>#REF!</v>
      </c>
      <c r="AG618" s="235" t="str">
        <f t="shared" ca="1" si="695"/>
        <v>#REF!</v>
      </c>
      <c r="AH618" s="212"/>
      <c r="AI618" s="213"/>
      <c r="AJ618" s="4"/>
      <c r="AK618" s="4"/>
      <c r="AL618" s="4"/>
      <c r="AM618" s="4"/>
      <c r="AN618" s="4"/>
      <c r="AO618" s="4"/>
      <c r="AP618" s="4"/>
      <c r="AQ618" s="4"/>
      <c r="AR618" s="4"/>
      <c r="AS618" s="4"/>
      <c r="AT618" s="4"/>
      <c r="AU618" s="4"/>
    </row>
    <row r="619" spans="1:47" ht="13.2">
      <c r="A619" s="120"/>
      <c r="B619" s="113"/>
      <c r="C619" s="117"/>
      <c r="D619" s="117"/>
      <c r="E619" s="117"/>
      <c r="F619" s="123"/>
      <c r="G619" s="93" t="s">
        <v>145</v>
      </c>
      <c r="H619" s="125"/>
      <c r="I619" s="125"/>
      <c r="J619" s="82" t="str">
        <f t="shared" ca="1" si="147"/>
        <v>#REF!</v>
      </c>
      <c r="K619" s="82" t="str">
        <f t="shared" ca="1" si="256"/>
        <v>#REF!</v>
      </c>
      <c r="L619" s="82" t="str">
        <f t="shared" ca="1" si="199"/>
        <v>#REF!</v>
      </c>
      <c r="M619" s="125"/>
      <c r="N619" s="125"/>
      <c r="O619" s="230">
        <f t="shared" si="2"/>
        <v>0</v>
      </c>
      <c r="P619" s="231">
        <f t="shared" si="3"/>
        <v>0</v>
      </c>
      <c r="Q619" s="232" t="str">
        <f ca="1">ROUNDUP(HLOOKUP(IF(CEILING(L619,0.5)&lt;1,1,CEILING(L619,0.5)),'배송비 조회'!A$32:AY$36,2,0),-2)</f>
        <v>#REF!</v>
      </c>
      <c r="R619" s="232">
        <v>0</v>
      </c>
      <c r="S619" s="231" t="str">
        <f t="shared" ca="1" si="250"/>
        <v>#REF!</v>
      </c>
      <c r="T619" s="231" t="str">
        <f t="shared" ca="1" si="200"/>
        <v>#REF!</v>
      </c>
      <c r="U619" s="233" t="str">
        <f t="shared" ca="1" si="142"/>
        <v>#REF!</v>
      </c>
      <c r="V619" s="233" t="str">
        <f t="shared" ca="1" si="7"/>
        <v>#REF!</v>
      </c>
      <c r="W619" s="234">
        <v>0</v>
      </c>
      <c r="X619" s="234" t="str">
        <f t="shared" ca="1" si="8"/>
        <v>#REF!</v>
      </c>
      <c r="Y619" s="234" t="str">
        <f t="shared" ca="1" si="9"/>
        <v>#REF!</v>
      </c>
      <c r="Z619" s="234" t="str">
        <f t="shared" ca="1" si="10"/>
        <v>#REF!</v>
      </c>
      <c r="AA619" s="234" t="str">
        <f t="shared" ca="1" si="11"/>
        <v>#REF!</v>
      </c>
      <c r="AB619" s="234" t="str">
        <f t="shared" ca="1" si="12"/>
        <v>#REF!</v>
      </c>
      <c r="AC619" s="234" t="str">
        <f t="shared" ca="1" si="13"/>
        <v>#REF!</v>
      </c>
      <c r="AD619" s="101" t="str">
        <f t="shared" ca="1" si="14"/>
        <v>#REF!</v>
      </c>
      <c r="AE619" s="101" t="str">
        <f t="shared" ca="1" si="15"/>
        <v>#REF!</v>
      </c>
      <c r="AF619" s="235" t="str">
        <f t="shared" ref="AF619:AG619" ca="1" si="696">AD619/U619</f>
        <v>#REF!</v>
      </c>
      <c r="AG619" s="235" t="str">
        <f t="shared" ca="1" si="696"/>
        <v>#REF!</v>
      </c>
      <c r="AH619" s="212"/>
      <c r="AI619" s="213"/>
      <c r="AJ619" s="4"/>
      <c r="AK619" s="4"/>
      <c r="AL619" s="4"/>
      <c r="AM619" s="4"/>
      <c r="AN619" s="4"/>
      <c r="AO619" s="4"/>
      <c r="AP619" s="4"/>
      <c r="AQ619" s="4"/>
      <c r="AR619" s="4"/>
      <c r="AS619" s="4"/>
      <c r="AT619" s="4"/>
      <c r="AU619" s="4"/>
    </row>
    <row r="620" spans="1:47" ht="13.2">
      <c r="A620" s="120"/>
      <c r="B620" s="113"/>
      <c r="C620" s="117"/>
      <c r="D620" s="117"/>
      <c r="E620" s="117"/>
      <c r="F620" s="123"/>
      <c r="G620" s="93" t="s">
        <v>145</v>
      </c>
      <c r="H620" s="125"/>
      <c r="I620" s="125"/>
      <c r="J620" s="82" t="str">
        <f t="shared" ca="1" si="147"/>
        <v>#REF!</v>
      </c>
      <c r="K620" s="82" t="str">
        <f t="shared" ca="1" si="256"/>
        <v>#REF!</v>
      </c>
      <c r="L620" s="82" t="str">
        <f t="shared" ca="1" si="199"/>
        <v>#REF!</v>
      </c>
      <c r="M620" s="125"/>
      <c r="N620" s="125"/>
      <c r="O620" s="230">
        <f t="shared" si="2"/>
        <v>0</v>
      </c>
      <c r="P620" s="231">
        <f t="shared" si="3"/>
        <v>0</v>
      </c>
      <c r="Q620" s="232" t="str">
        <f ca="1">ROUNDUP(HLOOKUP(IF(CEILING(L620,0.5)&lt;1,1,CEILING(L620,0.5)),'배송비 조회'!A$32:AY$36,2,0),-2)</f>
        <v>#REF!</v>
      </c>
      <c r="R620" s="232">
        <v>0</v>
      </c>
      <c r="S620" s="231" t="str">
        <f t="shared" ca="1" si="250"/>
        <v>#REF!</v>
      </c>
      <c r="T620" s="231" t="str">
        <f t="shared" ca="1" si="200"/>
        <v>#REF!</v>
      </c>
      <c r="U620" s="233" t="str">
        <f t="shared" ca="1" si="142"/>
        <v>#REF!</v>
      </c>
      <c r="V620" s="233" t="str">
        <f t="shared" ca="1" si="7"/>
        <v>#REF!</v>
      </c>
      <c r="W620" s="234">
        <v>0</v>
      </c>
      <c r="X620" s="234" t="str">
        <f t="shared" ca="1" si="8"/>
        <v>#REF!</v>
      </c>
      <c r="Y620" s="234" t="str">
        <f t="shared" ca="1" si="9"/>
        <v>#REF!</v>
      </c>
      <c r="Z620" s="234" t="str">
        <f t="shared" ca="1" si="10"/>
        <v>#REF!</v>
      </c>
      <c r="AA620" s="234" t="str">
        <f t="shared" ca="1" si="11"/>
        <v>#REF!</v>
      </c>
      <c r="AB620" s="234" t="str">
        <f t="shared" ca="1" si="12"/>
        <v>#REF!</v>
      </c>
      <c r="AC620" s="234" t="str">
        <f t="shared" ca="1" si="13"/>
        <v>#REF!</v>
      </c>
      <c r="AD620" s="101" t="str">
        <f t="shared" ca="1" si="14"/>
        <v>#REF!</v>
      </c>
      <c r="AE620" s="101" t="str">
        <f t="shared" ca="1" si="15"/>
        <v>#REF!</v>
      </c>
      <c r="AF620" s="235" t="str">
        <f t="shared" ref="AF620:AG620" ca="1" si="697">AD620/U620</f>
        <v>#REF!</v>
      </c>
      <c r="AG620" s="235" t="str">
        <f t="shared" ca="1" si="697"/>
        <v>#REF!</v>
      </c>
      <c r="AH620" s="212"/>
      <c r="AI620" s="213"/>
      <c r="AJ620" s="4"/>
      <c r="AK620" s="4"/>
      <c r="AL620" s="4"/>
      <c r="AM620" s="4"/>
      <c r="AN620" s="4"/>
      <c r="AO620" s="4"/>
      <c r="AP620" s="4"/>
      <c r="AQ620" s="4"/>
      <c r="AR620" s="4"/>
      <c r="AS620" s="4"/>
      <c r="AT620" s="4"/>
      <c r="AU620" s="4"/>
    </row>
    <row r="621" spans="1:47" ht="13.2">
      <c r="A621" s="120"/>
      <c r="B621" s="113"/>
      <c r="C621" s="117"/>
      <c r="D621" s="117"/>
      <c r="E621" s="117"/>
      <c r="F621" s="123"/>
      <c r="G621" s="93" t="s">
        <v>145</v>
      </c>
      <c r="H621" s="125"/>
      <c r="I621" s="125"/>
      <c r="J621" s="82" t="str">
        <f t="shared" ca="1" si="147"/>
        <v>#REF!</v>
      </c>
      <c r="K621" s="82" t="str">
        <f t="shared" ca="1" si="256"/>
        <v>#REF!</v>
      </c>
      <c r="L621" s="82" t="str">
        <f t="shared" ca="1" si="199"/>
        <v>#REF!</v>
      </c>
      <c r="M621" s="125"/>
      <c r="N621" s="125"/>
      <c r="O621" s="230">
        <f t="shared" si="2"/>
        <v>0</v>
      </c>
      <c r="P621" s="231">
        <f t="shared" si="3"/>
        <v>0</v>
      </c>
      <c r="Q621" s="232" t="str">
        <f ca="1">ROUNDUP(HLOOKUP(IF(CEILING(L621,0.5)&lt;1,1,CEILING(L621,0.5)),'배송비 조회'!A$32:AY$36,2,0),-2)</f>
        <v>#REF!</v>
      </c>
      <c r="R621" s="232">
        <v>0</v>
      </c>
      <c r="S621" s="231" t="str">
        <f t="shared" ca="1" si="250"/>
        <v>#REF!</v>
      </c>
      <c r="T621" s="231" t="str">
        <f t="shared" ca="1" si="200"/>
        <v>#REF!</v>
      </c>
      <c r="U621" s="233" t="str">
        <f t="shared" ca="1" si="142"/>
        <v>#REF!</v>
      </c>
      <c r="V621" s="233" t="str">
        <f t="shared" ca="1" si="7"/>
        <v>#REF!</v>
      </c>
      <c r="W621" s="234">
        <v>0</v>
      </c>
      <c r="X621" s="234" t="str">
        <f t="shared" ca="1" si="8"/>
        <v>#REF!</v>
      </c>
      <c r="Y621" s="234" t="str">
        <f t="shared" ca="1" si="9"/>
        <v>#REF!</v>
      </c>
      <c r="Z621" s="234" t="str">
        <f t="shared" ca="1" si="10"/>
        <v>#REF!</v>
      </c>
      <c r="AA621" s="234" t="str">
        <f t="shared" ca="1" si="11"/>
        <v>#REF!</v>
      </c>
      <c r="AB621" s="234" t="str">
        <f t="shared" ca="1" si="12"/>
        <v>#REF!</v>
      </c>
      <c r="AC621" s="234" t="str">
        <f t="shared" ca="1" si="13"/>
        <v>#REF!</v>
      </c>
      <c r="AD621" s="101" t="str">
        <f t="shared" ca="1" si="14"/>
        <v>#REF!</v>
      </c>
      <c r="AE621" s="101" t="str">
        <f t="shared" ca="1" si="15"/>
        <v>#REF!</v>
      </c>
      <c r="AF621" s="235" t="str">
        <f t="shared" ref="AF621:AG621" ca="1" si="698">AD621/U621</f>
        <v>#REF!</v>
      </c>
      <c r="AG621" s="235" t="str">
        <f t="shared" ca="1" si="698"/>
        <v>#REF!</v>
      </c>
      <c r="AH621" s="212"/>
      <c r="AI621" s="213"/>
      <c r="AJ621" s="4"/>
      <c r="AK621" s="4"/>
      <c r="AL621" s="4"/>
      <c r="AM621" s="4"/>
      <c r="AN621" s="4"/>
      <c r="AO621" s="4"/>
      <c r="AP621" s="4"/>
      <c r="AQ621" s="4"/>
      <c r="AR621" s="4"/>
      <c r="AS621" s="4"/>
      <c r="AT621" s="4"/>
      <c r="AU621" s="4"/>
    </row>
    <row r="622" spans="1:47" ht="13.2">
      <c r="A622" s="120"/>
      <c r="B622" s="113"/>
      <c r="C622" s="117"/>
      <c r="D622" s="117"/>
      <c r="E622" s="117"/>
      <c r="F622" s="123"/>
      <c r="G622" s="93" t="s">
        <v>145</v>
      </c>
      <c r="H622" s="125"/>
      <c r="I622" s="125"/>
      <c r="J622" s="82" t="str">
        <f t="shared" ca="1" si="147"/>
        <v>#REF!</v>
      </c>
      <c r="K622" s="82" t="str">
        <f t="shared" ca="1" si="256"/>
        <v>#REF!</v>
      </c>
      <c r="L622" s="82" t="str">
        <f t="shared" ca="1" si="199"/>
        <v>#REF!</v>
      </c>
      <c r="M622" s="125"/>
      <c r="N622" s="125"/>
      <c r="O622" s="230">
        <f t="shared" si="2"/>
        <v>0</v>
      </c>
      <c r="P622" s="231">
        <f t="shared" si="3"/>
        <v>0</v>
      </c>
      <c r="Q622" s="232" t="str">
        <f ca="1">ROUNDUP(HLOOKUP(IF(CEILING(L622,0.5)&lt;1,1,CEILING(L622,0.5)),'배송비 조회'!A$32:AY$36,2,0),-2)</f>
        <v>#REF!</v>
      </c>
      <c r="R622" s="232">
        <v>0</v>
      </c>
      <c r="S622" s="231" t="str">
        <f t="shared" ca="1" si="250"/>
        <v>#REF!</v>
      </c>
      <c r="T622" s="231" t="str">
        <f t="shared" ca="1" si="200"/>
        <v>#REF!</v>
      </c>
      <c r="U622" s="233" t="str">
        <f t="shared" ca="1" si="142"/>
        <v>#REF!</v>
      </c>
      <c r="V622" s="233" t="str">
        <f t="shared" ca="1" si="7"/>
        <v>#REF!</v>
      </c>
      <c r="W622" s="234">
        <v>0</v>
      </c>
      <c r="X622" s="234" t="str">
        <f t="shared" ca="1" si="8"/>
        <v>#REF!</v>
      </c>
      <c r="Y622" s="234" t="str">
        <f t="shared" ca="1" si="9"/>
        <v>#REF!</v>
      </c>
      <c r="Z622" s="234" t="str">
        <f t="shared" ca="1" si="10"/>
        <v>#REF!</v>
      </c>
      <c r="AA622" s="234" t="str">
        <f t="shared" ca="1" si="11"/>
        <v>#REF!</v>
      </c>
      <c r="AB622" s="234" t="str">
        <f t="shared" ca="1" si="12"/>
        <v>#REF!</v>
      </c>
      <c r="AC622" s="234" t="str">
        <f t="shared" ca="1" si="13"/>
        <v>#REF!</v>
      </c>
      <c r="AD622" s="101" t="str">
        <f t="shared" ca="1" si="14"/>
        <v>#REF!</v>
      </c>
      <c r="AE622" s="101" t="str">
        <f t="shared" ca="1" si="15"/>
        <v>#REF!</v>
      </c>
      <c r="AF622" s="235" t="str">
        <f t="shared" ref="AF622:AG622" ca="1" si="699">AD622/U622</f>
        <v>#REF!</v>
      </c>
      <c r="AG622" s="235" t="str">
        <f t="shared" ca="1" si="699"/>
        <v>#REF!</v>
      </c>
      <c r="AH622" s="212"/>
      <c r="AI622" s="213"/>
      <c r="AJ622" s="4"/>
      <c r="AK622" s="4"/>
      <c r="AL622" s="4"/>
      <c r="AM622" s="4"/>
      <c r="AN622" s="4"/>
      <c r="AO622" s="4"/>
      <c r="AP622" s="4"/>
      <c r="AQ622" s="4"/>
      <c r="AR622" s="4"/>
      <c r="AS622" s="4"/>
      <c r="AT622" s="4"/>
      <c r="AU622" s="4"/>
    </row>
    <row r="623" spans="1:47" ht="13.2">
      <c r="A623" s="120"/>
      <c r="B623" s="113"/>
      <c r="C623" s="117"/>
      <c r="D623" s="117"/>
      <c r="E623" s="117"/>
      <c r="F623" s="123"/>
      <c r="G623" s="93" t="s">
        <v>145</v>
      </c>
      <c r="H623" s="125"/>
      <c r="I623" s="125"/>
      <c r="J623" s="82" t="str">
        <f t="shared" ca="1" si="147"/>
        <v>#REF!</v>
      </c>
      <c r="K623" s="82" t="str">
        <f t="shared" ca="1" si="256"/>
        <v>#REF!</v>
      </c>
      <c r="L623" s="82" t="str">
        <f t="shared" ca="1" si="199"/>
        <v>#REF!</v>
      </c>
      <c r="M623" s="125"/>
      <c r="N623" s="125"/>
      <c r="O623" s="230">
        <f t="shared" si="2"/>
        <v>0</v>
      </c>
      <c r="P623" s="231">
        <f t="shared" si="3"/>
        <v>0</v>
      </c>
      <c r="Q623" s="232" t="str">
        <f ca="1">ROUNDUP(HLOOKUP(IF(CEILING(L623,0.5)&lt;1,1,CEILING(L623,0.5)),'배송비 조회'!A$32:AY$36,2,0),-2)</f>
        <v>#REF!</v>
      </c>
      <c r="R623" s="232">
        <v>0</v>
      </c>
      <c r="S623" s="231" t="str">
        <f t="shared" ca="1" si="250"/>
        <v>#REF!</v>
      </c>
      <c r="T623" s="231" t="str">
        <f t="shared" ca="1" si="200"/>
        <v>#REF!</v>
      </c>
      <c r="U623" s="233" t="str">
        <f t="shared" ca="1" si="142"/>
        <v>#REF!</v>
      </c>
      <c r="V623" s="233" t="str">
        <f t="shared" ca="1" si="7"/>
        <v>#REF!</v>
      </c>
      <c r="W623" s="234">
        <v>0</v>
      </c>
      <c r="X623" s="234" t="str">
        <f t="shared" ca="1" si="8"/>
        <v>#REF!</v>
      </c>
      <c r="Y623" s="234" t="str">
        <f t="shared" ca="1" si="9"/>
        <v>#REF!</v>
      </c>
      <c r="Z623" s="234" t="str">
        <f t="shared" ca="1" si="10"/>
        <v>#REF!</v>
      </c>
      <c r="AA623" s="234" t="str">
        <f t="shared" ca="1" si="11"/>
        <v>#REF!</v>
      </c>
      <c r="AB623" s="234" t="str">
        <f t="shared" ca="1" si="12"/>
        <v>#REF!</v>
      </c>
      <c r="AC623" s="234" t="str">
        <f t="shared" ca="1" si="13"/>
        <v>#REF!</v>
      </c>
      <c r="AD623" s="101" t="str">
        <f t="shared" ca="1" si="14"/>
        <v>#REF!</v>
      </c>
      <c r="AE623" s="101" t="str">
        <f t="shared" ca="1" si="15"/>
        <v>#REF!</v>
      </c>
      <c r="AF623" s="235" t="str">
        <f t="shared" ref="AF623:AG623" ca="1" si="700">AD623/U623</f>
        <v>#REF!</v>
      </c>
      <c r="AG623" s="235" t="str">
        <f t="shared" ca="1" si="700"/>
        <v>#REF!</v>
      </c>
      <c r="AH623" s="212"/>
      <c r="AI623" s="213"/>
      <c r="AJ623" s="4"/>
      <c r="AK623" s="4"/>
      <c r="AL623" s="4"/>
      <c r="AM623" s="4"/>
      <c r="AN623" s="4"/>
      <c r="AO623" s="4"/>
      <c r="AP623" s="4"/>
      <c r="AQ623" s="4"/>
      <c r="AR623" s="4"/>
      <c r="AS623" s="4"/>
      <c r="AT623" s="4"/>
      <c r="AU623" s="4"/>
    </row>
    <row r="624" spans="1:47" ht="13.2">
      <c r="A624" s="120"/>
      <c r="B624" s="113"/>
      <c r="C624" s="117"/>
      <c r="D624" s="117"/>
      <c r="E624" s="117"/>
      <c r="F624" s="123"/>
      <c r="G624" s="93" t="s">
        <v>145</v>
      </c>
      <c r="H624" s="125"/>
      <c r="I624" s="125"/>
      <c r="J624" s="82" t="str">
        <f t="shared" ca="1" si="147"/>
        <v>#REF!</v>
      </c>
      <c r="K624" s="82" t="str">
        <f t="shared" ca="1" si="256"/>
        <v>#REF!</v>
      </c>
      <c r="L624" s="82" t="str">
        <f t="shared" ca="1" si="199"/>
        <v>#REF!</v>
      </c>
      <c r="M624" s="125"/>
      <c r="N624" s="125"/>
      <c r="O624" s="230">
        <f t="shared" si="2"/>
        <v>0</v>
      </c>
      <c r="P624" s="231">
        <f t="shared" si="3"/>
        <v>0</v>
      </c>
      <c r="Q624" s="232" t="str">
        <f ca="1">ROUNDUP(HLOOKUP(IF(CEILING(L624,0.5)&lt;1,1,CEILING(L624,0.5)),'배송비 조회'!A$32:AY$36,2,0),-2)</f>
        <v>#REF!</v>
      </c>
      <c r="R624" s="232">
        <v>0</v>
      </c>
      <c r="S624" s="231" t="str">
        <f t="shared" ca="1" si="250"/>
        <v>#REF!</v>
      </c>
      <c r="T624" s="231" t="str">
        <f t="shared" ca="1" si="200"/>
        <v>#REF!</v>
      </c>
      <c r="U624" s="233" t="str">
        <f t="shared" ca="1" si="142"/>
        <v>#REF!</v>
      </c>
      <c r="V624" s="233" t="str">
        <f t="shared" ca="1" si="7"/>
        <v>#REF!</v>
      </c>
      <c r="W624" s="234">
        <v>0</v>
      </c>
      <c r="X624" s="234" t="str">
        <f t="shared" ca="1" si="8"/>
        <v>#REF!</v>
      </c>
      <c r="Y624" s="234" t="str">
        <f t="shared" ca="1" si="9"/>
        <v>#REF!</v>
      </c>
      <c r="Z624" s="234" t="str">
        <f t="shared" ca="1" si="10"/>
        <v>#REF!</v>
      </c>
      <c r="AA624" s="234" t="str">
        <f t="shared" ca="1" si="11"/>
        <v>#REF!</v>
      </c>
      <c r="AB624" s="234" t="str">
        <f t="shared" ca="1" si="12"/>
        <v>#REF!</v>
      </c>
      <c r="AC624" s="234" t="str">
        <f t="shared" ca="1" si="13"/>
        <v>#REF!</v>
      </c>
      <c r="AD624" s="101" t="str">
        <f t="shared" ca="1" si="14"/>
        <v>#REF!</v>
      </c>
      <c r="AE624" s="101" t="str">
        <f t="shared" ca="1" si="15"/>
        <v>#REF!</v>
      </c>
      <c r="AF624" s="235" t="str">
        <f t="shared" ref="AF624:AG624" ca="1" si="701">AD624/U624</f>
        <v>#REF!</v>
      </c>
      <c r="AG624" s="235" t="str">
        <f t="shared" ca="1" si="701"/>
        <v>#REF!</v>
      </c>
      <c r="AH624" s="212"/>
      <c r="AI624" s="213"/>
      <c r="AJ624" s="4"/>
      <c r="AK624" s="4"/>
      <c r="AL624" s="4"/>
      <c r="AM624" s="4"/>
      <c r="AN624" s="4"/>
      <c r="AO624" s="4"/>
      <c r="AP624" s="4"/>
      <c r="AQ624" s="4"/>
      <c r="AR624" s="4"/>
      <c r="AS624" s="4"/>
      <c r="AT624" s="4"/>
      <c r="AU624" s="4"/>
    </row>
    <row r="625" spans="1:47" ht="13.2">
      <c r="A625" s="120"/>
      <c r="B625" s="113"/>
      <c r="C625" s="117"/>
      <c r="D625" s="117"/>
      <c r="E625" s="117"/>
      <c r="F625" s="123"/>
      <c r="G625" s="93" t="s">
        <v>145</v>
      </c>
      <c r="H625" s="125"/>
      <c r="I625" s="125"/>
      <c r="J625" s="82" t="str">
        <f t="shared" ca="1" si="147"/>
        <v>#REF!</v>
      </c>
      <c r="K625" s="82" t="str">
        <f t="shared" ca="1" si="256"/>
        <v>#REF!</v>
      </c>
      <c r="L625" s="82" t="str">
        <f t="shared" ca="1" si="199"/>
        <v>#REF!</v>
      </c>
      <c r="M625" s="125"/>
      <c r="N625" s="125"/>
      <c r="O625" s="230">
        <f t="shared" si="2"/>
        <v>0</v>
      </c>
      <c r="P625" s="231">
        <f t="shared" si="3"/>
        <v>0</v>
      </c>
      <c r="Q625" s="232" t="str">
        <f ca="1">ROUNDUP(HLOOKUP(IF(CEILING(L625,0.5)&lt;1,1,CEILING(L625,0.5)),'배송비 조회'!A$32:AY$36,2,0),-2)</f>
        <v>#REF!</v>
      </c>
      <c r="R625" s="232">
        <v>0</v>
      </c>
      <c r="S625" s="231" t="str">
        <f t="shared" ca="1" si="250"/>
        <v>#REF!</v>
      </c>
      <c r="T625" s="231" t="str">
        <f t="shared" ca="1" si="200"/>
        <v>#REF!</v>
      </c>
      <c r="U625" s="233" t="str">
        <f t="shared" ca="1" si="142"/>
        <v>#REF!</v>
      </c>
      <c r="V625" s="233" t="str">
        <f t="shared" ca="1" si="7"/>
        <v>#REF!</v>
      </c>
      <c r="W625" s="234">
        <v>0</v>
      </c>
      <c r="X625" s="234" t="str">
        <f t="shared" ca="1" si="8"/>
        <v>#REF!</v>
      </c>
      <c r="Y625" s="234" t="str">
        <f t="shared" ca="1" si="9"/>
        <v>#REF!</v>
      </c>
      <c r="Z625" s="234" t="str">
        <f t="shared" ca="1" si="10"/>
        <v>#REF!</v>
      </c>
      <c r="AA625" s="234" t="str">
        <f t="shared" ca="1" si="11"/>
        <v>#REF!</v>
      </c>
      <c r="AB625" s="234" t="str">
        <f t="shared" ca="1" si="12"/>
        <v>#REF!</v>
      </c>
      <c r="AC625" s="234" t="str">
        <f t="shared" ca="1" si="13"/>
        <v>#REF!</v>
      </c>
      <c r="AD625" s="101" t="str">
        <f t="shared" ca="1" si="14"/>
        <v>#REF!</v>
      </c>
      <c r="AE625" s="101" t="str">
        <f t="shared" ca="1" si="15"/>
        <v>#REF!</v>
      </c>
      <c r="AF625" s="235" t="str">
        <f t="shared" ref="AF625:AG625" ca="1" si="702">AD625/U625</f>
        <v>#REF!</v>
      </c>
      <c r="AG625" s="235" t="str">
        <f t="shared" ca="1" si="702"/>
        <v>#REF!</v>
      </c>
      <c r="AH625" s="212"/>
      <c r="AI625" s="213"/>
      <c r="AJ625" s="4"/>
      <c r="AK625" s="4"/>
      <c r="AL625" s="4"/>
      <c r="AM625" s="4"/>
      <c r="AN625" s="4"/>
      <c r="AO625" s="4"/>
      <c r="AP625" s="4"/>
      <c r="AQ625" s="4"/>
      <c r="AR625" s="4"/>
      <c r="AS625" s="4"/>
      <c r="AT625" s="4"/>
      <c r="AU625" s="4"/>
    </row>
    <row r="626" spans="1:47" ht="13.2">
      <c r="A626" s="120"/>
      <c r="B626" s="113"/>
      <c r="C626" s="117"/>
      <c r="D626" s="117"/>
      <c r="E626" s="117"/>
      <c r="F626" s="123"/>
      <c r="G626" s="93" t="s">
        <v>145</v>
      </c>
      <c r="H626" s="125"/>
      <c r="I626" s="125"/>
      <c r="J626" s="82" t="str">
        <f t="shared" ca="1" si="147"/>
        <v>#REF!</v>
      </c>
      <c r="K626" s="82" t="str">
        <f t="shared" ca="1" si="256"/>
        <v>#REF!</v>
      </c>
      <c r="L626" s="82" t="str">
        <f t="shared" ca="1" si="199"/>
        <v>#REF!</v>
      </c>
      <c r="M626" s="125"/>
      <c r="N626" s="125"/>
      <c r="O626" s="230">
        <f t="shared" si="2"/>
        <v>0</v>
      </c>
      <c r="P626" s="231">
        <f t="shared" si="3"/>
        <v>0</v>
      </c>
      <c r="Q626" s="232" t="str">
        <f ca="1">ROUNDUP(HLOOKUP(IF(CEILING(L626,0.5)&lt;1,1,CEILING(L626,0.5)),'배송비 조회'!A$32:AY$36,2,0),-2)</f>
        <v>#REF!</v>
      </c>
      <c r="R626" s="232">
        <v>0</v>
      </c>
      <c r="S626" s="231" t="str">
        <f t="shared" ca="1" si="250"/>
        <v>#REF!</v>
      </c>
      <c r="T626" s="231" t="str">
        <f t="shared" ca="1" si="200"/>
        <v>#REF!</v>
      </c>
      <c r="U626" s="233" t="str">
        <f t="shared" ca="1" si="142"/>
        <v>#REF!</v>
      </c>
      <c r="V626" s="233" t="str">
        <f t="shared" ca="1" si="7"/>
        <v>#REF!</v>
      </c>
      <c r="W626" s="234">
        <v>0</v>
      </c>
      <c r="X626" s="234" t="str">
        <f t="shared" ca="1" si="8"/>
        <v>#REF!</v>
      </c>
      <c r="Y626" s="234" t="str">
        <f t="shared" ca="1" si="9"/>
        <v>#REF!</v>
      </c>
      <c r="Z626" s="234" t="str">
        <f t="shared" ca="1" si="10"/>
        <v>#REF!</v>
      </c>
      <c r="AA626" s="234" t="str">
        <f t="shared" ca="1" si="11"/>
        <v>#REF!</v>
      </c>
      <c r="AB626" s="234" t="str">
        <f t="shared" ca="1" si="12"/>
        <v>#REF!</v>
      </c>
      <c r="AC626" s="234" t="str">
        <f t="shared" ca="1" si="13"/>
        <v>#REF!</v>
      </c>
      <c r="AD626" s="101" t="str">
        <f t="shared" ca="1" si="14"/>
        <v>#REF!</v>
      </c>
      <c r="AE626" s="101" t="str">
        <f t="shared" ca="1" si="15"/>
        <v>#REF!</v>
      </c>
      <c r="AF626" s="235" t="str">
        <f t="shared" ref="AF626:AG626" ca="1" si="703">AD626/U626</f>
        <v>#REF!</v>
      </c>
      <c r="AG626" s="235" t="str">
        <f t="shared" ca="1" si="703"/>
        <v>#REF!</v>
      </c>
      <c r="AH626" s="212"/>
      <c r="AI626" s="213"/>
      <c r="AJ626" s="4"/>
      <c r="AK626" s="4"/>
      <c r="AL626" s="4"/>
      <c r="AM626" s="4"/>
      <c r="AN626" s="4"/>
      <c r="AO626" s="4"/>
      <c r="AP626" s="4"/>
      <c r="AQ626" s="4"/>
      <c r="AR626" s="4"/>
      <c r="AS626" s="4"/>
      <c r="AT626" s="4"/>
      <c r="AU626" s="4"/>
    </row>
    <row r="627" spans="1:47" ht="13.2">
      <c r="A627" s="120"/>
      <c r="B627" s="113"/>
      <c r="C627" s="117"/>
      <c r="D627" s="117"/>
      <c r="E627" s="117"/>
      <c r="F627" s="123"/>
      <c r="G627" s="93" t="s">
        <v>145</v>
      </c>
      <c r="H627" s="125"/>
      <c r="I627" s="125"/>
      <c r="J627" s="82" t="str">
        <f t="shared" ca="1" si="147"/>
        <v>#REF!</v>
      </c>
      <c r="K627" s="82" t="str">
        <f t="shared" ca="1" si="256"/>
        <v>#REF!</v>
      </c>
      <c r="L627" s="82" t="str">
        <f t="shared" ca="1" si="199"/>
        <v>#REF!</v>
      </c>
      <c r="M627" s="125"/>
      <c r="N627" s="125"/>
      <c r="O627" s="230">
        <f t="shared" si="2"/>
        <v>0</v>
      </c>
      <c r="P627" s="231">
        <f t="shared" si="3"/>
        <v>0</v>
      </c>
      <c r="Q627" s="232" t="str">
        <f ca="1">ROUNDUP(HLOOKUP(IF(CEILING(L627,0.5)&lt;1,1,CEILING(L627,0.5)),'배송비 조회'!A$32:AY$36,2,0),-2)</f>
        <v>#REF!</v>
      </c>
      <c r="R627" s="232">
        <v>0</v>
      </c>
      <c r="S627" s="231" t="str">
        <f t="shared" ca="1" si="250"/>
        <v>#REF!</v>
      </c>
      <c r="T627" s="231" t="str">
        <f t="shared" ca="1" si="200"/>
        <v>#REF!</v>
      </c>
      <c r="U627" s="233" t="str">
        <f t="shared" ca="1" si="142"/>
        <v>#REF!</v>
      </c>
      <c r="V627" s="233" t="str">
        <f t="shared" ca="1" si="7"/>
        <v>#REF!</v>
      </c>
      <c r="W627" s="234">
        <v>0</v>
      </c>
      <c r="X627" s="234" t="str">
        <f t="shared" ca="1" si="8"/>
        <v>#REF!</v>
      </c>
      <c r="Y627" s="234" t="str">
        <f t="shared" ca="1" si="9"/>
        <v>#REF!</v>
      </c>
      <c r="Z627" s="234" t="str">
        <f t="shared" ca="1" si="10"/>
        <v>#REF!</v>
      </c>
      <c r="AA627" s="234" t="str">
        <f t="shared" ca="1" si="11"/>
        <v>#REF!</v>
      </c>
      <c r="AB627" s="234" t="str">
        <f t="shared" ca="1" si="12"/>
        <v>#REF!</v>
      </c>
      <c r="AC627" s="234" t="str">
        <f t="shared" ca="1" si="13"/>
        <v>#REF!</v>
      </c>
      <c r="AD627" s="101" t="str">
        <f t="shared" ca="1" si="14"/>
        <v>#REF!</v>
      </c>
      <c r="AE627" s="101" t="str">
        <f t="shared" ca="1" si="15"/>
        <v>#REF!</v>
      </c>
      <c r="AF627" s="235" t="str">
        <f t="shared" ref="AF627:AG627" ca="1" si="704">AD627/U627</f>
        <v>#REF!</v>
      </c>
      <c r="AG627" s="235" t="str">
        <f t="shared" ca="1" si="704"/>
        <v>#REF!</v>
      </c>
      <c r="AH627" s="212"/>
      <c r="AI627" s="213"/>
      <c r="AJ627" s="4"/>
      <c r="AK627" s="4"/>
      <c r="AL627" s="4"/>
      <c r="AM627" s="4"/>
      <c r="AN627" s="4"/>
      <c r="AO627" s="4"/>
      <c r="AP627" s="4"/>
      <c r="AQ627" s="4"/>
      <c r="AR627" s="4"/>
      <c r="AS627" s="4"/>
      <c r="AT627" s="4"/>
      <c r="AU627" s="4"/>
    </row>
    <row r="628" spans="1:47" ht="13.2">
      <c r="A628" s="120"/>
      <c r="B628" s="113"/>
      <c r="C628" s="117"/>
      <c r="D628" s="117"/>
      <c r="E628" s="117"/>
      <c r="F628" s="123"/>
      <c r="G628" s="93" t="s">
        <v>145</v>
      </c>
      <c r="H628" s="125"/>
      <c r="I628" s="125"/>
      <c r="J628" s="82" t="str">
        <f t="shared" ca="1" si="147"/>
        <v>#REF!</v>
      </c>
      <c r="K628" s="82" t="str">
        <f t="shared" ca="1" si="256"/>
        <v>#REF!</v>
      </c>
      <c r="L628" s="82" t="str">
        <f t="shared" ca="1" si="199"/>
        <v>#REF!</v>
      </c>
      <c r="M628" s="125"/>
      <c r="N628" s="125"/>
      <c r="O628" s="230">
        <f t="shared" si="2"/>
        <v>0</v>
      </c>
      <c r="P628" s="231">
        <f t="shared" si="3"/>
        <v>0</v>
      </c>
      <c r="Q628" s="232" t="str">
        <f ca="1">ROUNDUP(HLOOKUP(IF(CEILING(L628,0.5)&lt;1,1,CEILING(L628,0.5)),'배송비 조회'!A$32:AY$36,2,0),-2)</f>
        <v>#REF!</v>
      </c>
      <c r="R628" s="232">
        <v>0</v>
      </c>
      <c r="S628" s="231" t="str">
        <f t="shared" ca="1" si="250"/>
        <v>#REF!</v>
      </c>
      <c r="T628" s="231" t="str">
        <f t="shared" ca="1" si="200"/>
        <v>#REF!</v>
      </c>
      <c r="U628" s="233" t="str">
        <f t="shared" ca="1" si="142"/>
        <v>#REF!</v>
      </c>
      <c r="V628" s="233" t="str">
        <f t="shared" ca="1" si="7"/>
        <v>#REF!</v>
      </c>
      <c r="W628" s="234">
        <v>0</v>
      </c>
      <c r="X628" s="234" t="str">
        <f t="shared" ca="1" si="8"/>
        <v>#REF!</v>
      </c>
      <c r="Y628" s="234" t="str">
        <f t="shared" ca="1" si="9"/>
        <v>#REF!</v>
      </c>
      <c r="Z628" s="234" t="str">
        <f t="shared" ca="1" si="10"/>
        <v>#REF!</v>
      </c>
      <c r="AA628" s="234" t="str">
        <f t="shared" ca="1" si="11"/>
        <v>#REF!</v>
      </c>
      <c r="AB628" s="234" t="str">
        <f t="shared" ca="1" si="12"/>
        <v>#REF!</v>
      </c>
      <c r="AC628" s="234" t="str">
        <f t="shared" ca="1" si="13"/>
        <v>#REF!</v>
      </c>
      <c r="AD628" s="101" t="str">
        <f t="shared" ca="1" si="14"/>
        <v>#REF!</v>
      </c>
      <c r="AE628" s="101" t="str">
        <f t="shared" ca="1" si="15"/>
        <v>#REF!</v>
      </c>
      <c r="AF628" s="235" t="str">
        <f t="shared" ref="AF628:AG628" ca="1" si="705">AD628/U628</f>
        <v>#REF!</v>
      </c>
      <c r="AG628" s="235" t="str">
        <f t="shared" ca="1" si="705"/>
        <v>#REF!</v>
      </c>
      <c r="AH628" s="212"/>
      <c r="AI628" s="213"/>
      <c r="AJ628" s="4"/>
      <c r="AK628" s="4"/>
      <c r="AL628" s="4"/>
      <c r="AM628" s="4"/>
      <c r="AN628" s="4"/>
      <c r="AO628" s="4"/>
      <c r="AP628" s="4"/>
      <c r="AQ628" s="4"/>
      <c r="AR628" s="4"/>
      <c r="AS628" s="4"/>
      <c r="AT628" s="4"/>
      <c r="AU628" s="4"/>
    </row>
    <row r="629" spans="1:47" ht="13.2">
      <c r="A629" s="120"/>
      <c r="B629" s="113"/>
      <c r="C629" s="117"/>
      <c r="D629" s="117"/>
      <c r="E629" s="117"/>
      <c r="F629" s="123"/>
      <c r="G629" s="93" t="s">
        <v>145</v>
      </c>
      <c r="H629" s="125"/>
      <c r="I629" s="125"/>
      <c r="J629" s="82" t="str">
        <f t="shared" ca="1" si="147"/>
        <v>#REF!</v>
      </c>
      <c r="K629" s="82" t="str">
        <f t="shared" ca="1" si="256"/>
        <v>#REF!</v>
      </c>
      <c r="L629" s="82" t="str">
        <f t="shared" ca="1" si="199"/>
        <v>#REF!</v>
      </c>
      <c r="M629" s="125"/>
      <c r="N629" s="125"/>
      <c r="O629" s="230">
        <f t="shared" si="2"/>
        <v>0</v>
      </c>
      <c r="P629" s="231">
        <f t="shared" si="3"/>
        <v>0</v>
      </c>
      <c r="Q629" s="232" t="str">
        <f ca="1">ROUNDUP(HLOOKUP(IF(CEILING(L629,0.5)&lt;1,1,CEILING(L629,0.5)),'배송비 조회'!A$32:AY$36,2,0),-2)</f>
        <v>#REF!</v>
      </c>
      <c r="R629" s="232">
        <v>0</v>
      </c>
      <c r="S629" s="231" t="str">
        <f t="shared" ca="1" si="250"/>
        <v>#REF!</v>
      </c>
      <c r="T629" s="231" t="str">
        <f t="shared" ca="1" si="200"/>
        <v>#REF!</v>
      </c>
      <c r="U629" s="233" t="str">
        <f t="shared" ca="1" si="142"/>
        <v>#REF!</v>
      </c>
      <c r="V629" s="233" t="str">
        <f t="shared" ca="1" si="7"/>
        <v>#REF!</v>
      </c>
      <c r="W629" s="234">
        <v>0</v>
      </c>
      <c r="X629" s="234" t="str">
        <f t="shared" ca="1" si="8"/>
        <v>#REF!</v>
      </c>
      <c r="Y629" s="234" t="str">
        <f t="shared" ca="1" si="9"/>
        <v>#REF!</v>
      </c>
      <c r="Z629" s="234" t="str">
        <f t="shared" ca="1" si="10"/>
        <v>#REF!</v>
      </c>
      <c r="AA629" s="234" t="str">
        <f t="shared" ca="1" si="11"/>
        <v>#REF!</v>
      </c>
      <c r="AB629" s="234" t="str">
        <f t="shared" ca="1" si="12"/>
        <v>#REF!</v>
      </c>
      <c r="AC629" s="234" t="str">
        <f t="shared" ca="1" si="13"/>
        <v>#REF!</v>
      </c>
      <c r="AD629" s="101" t="str">
        <f t="shared" ca="1" si="14"/>
        <v>#REF!</v>
      </c>
      <c r="AE629" s="101" t="str">
        <f t="shared" ca="1" si="15"/>
        <v>#REF!</v>
      </c>
      <c r="AF629" s="235" t="str">
        <f t="shared" ref="AF629:AG629" ca="1" si="706">AD629/U629</f>
        <v>#REF!</v>
      </c>
      <c r="AG629" s="235" t="str">
        <f t="shared" ca="1" si="706"/>
        <v>#REF!</v>
      </c>
      <c r="AH629" s="212"/>
      <c r="AI629" s="213"/>
      <c r="AJ629" s="4"/>
      <c r="AK629" s="4"/>
      <c r="AL629" s="4"/>
      <c r="AM629" s="4"/>
      <c r="AN629" s="4"/>
      <c r="AO629" s="4"/>
      <c r="AP629" s="4"/>
      <c r="AQ629" s="4"/>
      <c r="AR629" s="4"/>
      <c r="AS629" s="4"/>
      <c r="AT629" s="4"/>
      <c r="AU629" s="4"/>
    </row>
    <row r="630" spans="1:47" ht="13.2">
      <c r="A630" s="120"/>
      <c r="B630" s="113"/>
      <c r="C630" s="117"/>
      <c r="D630" s="117"/>
      <c r="E630" s="117"/>
      <c r="F630" s="123"/>
      <c r="G630" s="93" t="s">
        <v>145</v>
      </c>
      <c r="H630" s="125"/>
      <c r="I630" s="125"/>
      <c r="J630" s="82" t="str">
        <f t="shared" ca="1" si="147"/>
        <v>#REF!</v>
      </c>
      <c r="K630" s="82" t="str">
        <f t="shared" ca="1" si="256"/>
        <v>#REF!</v>
      </c>
      <c r="L630" s="82" t="str">
        <f t="shared" ca="1" si="199"/>
        <v>#REF!</v>
      </c>
      <c r="M630" s="125"/>
      <c r="N630" s="125"/>
      <c r="O630" s="230">
        <f t="shared" si="2"/>
        <v>0</v>
      </c>
      <c r="P630" s="231">
        <f t="shared" si="3"/>
        <v>0</v>
      </c>
      <c r="Q630" s="232" t="str">
        <f ca="1">ROUNDUP(HLOOKUP(IF(CEILING(L630,0.5)&lt;1,1,CEILING(L630,0.5)),'배송비 조회'!A$32:AY$36,2,0),-2)</f>
        <v>#REF!</v>
      </c>
      <c r="R630" s="232">
        <v>0</v>
      </c>
      <c r="S630" s="231" t="str">
        <f t="shared" ca="1" si="250"/>
        <v>#REF!</v>
      </c>
      <c r="T630" s="231" t="str">
        <f t="shared" ca="1" si="200"/>
        <v>#REF!</v>
      </c>
      <c r="U630" s="233" t="str">
        <f t="shared" ca="1" si="142"/>
        <v>#REF!</v>
      </c>
      <c r="V630" s="233" t="str">
        <f t="shared" ca="1" si="7"/>
        <v>#REF!</v>
      </c>
      <c r="W630" s="234">
        <v>0</v>
      </c>
      <c r="X630" s="234" t="str">
        <f t="shared" ca="1" si="8"/>
        <v>#REF!</v>
      </c>
      <c r="Y630" s="234" t="str">
        <f t="shared" ca="1" si="9"/>
        <v>#REF!</v>
      </c>
      <c r="Z630" s="234" t="str">
        <f t="shared" ca="1" si="10"/>
        <v>#REF!</v>
      </c>
      <c r="AA630" s="234" t="str">
        <f t="shared" ca="1" si="11"/>
        <v>#REF!</v>
      </c>
      <c r="AB630" s="234" t="str">
        <f t="shared" ca="1" si="12"/>
        <v>#REF!</v>
      </c>
      <c r="AC630" s="234" t="str">
        <f t="shared" ca="1" si="13"/>
        <v>#REF!</v>
      </c>
      <c r="AD630" s="101" t="str">
        <f t="shared" ca="1" si="14"/>
        <v>#REF!</v>
      </c>
      <c r="AE630" s="101" t="str">
        <f t="shared" ca="1" si="15"/>
        <v>#REF!</v>
      </c>
      <c r="AF630" s="235" t="str">
        <f t="shared" ref="AF630:AG630" ca="1" si="707">AD630/U630</f>
        <v>#REF!</v>
      </c>
      <c r="AG630" s="235" t="str">
        <f t="shared" ca="1" si="707"/>
        <v>#REF!</v>
      </c>
      <c r="AH630" s="212"/>
      <c r="AI630" s="213"/>
      <c r="AJ630" s="4"/>
      <c r="AK630" s="4"/>
      <c r="AL630" s="4"/>
      <c r="AM630" s="4"/>
      <c r="AN630" s="4"/>
      <c r="AO630" s="4"/>
      <c r="AP630" s="4"/>
      <c r="AQ630" s="4"/>
      <c r="AR630" s="4"/>
      <c r="AS630" s="4"/>
      <c r="AT630" s="4"/>
      <c r="AU630" s="4"/>
    </row>
    <row r="631" spans="1:47" ht="13.2">
      <c r="A631" s="120"/>
      <c r="B631" s="113"/>
      <c r="C631" s="117"/>
      <c r="D631" s="117"/>
      <c r="E631" s="117"/>
      <c r="F631" s="123"/>
      <c r="G631" s="93" t="s">
        <v>145</v>
      </c>
      <c r="H631" s="125"/>
      <c r="I631" s="125"/>
      <c r="J631" s="82" t="str">
        <f t="shared" ca="1" si="147"/>
        <v>#REF!</v>
      </c>
      <c r="K631" s="82" t="str">
        <f t="shared" ca="1" si="256"/>
        <v>#REF!</v>
      </c>
      <c r="L631" s="82" t="str">
        <f t="shared" ca="1" si="199"/>
        <v>#REF!</v>
      </c>
      <c r="M631" s="125"/>
      <c r="N631" s="125"/>
      <c r="O631" s="230">
        <f t="shared" si="2"/>
        <v>0</v>
      </c>
      <c r="P631" s="231">
        <f t="shared" si="3"/>
        <v>0</v>
      </c>
      <c r="Q631" s="232" t="str">
        <f ca="1">ROUNDUP(HLOOKUP(IF(CEILING(L631,0.5)&lt;1,1,CEILING(L631,0.5)),'배송비 조회'!A$32:AY$36,2,0),-2)</f>
        <v>#REF!</v>
      </c>
      <c r="R631" s="232">
        <v>0</v>
      </c>
      <c r="S631" s="231" t="str">
        <f t="shared" ca="1" si="250"/>
        <v>#REF!</v>
      </c>
      <c r="T631" s="231" t="str">
        <f t="shared" ca="1" si="200"/>
        <v>#REF!</v>
      </c>
      <c r="U631" s="233" t="str">
        <f t="shared" ca="1" si="142"/>
        <v>#REF!</v>
      </c>
      <c r="V631" s="233" t="str">
        <f t="shared" ca="1" si="7"/>
        <v>#REF!</v>
      </c>
      <c r="W631" s="234">
        <v>0</v>
      </c>
      <c r="X631" s="234" t="str">
        <f t="shared" ca="1" si="8"/>
        <v>#REF!</v>
      </c>
      <c r="Y631" s="234" t="str">
        <f t="shared" ca="1" si="9"/>
        <v>#REF!</v>
      </c>
      <c r="Z631" s="234" t="str">
        <f t="shared" ca="1" si="10"/>
        <v>#REF!</v>
      </c>
      <c r="AA631" s="234" t="str">
        <f t="shared" ca="1" si="11"/>
        <v>#REF!</v>
      </c>
      <c r="AB631" s="234" t="str">
        <f t="shared" ca="1" si="12"/>
        <v>#REF!</v>
      </c>
      <c r="AC631" s="234" t="str">
        <f t="shared" ca="1" si="13"/>
        <v>#REF!</v>
      </c>
      <c r="AD631" s="101" t="str">
        <f t="shared" ca="1" si="14"/>
        <v>#REF!</v>
      </c>
      <c r="AE631" s="101" t="str">
        <f t="shared" ca="1" si="15"/>
        <v>#REF!</v>
      </c>
      <c r="AF631" s="235" t="str">
        <f t="shared" ref="AF631:AG631" ca="1" si="708">AD631/U631</f>
        <v>#REF!</v>
      </c>
      <c r="AG631" s="235" t="str">
        <f t="shared" ca="1" si="708"/>
        <v>#REF!</v>
      </c>
      <c r="AH631" s="212"/>
      <c r="AI631" s="213"/>
      <c r="AJ631" s="4"/>
      <c r="AK631" s="4"/>
      <c r="AL631" s="4"/>
      <c r="AM631" s="4"/>
      <c r="AN631" s="4"/>
      <c r="AO631" s="4"/>
      <c r="AP631" s="4"/>
      <c r="AQ631" s="4"/>
      <c r="AR631" s="4"/>
      <c r="AS631" s="4"/>
      <c r="AT631" s="4"/>
      <c r="AU631" s="4"/>
    </row>
    <row r="632" spans="1:47" ht="13.2">
      <c r="A632" s="120"/>
      <c r="B632" s="113"/>
      <c r="C632" s="117"/>
      <c r="D632" s="117"/>
      <c r="E632" s="117"/>
      <c r="F632" s="123"/>
      <c r="G632" s="93" t="s">
        <v>145</v>
      </c>
      <c r="H632" s="125"/>
      <c r="I632" s="125"/>
      <c r="J632" s="82" t="str">
        <f t="shared" ca="1" si="147"/>
        <v>#REF!</v>
      </c>
      <c r="K632" s="82" t="str">
        <f t="shared" ca="1" si="256"/>
        <v>#REF!</v>
      </c>
      <c r="L632" s="82" t="str">
        <f t="shared" ca="1" si="199"/>
        <v>#REF!</v>
      </c>
      <c r="M632" s="125"/>
      <c r="N632" s="125"/>
      <c r="O632" s="230">
        <f t="shared" si="2"/>
        <v>0</v>
      </c>
      <c r="P632" s="231">
        <f t="shared" si="3"/>
        <v>0</v>
      </c>
      <c r="Q632" s="232" t="str">
        <f ca="1">ROUNDUP(HLOOKUP(IF(CEILING(L632,0.5)&lt;1,1,CEILING(L632,0.5)),'배송비 조회'!A$32:AY$36,2,0),-2)</f>
        <v>#REF!</v>
      </c>
      <c r="R632" s="232">
        <v>0</v>
      </c>
      <c r="S632" s="231" t="str">
        <f t="shared" ca="1" si="250"/>
        <v>#REF!</v>
      </c>
      <c r="T632" s="231" t="str">
        <f t="shared" ca="1" si="200"/>
        <v>#REF!</v>
      </c>
      <c r="U632" s="233" t="str">
        <f t="shared" ca="1" si="142"/>
        <v>#REF!</v>
      </c>
      <c r="V632" s="233" t="str">
        <f t="shared" ca="1" si="7"/>
        <v>#REF!</v>
      </c>
      <c r="W632" s="234">
        <v>0</v>
      </c>
      <c r="X632" s="234" t="str">
        <f t="shared" ca="1" si="8"/>
        <v>#REF!</v>
      </c>
      <c r="Y632" s="234" t="str">
        <f t="shared" ca="1" si="9"/>
        <v>#REF!</v>
      </c>
      <c r="Z632" s="234" t="str">
        <f t="shared" ca="1" si="10"/>
        <v>#REF!</v>
      </c>
      <c r="AA632" s="234" t="str">
        <f t="shared" ca="1" si="11"/>
        <v>#REF!</v>
      </c>
      <c r="AB632" s="234" t="str">
        <f t="shared" ca="1" si="12"/>
        <v>#REF!</v>
      </c>
      <c r="AC632" s="234" t="str">
        <f t="shared" ca="1" si="13"/>
        <v>#REF!</v>
      </c>
      <c r="AD632" s="101" t="str">
        <f t="shared" ca="1" si="14"/>
        <v>#REF!</v>
      </c>
      <c r="AE632" s="101" t="str">
        <f t="shared" ca="1" si="15"/>
        <v>#REF!</v>
      </c>
      <c r="AF632" s="235" t="str">
        <f t="shared" ref="AF632:AG632" ca="1" si="709">AD632/U632</f>
        <v>#REF!</v>
      </c>
      <c r="AG632" s="235" t="str">
        <f t="shared" ca="1" si="709"/>
        <v>#REF!</v>
      </c>
      <c r="AH632" s="212"/>
      <c r="AI632" s="213"/>
      <c r="AJ632" s="4"/>
      <c r="AK632" s="4"/>
      <c r="AL632" s="4"/>
      <c r="AM632" s="4"/>
      <c r="AN632" s="4"/>
      <c r="AO632" s="4"/>
      <c r="AP632" s="4"/>
      <c r="AQ632" s="4"/>
      <c r="AR632" s="4"/>
      <c r="AS632" s="4"/>
      <c r="AT632" s="4"/>
      <c r="AU632" s="4"/>
    </row>
    <row r="633" spans="1:47" ht="13.2">
      <c r="A633" s="120"/>
      <c r="B633" s="113"/>
      <c r="C633" s="117"/>
      <c r="D633" s="117"/>
      <c r="E633" s="117"/>
      <c r="F633" s="123"/>
      <c r="G633" s="93" t="s">
        <v>145</v>
      </c>
      <c r="H633" s="125"/>
      <c r="I633" s="125"/>
      <c r="J633" s="82" t="str">
        <f t="shared" ca="1" si="147"/>
        <v>#REF!</v>
      </c>
      <c r="K633" s="82" t="str">
        <f t="shared" ca="1" si="256"/>
        <v>#REF!</v>
      </c>
      <c r="L633" s="82" t="str">
        <f t="shared" ca="1" si="199"/>
        <v>#REF!</v>
      </c>
      <c r="M633" s="125"/>
      <c r="N633" s="125"/>
      <c r="O633" s="230">
        <f t="shared" si="2"/>
        <v>0</v>
      </c>
      <c r="P633" s="231">
        <f t="shared" si="3"/>
        <v>0</v>
      </c>
      <c r="Q633" s="232" t="str">
        <f ca="1">ROUNDUP(HLOOKUP(IF(CEILING(L633,0.5)&lt;1,1,CEILING(L633,0.5)),'배송비 조회'!A$32:AY$36,2,0),-2)</f>
        <v>#REF!</v>
      </c>
      <c r="R633" s="232">
        <v>0</v>
      </c>
      <c r="S633" s="231" t="str">
        <f t="shared" ca="1" si="250"/>
        <v>#REF!</v>
      </c>
      <c r="T633" s="231" t="str">
        <f t="shared" ca="1" si="200"/>
        <v>#REF!</v>
      </c>
      <c r="U633" s="233" t="str">
        <f t="shared" ca="1" si="142"/>
        <v>#REF!</v>
      </c>
      <c r="V633" s="233" t="str">
        <f t="shared" ca="1" si="7"/>
        <v>#REF!</v>
      </c>
      <c r="W633" s="234">
        <v>0</v>
      </c>
      <c r="X633" s="234" t="str">
        <f t="shared" ca="1" si="8"/>
        <v>#REF!</v>
      </c>
      <c r="Y633" s="234" t="str">
        <f t="shared" ca="1" si="9"/>
        <v>#REF!</v>
      </c>
      <c r="Z633" s="234" t="str">
        <f t="shared" ca="1" si="10"/>
        <v>#REF!</v>
      </c>
      <c r="AA633" s="234" t="str">
        <f t="shared" ca="1" si="11"/>
        <v>#REF!</v>
      </c>
      <c r="AB633" s="234" t="str">
        <f t="shared" ca="1" si="12"/>
        <v>#REF!</v>
      </c>
      <c r="AC633" s="234" t="str">
        <f t="shared" ca="1" si="13"/>
        <v>#REF!</v>
      </c>
      <c r="AD633" s="101" t="str">
        <f t="shared" ca="1" si="14"/>
        <v>#REF!</v>
      </c>
      <c r="AE633" s="101" t="str">
        <f t="shared" ca="1" si="15"/>
        <v>#REF!</v>
      </c>
      <c r="AF633" s="235" t="str">
        <f t="shared" ref="AF633:AG633" ca="1" si="710">AD633/U633</f>
        <v>#REF!</v>
      </c>
      <c r="AG633" s="235" t="str">
        <f t="shared" ca="1" si="710"/>
        <v>#REF!</v>
      </c>
      <c r="AH633" s="212"/>
      <c r="AI633" s="213"/>
      <c r="AJ633" s="4"/>
      <c r="AK633" s="4"/>
      <c r="AL633" s="4"/>
      <c r="AM633" s="4"/>
      <c r="AN633" s="4"/>
      <c r="AO633" s="4"/>
      <c r="AP633" s="4"/>
      <c r="AQ633" s="4"/>
      <c r="AR633" s="4"/>
      <c r="AS633" s="4"/>
      <c r="AT633" s="4"/>
      <c r="AU633" s="4"/>
    </row>
    <row r="634" spans="1:47" ht="13.2">
      <c r="A634" s="120"/>
      <c r="B634" s="113"/>
      <c r="C634" s="117"/>
      <c r="D634" s="117"/>
      <c r="E634" s="117"/>
      <c r="F634" s="123"/>
      <c r="G634" s="93" t="s">
        <v>145</v>
      </c>
      <c r="H634" s="125"/>
      <c r="I634" s="125"/>
      <c r="J634" s="82" t="str">
        <f t="shared" ca="1" si="147"/>
        <v>#REF!</v>
      </c>
      <c r="K634" s="82" t="str">
        <f t="shared" ca="1" si="256"/>
        <v>#REF!</v>
      </c>
      <c r="L634" s="82" t="str">
        <f t="shared" ca="1" si="199"/>
        <v>#REF!</v>
      </c>
      <c r="M634" s="125"/>
      <c r="N634" s="125"/>
      <c r="O634" s="230">
        <f t="shared" si="2"/>
        <v>0</v>
      </c>
      <c r="P634" s="231">
        <f t="shared" si="3"/>
        <v>0</v>
      </c>
      <c r="Q634" s="232" t="str">
        <f ca="1">ROUNDUP(HLOOKUP(IF(CEILING(L634,0.5)&lt;1,1,CEILING(L634,0.5)),'배송비 조회'!A$32:AY$36,2,0),-2)</f>
        <v>#REF!</v>
      </c>
      <c r="R634" s="232">
        <v>0</v>
      </c>
      <c r="S634" s="231" t="str">
        <f t="shared" ca="1" si="250"/>
        <v>#REF!</v>
      </c>
      <c r="T634" s="231" t="str">
        <f t="shared" ca="1" si="200"/>
        <v>#REF!</v>
      </c>
      <c r="U634" s="233" t="str">
        <f t="shared" ca="1" si="142"/>
        <v>#REF!</v>
      </c>
      <c r="V634" s="233" t="str">
        <f t="shared" ca="1" si="7"/>
        <v>#REF!</v>
      </c>
      <c r="W634" s="234">
        <v>0</v>
      </c>
      <c r="X634" s="234" t="str">
        <f t="shared" ca="1" si="8"/>
        <v>#REF!</v>
      </c>
      <c r="Y634" s="234" t="str">
        <f t="shared" ca="1" si="9"/>
        <v>#REF!</v>
      </c>
      <c r="Z634" s="234" t="str">
        <f t="shared" ca="1" si="10"/>
        <v>#REF!</v>
      </c>
      <c r="AA634" s="234" t="str">
        <f t="shared" ca="1" si="11"/>
        <v>#REF!</v>
      </c>
      <c r="AB634" s="234" t="str">
        <f t="shared" ca="1" si="12"/>
        <v>#REF!</v>
      </c>
      <c r="AC634" s="234" t="str">
        <f t="shared" ca="1" si="13"/>
        <v>#REF!</v>
      </c>
      <c r="AD634" s="101" t="str">
        <f t="shared" ca="1" si="14"/>
        <v>#REF!</v>
      </c>
      <c r="AE634" s="101" t="str">
        <f t="shared" ca="1" si="15"/>
        <v>#REF!</v>
      </c>
      <c r="AF634" s="235" t="str">
        <f t="shared" ref="AF634:AG634" ca="1" si="711">AD634/U634</f>
        <v>#REF!</v>
      </c>
      <c r="AG634" s="235" t="str">
        <f t="shared" ca="1" si="711"/>
        <v>#REF!</v>
      </c>
      <c r="AH634" s="212"/>
      <c r="AI634" s="213"/>
      <c r="AJ634" s="4"/>
      <c r="AK634" s="4"/>
      <c r="AL634" s="4"/>
      <c r="AM634" s="4"/>
      <c r="AN634" s="4"/>
      <c r="AO634" s="4"/>
      <c r="AP634" s="4"/>
      <c r="AQ634" s="4"/>
      <c r="AR634" s="4"/>
      <c r="AS634" s="4"/>
      <c r="AT634" s="4"/>
      <c r="AU634" s="4"/>
    </row>
    <row r="635" spans="1:47" ht="13.2">
      <c r="A635" s="120"/>
      <c r="B635" s="113"/>
      <c r="C635" s="117"/>
      <c r="D635" s="117"/>
      <c r="E635" s="117"/>
      <c r="F635" s="123"/>
      <c r="G635" s="93" t="s">
        <v>145</v>
      </c>
      <c r="H635" s="125"/>
      <c r="I635" s="125"/>
      <c r="J635" s="82" t="str">
        <f t="shared" ca="1" si="147"/>
        <v>#REF!</v>
      </c>
      <c r="K635" s="82" t="str">
        <f t="shared" ca="1" si="256"/>
        <v>#REF!</v>
      </c>
      <c r="L635" s="82" t="str">
        <f t="shared" ca="1" si="199"/>
        <v>#REF!</v>
      </c>
      <c r="M635" s="125"/>
      <c r="N635" s="125"/>
      <c r="O635" s="230">
        <f t="shared" si="2"/>
        <v>0</v>
      </c>
      <c r="P635" s="231">
        <f t="shared" si="3"/>
        <v>0</v>
      </c>
      <c r="Q635" s="232" t="str">
        <f ca="1">ROUNDUP(HLOOKUP(IF(CEILING(L635,0.5)&lt;1,1,CEILING(L635,0.5)),'배송비 조회'!A$32:AY$36,2,0),-2)</f>
        <v>#REF!</v>
      </c>
      <c r="R635" s="232">
        <v>0</v>
      </c>
      <c r="S635" s="231" t="str">
        <f t="shared" ca="1" si="250"/>
        <v>#REF!</v>
      </c>
      <c r="T635" s="231" t="str">
        <f t="shared" ca="1" si="200"/>
        <v>#REF!</v>
      </c>
      <c r="U635" s="233" t="str">
        <f t="shared" ca="1" si="142"/>
        <v>#REF!</v>
      </c>
      <c r="V635" s="233" t="str">
        <f t="shared" ca="1" si="7"/>
        <v>#REF!</v>
      </c>
      <c r="W635" s="234">
        <v>0</v>
      </c>
      <c r="X635" s="234" t="str">
        <f t="shared" ca="1" si="8"/>
        <v>#REF!</v>
      </c>
      <c r="Y635" s="234" t="str">
        <f t="shared" ca="1" si="9"/>
        <v>#REF!</v>
      </c>
      <c r="Z635" s="234" t="str">
        <f t="shared" ca="1" si="10"/>
        <v>#REF!</v>
      </c>
      <c r="AA635" s="234" t="str">
        <f t="shared" ca="1" si="11"/>
        <v>#REF!</v>
      </c>
      <c r="AB635" s="234" t="str">
        <f t="shared" ca="1" si="12"/>
        <v>#REF!</v>
      </c>
      <c r="AC635" s="234" t="str">
        <f t="shared" ca="1" si="13"/>
        <v>#REF!</v>
      </c>
      <c r="AD635" s="101" t="str">
        <f t="shared" ca="1" si="14"/>
        <v>#REF!</v>
      </c>
      <c r="AE635" s="101" t="str">
        <f t="shared" ca="1" si="15"/>
        <v>#REF!</v>
      </c>
      <c r="AF635" s="235" t="str">
        <f t="shared" ref="AF635:AG635" ca="1" si="712">AD635/U635</f>
        <v>#REF!</v>
      </c>
      <c r="AG635" s="235" t="str">
        <f t="shared" ca="1" si="712"/>
        <v>#REF!</v>
      </c>
      <c r="AH635" s="212"/>
      <c r="AI635" s="213"/>
      <c r="AJ635" s="4"/>
      <c r="AK635" s="4"/>
      <c r="AL635" s="4"/>
      <c r="AM635" s="4"/>
      <c r="AN635" s="4"/>
      <c r="AO635" s="4"/>
      <c r="AP635" s="4"/>
      <c r="AQ635" s="4"/>
      <c r="AR635" s="4"/>
      <c r="AS635" s="4"/>
      <c r="AT635" s="4"/>
      <c r="AU635" s="4"/>
    </row>
    <row r="636" spans="1:47" ht="13.2">
      <c r="A636" s="120"/>
      <c r="B636" s="113"/>
      <c r="C636" s="117"/>
      <c r="D636" s="117"/>
      <c r="E636" s="117"/>
      <c r="F636" s="123"/>
      <c r="G636" s="93" t="s">
        <v>145</v>
      </c>
      <c r="H636" s="125"/>
      <c r="I636" s="125"/>
      <c r="J636" s="82" t="str">
        <f t="shared" ca="1" si="147"/>
        <v>#REF!</v>
      </c>
      <c r="K636" s="82" t="str">
        <f t="shared" ca="1" si="256"/>
        <v>#REF!</v>
      </c>
      <c r="L636" s="82" t="str">
        <f t="shared" ca="1" si="199"/>
        <v>#REF!</v>
      </c>
      <c r="M636" s="125"/>
      <c r="N636" s="125"/>
      <c r="O636" s="230">
        <f t="shared" si="2"/>
        <v>0</v>
      </c>
      <c r="P636" s="231">
        <f t="shared" si="3"/>
        <v>0</v>
      </c>
      <c r="Q636" s="232" t="str">
        <f ca="1">ROUNDUP(HLOOKUP(IF(CEILING(L636,0.5)&lt;1,1,CEILING(L636,0.5)),'배송비 조회'!A$32:AY$36,2,0),-2)</f>
        <v>#REF!</v>
      </c>
      <c r="R636" s="232">
        <v>0</v>
      </c>
      <c r="S636" s="231" t="str">
        <f t="shared" ca="1" si="250"/>
        <v>#REF!</v>
      </c>
      <c r="T636" s="231" t="str">
        <f t="shared" ca="1" si="200"/>
        <v>#REF!</v>
      </c>
      <c r="U636" s="233" t="str">
        <f t="shared" ca="1" si="142"/>
        <v>#REF!</v>
      </c>
      <c r="V636" s="233" t="str">
        <f t="shared" ca="1" si="7"/>
        <v>#REF!</v>
      </c>
      <c r="W636" s="234">
        <v>0</v>
      </c>
      <c r="X636" s="234" t="str">
        <f t="shared" ca="1" si="8"/>
        <v>#REF!</v>
      </c>
      <c r="Y636" s="234" t="str">
        <f t="shared" ca="1" si="9"/>
        <v>#REF!</v>
      </c>
      <c r="Z636" s="234" t="str">
        <f t="shared" ca="1" si="10"/>
        <v>#REF!</v>
      </c>
      <c r="AA636" s="234" t="str">
        <f t="shared" ca="1" si="11"/>
        <v>#REF!</v>
      </c>
      <c r="AB636" s="234" t="str">
        <f t="shared" ca="1" si="12"/>
        <v>#REF!</v>
      </c>
      <c r="AC636" s="234" t="str">
        <f t="shared" ca="1" si="13"/>
        <v>#REF!</v>
      </c>
      <c r="AD636" s="101" t="str">
        <f t="shared" ca="1" si="14"/>
        <v>#REF!</v>
      </c>
      <c r="AE636" s="101" t="str">
        <f t="shared" ca="1" si="15"/>
        <v>#REF!</v>
      </c>
      <c r="AF636" s="235" t="str">
        <f t="shared" ref="AF636:AG636" ca="1" si="713">AD636/U636</f>
        <v>#REF!</v>
      </c>
      <c r="AG636" s="235" t="str">
        <f t="shared" ca="1" si="713"/>
        <v>#REF!</v>
      </c>
      <c r="AH636" s="212"/>
      <c r="AI636" s="213"/>
      <c r="AJ636" s="4"/>
      <c r="AK636" s="4"/>
      <c r="AL636" s="4"/>
      <c r="AM636" s="4"/>
      <c r="AN636" s="4"/>
      <c r="AO636" s="4"/>
      <c r="AP636" s="4"/>
      <c r="AQ636" s="4"/>
      <c r="AR636" s="4"/>
      <c r="AS636" s="4"/>
      <c r="AT636" s="4"/>
      <c r="AU636" s="4"/>
    </row>
    <row r="637" spans="1:47" ht="13.2">
      <c r="A637" s="120"/>
      <c r="B637" s="113"/>
      <c r="C637" s="117"/>
      <c r="D637" s="117"/>
      <c r="E637" s="117"/>
      <c r="F637" s="123"/>
      <c r="G637" s="93" t="s">
        <v>145</v>
      </c>
      <c r="H637" s="125"/>
      <c r="I637" s="125"/>
      <c r="J637" s="82" t="str">
        <f t="shared" ca="1" si="147"/>
        <v>#REF!</v>
      </c>
      <c r="K637" s="82" t="str">
        <f t="shared" ca="1" si="256"/>
        <v>#REF!</v>
      </c>
      <c r="L637" s="82" t="str">
        <f t="shared" ca="1" si="199"/>
        <v>#REF!</v>
      </c>
      <c r="M637" s="125"/>
      <c r="N637" s="125"/>
      <c r="O637" s="230">
        <f t="shared" si="2"/>
        <v>0</v>
      </c>
      <c r="P637" s="231">
        <f t="shared" si="3"/>
        <v>0</v>
      </c>
      <c r="Q637" s="232" t="str">
        <f ca="1">ROUNDUP(HLOOKUP(IF(CEILING(L637,0.5)&lt;1,1,CEILING(L637,0.5)),'배송비 조회'!A$32:AY$36,2,0),-2)</f>
        <v>#REF!</v>
      </c>
      <c r="R637" s="232">
        <v>0</v>
      </c>
      <c r="S637" s="231" t="str">
        <f t="shared" ca="1" si="250"/>
        <v>#REF!</v>
      </c>
      <c r="T637" s="231" t="str">
        <f t="shared" ca="1" si="200"/>
        <v>#REF!</v>
      </c>
      <c r="U637" s="233" t="str">
        <f t="shared" ca="1" si="142"/>
        <v>#REF!</v>
      </c>
      <c r="V637" s="233" t="str">
        <f t="shared" ca="1" si="7"/>
        <v>#REF!</v>
      </c>
      <c r="W637" s="234">
        <v>0</v>
      </c>
      <c r="X637" s="234" t="str">
        <f t="shared" ca="1" si="8"/>
        <v>#REF!</v>
      </c>
      <c r="Y637" s="234" t="str">
        <f t="shared" ca="1" si="9"/>
        <v>#REF!</v>
      </c>
      <c r="Z637" s="234" t="str">
        <f t="shared" ca="1" si="10"/>
        <v>#REF!</v>
      </c>
      <c r="AA637" s="234" t="str">
        <f t="shared" ca="1" si="11"/>
        <v>#REF!</v>
      </c>
      <c r="AB637" s="234" t="str">
        <f t="shared" ca="1" si="12"/>
        <v>#REF!</v>
      </c>
      <c r="AC637" s="234" t="str">
        <f t="shared" ca="1" si="13"/>
        <v>#REF!</v>
      </c>
      <c r="AD637" s="101" t="str">
        <f t="shared" ca="1" si="14"/>
        <v>#REF!</v>
      </c>
      <c r="AE637" s="101" t="str">
        <f t="shared" ca="1" si="15"/>
        <v>#REF!</v>
      </c>
      <c r="AF637" s="235" t="str">
        <f t="shared" ref="AF637:AG637" ca="1" si="714">AD637/U637</f>
        <v>#REF!</v>
      </c>
      <c r="AG637" s="235" t="str">
        <f t="shared" ca="1" si="714"/>
        <v>#REF!</v>
      </c>
      <c r="AH637" s="212"/>
      <c r="AI637" s="213"/>
      <c r="AJ637" s="4"/>
      <c r="AK637" s="4"/>
      <c r="AL637" s="4"/>
      <c r="AM637" s="4"/>
      <c r="AN637" s="4"/>
      <c r="AO637" s="4"/>
      <c r="AP637" s="4"/>
      <c r="AQ637" s="4"/>
      <c r="AR637" s="4"/>
      <c r="AS637" s="4"/>
      <c r="AT637" s="4"/>
      <c r="AU637" s="4"/>
    </row>
    <row r="638" spans="1:47" ht="13.2">
      <c r="A638" s="120"/>
      <c r="B638" s="113"/>
      <c r="C638" s="117"/>
      <c r="D638" s="117"/>
      <c r="E638" s="117"/>
      <c r="F638" s="123"/>
      <c r="G638" s="93" t="s">
        <v>145</v>
      </c>
      <c r="H638" s="125"/>
      <c r="I638" s="125"/>
      <c r="J638" s="82" t="str">
        <f t="shared" ca="1" si="147"/>
        <v>#REF!</v>
      </c>
      <c r="K638" s="82" t="str">
        <f t="shared" ca="1" si="256"/>
        <v>#REF!</v>
      </c>
      <c r="L638" s="82" t="str">
        <f t="shared" ca="1" si="199"/>
        <v>#REF!</v>
      </c>
      <c r="M638" s="125"/>
      <c r="N638" s="125"/>
      <c r="O638" s="230">
        <f t="shared" si="2"/>
        <v>0</v>
      </c>
      <c r="P638" s="231">
        <f t="shared" si="3"/>
        <v>0</v>
      </c>
      <c r="Q638" s="232" t="str">
        <f ca="1">ROUNDUP(HLOOKUP(IF(CEILING(L638,0.5)&lt;1,1,CEILING(L638,0.5)),'배송비 조회'!A$32:AY$36,2,0),-2)</f>
        <v>#REF!</v>
      </c>
      <c r="R638" s="232">
        <v>0</v>
      </c>
      <c r="S638" s="231" t="str">
        <f t="shared" ca="1" si="250"/>
        <v>#REF!</v>
      </c>
      <c r="T638" s="231" t="str">
        <f t="shared" ca="1" si="200"/>
        <v>#REF!</v>
      </c>
      <c r="U638" s="233" t="str">
        <f t="shared" ca="1" si="142"/>
        <v>#REF!</v>
      </c>
      <c r="V638" s="233" t="str">
        <f t="shared" ca="1" si="7"/>
        <v>#REF!</v>
      </c>
      <c r="W638" s="234">
        <v>0</v>
      </c>
      <c r="X638" s="234" t="str">
        <f t="shared" ca="1" si="8"/>
        <v>#REF!</v>
      </c>
      <c r="Y638" s="234" t="str">
        <f t="shared" ca="1" si="9"/>
        <v>#REF!</v>
      </c>
      <c r="Z638" s="234" t="str">
        <f t="shared" ca="1" si="10"/>
        <v>#REF!</v>
      </c>
      <c r="AA638" s="234" t="str">
        <f t="shared" ca="1" si="11"/>
        <v>#REF!</v>
      </c>
      <c r="AB638" s="234" t="str">
        <f t="shared" ca="1" si="12"/>
        <v>#REF!</v>
      </c>
      <c r="AC638" s="234" t="str">
        <f t="shared" ca="1" si="13"/>
        <v>#REF!</v>
      </c>
      <c r="AD638" s="101" t="str">
        <f t="shared" ca="1" si="14"/>
        <v>#REF!</v>
      </c>
      <c r="AE638" s="101" t="str">
        <f t="shared" ca="1" si="15"/>
        <v>#REF!</v>
      </c>
      <c r="AF638" s="235" t="str">
        <f t="shared" ref="AF638:AG638" ca="1" si="715">AD638/U638</f>
        <v>#REF!</v>
      </c>
      <c r="AG638" s="235" t="str">
        <f t="shared" ca="1" si="715"/>
        <v>#REF!</v>
      </c>
      <c r="AH638" s="212"/>
      <c r="AI638" s="213"/>
      <c r="AJ638" s="4"/>
      <c r="AK638" s="4"/>
      <c r="AL638" s="4"/>
      <c r="AM638" s="4"/>
      <c r="AN638" s="4"/>
      <c r="AO638" s="4"/>
      <c r="AP638" s="4"/>
      <c r="AQ638" s="4"/>
      <c r="AR638" s="4"/>
      <c r="AS638" s="4"/>
      <c r="AT638" s="4"/>
      <c r="AU638" s="4"/>
    </row>
    <row r="639" spans="1:47" ht="13.2">
      <c r="A639" s="120"/>
      <c r="B639" s="113"/>
      <c r="C639" s="117"/>
      <c r="D639" s="117"/>
      <c r="E639" s="117"/>
      <c r="F639" s="123"/>
      <c r="G639" s="93" t="s">
        <v>145</v>
      </c>
      <c r="H639" s="125"/>
      <c r="I639" s="125"/>
      <c r="J639" s="82" t="str">
        <f t="shared" ca="1" si="147"/>
        <v>#REF!</v>
      </c>
      <c r="K639" s="82" t="str">
        <f t="shared" ca="1" si="256"/>
        <v>#REF!</v>
      </c>
      <c r="L639" s="82" t="str">
        <f t="shared" ca="1" si="199"/>
        <v>#REF!</v>
      </c>
      <c r="M639" s="125"/>
      <c r="N639" s="125"/>
      <c r="O639" s="230">
        <f t="shared" si="2"/>
        <v>0</v>
      </c>
      <c r="P639" s="231">
        <f t="shared" si="3"/>
        <v>0</v>
      </c>
      <c r="Q639" s="232" t="str">
        <f ca="1">ROUNDUP(HLOOKUP(IF(CEILING(L639,0.5)&lt;1,1,CEILING(L639,0.5)),'배송비 조회'!A$32:AY$36,2,0),-2)</f>
        <v>#REF!</v>
      </c>
      <c r="R639" s="232">
        <v>0</v>
      </c>
      <c r="S639" s="231" t="str">
        <f t="shared" ca="1" si="250"/>
        <v>#REF!</v>
      </c>
      <c r="T639" s="231" t="str">
        <f t="shared" ca="1" si="200"/>
        <v>#REF!</v>
      </c>
      <c r="U639" s="233" t="str">
        <f t="shared" ca="1" si="142"/>
        <v>#REF!</v>
      </c>
      <c r="V639" s="233" t="str">
        <f t="shared" ca="1" si="7"/>
        <v>#REF!</v>
      </c>
      <c r="W639" s="234">
        <v>0</v>
      </c>
      <c r="X639" s="234" t="str">
        <f t="shared" ca="1" si="8"/>
        <v>#REF!</v>
      </c>
      <c r="Y639" s="234" t="str">
        <f t="shared" ca="1" si="9"/>
        <v>#REF!</v>
      </c>
      <c r="Z639" s="234" t="str">
        <f t="shared" ca="1" si="10"/>
        <v>#REF!</v>
      </c>
      <c r="AA639" s="234" t="str">
        <f t="shared" ca="1" si="11"/>
        <v>#REF!</v>
      </c>
      <c r="AB639" s="234" t="str">
        <f t="shared" ca="1" si="12"/>
        <v>#REF!</v>
      </c>
      <c r="AC639" s="234" t="str">
        <f t="shared" ca="1" si="13"/>
        <v>#REF!</v>
      </c>
      <c r="AD639" s="101" t="str">
        <f t="shared" ca="1" si="14"/>
        <v>#REF!</v>
      </c>
      <c r="AE639" s="101" t="str">
        <f t="shared" ca="1" si="15"/>
        <v>#REF!</v>
      </c>
      <c r="AF639" s="235" t="str">
        <f t="shared" ref="AF639:AG639" ca="1" si="716">AD639/U639</f>
        <v>#REF!</v>
      </c>
      <c r="AG639" s="235" t="str">
        <f t="shared" ca="1" si="716"/>
        <v>#REF!</v>
      </c>
      <c r="AH639" s="212"/>
      <c r="AI639" s="213"/>
      <c r="AJ639" s="4"/>
      <c r="AK639" s="4"/>
      <c r="AL639" s="4"/>
      <c r="AM639" s="4"/>
      <c r="AN639" s="4"/>
      <c r="AO639" s="4"/>
      <c r="AP639" s="4"/>
      <c r="AQ639" s="4"/>
      <c r="AR639" s="4"/>
      <c r="AS639" s="4"/>
      <c r="AT639" s="4"/>
      <c r="AU639" s="4"/>
    </row>
    <row r="640" spans="1:47" ht="13.2">
      <c r="A640" s="120"/>
      <c r="B640" s="113"/>
      <c r="C640" s="117"/>
      <c r="D640" s="117"/>
      <c r="E640" s="117"/>
      <c r="F640" s="123"/>
      <c r="G640" s="93" t="s">
        <v>145</v>
      </c>
      <c r="H640" s="125"/>
      <c r="I640" s="125"/>
      <c r="J640" s="82" t="str">
        <f t="shared" ca="1" si="147"/>
        <v>#REF!</v>
      </c>
      <c r="K640" s="82" t="str">
        <f t="shared" ca="1" si="256"/>
        <v>#REF!</v>
      </c>
      <c r="L640" s="82" t="str">
        <f t="shared" ca="1" si="199"/>
        <v>#REF!</v>
      </c>
      <c r="M640" s="125"/>
      <c r="N640" s="125"/>
      <c r="O640" s="230">
        <f t="shared" si="2"/>
        <v>0</v>
      </c>
      <c r="P640" s="231">
        <f t="shared" si="3"/>
        <v>0</v>
      </c>
      <c r="Q640" s="232" t="str">
        <f ca="1">ROUNDUP(HLOOKUP(IF(CEILING(L640,0.5)&lt;1,1,CEILING(L640,0.5)),'배송비 조회'!A$32:AY$36,2,0),-2)</f>
        <v>#REF!</v>
      </c>
      <c r="R640" s="232">
        <v>0</v>
      </c>
      <c r="S640" s="231" t="str">
        <f t="shared" ca="1" si="250"/>
        <v>#REF!</v>
      </c>
      <c r="T640" s="231" t="str">
        <f t="shared" ca="1" si="200"/>
        <v>#REF!</v>
      </c>
      <c r="U640" s="233" t="str">
        <f t="shared" ca="1" si="142"/>
        <v>#REF!</v>
      </c>
      <c r="V640" s="233" t="str">
        <f t="shared" ca="1" si="7"/>
        <v>#REF!</v>
      </c>
      <c r="W640" s="234">
        <v>0</v>
      </c>
      <c r="X640" s="234" t="str">
        <f t="shared" ca="1" si="8"/>
        <v>#REF!</v>
      </c>
      <c r="Y640" s="234" t="str">
        <f t="shared" ca="1" si="9"/>
        <v>#REF!</v>
      </c>
      <c r="Z640" s="234" t="str">
        <f t="shared" ca="1" si="10"/>
        <v>#REF!</v>
      </c>
      <c r="AA640" s="234" t="str">
        <f t="shared" ca="1" si="11"/>
        <v>#REF!</v>
      </c>
      <c r="AB640" s="234" t="str">
        <f t="shared" ca="1" si="12"/>
        <v>#REF!</v>
      </c>
      <c r="AC640" s="234" t="str">
        <f t="shared" ca="1" si="13"/>
        <v>#REF!</v>
      </c>
      <c r="AD640" s="101" t="str">
        <f t="shared" ca="1" si="14"/>
        <v>#REF!</v>
      </c>
      <c r="AE640" s="101" t="str">
        <f t="shared" ca="1" si="15"/>
        <v>#REF!</v>
      </c>
      <c r="AF640" s="235" t="str">
        <f t="shared" ref="AF640:AG640" ca="1" si="717">AD640/U640</f>
        <v>#REF!</v>
      </c>
      <c r="AG640" s="235" t="str">
        <f t="shared" ca="1" si="717"/>
        <v>#REF!</v>
      </c>
      <c r="AH640" s="212"/>
      <c r="AI640" s="213"/>
      <c r="AJ640" s="4"/>
      <c r="AK640" s="4"/>
      <c r="AL640" s="4"/>
      <c r="AM640" s="4"/>
      <c r="AN640" s="4"/>
      <c r="AO640" s="4"/>
      <c r="AP640" s="4"/>
      <c r="AQ640" s="4"/>
      <c r="AR640" s="4"/>
      <c r="AS640" s="4"/>
      <c r="AT640" s="4"/>
      <c r="AU640" s="4"/>
    </row>
    <row r="641" spans="1:47" ht="13.2">
      <c r="A641" s="120"/>
      <c r="B641" s="113"/>
      <c r="C641" s="117"/>
      <c r="D641" s="117"/>
      <c r="E641" s="117"/>
      <c r="F641" s="123"/>
      <c r="G641" s="93" t="s">
        <v>145</v>
      </c>
      <c r="H641" s="125"/>
      <c r="I641" s="125"/>
      <c r="J641" s="82" t="str">
        <f t="shared" ca="1" si="147"/>
        <v>#REF!</v>
      </c>
      <c r="K641" s="82" t="str">
        <f t="shared" ca="1" si="256"/>
        <v>#REF!</v>
      </c>
      <c r="L641" s="82" t="str">
        <f t="shared" ca="1" si="199"/>
        <v>#REF!</v>
      </c>
      <c r="M641" s="125"/>
      <c r="N641" s="125"/>
      <c r="O641" s="230">
        <f t="shared" si="2"/>
        <v>0</v>
      </c>
      <c r="P641" s="231">
        <f t="shared" si="3"/>
        <v>0</v>
      </c>
      <c r="Q641" s="232" t="str">
        <f ca="1">ROUNDUP(HLOOKUP(IF(CEILING(L641,0.5)&lt;1,1,CEILING(L641,0.5)),'배송비 조회'!A$32:AY$36,2,0),-2)</f>
        <v>#REF!</v>
      </c>
      <c r="R641" s="232">
        <v>0</v>
      </c>
      <c r="S641" s="231" t="str">
        <f t="shared" ca="1" si="250"/>
        <v>#REF!</v>
      </c>
      <c r="T641" s="231" t="str">
        <f t="shared" ca="1" si="200"/>
        <v>#REF!</v>
      </c>
      <c r="U641" s="233" t="str">
        <f t="shared" ca="1" si="142"/>
        <v>#REF!</v>
      </c>
      <c r="V641" s="233" t="str">
        <f t="shared" ca="1" si="7"/>
        <v>#REF!</v>
      </c>
      <c r="W641" s="234">
        <v>0</v>
      </c>
      <c r="X641" s="234" t="str">
        <f t="shared" ca="1" si="8"/>
        <v>#REF!</v>
      </c>
      <c r="Y641" s="234" t="str">
        <f t="shared" ca="1" si="9"/>
        <v>#REF!</v>
      </c>
      <c r="Z641" s="234" t="str">
        <f t="shared" ca="1" si="10"/>
        <v>#REF!</v>
      </c>
      <c r="AA641" s="234" t="str">
        <f t="shared" ca="1" si="11"/>
        <v>#REF!</v>
      </c>
      <c r="AB641" s="234" t="str">
        <f t="shared" ca="1" si="12"/>
        <v>#REF!</v>
      </c>
      <c r="AC641" s="234" t="str">
        <f t="shared" ca="1" si="13"/>
        <v>#REF!</v>
      </c>
      <c r="AD641" s="101" t="str">
        <f t="shared" ca="1" si="14"/>
        <v>#REF!</v>
      </c>
      <c r="AE641" s="101" t="str">
        <f t="shared" ca="1" si="15"/>
        <v>#REF!</v>
      </c>
      <c r="AF641" s="235" t="str">
        <f t="shared" ref="AF641:AG641" ca="1" si="718">AD641/U641</f>
        <v>#REF!</v>
      </c>
      <c r="AG641" s="235" t="str">
        <f t="shared" ca="1" si="718"/>
        <v>#REF!</v>
      </c>
      <c r="AH641" s="212"/>
      <c r="AI641" s="213"/>
      <c r="AJ641" s="4"/>
      <c r="AK641" s="4"/>
      <c r="AL641" s="4"/>
      <c r="AM641" s="4"/>
      <c r="AN641" s="4"/>
      <c r="AO641" s="4"/>
      <c r="AP641" s="4"/>
      <c r="AQ641" s="4"/>
      <c r="AR641" s="4"/>
      <c r="AS641" s="4"/>
      <c r="AT641" s="4"/>
      <c r="AU641" s="4"/>
    </row>
    <row r="642" spans="1:47" ht="13.2">
      <c r="A642" s="120"/>
      <c r="B642" s="113"/>
      <c r="C642" s="117"/>
      <c r="D642" s="117"/>
      <c r="E642" s="117"/>
      <c r="F642" s="123"/>
      <c r="G642" s="93" t="s">
        <v>145</v>
      </c>
      <c r="H642" s="125"/>
      <c r="I642" s="125"/>
      <c r="J642" s="82" t="str">
        <f t="shared" ca="1" si="147"/>
        <v>#REF!</v>
      </c>
      <c r="K642" s="82" t="str">
        <f t="shared" ca="1" si="256"/>
        <v>#REF!</v>
      </c>
      <c r="L642" s="82" t="str">
        <f t="shared" ca="1" si="199"/>
        <v>#REF!</v>
      </c>
      <c r="M642" s="125"/>
      <c r="N642" s="125"/>
      <c r="O642" s="230">
        <f t="shared" si="2"/>
        <v>0</v>
      </c>
      <c r="P642" s="231">
        <f t="shared" si="3"/>
        <v>0</v>
      </c>
      <c r="Q642" s="232" t="str">
        <f ca="1">ROUNDUP(HLOOKUP(IF(CEILING(L642,0.5)&lt;1,1,CEILING(L642,0.5)),'배송비 조회'!A$32:AY$36,2,0),-2)</f>
        <v>#REF!</v>
      </c>
      <c r="R642" s="232">
        <v>0</v>
      </c>
      <c r="S642" s="231" t="str">
        <f t="shared" ca="1" si="250"/>
        <v>#REF!</v>
      </c>
      <c r="T642" s="231" t="str">
        <f t="shared" ca="1" si="200"/>
        <v>#REF!</v>
      </c>
      <c r="U642" s="233" t="str">
        <f t="shared" ca="1" si="142"/>
        <v>#REF!</v>
      </c>
      <c r="V642" s="233" t="str">
        <f t="shared" ca="1" si="7"/>
        <v>#REF!</v>
      </c>
      <c r="W642" s="234">
        <v>0</v>
      </c>
      <c r="X642" s="234" t="str">
        <f t="shared" ca="1" si="8"/>
        <v>#REF!</v>
      </c>
      <c r="Y642" s="234" t="str">
        <f t="shared" ca="1" si="9"/>
        <v>#REF!</v>
      </c>
      <c r="Z642" s="234" t="str">
        <f t="shared" ca="1" si="10"/>
        <v>#REF!</v>
      </c>
      <c r="AA642" s="234" t="str">
        <f t="shared" ca="1" si="11"/>
        <v>#REF!</v>
      </c>
      <c r="AB642" s="234" t="str">
        <f t="shared" ca="1" si="12"/>
        <v>#REF!</v>
      </c>
      <c r="AC642" s="234" t="str">
        <f t="shared" ca="1" si="13"/>
        <v>#REF!</v>
      </c>
      <c r="AD642" s="101" t="str">
        <f t="shared" ca="1" si="14"/>
        <v>#REF!</v>
      </c>
      <c r="AE642" s="101" t="str">
        <f t="shared" ca="1" si="15"/>
        <v>#REF!</v>
      </c>
      <c r="AF642" s="235" t="str">
        <f t="shared" ref="AF642:AG642" ca="1" si="719">AD642/U642</f>
        <v>#REF!</v>
      </c>
      <c r="AG642" s="235" t="str">
        <f t="shared" ca="1" si="719"/>
        <v>#REF!</v>
      </c>
      <c r="AH642" s="212"/>
      <c r="AI642" s="213"/>
      <c r="AJ642" s="4"/>
      <c r="AK642" s="4"/>
      <c r="AL642" s="4"/>
      <c r="AM642" s="4"/>
      <c r="AN642" s="4"/>
      <c r="AO642" s="4"/>
      <c r="AP642" s="4"/>
      <c r="AQ642" s="4"/>
      <c r="AR642" s="4"/>
      <c r="AS642" s="4"/>
      <c r="AT642" s="4"/>
      <c r="AU642" s="4"/>
    </row>
    <row r="643" spans="1:47" ht="13.2">
      <c r="A643" s="120"/>
      <c r="B643" s="113"/>
      <c r="C643" s="117"/>
      <c r="D643" s="117"/>
      <c r="E643" s="117"/>
      <c r="F643" s="123"/>
      <c r="G643" s="93" t="s">
        <v>145</v>
      </c>
      <c r="H643" s="125"/>
      <c r="I643" s="125"/>
      <c r="J643" s="82" t="str">
        <f t="shared" ca="1" si="147"/>
        <v>#REF!</v>
      </c>
      <c r="K643" s="82" t="str">
        <f t="shared" ca="1" si="256"/>
        <v>#REF!</v>
      </c>
      <c r="L643" s="82" t="str">
        <f t="shared" ca="1" si="199"/>
        <v>#REF!</v>
      </c>
      <c r="M643" s="125"/>
      <c r="N643" s="125"/>
      <c r="O643" s="230">
        <f t="shared" si="2"/>
        <v>0</v>
      </c>
      <c r="P643" s="231">
        <f t="shared" si="3"/>
        <v>0</v>
      </c>
      <c r="Q643" s="232" t="str">
        <f ca="1">ROUNDUP(HLOOKUP(IF(CEILING(L643,0.5)&lt;1,1,CEILING(L643,0.5)),'배송비 조회'!A$32:AY$36,2,0),-2)</f>
        <v>#REF!</v>
      </c>
      <c r="R643" s="232">
        <v>0</v>
      </c>
      <c r="S643" s="231" t="str">
        <f t="shared" ca="1" si="250"/>
        <v>#REF!</v>
      </c>
      <c r="T643" s="231" t="str">
        <f t="shared" ca="1" si="200"/>
        <v>#REF!</v>
      </c>
      <c r="U643" s="233" t="str">
        <f t="shared" ca="1" si="142"/>
        <v>#REF!</v>
      </c>
      <c r="V643" s="233" t="str">
        <f t="shared" ca="1" si="7"/>
        <v>#REF!</v>
      </c>
      <c r="W643" s="234">
        <v>0</v>
      </c>
      <c r="X643" s="234" t="str">
        <f t="shared" ca="1" si="8"/>
        <v>#REF!</v>
      </c>
      <c r="Y643" s="234" t="str">
        <f t="shared" ca="1" si="9"/>
        <v>#REF!</v>
      </c>
      <c r="Z643" s="234" t="str">
        <f t="shared" ca="1" si="10"/>
        <v>#REF!</v>
      </c>
      <c r="AA643" s="234" t="str">
        <f t="shared" ca="1" si="11"/>
        <v>#REF!</v>
      </c>
      <c r="AB643" s="234" t="str">
        <f t="shared" ca="1" si="12"/>
        <v>#REF!</v>
      </c>
      <c r="AC643" s="234" t="str">
        <f t="shared" ca="1" si="13"/>
        <v>#REF!</v>
      </c>
      <c r="AD643" s="101" t="str">
        <f t="shared" ca="1" si="14"/>
        <v>#REF!</v>
      </c>
      <c r="AE643" s="101" t="str">
        <f t="shared" ca="1" si="15"/>
        <v>#REF!</v>
      </c>
      <c r="AF643" s="235" t="str">
        <f t="shared" ref="AF643:AG643" ca="1" si="720">AD643/U643</f>
        <v>#REF!</v>
      </c>
      <c r="AG643" s="235" t="str">
        <f t="shared" ca="1" si="720"/>
        <v>#REF!</v>
      </c>
      <c r="AH643" s="212"/>
      <c r="AI643" s="213"/>
      <c r="AJ643" s="4"/>
      <c r="AK643" s="4"/>
      <c r="AL643" s="4"/>
      <c r="AM643" s="4"/>
      <c r="AN643" s="4"/>
      <c r="AO643" s="4"/>
      <c r="AP643" s="4"/>
      <c r="AQ643" s="4"/>
      <c r="AR643" s="4"/>
      <c r="AS643" s="4"/>
      <c r="AT643" s="4"/>
      <c r="AU643" s="4"/>
    </row>
    <row r="644" spans="1:47" ht="13.2">
      <c r="A644" s="120"/>
      <c r="B644" s="113"/>
      <c r="C644" s="117"/>
      <c r="D644" s="117"/>
      <c r="E644" s="117"/>
      <c r="F644" s="123"/>
      <c r="G644" s="93" t="s">
        <v>145</v>
      </c>
      <c r="H644" s="125"/>
      <c r="I644" s="125"/>
      <c r="J644" s="82" t="str">
        <f t="shared" ca="1" si="147"/>
        <v>#REF!</v>
      </c>
      <c r="K644" s="82" t="str">
        <f t="shared" ca="1" si="256"/>
        <v>#REF!</v>
      </c>
      <c r="L644" s="82" t="str">
        <f t="shared" ca="1" si="199"/>
        <v>#REF!</v>
      </c>
      <c r="M644" s="125"/>
      <c r="N644" s="125"/>
      <c r="O644" s="230">
        <f t="shared" si="2"/>
        <v>0</v>
      </c>
      <c r="P644" s="231">
        <f t="shared" si="3"/>
        <v>0</v>
      </c>
      <c r="Q644" s="232" t="str">
        <f ca="1">ROUNDUP(HLOOKUP(IF(CEILING(L644,0.5)&lt;1,1,CEILING(L644,0.5)),'배송비 조회'!A$32:AY$36,2,0),-2)</f>
        <v>#REF!</v>
      </c>
      <c r="R644" s="232">
        <v>0</v>
      </c>
      <c r="S644" s="231" t="str">
        <f t="shared" ca="1" si="250"/>
        <v>#REF!</v>
      </c>
      <c r="T644" s="231" t="str">
        <f t="shared" ca="1" si="200"/>
        <v>#REF!</v>
      </c>
      <c r="U644" s="233" t="str">
        <f t="shared" ca="1" si="142"/>
        <v>#REF!</v>
      </c>
      <c r="V644" s="233" t="str">
        <f t="shared" ca="1" si="7"/>
        <v>#REF!</v>
      </c>
      <c r="W644" s="234">
        <v>0</v>
      </c>
      <c r="X644" s="234" t="str">
        <f t="shared" ca="1" si="8"/>
        <v>#REF!</v>
      </c>
      <c r="Y644" s="234" t="str">
        <f t="shared" ca="1" si="9"/>
        <v>#REF!</v>
      </c>
      <c r="Z644" s="234" t="str">
        <f t="shared" ca="1" si="10"/>
        <v>#REF!</v>
      </c>
      <c r="AA644" s="234" t="str">
        <f t="shared" ca="1" si="11"/>
        <v>#REF!</v>
      </c>
      <c r="AB644" s="234" t="str">
        <f t="shared" ca="1" si="12"/>
        <v>#REF!</v>
      </c>
      <c r="AC644" s="234" t="str">
        <f t="shared" ca="1" si="13"/>
        <v>#REF!</v>
      </c>
      <c r="AD644" s="101" t="str">
        <f t="shared" ca="1" si="14"/>
        <v>#REF!</v>
      </c>
      <c r="AE644" s="101" t="str">
        <f t="shared" ca="1" si="15"/>
        <v>#REF!</v>
      </c>
      <c r="AF644" s="235" t="str">
        <f t="shared" ref="AF644:AG644" ca="1" si="721">AD644/U644</f>
        <v>#REF!</v>
      </c>
      <c r="AG644" s="235" t="str">
        <f t="shared" ca="1" si="721"/>
        <v>#REF!</v>
      </c>
      <c r="AH644" s="212"/>
      <c r="AI644" s="213"/>
      <c r="AJ644" s="4"/>
      <c r="AK644" s="4"/>
      <c r="AL644" s="4"/>
      <c r="AM644" s="4"/>
      <c r="AN644" s="4"/>
      <c r="AO644" s="4"/>
      <c r="AP644" s="4"/>
      <c r="AQ644" s="4"/>
      <c r="AR644" s="4"/>
      <c r="AS644" s="4"/>
      <c r="AT644" s="4"/>
      <c r="AU644" s="4"/>
    </row>
    <row r="645" spans="1:47" ht="13.2">
      <c r="A645" s="120"/>
      <c r="B645" s="113"/>
      <c r="C645" s="117"/>
      <c r="D645" s="117"/>
      <c r="E645" s="117"/>
      <c r="F645" s="123"/>
      <c r="G645" s="93" t="s">
        <v>145</v>
      </c>
      <c r="H645" s="125"/>
      <c r="I645" s="125"/>
      <c r="J645" s="82" t="str">
        <f t="shared" ca="1" si="147"/>
        <v>#REF!</v>
      </c>
      <c r="K645" s="82" t="str">
        <f t="shared" ca="1" si="256"/>
        <v>#REF!</v>
      </c>
      <c r="L645" s="82" t="str">
        <f t="shared" ca="1" si="199"/>
        <v>#REF!</v>
      </c>
      <c r="M645" s="125"/>
      <c r="N645" s="125"/>
      <c r="O645" s="230">
        <f t="shared" si="2"/>
        <v>0</v>
      </c>
      <c r="P645" s="231">
        <f t="shared" si="3"/>
        <v>0</v>
      </c>
      <c r="Q645" s="232" t="str">
        <f ca="1">ROUNDUP(HLOOKUP(IF(CEILING(L645,0.5)&lt;1,1,CEILING(L645,0.5)),'배송비 조회'!A$32:AY$36,2,0),-2)</f>
        <v>#REF!</v>
      </c>
      <c r="R645" s="232">
        <v>0</v>
      </c>
      <c r="S645" s="231" t="str">
        <f t="shared" ca="1" si="250"/>
        <v>#REF!</v>
      </c>
      <c r="T645" s="231" t="str">
        <f t="shared" ca="1" si="200"/>
        <v>#REF!</v>
      </c>
      <c r="U645" s="233" t="str">
        <f t="shared" ca="1" si="142"/>
        <v>#REF!</v>
      </c>
      <c r="V645" s="233" t="str">
        <f t="shared" ca="1" si="7"/>
        <v>#REF!</v>
      </c>
      <c r="W645" s="234">
        <v>0</v>
      </c>
      <c r="X645" s="234" t="str">
        <f t="shared" ca="1" si="8"/>
        <v>#REF!</v>
      </c>
      <c r="Y645" s="234" t="str">
        <f t="shared" ca="1" si="9"/>
        <v>#REF!</v>
      </c>
      <c r="Z645" s="234" t="str">
        <f t="shared" ca="1" si="10"/>
        <v>#REF!</v>
      </c>
      <c r="AA645" s="234" t="str">
        <f t="shared" ca="1" si="11"/>
        <v>#REF!</v>
      </c>
      <c r="AB645" s="234" t="str">
        <f t="shared" ca="1" si="12"/>
        <v>#REF!</v>
      </c>
      <c r="AC645" s="234" t="str">
        <f t="shared" ca="1" si="13"/>
        <v>#REF!</v>
      </c>
      <c r="AD645" s="101" t="str">
        <f t="shared" ca="1" si="14"/>
        <v>#REF!</v>
      </c>
      <c r="AE645" s="101" t="str">
        <f t="shared" ca="1" si="15"/>
        <v>#REF!</v>
      </c>
      <c r="AF645" s="235" t="str">
        <f t="shared" ref="AF645:AG645" ca="1" si="722">AD645/U645</f>
        <v>#REF!</v>
      </c>
      <c r="AG645" s="235" t="str">
        <f t="shared" ca="1" si="722"/>
        <v>#REF!</v>
      </c>
      <c r="AH645" s="212"/>
      <c r="AI645" s="213"/>
      <c r="AJ645" s="4"/>
      <c r="AK645" s="4"/>
      <c r="AL645" s="4"/>
      <c r="AM645" s="4"/>
      <c r="AN645" s="4"/>
      <c r="AO645" s="4"/>
      <c r="AP645" s="4"/>
      <c r="AQ645" s="4"/>
      <c r="AR645" s="4"/>
      <c r="AS645" s="4"/>
      <c r="AT645" s="4"/>
      <c r="AU645" s="4"/>
    </row>
    <row r="646" spans="1:47" ht="13.2">
      <c r="A646" s="120"/>
      <c r="B646" s="113"/>
      <c r="C646" s="117"/>
      <c r="D646" s="117"/>
      <c r="E646" s="117"/>
      <c r="F646" s="123"/>
      <c r="G646" s="93" t="s">
        <v>145</v>
      </c>
      <c r="H646" s="125"/>
      <c r="I646" s="125"/>
      <c r="J646" s="82" t="str">
        <f t="shared" ca="1" si="147"/>
        <v>#REF!</v>
      </c>
      <c r="K646" s="82" t="str">
        <f t="shared" ca="1" si="256"/>
        <v>#REF!</v>
      </c>
      <c r="L646" s="82" t="str">
        <f t="shared" ca="1" si="199"/>
        <v>#REF!</v>
      </c>
      <c r="M646" s="125"/>
      <c r="N646" s="125"/>
      <c r="O646" s="230">
        <f t="shared" si="2"/>
        <v>0</v>
      </c>
      <c r="P646" s="231">
        <f t="shared" si="3"/>
        <v>0</v>
      </c>
      <c r="Q646" s="232" t="str">
        <f ca="1">ROUNDUP(HLOOKUP(IF(CEILING(L646,0.5)&lt;1,1,CEILING(L646,0.5)),'배송비 조회'!A$32:AY$36,2,0),-2)</f>
        <v>#REF!</v>
      </c>
      <c r="R646" s="232">
        <v>0</v>
      </c>
      <c r="S646" s="231" t="str">
        <f t="shared" ca="1" si="250"/>
        <v>#REF!</v>
      </c>
      <c r="T646" s="231" t="str">
        <f t="shared" ca="1" si="200"/>
        <v>#REF!</v>
      </c>
      <c r="U646" s="233" t="str">
        <f t="shared" ca="1" si="142"/>
        <v>#REF!</v>
      </c>
      <c r="V646" s="233" t="str">
        <f t="shared" ca="1" si="7"/>
        <v>#REF!</v>
      </c>
      <c r="W646" s="234">
        <v>0</v>
      </c>
      <c r="X646" s="234" t="str">
        <f t="shared" ca="1" si="8"/>
        <v>#REF!</v>
      </c>
      <c r="Y646" s="234" t="str">
        <f t="shared" ca="1" si="9"/>
        <v>#REF!</v>
      </c>
      <c r="Z646" s="234" t="str">
        <f t="shared" ca="1" si="10"/>
        <v>#REF!</v>
      </c>
      <c r="AA646" s="234" t="str">
        <f t="shared" ca="1" si="11"/>
        <v>#REF!</v>
      </c>
      <c r="AB646" s="234" t="str">
        <f t="shared" ca="1" si="12"/>
        <v>#REF!</v>
      </c>
      <c r="AC646" s="234" t="str">
        <f t="shared" ca="1" si="13"/>
        <v>#REF!</v>
      </c>
      <c r="AD646" s="101" t="str">
        <f t="shared" ca="1" si="14"/>
        <v>#REF!</v>
      </c>
      <c r="AE646" s="101" t="str">
        <f t="shared" ca="1" si="15"/>
        <v>#REF!</v>
      </c>
      <c r="AF646" s="235" t="str">
        <f t="shared" ref="AF646:AG646" ca="1" si="723">AD646/U646</f>
        <v>#REF!</v>
      </c>
      <c r="AG646" s="235" t="str">
        <f t="shared" ca="1" si="723"/>
        <v>#REF!</v>
      </c>
      <c r="AH646" s="212"/>
      <c r="AI646" s="213"/>
      <c r="AJ646" s="4"/>
      <c r="AK646" s="4"/>
      <c r="AL646" s="4"/>
      <c r="AM646" s="4"/>
      <c r="AN646" s="4"/>
      <c r="AO646" s="4"/>
      <c r="AP646" s="4"/>
      <c r="AQ646" s="4"/>
      <c r="AR646" s="4"/>
      <c r="AS646" s="4"/>
      <c r="AT646" s="4"/>
      <c r="AU646" s="4"/>
    </row>
    <row r="647" spans="1:47" ht="13.2">
      <c r="A647" s="120"/>
      <c r="B647" s="113"/>
      <c r="C647" s="117"/>
      <c r="D647" s="117"/>
      <c r="E647" s="117"/>
      <c r="F647" s="123"/>
      <c r="G647" s="93" t="s">
        <v>145</v>
      </c>
      <c r="H647" s="125"/>
      <c r="I647" s="125"/>
      <c r="J647" s="82" t="str">
        <f t="shared" ca="1" si="147"/>
        <v>#REF!</v>
      </c>
      <c r="K647" s="82" t="str">
        <f t="shared" ca="1" si="256"/>
        <v>#REF!</v>
      </c>
      <c r="L647" s="82" t="str">
        <f t="shared" ca="1" si="199"/>
        <v>#REF!</v>
      </c>
      <c r="M647" s="125"/>
      <c r="N647" s="125"/>
      <c r="O647" s="230">
        <f t="shared" si="2"/>
        <v>0</v>
      </c>
      <c r="P647" s="231">
        <f t="shared" si="3"/>
        <v>0</v>
      </c>
      <c r="Q647" s="232" t="str">
        <f ca="1">ROUNDUP(HLOOKUP(IF(CEILING(L647,0.5)&lt;1,1,CEILING(L647,0.5)),'배송비 조회'!A$32:AY$36,2,0),-2)</f>
        <v>#REF!</v>
      </c>
      <c r="R647" s="232">
        <v>0</v>
      </c>
      <c r="S647" s="231" t="str">
        <f t="shared" ca="1" si="250"/>
        <v>#REF!</v>
      </c>
      <c r="T647" s="231" t="str">
        <f t="shared" ca="1" si="200"/>
        <v>#REF!</v>
      </c>
      <c r="U647" s="233" t="str">
        <f t="shared" ca="1" si="142"/>
        <v>#REF!</v>
      </c>
      <c r="V647" s="233" t="str">
        <f t="shared" ca="1" si="7"/>
        <v>#REF!</v>
      </c>
      <c r="W647" s="234">
        <v>0</v>
      </c>
      <c r="X647" s="234" t="str">
        <f t="shared" ca="1" si="8"/>
        <v>#REF!</v>
      </c>
      <c r="Y647" s="234" t="str">
        <f t="shared" ca="1" si="9"/>
        <v>#REF!</v>
      </c>
      <c r="Z647" s="234" t="str">
        <f t="shared" ca="1" si="10"/>
        <v>#REF!</v>
      </c>
      <c r="AA647" s="234" t="str">
        <f t="shared" ca="1" si="11"/>
        <v>#REF!</v>
      </c>
      <c r="AB647" s="234" t="str">
        <f t="shared" ca="1" si="12"/>
        <v>#REF!</v>
      </c>
      <c r="AC647" s="234" t="str">
        <f t="shared" ca="1" si="13"/>
        <v>#REF!</v>
      </c>
      <c r="AD647" s="101" t="str">
        <f t="shared" ca="1" si="14"/>
        <v>#REF!</v>
      </c>
      <c r="AE647" s="101" t="str">
        <f t="shared" ca="1" si="15"/>
        <v>#REF!</v>
      </c>
      <c r="AF647" s="235" t="str">
        <f t="shared" ref="AF647:AG647" ca="1" si="724">AD647/U647</f>
        <v>#REF!</v>
      </c>
      <c r="AG647" s="235" t="str">
        <f t="shared" ca="1" si="724"/>
        <v>#REF!</v>
      </c>
      <c r="AH647" s="212"/>
      <c r="AI647" s="213"/>
      <c r="AJ647" s="4"/>
      <c r="AK647" s="4"/>
      <c r="AL647" s="4"/>
      <c r="AM647" s="4"/>
      <c r="AN647" s="4"/>
      <c r="AO647" s="4"/>
      <c r="AP647" s="4"/>
      <c r="AQ647" s="4"/>
      <c r="AR647" s="4"/>
      <c r="AS647" s="4"/>
      <c r="AT647" s="4"/>
      <c r="AU647" s="4"/>
    </row>
    <row r="648" spans="1:47" ht="13.2">
      <c r="A648" s="120"/>
      <c r="B648" s="113"/>
      <c r="C648" s="117"/>
      <c r="D648" s="117"/>
      <c r="E648" s="117"/>
      <c r="F648" s="123"/>
      <c r="G648" s="93" t="s">
        <v>145</v>
      </c>
      <c r="H648" s="125"/>
      <c r="I648" s="125"/>
      <c r="J648" s="82" t="str">
        <f t="shared" ca="1" si="147"/>
        <v>#REF!</v>
      </c>
      <c r="K648" s="82" t="str">
        <f t="shared" ca="1" si="256"/>
        <v>#REF!</v>
      </c>
      <c r="L648" s="82" t="str">
        <f t="shared" ca="1" si="199"/>
        <v>#REF!</v>
      </c>
      <c r="M648" s="125"/>
      <c r="N648" s="125"/>
      <c r="O648" s="230">
        <f t="shared" si="2"/>
        <v>0</v>
      </c>
      <c r="P648" s="231">
        <f t="shared" si="3"/>
        <v>0</v>
      </c>
      <c r="Q648" s="232" t="str">
        <f ca="1">ROUNDUP(HLOOKUP(IF(CEILING(L648,0.5)&lt;1,1,CEILING(L648,0.5)),'배송비 조회'!A$32:AY$36,2,0),-2)</f>
        <v>#REF!</v>
      </c>
      <c r="R648" s="232">
        <v>0</v>
      </c>
      <c r="S648" s="231" t="str">
        <f t="shared" ca="1" si="250"/>
        <v>#REF!</v>
      </c>
      <c r="T648" s="231" t="str">
        <f t="shared" ca="1" si="200"/>
        <v>#REF!</v>
      </c>
      <c r="U648" s="233" t="str">
        <f t="shared" ca="1" si="142"/>
        <v>#REF!</v>
      </c>
      <c r="V648" s="233" t="str">
        <f t="shared" ca="1" si="7"/>
        <v>#REF!</v>
      </c>
      <c r="W648" s="234">
        <v>0</v>
      </c>
      <c r="X648" s="234" t="str">
        <f t="shared" ca="1" si="8"/>
        <v>#REF!</v>
      </c>
      <c r="Y648" s="234" t="str">
        <f t="shared" ca="1" si="9"/>
        <v>#REF!</v>
      </c>
      <c r="Z648" s="234" t="str">
        <f t="shared" ca="1" si="10"/>
        <v>#REF!</v>
      </c>
      <c r="AA648" s="234" t="str">
        <f t="shared" ca="1" si="11"/>
        <v>#REF!</v>
      </c>
      <c r="AB648" s="234" t="str">
        <f t="shared" ca="1" si="12"/>
        <v>#REF!</v>
      </c>
      <c r="AC648" s="234" t="str">
        <f t="shared" ca="1" si="13"/>
        <v>#REF!</v>
      </c>
      <c r="AD648" s="101" t="str">
        <f t="shared" ca="1" si="14"/>
        <v>#REF!</v>
      </c>
      <c r="AE648" s="101" t="str">
        <f t="shared" ca="1" si="15"/>
        <v>#REF!</v>
      </c>
      <c r="AF648" s="235" t="str">
        <f t="shared" ref="AF648:AG648" ca="1" si="725">AD648/U648</f>
        <v>#REF!</v>
      </c>
      <c r="AG648" s="235" t="str">
        <f t="shared" ca="1" si="725"/>
        <v>#REF!</v>
      </c>
      <c r="AH648" s="212"/>
      <c r="AI648" s="213"/>
      <c r="AJ648" s="4"/>
      <c r="AK648" s="4"/>
      <c r="AL648" s="4"/>
      <c r="AM648" s="4"/>
      <c r="AN648" s="4"/>
      <c r="AO648" s="4"/>
      <c r="AP648" s="4"/>
      <c r="AQ648" s="4"/>
      <c r="AR648" s="4"/>
      <c r="AS648" s="4"/>
      <c r="AT648" s="4"/>
      <c r="AU648" s="4"/>
    </row>
    <row r="649" spans="1:47" ht="13.2">
      <c r="A649" s="120"/>
      <c r="B649" s="113"/>
      <c r="C649" s="117"/>
      <c r="D649" s="117"/>
      <c r="E649" s="117"/>
      <c r="F649" s="123"/>
      <c r="G649" s="93" t="s">
        <v>145</v>
      </c>
      <c r="H649" s="125"/>
      <c r="I649" s="125"/>
      <c r="J649" s="82" t="str">
        <f t="shared" ca="1" si="147"/>
        <v>#REF!</v>
      </c>
      <c r="K649" s="82" t="str">
        <f t="shared" ca="1" si="256"/>
        <v>#REF!</v>
      </c>
      <c r="L649" s="82" t="str">
        <f t="shared" ca="1" si="199"/>
        <v>#REF!</v>
      </c>
      <c r="M649" s="125"/>
      <c r="N649" s="125"/>
      <c r="O649" s="230">
        <f t="shared" si="2"/>
        <v>0</v>
      </c>
      <c r="P649" s="231">
        <f t="shared" si="3"/>
        <v>0</v>
      </c>
      <c r="Q649" s="232" t="str">
        <f ca="1">ROUNDUP(HLOOKUP(IF(CEILING(L649,0.5)&lt;1,1,CEILING(L649,0.5)),'배송비 조회'!A$32:AY$36,2,0),-2)</f>
        <v>#REF!</v>
      </c>
      <c r="R649" s="232">
        <v>0</v>
      </c>
      <c r="S649" s="231" t="str">
        <f t="shared" ca="1" si="250"/>
        <v>#REF!</v>
      </c>
      <c r="T649" s="231" t="str">
        <f t="shared" ca="1" si="200"/>
        <v>#REF!</v>
      </c>
      <c r="U649" s="233" t="str">
        <f t="shared" ca="1" si="142"/>
        <v>#REF!</v>
      </c>
      <c r="V649" s="233" t="str">
        <f t="shared" ca="1" si="7"/>
        <v>#REF!</v>
      </c>
      <c r="W649" s="234">
        <v>0</v>
      </c>
      <c r="X649" s="234" t="str">
        <f t="shared" ca="1" si="8"/>
        <v>#REF!</v>
      </c>
      <c r="Y649" s="234" t="str">
        <f t="shared" ca="1" si="9"/>
        <v>#REF!</v>
      </c>
      <c r="Z649" s="234" t="str">
        <f t="shared" ca="1" si="10"/>
        <v>#REF!</v>
      </c>
      <c r="AA649" s="234" t="str">
        <f t="shared" ca="1" si="11"/>
        <v>#REF!</v>
      </c>
      <c r="AB649" s="234" t="str">
        <f t="shared" ca="1" si="12"/>
        <v>#REF!</v>
      </c>
      <c r="AC649" s="234" t="str">
        <f t="shared" ca="1" si="13"/>
        <v>#REF!</v>
      </c>
      <c r="AD649" s="101" t="str">
        <f t="shared" ca="1" si="14"/>
        <v>#REF!</v>
      </c>
      <c r="AE649" s="101" t="str">
        <f t="shared" ca="1" si="15"/>
        <v>#REF!</v>
      </c>
      <c r="AF649" s="235" t="str">
        <f t="shared" ref="AF649:AG649" ca="1" si="726">AD649/U649</f>
        <v>#REF!</v>
      </c>
      <c r="AG649" s="235" t="str">
        <f t="shared" ca="1" si="726"/>
        <v>#REF!</v>
      </c>
      <c r="AH649" s="212"/>
      <c r="AI649" s="213"/>
      <c r="AJ649" s="4"/>
      <c r="AK649" s="4"/>
      <c r="AL649" s="4"/>
      <c r="AM649" s="4"/>
      <c r="AN649" s="4"/>
      <c r="AO649" s="4"/>
      <c r="AP649" s="4"/>
      <c r="AQ649" s="4"/>
      <c r="AR649" s="4"/>
      <c r="AS649" s="4"/>
      <c r="AT649" s="4"/>
      <c r="AU649" s="4"/>
    </row>
    <row r="650" spans="1:47" ht="13.2">
      <c r="A650" s="120"/>
      <c r="B650" s="113"/>
      <c r="C650" s="117"/>
      <c r="D650" s="117"/>
      <c r="E650" s="117"/>
      <c r="F650" s="123"/>
      <c r="G650" s="93" t="s">
        <v>145</v>
      </c>
      <c r="H650" s="125"/>
      <c r="I650" s="125"/>
      <c r="J650" s="82" t="str">
        <f t="shared" ca="1" si="147"/>
        <v>#REF!</v>
      </c>
      <c r="K650" s="82" t="str">
        <f t="shared" ca="1" si="256"/>
        <v>#REF!</v>
      </c>
      <c r="L650" s="82" t="str">
        <f t="shared" ca="1" si="199"/>
        <v>#REF!</v>
      </c>
      <c r="M650" s="125"/>
      <c r="N650" s="125"/>
      <c r="O650" s="230">
        <f t="shared" si="2"/>
        <v>0</v>
      </c>
      <c r="P650" s="231">
        <f t="shared" si="3"/>
        <v>0</v>
      </c>
      <c r="Q650" s="232" t="str">
        <f ca="1">ROUNDUP(HLOOKUP(IF(CEILING(L650,0.5)&lt;1,1,CEILING(L650,0.5)),'배송비 조회'!A$32:AY$36,2,0),-2)</f>
        <v>#REF!</v>
      </c>
      <c r="R650" s="232">
        <v>0</v>
      </c>
      <c r="S650" s="231" t="str">
        <f t="shared" ca="1" si="250"/>
        <v>#REF!</v>
      </c>
      <c r="T650" s="231" t="str">
        <f t="shared" ca="1" si="200"/>
        <v>#REF!</v>
      </c>
      <c r="U650" s="233" t="str">
        <f t="shared" ca="1" si="142"/>
        <v>#REF!</v>
      </c>
      <c r="V650" s="233" t="str">
        <f t="shared" ca="1" si="7"/>
        <v>#REF!</v>
      </c>
      <c r="W650" s="234">
        <v>0</v>
      </c>
      <c r="X650" s="234" t="str">
        <f t="shared" ca="1" si="8"/>
        <v>#REF!</v>
      </c>
      <c r="Y650" s="234" t="str">
        <f t="shared" ca="1" si="9"/>
        <v>#REF!</v>
      </c>
      <c r="Z650" s="234" t="str">
        <f t="shared" ca="1" si="10"/>
        <v>#REF!</v>
      </c>
      <c r="AA650" s="234" t="str">
        <f t="shared" ca="1" si="11"/>
        <v>#REF!</v>
      </c>
      <c r="AB650" s="234" t="str">
        <f t="shared" ca="1" si="12"/>
        <v>#REF!</v>
      </c>
      <c r="AC650" s="234" t="str">
        <f t="shared" ca="1" si="13"/>
        <v>#REF!</v>
      </c>
      <c r="AD650" s="101" t="str">
        <f t="shared" ca="1" si="14"/>
        <v>#REF!</v>
      </c>
      <c r="AE650" s="101" t="str">
        <f t="shared" ca="1" si="15"/>
        <v>#REF!</v>
      </c>
      <c r="AF650" s="235" t="str">
        <f t="shared" ref="AF650:AG650" ca="1" si="727">AD650/U650</f>
        <v>#REF!</v>
      </c>
      <c r="AG650" s="235" t="str">
        <f t="shared" ca="1" si="727"/>
        <v>#REF!</v>
      </c>
      <c r="AH650" s="212"/>
      <c r="AI650" s="213"/>
      <c r="AJ650" s="4"/>
      <c r="AK650" s="4"/>
      <c r="AL650" s="4"/>
      <c r="AM650" s="4"/>
      <c r="AN650" s="4"/>
      <c r="AO650" s="4"/>
      <c r="AP650" s="4"/>
      <c r="AQ650" s="4"/>
      <c r="AR650" s="4"/>
      <c r="AS650" s="4"/>
      <c r="AT650" s="4"/>
      <c r="AU650" s="4"/>
    </row>
    <row r="651" spans="1:47" ht="13.2">
      <c r="A651" s="120"/>
      <c r="B651" s="113"/>
      <c r="C651" s="117"/>
      <c r="D651" s="117"/>
      <c r="E651" s="117"/>
      <c r="F651" s="123"/>
      <c r="G651" s="93" t="s">
        <v>145</v>
      </c>
      <c r="H651" s="125"/>
      <c r="I651" s="125"/>
      <c r="J651" s="82" t="str">
        <f t="shared" ca="1" si="147"/>
        <v>#REF!</v>
      </c>
      <c r="K651" s="82" t="str">
        <f t="shared" ca="1" si="256"/>
        <v>#REF!</v>
      </c>
      <c r="L651" s="82" t="str">
        <f t="shared" ca="1" si="199"/>
        <v>#REF!</v>
      </c>
      <c r="M651" s="125"/>
      <c r="N651" s="125"/>
      <c r="O651" s="230">
        <f t="shared" si="2"/>
        <v>0</v>
      </c>
      <c r="P651" s="231">
        <f t="shared" si="3"/>
        <v>0</v>
      </c>
      <c r="Q651" s="232" t="str">
        <f ca="1">ROUNDUP(HLOOKUP(IF(CEILING(L651,0.5)&lt;1,1,CEILING(L651,0.5)),'배송비 조회'!A$32:AY$36,2,0),-2)</f>
        <v>#REF!</v>
      </c>
      <c r="R651" s="232">
        <v>0</v>
      </c>
      <c r="S651" s="231" t="str">
        <f t="shared" ca="1" si="250"/>
        <v>#REF!</v>
      </c>
      <c r="T651" s="231" t="str">
        <f t="shared" ca="1" si="200"/>
        <v>#REF!</v>
      </c>
      <c r="U651" s="233" t="str">
        <f t="shared" ca="1" si="142"/>
        <v>#REF!</v>
      </c>
      <c r="V651" s="233" t="str">
        <f t="shared" ca="1" si="7"/>
        <v>#REF!</v>
      </c>
      <c r="W651" s="234">
        <v>0</v>
      </c>
      <c r="X651" s="234" t="str">
        <f t="shared" ca="1" si="8"/>
        <v>#REF!</v>
      </c>
      <c r="Y651" s="234" t="str">
        <f t="shared" ca="1" si="9"/>
        <v>#REF!</v>
      </c>
      <c r="Z651" s="234" t="str">
        <f t="shared" ca="1" si="10"/>
        <v>#REF!</v>
      </c>
      <c r="AA651" s="234" t="str">
        <f t="shared" ca="1" si="11"/>
        <v>#REF!</v>
      </c>
      <c r="AB651" s="234" t="str">
        <f t="shared" ca="1" si="12"/>
        <v>#REF!</v>
      </c>
      <c r="AC651" s="234" t="str">
        <f t="shared" ca="1" si="13"/>
        <v>#REF!</v>
      </c>
      <c r="AD651" s="101" t="str">
        <f t="shared" ca="1" si="14"/>
        <v>#REF!</v>
      </c>
      <c r="AE651" s="101" t="str">
        <f t="shared" ca="1" si="15"/>
        <v>#REF!</v>
      </c>
      <c r="AF651" s="235" t="str">
        <f t="shared" ref="AF651:AG651" ca="1" si="728">AD651/U651</f>
        <v>#REF!</v>
      </c>
      <c r="AG651" s="235" t="str">
        <f t="shared" ca="1" si="728"/>
        <v>#REF!</v>
      </c>
      <c r="AH651" s="212"/>
      <c r="AI651" s="213"/>
      <c r="AJ651" s="4"/>
      <c r="AK651" s="4"/>
      <c r="AL651" s="4"/>
      <c r="AM651" s="4"/>
      <c r="AN651" s="4"/>
      <c r="AO651" s="4"/>
      <c r="AP651" s="4"/>
      <c r="AQ651" s="4"/>
      <c r="AR651" s="4"/>
      <c r="AS651" s="4"/>
      <c r="AT651" s="4"/>
      <c r="AU651" s="4"/>
    </row>
    <row r="652" spans="1:47" ht="13.2">
      <c r="A652" s="120"/>
      <c r="B652" s="113"/>
      <c r="C652" s="117"/>
      <c r="D652" s="117"/>
      <c r="E652" s="117"/>
      <c r="F652" s="123"/>
      <c r="G652" s="93" t="s">
        <v>145</v>
      </c>
      <c r="H652" s="125"/>
      <c r="I652" s="125"/>
      <c r="J652" s="82" t="str">
        <f t="shared" ca="1" si="147"/>
        <v>#REF!</v>
      </c>
      <c r="K652" s="82" t="str">
        <f t="shared" ca="1" si="256"/>
        <v>#REF!</v>
      </c>
      <c r="L652" s="82" t="str">
        <f t="shared" ca="1" si="199"/>
        <v>#REF!</v>
      </c>
      <c r="M652" s="125"/>
      <c r="N652" s="125"/>
      <c r="O652" s="230">
        <f t="shared" si="2"/>
        <v>0</v>
      </c>
      <c r="P652" s="231">
        <f t="shared" si="3"/>
        <v>0</v>
      </c>
      <c r="Q652" s="232" t="str">
        <f ca="1">ROUNDUP(HLOOKUP(IF(CEILING(L652,0.5)&lt;1,1,CEILING(L652,0.5)),'배송비 조회'!A$32:AY$36,2,0),-2)</f>
        <v>#REF!</v>
      </c>
      <c r="R652" s="232">
        <v>0</v>
      </c>
      <c r="S652" s="231" t="str">
        <f t="shared" ca="1" si="250"/>
        <v>#REF!</v>
      </c>
      <c r="T652" s="231" t="str">
        <f t="shared" ca="1" si="200"/>
        <v>#REF!</v>
      </c>
      <c r="U652" s="233" t="str">
        <f t="shared" ca="1" si="142"/>
        <v>#REF!</v>
      </c>
      <c r="V652" s="233" t="str">
        <f t="shared" ca="1" si="7"/>
        <v>#REF!</v>
      </c>
      <c r="W652" s="234">
        <v>0</v>
      </c>
      <c r="X652" s="234" t="str">
        <f t="shared" ca="1" si="8"/>
        <v>#REF!</v>
      </c>
      <c r="Y652" s="234" t="str">
        <f t="shared" ca="1" si="9"/>
        <v>#REF!</v>
      </c>
      <c r="Z652" s="234" t="str">
        <f t="shared" ca="1" si="10"/>
        <v>#REF!</v>
      </c>
      <c r="AA652" s="234" t="str">
        <f t="shared" ca="1" si="11"/>
        <v>#REF!</v>
      </c>
      <c r="AB652" s="234" t="str">
        <f t="shared" ca="1" si="12"/>
        <v>#REF!</v>
      </c>
      <c r="AC652" s="234" t="str">
        <f t="shared" ca="1" si="13"/>
        <v>#REF!</v>
      </c>
      <c r="AD652" s="101" t="str">
        <f t="shared" ca="1" si="14"/>
        <v>#REF!</v>
      </c>
      <c r="AE652" s="101" t="str">
        <f t="shared" ca="1" si="15"/>
        <v>#REF!</v>
      </c>
      <c r="AF652" s="235" t="str">
        <f t="shared" ref="AF652:AG652" ca="1" si="729">AD652/U652</f>
        <v>#REF!</v>
      </c>
      <c r="AG652" s="235" t="str">
        <f t="shared" ca="1" si="729"/>
        <v>#REF!</v>
      </c>
      <c r="AH652" s="212"/>
      <c r="AI652" s="213"/>
      <c r="AJ652" s="4"/>
      <c r="AK652" s="4"/>
      <c r="AL652" s="4"/>
      <c r="AM652" s="4"/>
      <c r="AN652" s="4"/>
      <c r="AO652" s="4"/>
      <c r="AP652" s="4"/>
      <c r="AQ652" s="4"/>
      <c r="AR652" s="4"/>
      <c r="AS652" s="4"/>
      <c r="AT652" s="4"/>
      <c r="AU652" s="4"/>
    </row>
    <row r="653" spans="1:47" ht="13.2">
      <c r="A653" s="120"/>
      <c r="B653" s="113"/>
      <c r="C653" s="117"/>
      <c r="D653" s="117"/>
      <c r="E653" s="117"/>
      <c r="F653" s="123"/>
      <c r="G653" s="93" t="s">
        <v>145</v>
      </c>
      <c r="H653" s="125"/>
      <c r="I653" s="125"/>
      <c r="J653" s="82" t="str">
        <f t="shared" ca="1" si="147"/>
        <v>#REF!</v>
      </c>
      <c r="K653" s="82" t="str">
        <f t="shared" ca="1" si="256"/>
        <v>#REF!</v>
      </c>
      <c r="L653" s="82" t="str">
        <f t="shared" ca="1" si="199"/>
        <v>#REF!</v>
      </c>
      <c r="M653" s="125"/>
      <c r="N653" s="125"/>
      <c r="O653" s="230">
        <f t="shared" si="2"/>
        <v>0</v>
      </c>
      <c r="P653" s="231">
        <f t="shared" si="3"/>
        <v>0</v>
      </c>
      <c r="Q653" s="232" t="str">
        <f ca="1">ROUNDUP(HLOOKUP(IF(CEILING(L653,0.5)&lt;1,1,CEILING(L653,0.5)),'배송비 조회'!A$32:AY$36,2,0),-2)</f>
        <v>#REF!</v>
      </c>
      <c r="R653" s="232">
        <v>0</v>
      </c>
      <c r="S653" s="231" t="str">
        <f t="shared" ca="1" si="250"/>
        <v>#REF!</v>
      </c>
      <c r="T653" s="231" t="str">
        <f t="shared" ca="1" si="200"/>
        <v>#REF!</v>
      </c>
      <c r="U653" s="233" t="str">
        <f t="shared" ca="1" si="142"/>
        <v>#REF!</v>
      </c>
      <c r="V653" s="233" t="str">
        <f t="shared" ca="1" si="7"/>
        <v>#REF!</v>
      </c>
      <c r="W653" s="234">
        <v>0</v>
      </c>
      <c r="X653" s="234" t="str">
        <f t="shared" ca="1" si="8"/>
        <v>#REF!</v>
      </c>
      <c r="Y653" s="234" t="str">
        <f t="shared" ca="1" si="9"/>
        <v>#REF!</v>
      </c>
      <c r="Z653" s="234" t="str">
        <f t="shared" ca="1" si="10"/>
        <v>#REF!</v>
      </c>
      <c r="AA653" s="234" t="str">
        <f t="shared" ca="1" si="11"/>
        <v>#REF!</v>
      </c>
      <c r="AB653" s="234" t="str">
        <f t="shared" ca="1" si="12"/>
        <v>#REF!</v>
      </c>
      <c r="AC653" s="234" t="str">
        <f t="shared" ca="1" si="13"/>
        <v>#REF!</v>
      </c>
      <c r="AD653" s="101" t="str">
        <f t="shared" ca="1" si="14"/>
        <v>#REF!</v>
      </c>
      <c r="AE653" s="101" t="str">
        <f t="shared" ca="1" si="15"/>
        <v>#REF!</v>
      </c>
      <c r="AF653" s="235" t="str">
        <f t="shared" ref="AF653:AG653" ca="1" si="730">AD653/U653</f>
        <v>#REF!</v>
      </c>
      <c r="AG653" s="235" t="str">
        <f t="shared" ca="1" si="730"/>
        <v>#REF!</v>
      </c>
      <c r="AH653" s="212"/>
      <c r="AI653" s="213"/>
      <c r="AJ653" s="4"/>
      <c r="AK653" s="4"/>
      <c r="AL653" s="4"/>
      <c r="AM653" s="4"/>
      <c r="AN653" s="4"/>
      <c r="AO653" s="4"/>
      <c r="AP653" s="4"/>
      <c r="AQ653" s="4"/>
      <c r="AR653" s="4"/>
      <c r="AS653" s="4"/>
      <c r="AT653" s="4"/>
      <c r="AU653" s="4"/>
    </row>
    <row r="654" spans="1:47" ht="13.2">
      <c r="A654" s="120"/>
      <c r="B654" s="113"/>
      <c r="C654" s="117"/>
      <c r="D654" s="117"/>
      <c r="E654" s="117"/>
      <c r="F654" s="123"/>
      <c r="G654" s="93" t="s">
        <v>145</v>
      </c>
      <c r="H654" s="125"/>
      <c r="I654" s="125"/>
      <c r="J654" s="82" t="str">
        <f t="shared" ca="1" si="147"/>
        <v>#REF!</v>
      </c>
      <c r="K654" s="82" t="str">
        <f t="shared" ca="1" si="256"/>
        <v>#REF!</v>
      </c>
      <c r="L654" s="82" t="str">
        <f t="shared" ca="1" si="199"/>
        <v>#REF!</v>
      </c>
      <c r="M654" s="125"/>
      <c r="N654" s="125"/>
      <c r="O654" s="230">
        <f t="shared" si="2"/>
        <v>0</v>
      </c>
      <c r="P654" s="231">
        <f t="shared" si="3"/>
        <v>0</v>
      </c>
      <c r="Q654" s="232" t="str">
        <f ca="1">ROUNDUP(HLOOKUP(IF(CEILING(L654,0.5)&lt;1,1,CEILING(L654,0.5)),'배송비 조회'!A$32:AY$36,2,0),-2)</f>
        <v>#REF!</v>
      </c>
      <c r="R654" s="232">
        <v>0</v>
      </c>
      <c r="S654" s="231" t="str">
        <f t="shared" ca="1" si="250"/>
        <v>#REF!</v>
      </c>
      <c r="T654" s="231" t="str">
        <f t="shared" ca="1" si="200"/>
        <v>#REF!</v>
      </c>
      <c r="U654" s="233" t="str">
        <f t="shared" ca="1" si="142"/>
        <v>#REF!</v>
      </c>
      <c r="V654" s="233" t="str">
        <f t="shared" ca="1" si="7"/>
        <v>#REF!</v>
      </c>
      <c r="W654" s="234">
        <v>0</v>
      </c>
      <c r="X654" s="234" t="str">
        <f t="shared" ca="1" si="8"/>
        <v>#REF!</v>
      </c>
      <c r="Y654" s="234" t="str">
        <f t="shared" ca="1" si="9"/>
        <v>#REF!</v>
      </c>
      <c r="Z654" s="234" t="str">
        <f t="shared" ca="1" si="10"/>
        <v>#REF!</v>
      </c>
      <c r="AA654" s="234" t="str">
        <f t="shared" ca="1" si="11"/>
        <v>#REF!</v>
      </c>
      <c r="AB654" s="234" t="str">
        <f t="shared" ca="1" si="12"/>
        <v>#REF!</v>
      </c>
      <c r="AC654" s="234" t="str">
        <f t="shared" ca="1" si="13"/>
        <v>#REF!</v>
      </c>
      <c r="AD654" s="101" t="str">
        <f t="shared" ca="1" si="14"/>
        <v>#REF!</v>
      </c>
      <c r="AE654" s="101" t="str">
        <f t="shared" ca="1" si="15"/>
        <v>#REF!</v>
      </c>
      <c r="AF654" s="235" t="str">
        <f t="shared" ref="AF654:AG654" ca="1" si="731">AD654/U654</f>
        <v>#REF!</v>
      </c>
      <c r="AG654" s="235" t="str">
        <f t="shared" ca="1" si="731"/>
        <v>#REF!</v>
      </c>
      <c r="AH654" s="212"/>
      <c r="AI654" s="213"/>
      <c r="AJ654" s="4"/>
      <c r="AK654" s="4"/>
      <c r="AL654" s="4"/>
      <c r="AM654" s="4"/>
      <c r="AN654" s="4"/>
      <c r="AO654" s="4"/>
      <c r="AP654" s="4"/>
      <c r="AQ654" s="4"/>
      <c r="AR654" s="4"/>
      <c r="AS654" s="4"/>
      <c r="AT654" s="4"/>
      <c r="AU654" s="4"/>
    </row>
    <row r="655" spans="1:47" ht="13.2">
      <c r="A655" s="120"/>
      <c r="B655" s="113"/>
      <c r="C655" s="117"/>
      <c r="D655" s="117"/>
      <c r="E655" s="117"/>
      <c r="F655" s="123"/>
      <c r="G655" s="93" t="s">
        <v>145</v>
      </c>
      <c r="H655" s="125"/>
      <c r="I655" s="125"/>
      <c r="J655" s="82" t="str">
        <f t="shared" ca="1" si="147"/>
        <v>#REF!</v>
      </c>
      <c r="K655" s="82" t="str">
        <f t="shared" ca="1" si="256"/>
        <v>#REF!</v>
      </c>
      <c r="L655" s="82" t="str">
        <f t="shared" ca="1" si="199"/>
        <v>#REF!</v>
      </c>
      <c r="M655" s="125"/>
      <c r="N655" s="125"/>
      <c r="O655" s="230">
        <f t="shared" si="2"/>
        <v>0</v>
      </c>
      <c r="P655" s="231">
        <f t="shared" si="3"/>
        <v>0</v>
      </c>
      <c r="Q655" s="232" t="str">
        <f ca="1">ROUNDUP(HLOOKUP(IF(CEILING(L655,0.5)&lt;1,1,CEILING(L655,0.5)),'배송비 조회'!A$32:AY$36,2,0),-2)</f>
        <v>#REF!</v>
      </c>
      <c r="R655" s="232">
        <v>0</v>
      </c>
      <c r="S655" s="231" t="str">
        <f t="shared" ca="1" si="250"/>
        <v>#REF!</v>
      </c>
      <c r="T655" s="231" t="str">
        <f t="shared" ca="1" si="200"/>
        <v>#REF!</v>
      </c>
      <c r="U655" s="233" t="str">
        <f t="shared" ca="1" si="142"/>
        <v>#REF!</v>
      </c>
      <c r="V655" s="233" t="str">
        <f t="shared" ca="1" si="7"/>
        <v>#REF!</v>
      </c>
      <c r="W655" s="234">
        <v>0</v>
      </c>
      <c r="X655" s="234" t="str">
        <f t="shared" ca="1" si="8"/>
        <v>#REF!</v>
      </c>
      <c r="Y655" s="234" t="str">
        <f t="shared" ca="1" si="9"/>
        <v>#REF!</v>
      </c>
      <c r="Z655" s="234" t="str">
        <f t="shared" ca="1" si="10"/>
        <v>#REF!</v>
      </c>
      <c r="AA655" s="234" t="str">
        <f t="shared" ca="1" si="11"/>
        <v>#REF!</v>
      </c>
      <c r="AB655" s="234" t="str">
        <f t="shared" ca="1" si="12"/>
        <v>#REF!</v>
      </c>
      <c r="AC655" s="234" t="str">
        <f t="shared" ca="1" si="13"/>
        <v>#REF!</v>
      </c>
      <c r="AD655" s="101" t="str">
        <f t="shared" ca="1" si="14"/>
        <v>#REF!</v>
      </c>
      <c r="AE655" s="101" t="str">
        <f t="shared" ca="1" si="15"/>
        <v>#REF!</v>
      </c>
      <c r="AF655" s="235" t="str">
        <f t="shared" ref="AF655:AG655" ca="1" si="732">AD655/U655</f>
        <v>#REF!</v>
      </c>
      <c r="AG655" s="235" t="str">
        <f t="shared" ca="1" si="732"/>
        <v>#REF!</v>
      </c>
      <c r="AH655" s="212"/>
      <c r="AI655" s="213"/>
      <c r="AJ655" s="4"/>
      <c r="AK655" s="4"/>
      <c r="AL655" s="4"/>
      <c r="AM655" s="4"/>
      <c r="AN655" s="4"/>
      <c r="AO655" s="4"/>
      <c r="AP655" s="4"/>
      <c r="AQ655" s="4"/>
      <c r="AR655" s="4"/>
      <c r="AS655" s="4"/>
      <c r="AT655" s="4"/>
      <c r="AU655" s="4"/>
    </row>
    <row r="656" spans="1:47" ht="13.2">
      <c r="A656" s="120"/>
      <c r="B656" s="113"/>
      <c r="C656" s="117"/>
      <c r="D656" s="117"/>
      <c r="E656" s="117"/>
      <c r="F656" s="123"/>
      <c r="G656" s="93" t="s">
        <v>145</v>
      </c>
      <c r="H656" s="125"/>
      <c r="I656" s="125"/>
      <c r="J656" s="82" t="str">
        <f t="shared" ca="1" si="147"/>
        <v>#REF!</v>
      </c>
      <c r="K656" s="82" t="str">
        <f t="shared" ca="1" si="256"/>
        <v>#REF!</v>
      </c>
      <c r="L656" s="82" t="str">
        <f t="shared" ca="1" si="199"/>
        <v>#REF!</v>
      </c>
      <c r="M656" s="125"/>
      <c r="N656" s="125"/>
      <c r="O656" s="230">
        <f t="shared" si="2"/>
        <v>0</v>
      </c>
      <c r="P656" s="231">
        <f t="shared" si="3"/>
        <v>0</v>
      </c>
      <c r="Q656" s="232" t="str">
        <f ca="1">ROUNDUP(HLOOKUP(IF(CEILING(L656,0.5)&lt;1,1,CEILING(L656,0.5)),'배송비 조회'!A$32:AY$36,2,0),-2)</f>
        <v>#REF!</v>
      </c>
      <c r="R656" s="232">
        <v>0</v>
      </c>
      <c r="S656" s="231" t="str">
        <f t="shared" ca="1" si="250"/>
        <v>#REF!</v>
      </c>
      <c r="T656" s="231" t="str">
        <f t="shared" ca="1" si="200"/>
        <v>#REF!</v>
      </c>
      <c r="U656" s="233" t="str">
        <f t="shared" ca="1" si="142"/>
        <v>#REF!</v>
      </c>
      <c r="V656" s="233" t="str">
        <f t="shared" ca="1" si="7"/>
        <v>#REF!</v>
      </c>
      <c r="W656" s="234">
        <v>0</v>
      </c>
      <c r="X656" s="234" t="str">
        <f t="shared" ca="1" si="8"/>
        <v>#REF!</v>
      </c>
      <c r="Y656" s="234" t="str">
        <f t="shared" ca="1" si="9"/>
        <v>#REF!</v>
      </c>
      <c r="Z656" s="234" t="str">
        <f t="shared" ca="1" si="10"/>
        <v>#REF!</v>
      </c>
      <c r="AA656" s="234" t="str">
        <f t="shared" ca="1" si="11"/>
        <v>#REF!</v>
      </c>
      <c r="AB656" s="234" t="str">
        <f t="shared" ca="1" si="12"/>
        <v>#REF!</v>
      </c>
      <c r="AC656" s="234" t="str">
        <f t="shared" ca="1" si="13"/>
        <v>#REF!</v>
      </c>
      <c r="AD656" s="101" t="str">
        <f t="shared" ca="1" si="14"/>
        <v>#REF!</v>
      </c>
      <c r="AE656" s="101" t="str">
        <f t="shared" ca="1" si="15"/>
        <v>#REF!</v>
      </c>
      <c r="AF656" s="235" t="str">
        <f t="shared" ref="AF656:AG656" ca="1" si="733">AD656/U656</f>
        <v>#REF!</v>
      </c>
      <c r="AG656" s="235" t="str">
        <f t="shared" ca="1" si="733"/>
        <v>#REF!</v>
      </c>
      <c r="AH656" s="212"/>
      <c r="AI656" s="213"/>
      <c r="AJ656" s="4"/>
      <c r="AK656" s="4"/>
      <c r="AL656" s="4"/>
      <c r="AM656" s="4"/>
      <c r="AN656" s="4"/>
      <c r="AO656" s="4"/>
      <c r="AP656" s="4"/>
      <c r="AQ656" s="4"/>
      <c r="AR656" s="4"/>
      <c r="AS656" s="4"/>
      <c r="AT656" s="4"/>
      <c r="AU656" s="4"/>
    </row>
    <row r="657" spans="1:47" ht="13.2">
      <c r="A657" s="120"/>
      <c r="B657" s="113"/>
      <c r="C657" s="117"/>
      <c r="D657" s="117"/>
      <c r="E657" s="117"/>
      <c r="F657" s="123"/>
      <c r="G657" s="93" t="s">
        <v>145</v>
      </c>
      <c r="H657" s="125"/>
      <c r="I657" s="125"/>
      <c r="J657" s="82" t="str">
        <f t="shared" ca="1" si="147"/>
        <v>#REF!</v>
      </c>
      <c r="K657" s="82" t="str">
        <f t="shared" ca="1" si="256"/>
        <v>#REF!</v>
      </c>
      <c r="L657" s="82" t="str">
        <f t="shared" ca="1" si="199"/>
        <v>#REF!</v>
      </c>
      <c r="M657" s="125"/>
      <c r="N657" s="125"/>
      <c r="O657" s="230">
        <f t="shared" si="2"/>
        <v>0</v>
      </c>
      <c r="P657" s="231">
        <f t="shared" si="3"/>
        <v>0</v>
      </c>
      <c r="Q657" s="232" t="str">
        <f ca="1">ROUNDUP(HLOOKUP(IF(CEILING(L657,0.5)&lt;1,1,CEILING(L657,0.5)),'배송비 조회'!A$32:AY$36,2,0),-2)</f>
        <v>#REF!</v>
      </c>
      <c r="R657" s="232">
        <v>0</v>
      </c>
      <c r="S657" s="231" t="str">
        <f t="shared" ca="1" si="250"/>
        <v>#REF!</v>
      </c>
      <c r="T657" s="231" t="str">
        <f t="shared" ca="1" si="200"/>
        <v>#REF!</v>
      </c>
      <c r="U657" s="233" t="str">
        <f t="shared" ca="1" si="142"/>
        <v>#REF!</v>
      </c>
      <c r="V657" s="233" t="str">
        <f t="shared" ca="1" si="7"/>
        <v>#REF!</v>
      </c>
      <c r="W657" s="234">
        <v>0</v>
      </c>
      <c r="X657" s="234" t="str">
        <f t="shared" ca="1" si="8"/>
        <v>#REF!</v>
      </c>
      <c r="Y657" s="234" t="str">
        <f t="shared" ca="1" si="9"/>
        <v>#REF!</v>
      </c>
      <c r="Z657" s="234" t="str">
        <f t="shared" ca="1" si="10"/>
        <v>#REF!</v>
      </c>
      <c r="AA657" s="234" t="str">
        <f t="shared" ca="1" si="11"/>
        <v>#REF!</v>
      </c>
      <c r="AB657" s="234" t="str">
        <f t="shared" ca="1" si="12"/>
        <v>#REF!</v>
      </c>
      <c r="AC657" s="234" t="str">
        <f t="shared" ca="1" si="13"/>
        <v>#REF!</v>
      </c>
      <c r="AD657" s="101" t="str">
        <f t="shared" ca="1" si="14"/>
        <v>#REF!</v>
      </c>
      <c r="AE657" s="101" t="str">
        <f t="shared" ca="1" si="15"/>
        <v>#REF!</v>
      </c>
      <c r="AF657" s="235" t="str">
        <f t="shared" ref="AF657:AG657" ca="1" si="734">AD657/U657</f>
        <v>#REF!</v>
      </c>
      <c r="AG657" s="235" t="str">
        <f t="shared" ca="1" si="734"/>
        <v>#REF!</v>
      </c>
      <c r="AH657" s="212"/>
      <c r="AI657" s="213"/>
      <c r="AJ657" s="4"/>
      <c r="AK657" s="4"/>
      <c r="AL657" s="4"/>
      <c r="AM657" s="4"/>
      <c r="AN657" s="4"/>
      <c r="AO657" s="4"/>
      <c r="AP657" s="4"/>
      <c r="AQ657" s="4"/>
      <c r="AR657" s="4"/>
      <c r="AS657" s="4"/>
      <c r="AT657" s="4"/>
      <c r="AU657" s="4"/>
    </row>
    <row r="658" spans="1:47" ht="13.2">
      <c r="A658" s="120"/>
      <c r="B658" s="113"/>
      <c r="C658" s="117"/>
      <c r="D658" s="117"/>
      <c r="E658" s="117"/>
      <c r="F658" s="123"/>
      <c r="G658" s="93" t="s">
        <v>145</v>
      </c>
      <c r="H658" s="125"/>
      <c r="I658" s="125"/>
      <c r="J658" s="82" t="str">
        <f t="shared" ca="1" si="147"/>
        <v>#REF!</v>
      </c>
      <c r="K658" s="82" t="str">
        <f t="shared" ca="1" si="256"/>
        <v>#REF!</v>
      </c>
      <c r="L658" s="82" t="str">
        <f t="shared" ca="1" si="199"/>
        <v>#REF!</v>
      </c>
      <c r="M658" s="125"/>
      <c r="N658" s="125"/>
      <c r="O658" s="230">
        <f t="shared" si="2"/>
        <v>0</v>
      </c>
      <c r="P658" s="231">
        <f t="shared" si="3"/>
        <v>0</v>
      </c>
      <c r="Q658" s="232" t="str">
        <f ca="1">ROUNDUP(HLOOKUP(IF(CEILING(L658,0.5)&lt;1,1,CEILING(L658,0.5)),'배송비 조회'!A$32:AY$36,2,0),-2)</f>
        <v>#REF!</v>
      </c>
      <c r="R658" s="232">
        <v>0</v>
      </c>
      <c r="S658" s="231" t="str">
        <f t="shared" ca="1" si="250"/>
        <v>#REF!</v>
      </c>
      <c r="T658" s="231" t="str">
        <f t="shared" ca="1" si="200"/>
        <v>#REF!</v>
      </c>
      <c r="U658" s="233" t="str">
        <f t="shared" ca="1" si="142"/>
        <v>#REF!</v>
      </c>
      <c r="V658" s="233" t="str">
        <f t="shared" ca="1" si="7"/>
        <v>#REF!</v>
      </c>
      <c r="W658" s="234">
        <v>0</v>
      </c>
      <c r="X658" s="234" t="str">
        <f t="shared" ca="1" si="8"/>
        <v>#REF!</v>
      </c>
      <c r="Y658" s="234" t="str">
        <f t="shared" ca="1" si="9"/>
        <v>#REF!</v>
      </c>
      <c r="Z658" s="234" t="str">
        <f t="shared" ca="1" si="10"/>
        <v>#REF!</v>
      </c>
      <c r="AA658" s="234" t="str">
        <f t="shared" ca="1" si="11"/>
        <v>#REF!</v>
      </c>
      <c r="AB658" s="234" t="str">
        <f t="shared" ca="1" si="12"/>
        <v>#REF!</v>
      </c>
      <c r="AC658" s="234" t="str">
        <f t="shared" ca="1" si="13"/>
        <v>#REF!</v>
      </c>
      <c r="AD658" s="101" t="str">
        <f t="shared" ca="1" si="14"/>
        <v>#REF!</v>
      </c>
      <c r="AE658" s="101" t="str">
        <f t="shared" ca="1" si="15"/>
        <v>#REF!</v>
      </c>
      <c r="AF658" s="235" t="str">
        <f t="shared" ref="AF658:AG658" ca="1" si="735">AD658/U658</f>
        <v>#REF!</v>
      </c>
      <c r="AG658" s="235" t="str">
        <f t="shared" ca="1" si="735"/>
        <v>#REF!</v>
      </c>
      <c r="AH658" s="212"/>
      <c r="AI658" s="213"/>
      <c r="AJ658" s="4"/>
      <c r="AK658" s="4"/>
      <c r="AL658" s="4"/>
      <c r="AM658" s="4"/>
      <c r="AN658" s="4"/>
      <c r="AO658" s="4"/>
      <c r="AP658" s="4"/>
      <c r="AQ658" s="4"/>
      <c r="AR658" s="4"/>
      <c r="AS658" s="4"/>
      <c r="AT658" s="4"/>
      <c r="AU658" s="4"/>
    </row>
    <row r="659" spans="1:47" ht="13.2">
      <c r="A659" s="120"/>
      <c r="B659" s="113"/>
      <c r="C659" s="117"/>
      <c r="D659" s="117"/>
      <c r="E659" s="117"/>
      <c r="F659" s="123"/>
      <c r="G659" s="93" t="s">
        <v>145</v>
      </c>
      <c r="H659" s="125"/>
      <c r="I659" s="125"/>
      <c r="J659" s="82" t="str">
        <f t="shared" ca="1" si="147"/>
        <v>#REF!</v>
      </c>
      <c r="K659" s="82" t="str">
        <f t="shared" ca="1" si="256"/>
        <v>#REF!</v>
      </c>
      <c r="L659" s="82" t="str">
        <f t="shared" ca="1" si="199"/>
        <v>#REF!</v>
      </c>
      <c r="M659" s="125"/>
      <c r="N659" s="125"/>
      <c r="O659" s="230">
        <f t="shared" si="2"/>
        <v>0</v>
      </c>
      <c r="P659" s="231">
        <f t="shared" si="3"/>
        <v>0</v>
      </c>
      <c r="Q659" s="232" t="str">
        <f ca="1">ROUNDUP(HLOOKUP(IF(CEILING(L659,0.5)&lt;1,1,CEILING(L659,0.5)),'배송비 조회'!A$32:AY$36,2,0),-2)</f>
        <v>#REF!</v>
      </c>
      <c r="R659" s="232">
        <v>0</v>
      </c>
      <c r="S659" s="231" t="str">
        <f t="shared" ca="1" si="250"/>
        <v>#REF!</v>
      </c>
      <c r="T659" s="231" t="str">
        <f t="shared" ca="1" si="200"/>
        <v>#REF!</v>
      </c>
      <c r="U659" s="233" t="str">
        <f t="shared" ca="1" si="142"/>
        <v>#REF!</v>
      </c>
      <c r="V659" s="233" t="str">
        <f t="shared" ca="1" si="7"/>
        <v>#REF!</v>
      </c>
      <c r="W659" s="234">
        <v>0</v>
      </c>
      <c r="X659" s="234" t="str">
        <f t="shared" ca="1" si="8"/>
        <v>#REF!</v>
      </c>
      <c r="Y659" s="234" t="str">
        <f t="shared" ca="1" si="9"/>
        <v>#REF!</v>
      </c>
      <c r="Z659" s="234" t="str">
        <f t="shared" ca="1" si="10"/>
        <v>#REF!</v>
      </c>
      <c r="AA659" s="234" t="str">
        <f t="shared" ca="1" si="11"/>
        <v>#REF!</v>
      </c>
      <c r="AB659" s="234" t="str">
        <f t="shared" ca="1" si="12"/>
        <v>#REF!</v>
      </c>
      <c r="AC659" s="234" t="str">
        <f t="shared" ca="1" si="13"/>
        <v>#REF!</v>
      </c>
      <c r="AD659" s="101" t="str">
        <f t="shared" ca="1" si="14"/>
        <v>#REF!</v>
      </c>
      <c r="AE659" s="101" t="str">
        <f t="shared" ca="1" si="15"/>
        <v>#REF!</v>
      </c>
      <c r="AF659" s="235" t="str">
        <f t="shared" ref="AF659:AG659" ca="1" si="736">AD659/U659</f>
        <v>#REF!</v>
      </c>
      <c r="AG659" s="235" t="str">
        <f t="shared" ca="1" si="736"/>
        <v>#REF!</v>
      </c>
      <c r="AH659" s="212"/>
      <c r="AI659" s="213"/>
      <c r="AJ659" s="4"/>
      <c r="AK659" s="4"/>
      <c r="AL659" s="4"/>
      <c r="AM659" s="4"/>
      <c r="AN659" s="4"/>
      <c r="AO659" s="4"/>
      <c r="AP659" s="4"/>
      <c r="AQ659" s="4"/>
      <c r="AR659" s="4"/>
      <c r="AS659" s="4"/>
      <c r="AT659" s="4"/>
      <c r="AU659" s="4"/>
    </row>
    <row r="660" spans="1:47" ht="13.2">
      <c r="A660" s="120"/>
      <c r="B660" s="113"/>
      <c r="C660" s="117"/>
      <c r="D660" s="117"/>
      <c r="E660" s="117"/>
      <c r="F660" s="123"/>
      <c r="G660" s="93" t="s">
        <v>145</v>
      </c>
      <c r="H660" s="125"/>
      <c r="I660" s="125"/>
      <c r="J660" s="82" t="str">
        <f t="shared" ca="1" si="147"/>
        <v>#REF!</v>
      </c>
      <c r="K660" s="82" t="str">
        <f t="shared" ca="1" si="256"/>
        <v>#REF!</v>
      </c>
      <c r="L660" s="82" t="str">
        <f t="shared" ca="1" si="199"/>
        <v>#REF!</v>
      </c>
      <c r="M660" s="125"/>
      <c r="N660" s="125"/>
      <c r="O660" s="230">
        <f t="shared" si="2"/>
        <v>0</v>
      </c>
      <c r="P660" s="231">
        <f t="shared" si="3"/>
        <v>0</v>
      </c>
      <c r="Q660" s="232" t="str">
        <f ca="1">ROUNDUP(HLOOKUP(IF(CEILING(L660,0.5)&lt;1,1,CEILING(L660,0.5)),'배송비 조회'!A$32:AY$36,2,0),-2)</f>
        <v>#REF!</v>
      </c>
      <c r="R660" s="232">
        <v>0</v>
      </c>
      <c r="S660" s="231" t="str">
        <f t="shared" ca="1" si="250"/>
        <v>#REF!</v>
      </c>
      <c r="T660" s="231" t="str">
        <f t="shared" ca="1" si="200"/>
        <v>#REF!</v>
      </c>
      <c r="U660" s="233" t="str">
        <f t="shared" ca="1" si="142"/>
        <v>#REF!</v>
      </c>
      <c r="V660" s="233" t="str">
        <f t="shared" ca="1" si="7"/>
        <v>#REF!</v>
      </c>
      <c r="W660" s="234">
        <v>0</v>
      </c>
      <c r="X660" s="234" t="str">
        <f t="shared" ca="1" si="8"/>
        <v>#REF!</v>
      </c>
      <c r="Y660" s="234" t="str">
        <f t="shared" ca="1" si="9"/>
        <v>#REF!</v>
      </c>
      <c r="Z660" s="234" t="str">
        <f t="shared" ca="1" si="10"/>
        <v>#REF!</v>
      </c>
      <c r="AA660" s="234" t="str">
        <f t="shared" ca="1" si="11"/>
        <v>#REF!</v>
      </c>
      <c r="AB660" s="234" t="str">
        <f t="shared" ca="1" si="12"/>
        <v>#REF!</v>
      </c>
      <c r="AC660" s="234" t="str">
        <f t="shared" ca="1" si="13"/>
        <v>#REF!</v>
      </c>
      <c r="AD660" s="101" t="str">
        <f t="shared" ca="1" si="14"/>
        <v>#REF!</v>
      </c>
      <c r="AE660" s="101" t="str">
        <f t="shared" ca="1" si="15"/>
        <v>#REF!</v>
      </c>
      <c r="AF660" s="235" t="str">
        <f t="shared" ref="AF660:AG660" ca="1" si="737">AD660/U660</f>
        <v>#REF!</v>
      </c>
      <c r="AG660" s="235" t="str">
        <f t="shared" ca="1" si="737"/>
        <v>#REF!</v>
      </c>
      <c r="AH660" s="212"/>
      <c r="AI660" s="213"/>
      <c r="AJ660" s="4"/>
      <c r="AK660" s="4"/>
      <c r="AL660" s="4"/>
      <c r="AM660" s="4"/>
      <c r="AN660" s="4"/>
      <c r="AO660" s="4"/>
      <c r="AP660" s="4"/>
      <c r="AQ660" s="4"/>
      <c r="AR660" s="4"/>
      <c r="AS660" s="4"/>
      <c r="AT660" s="4"/>
      <c r="AU660" s="4"/>
    </row>
    <row r="661" spans="1:47" ht="13.2">
      <c r="A661" s="120"/>
      <c r="B661" s="113"/>
      <c r="C661" s="117"/>
      <c r="D661" s="117"/>
      <c r="E661" s="117"/>
      <c r="F661" s="123"/>
      <c r="G661" s="93" t="s">
        <v>145</v>
      </c>
      <c r="H661" s="125"/>
      <c r="I661" s="125"/>
      <c r="J661" s="82" t="str">
        <f t="shared" ca="1" si="147"/>
        <v>#REF!</v>
      </c>
      <c r="K661" s="82" t="str">
        <f t="shared" ca="1" si="256"/>
        <v>#REF!</v>
      </c>
      <c r="L661" s="82" t="str">
        <f t="shared" ca="1" si="199"/>
        <v>#REF!</v>
      </c>
      <c r="M661" s="125"/>
      <c r="N661" s="125"/>
      <c r="O661" s="230">
        <f t="shared" si="2"/>
        <v>0</v>
      </c>
      <c r="P661" s="231">
        <f t="shared" si="3"/>
        <v>0</v>
      </c>
      <c r="Q661" s="232" t="str">
        <f ca="1">ROUNDUP(HLOOKUP(IF(CEILING(L661,0.5)&lt;1,1,CEILING(L661,0.5)),'배송비 조회'!A$32:AY$36,2,0),-2)</f>
        <v>#REF!</v>
      </c>
      <c r="R661" s="232">
        <v>0</v>
      </c>
      <c r="S661" s="231" t="str">
        <f t="shared" ca="1" si="250"/>
        <v>#REF!</v>
      </c>
      <c r="T661" s="231" t="str">
        <f t="shared" ca="1" si="200"/>
        <v>#REF!</v>
      </c>
      <c r="U661" s="233" t="str">
        <f t="shared" ca="1" si="142"/>
        <v>#REF!</v>
      </c>
      <c r="V661" s="233" t="str">
        <f t="shared" ca="1" si="7"/>
        <v>#REF!</v>
      </c>
      <c r="W661" s="234">
        <v>0</v>
      </c>
      <c r="X661" s="234" t="str">
        <f t="shared" ca="1" si="8"/>
        <v>#REF!</v>
      </c>
      <c r="Y661" s="234" t="str">
        <f t="shared" ca="1" si="9"/>
        <v>#REF!</v>
      </c>
      <c r="Z661" s="234" t="str">
        <f t="shared" ca="1" si="10"/>
        <v>#REF!</v>
      </c>
      <c r="AA661" s="234" t="str">
        <f t="shared" ca="1" si="11"/>
        <v>#REF!</v>
      </c>
      <c r="AB661" s="234" t="str">
        <f t="shared" ca="1" si="12"/>
        <v>#REF!</v>
      </c>
      <c r="AC661" s="234" t="str">
        <f t="shared" ca="1" si="13"/>
        <v>#REF!</v>
      </c>
      <c r="AD661" s="101" t="str">
        <f t="shared" ca="1" si="14"/>
        <v>#REF!</v>
      </c>
      <c r="AE661" s="101" t="str">
        <f t="shared" ca="1" si="15"/>
        <v>#REF!</v>
      </c>
      <c r="AF661" s="235" t="str">
        <f t="shared" ref="AF661:AG661" ca="1" si="738">AD661/U661</f>
        <v>#REF!</v>
      </c>
      <c r="AG661" s="235" t="str">
        <f t="shared" ca="1" si="738"/>
        <v>#REF!</v>
      </c>
      <c r="AH661" s="212"/>
      <c r="AI661" s="213"/>
      <c r="AJ661" s="4"/>
      <c r="AK661" s="4"/>
      <c r="AL661" s="4"/>
      <c r="AM661" s="4"/>
      <c r="AN661" s="4"/>
      <c r="AO661" s="4"/>
      <c r="AP661" s="4"/>
      <c r="AQ661" s="4"/>
      <c r="AR661" s="4"/>
      <c r="AS661" s="4"/>
      <c r="AT661" s="4"/>
      <c r="AU661" s="4"/>
    </row>
    <row r="662" spans="1:47" ht="13.2">
      <c r="A662" s="120"/>
      <c r="B662" s="113"/>
      <c r="C662" s="117"/>
      <c r="D662" s="117"/>
      <c r="E662" s="117"/>
      <c r="F662" s="123"/>
      <c r="G662" s="93" t="s">
        <v>145</v>
      </c>
      <c r="H662" s="125"/>
      <c r="I662" s="125"/>
      <c r="J662" s="82" t="str">
        <f t="shared" ca="1" si="147"/>
        <v>#REF!</v>
      </c>
      <c r="K662" s="82" t="str">
        <f t="shared" ca="1" si="256"/>
        <v>#REF!</v>
      </c>
      <c r="L662" s="82" t="str">
        <f t="shared" ca="1" si="199"/>
        <v>#REF!</v>
      </c>
      <c r="M662" s="125"/>
      <c r="N662" s="125"/>
      <c r="O662" s="230">
        <f t="shared" si="2"/>
        <v>0</v>
      </c>
      <c r="P662" s="231">
        <f t="shared" si="3"/>
        <v>0</v>
      </c>
      <c r="Q662" s="232" t="str">
        <f ca="1">ROUNDUP(HLOOKUP(IF(CEILING(L662,0.5)&lt;1,1,CEILING(L662,0.5)),'배송비 조회'!A$32:AY$36,2,0),-2)</f>
        <v>#REF!</v>
      </c>
      <c r="R662" s="232">
        <v>0</v>
      </c>
      <c r="S662" s="231" t="str">
        <f t="shared" ca="1" si="250"/>
        <v>#REF!</v>
      </c>
      <c r="T662" s="231" t="str">
        <f t="shared" ca="1" si="200"/>
        <v>#REF!</v>
      </c>
      <c r="U662" s="233" t="str">
        <f t="shared" ca="1" si="142"/>
        <v>#REF!</v>
      </c>
      <c r="V662" s="233" t="str">
        <f t="shared" ca="1" si="7"/>
        <v>#REF!</v>
      </c>
      <c r="W662" s="234">
        <v>0</v>
      </c>
      <c r="X662" s="234" t="str">
        <f t="shared" ca="1" si="8"/>
        <v>#REF!</v>
      </c>
      <c r="Y662" s="234" t="str">
        <f t="shared" ca="1" si="9"/>
        <v>#REF!</v>
      </c>
      <c r="Z662" s="234" t="str">
        <f t="shared" ca="1" si="10"/>
        <v>#REF!</v>
      </c>
      <c r="AA662" s="234" t="str">
        <f t="shared" ca="1" si="11"/>
        <v>#REF!</v>
      </c>
      <c r="AB662" s="234" t="str">
        <f t="shared" ca="1" si="12"/>
        <v>#REF!</v>
      </c>
      <c r="AC662" s="234" t="str">
        <f t="shared" ca="1" si="13"/>
        <v>#REF!</v>
      </c>
      <c r="AD662" s="101" t="str">
        <f t="shared" ca="1" si="14"/>
        <v>#REF!</v>
      </c>
      <c r="AE662" s="101" t="str">
        <f t="shared" ca="1" si="15"/>
        <v>#REF!</v>
      </c>
      <c r="AF662" s="235" t="str">
        <f t="shared" ref="AF662:AG662" ca="1" si="739">AD662/U662</f>
        <v>#REF!</v>
      </c>
      <c r="AG662" s="235" t="str">
        <f t="shared" ca="1" si="739"/>
        <v>#REF!</v>
      </c>
      <c r="AH662" s="212"/>
      <c r="AI662" s="213"/>
      <c r="AJ662" s="4"/>
      <c r="AK662" s="4"/>
      <c r="AL662" s="4"/>
      <c r="AM662" s="4"/>
      <c r="AN662" s="4"/>
      <c r="AO662" s="4"/>
      <c r="AP662" s="4"/>
      <c r="AQ662" s="4"/>
      <c r="AR662" s="4"/>
      <c r="AS662" s="4"/>
      <c r="AT662" s="4"/>
      <c r="AU662" s="4"/>
    </row>
    <row r="663" spans="1:47" ht="13.2">
      <c r="A663" s="120"/>
      <c r="B663" s="113"/>
      <c r="C663" s="117"/>
      <c r="D663" s="117"/>
      <c r="E663" s="117"/>
      <c r="F663" s="123"/>
      <c r="G663" s="93" t="s">
        <v>145</v>
      </c>
      <c r="H663" s="125"/>
      <c r="I663" s="125"/>
      <c r="J663" s="82" t="str">
        <f t="shared" ca="1" si="147"/>
        <v>#REF!</v>
      </c>
      <c r="K663" s="82" t="str">
        <f t="shared" ca="1" si="256"/>
        <v>#REF!</v>
      </c>
      <c r="L663" s="82" t="str">
        <f t="shared" ca="1" si="199"/>
        <v>#REF!</v>
      </c>
      <c r="M663" s="125"/>
      <c r="N663" s="125"/>
      <c r="O663" s="230">
        <f t="shared" si="2"/>
        <v>0</v>
      </c>
      <c r="P663" s="231">
        <f t="shared" si="3"/>
        <v>0</v>
      </c>
      <c r="Q663" s="232" t="str">
        <f ca="1">ROUNDUP(HLOOKUP(IF(CEILING(L663,0.5)&lt;1,1,CEILING(L663,0.5)),'배송비 조회'!A$32:AY$36,2,0),-2)</f>
        <v>#REF!</v>
      </c>
      <c r="R663" s="232">
        <v>0</v>
      </c>
      <c r="S663" s="231" t="str">
        <f t="shared" ca="1" si="250"/>
        <v>#REF!</v>
      </c>
      <c r="T663" s="231" t="str">
        <f t="shared" ca="1" si="200"/>
        <v>#REF!</v>
      </c>
      <c r="U663" s="233" t="str">
        <f t="shared" ca="1" si="142"/>
        <v>#REF!</v>
      </c>
      <c r="V663" s="233" t="str">
        <f t="shared" ca="1" si="7"/>
        <v>#REF!</v>
      </c>
      <c r="W663" s="234">
        <v>0</v>
      </c>
      <c r="X663" s="234" t="str">
        <f t="shared" ca="1" si="8"/>
        <v>#REF!</v>
      </c>
      <c r="Y663" s="234" t="str">
        <f t="shared" ca="1" si="9"/>
        <v>#REF!</v>
      </c>
      <c r="Z663" s="234" t="str">
        <f t="shared" ca="1" si="10"/>
        <v>#REF!</v>
      </c>
      <c r="AA663" s="234" t="str">
        <f t="shared" ca="1" si="11"/>
        <v>#REF!</v>
      </c>
      <c r="AB663" s="234" t="str">
        <f t="shared" ca="1" si="12"/>
        <v>#REF!</v>
      </c>
      <c r="AC663" s="234" t="str">
        <f t="shared" ca="1" si="13"/>
        <v>#REF!</v>
      </c>
      <c r="AD663" s="101" t="str">
        <f t="shared" ca="1" si="14"/>
        <v>#REF!</v>
      </c>
      <c r="AE663" s="101" t="str">
        <f t="shared" ca="1" si="15"/>
        <v>#REF!</v>
      </c>
      <c r="AF663" s="235" t="str">
        <f t="shared" ref="AF663:AG663" ca="1" si="740">AD663/U663</f>
        <v>#REF!</v>
      </c>
      <c r="AG663" s="235" t="str">
        <f t="shared" ca="1" si="740"/>
        <v>#REF!</v>
      </c>
      <c r="AH663" s="212"/>
      <c r="AI663" s="213"/>
      <c r="AJ663" s="4"/>
      <c r="AK663" s="4"/>
      <c r="AL663" s="4"/>
      <c r="AM663" s="4"/>
      <c r="AN663" s="4"/>
      <c r="AO663" s="4"/>
      <c r="AP663" s="4"/>
      <c r="AQ663" s="4"/>
      <c r="AR663" s="4"/>
      <c r="AS663" s="4"/>
      <c r="AT663" s="4"/>
      <c r="AU663" s="4"/>
    </row>
    <row r="664" spans="1:47" ht="13.2">
      <c r="A664" s="120"/>
      <c r="B664" s="113"/>
      <c r="C664" s="117"/>
      <c r="D664" s="117"/>
      <c r="E664" s="117"/>
      <c r="F664" s="123"/>
      <c r="G664" s="93" t="s">
        <v>145</v>
      </c>
      <c r="H664" s="125"/>
      <c r="I664" s="125"/>
      <c r="J664" s="82" t="str">
        <f t="shared" ca="1" si="147"/>
        <v>#REF!</v>
      </c>
      <c r="K664" s="82" t="str">
        <f t="shared" ca="1" si="256"/>
        <v>#REF!</v>
      </c>
      <c r="L664" s="82" t="str">
        <f t="shared" ca="1" si="199"/>
        <v>#REF!</v>
      </c>
      <c r="M664" s="125"/>
      <c r="N664" s="125"/>
      <c r="O664" s="230">
        <f t="shared" si="2"/>
        <v>0</v>
      </c>
      <c r="P664" s="231">
        <f t="shared" si="3"/>
        <v>0</v>
      </c>
      <c r="Q664" s="232" t="str">
        <f ca="1">ROUNDUP(HLOOKUP(IF(CEILING(L664,0.5)&lt;1,1,CEILING(L664,0.5)),'배송비 조회'!A$32:AY$36,2,0),-2)</f>
        <v>#REF!</v>
      </c>
      <c r="R664" s="232">
        <v>0</v>
      </c>
      <c r="S664" s="231" t="str">
        <f t="shared" ca="1" si="250"/>
        <v>#REF!</v>
      </c>
      <c r="T664" s="231" t="str">
        <f t="shared" ca="1" si="200"/>
        <v>#REF!</v>
      </c>
      <c r="U664" s="233" t="str">
        <f t="shared" ca="1" si="142"/>
        <v>#REF!</v>
      </c>
      <c r="V664" s="233" t="str">
        <f t="shared" ca="1" si="7"/>
        <v>#REF!</v>
      </c>
      <c r="W664" s="234">
        <v>0</v>
      </c>
      <c r="X664" s="234" t="str">
        <f t="shared" ca="1" si="8"/>
        <v>#REF!</v>
      </c>
      <c r="Y664" s="234" t="str">
        <f t="shared" ca="1" si="9"/>
        <v>#REF!</v>
      </c>
      <c r="Z664" s="234" t="str">
        <f t="shared" ca="1" si="10"/>
        <v>#REF!</v>
      </c>
      <c r="AA664" s="234" t="str">
        <f t="shared" ca="1" si="11"/>
        <v>#REF!</v>
      </c>
      <c r="AB664" s="234" t="str">
        <f t="shared" ca="1" si="12"/>
        <v>#REF!</v>
      </c>
      <c r="AC664" s="234" t="str">
        <f t="shared" ca="1" si="13"/>
        <v>#REF!</v>
      </c>
      <c r="AD664" s="101" t="str">
        <f t="shared" ca="1" si="14"/>
        <v>#REF!</v>
      </c>
      <c r="AE664" s="101" t="str">
        <f t="shared" ca="1" si="15"/>
        <v>#REF!</v>
      </c>
      <c r="AF664" s="235" t="str">
        <f t="shared" ref="AF664:AG664" ca="1" si="741">AD664/U664</f>
        <v>#REF!</v>
      </c>
      <c r="AG664" s="235" t="str">
        <f t="shared" ca="1" si="741"/>
        <v>#REF!</v>
      </c>
      <c r="AH664" s="212"/>
      <c r="AI664" s="213"/>
      <c r="AJ664" s="4"/>
      <c r="AK664" s="4"/>
      <c r="AL664" s="4"/>
      <c r="AM664" s="4"/>
      <c r="AN664" s="4"/>
      <c r="AO664" s="4"/>
      <c r="AP664" s="4"/>
      <c r="AQ664" s="4"/>
      <c r="AR664" s="4"/>
      <c r="AS664" s="4"/>
      <c r="AT664" s="4"/>
      <c r="AU664" s="4"/>
    </row>
    <row r="665" spans="1:47" ht="13.2">
      <c r="A665" s="120"/>
      <c r="B665" s="113"/>
      <c r="C665" s="117"/>
      <c r="D665" s="117"/>
      <c r="E665" s="117"/>
      <c r="F665" s="123"/>
      <c r="G665" s="93" t="s">
        <v>145</v>
      </c>
      <c r="H665" s="125"/>
      <c r="I665" s="125"/>
      <c r="J665" s="82" t="str">
        <f t="shared" ca="1" si="147"/>
        <v>#REF!</v>
      </c>
      <c r="K665" s="82" t="str">
        <f t="shared" ca="1" si="256"/>
        <v>#REF!</v>
      </c>
      <c r="L665" s="82" t="str">
        <f t="shared" ca="1" si="199"/>
        <v>#REF!</v>
      </c>
      <c r="M665" s="125"/>
      <c r="N665" s="125"/>
      <c r="O665" s="230">
        <f t="shared" si="2"/>
        <v>0</v>
      </c>
      <c r="P665" s="231">
        <f t="shared" si="3"/>
        <v>0</v>
      </c>
      <c r="Q665" s="232" t="str">
        <f ca="1">ROUNDUP(HLOOKUP(IF(CEILING(L665,0.5)&lt;1,1,CEILING(L665,0.5)),'배송비 조회'!A$32:AY$36,2,0),-2)</f>
        <v>#REF!</v>
      </c>
      <c r="R665" s="232">
        <v>0</v>
      </c>
      <c r="S665" s="231" t="str">
        <f t="shared" ca="1" si="250"/>
        <v>#REF!</v>
      </c>
      <c r="T665" s="231" t="str">
        <f t="shared" ca="1" si="200"/>
        <v>#REF!</v>
      </c>
      <c r="U665" s="233" t="str">
        <f t="shared" ca="1" si="142"/>
        <v>#REF!</v>
      </c>
      <c r="V665" s="233" t="str">
        <f t="shared" ca="1" si="7"/>
        <v>#REF!</v>
      </c>
      <c r="W665" s="234">
        <v>0</v>
      </c>
      <c r="X665" s="234" t="str">
        <f t="shared" ca="1" si="8"/>
        <v>#REF!</v>
      </c>
      <c r="Y665" s="234" t="str">
        <f t="shared" ca="1" si="9"/>
        <v>#REF!</v>
      </c>
      <c r="Z665" s="234" t="str">
        <f t="shared" ca="1" si="10"/>
        <v>#REF!</v>
      </c>
      <c r="AA665" s="234" t="str">
        <f t="shared" ca="1" si="11"/>
        <v>#REF!</v>
      </c>
      <c r="AB665" s="234" t="str">
        <f t="shared" ca="1" si="12"/>
        <v>#REF!</v>
      </c>
      <c r="AC665" s="234" t="str">
        <f t="shared" ca="1" si="13"/>
        <v>#REF!</v>
      </c>
      <c r="AD665" s="101" t="str">
        <f t="shared" ca="1" si="14"/>
        <v>#REF!</v>
      </c>
      <c r="AE665" s="101" t="str">
        <f t="shared" ca="1" si="15"/>
        <v>#REF!</v>
      </c>
      <c r="AF665" s="235" t="str">
        <f t="shared" ref="AF665:AG665" ca="1" si="742">AD665/U665</f>
        <v>#REF!</v>
      </c>
      <c r="AG665" s="235" t="str">
        <f t="shared" ca="1" si="742"/>
        <v>#REF!</v>
      </c>
      <c r="AH665" s="212"/>
      <c r="AI665" s="213"/>
      <c r="AJ665" s="4"/>
      <c r="AK665" s="4"/>
      <c r="AL665" s="4"/>
      <c r="AM665" s="4"/>
      <c r="AN665" s="4"/>
      <c r="AO665" s="4"/>
      <c r="AP665" s="4"/>
      <c r="AQ665" s="4"/>
      <c r="AR665" s="4"/>
      <c r="AS665" s="4"/>
      <c r="AT665" s="4"/>
      <c r="AU665" s="4"/>
    </row>
    <row r="666" spans="1:47" ht="13.2">
      <c r="A666" s="120"/>
      <c r="B666" s="113"/>
      <c r="C666" s="117"/>
      <c r="D666" s="117"/>
      <c r="E666" s="117"/>
      <c r="F666" s="123"/>
      <c r="G666" s="93" t="s">
        <v>145</v>
      </c>
      <c r="H666" s="125"/>
      <c r="I666" s="125"/>
      <c r="J666" s="82" t="str">
        <f t="shared" ca="1" si="147"/>
        <v>#REF!</v>
      </c>
      <c r="K666" s="82" t="str">
        <f t="shared" ca="1" si="256"/>
        <v>#REF!</v>
      </c>
      <c r="L666" s="82" t="str">
        <f t="shared" ca="1" si="199"/>
        <v>#REF!</v>
      </c>
      <c r="M666" s="125"/>
      <c r="N666" s="125"/>
      <c r="O666" s="230">
        <f t="shared" si="2"/>
        <v>0</v>
      </c>
      <c r="P666" s="231">
        <f t="shared" si="3"/>
        <v>0</v>
      </c>
      <c r="Q666" s="232" t="str">
        <f ca="1">ROUNDUP(HLOOKUP(IF(CEILING(L666,0.5)&lt;1,1,CEILING(L666,0.5)),'배송비 조회'!A$32:AY$36,2,0),-2)</f>
        <v>#REF!</v>
      </c>
      <c r="R666" s="232">
        <v>0</v>
      </c>
      <c r="S666" s="231" t="str">
        <f t="shared" ca="1" si="250"/>
        <v>#REF!</v>
      </c>
      <c r="T666" s="231" t="str">
        <f t="shared" ca="1" si="200"/>
        <v>#REF!</v>
      </c>
      <c r="U666" s="233" t="str">
        <f t="shared" ca="1" si="142"/>
        <v>#REF!</v>
      </c>
      <c r="V666" s="233" t="str">
        <f t="shared" ca="1" si="7"/>
        <v>#REF!</v>
      </c>
      <c r="W666" s="234">
        <v>0</v>
      </c>
      <c r="X666" s="234" t="str">
        <f t="shared" ca="1" si="8"/>
        <v>#REF!</v>
      </c>
      <c r="Y666" s="234" t="str">
        <f t="shared" ca="1" si="9"/>
        <v>#REF!</v>
      </c>
      <c r="Z666" s="234" t="str">
        <f t="shared" ca="1" si="10"/>
        <v>#REF!</v>
      </c>
      <c r="AA666" s="234" t="str">
        <f t="shared" ca="1" si="11"/>
        <v>#REF!</v>
      </c>
      <c r="AB666" s="234" t="str">
        <f t="shared" ca="1" si="12"/>
        <v>#REF!</v>
      </c>
      <c r="AC666" s="234" t="str">
        <f t="shared" ca="1" si="13"/>
        <v>#REF!</v>
      </c>
      <c r="AD666" s="101" t="str">
        <f t="shared" ca="1" si="14"/>
        <v>#REF!</v>
      </c>
      <c r="AE666" s="101" t="str">
        <f t="shared" ca="1" si="15"/>
        <v>#REF!</v>
      </c>
      <c r="AF666" s="235" t="str">
        <f t="shared" ref="AF666:AG666" ca="1" si="743">AD666/U666</f>
        <v>#REF!</v>
      </c>
      <c r="AG666" s="235" t="str">
        <f t="shared" ca="1" si="743"/>
        <v>#REF!</v>
      </c>
      <c r="AH666" s="212"/>
      <c r="AI666" s="213"/>
      <c r="AJ666" s="4"/>
      <c r="AK666" s="4"/>
      <c r="AL666" s="4"/>
      <c r="AM666" s="4"/>
      <c r="AN666" s="4"/>
      <c r="AO666" s="4"/>
      <c r="AP666" s="4"/>
      <c r="AQ666" s="4"/>
      <c r="AR666" s="4"/>
      <c r="AS666" s="4"/>
      <c r="AT666" s="4"/>
      <c r="AU666" s="4"/>
    </row>
    <row r="667" spans="1:47" ht="13.2">
      <c r="A667" s="120"/>
      <c r="B667" s="113"/>
      <c r="C667" s="117"/>
      <c r="D667" s="117"/>
      <c r="E667" s="117"/>
      <c r="F667" s="123"/>
      <c r="G667" s="93" t="s">
        <v>145</v>
      </c>
      <c r="H667" s="125"/>
      <c r="I667" s="125"/>
      <c r="J667" s="82" t="str">
        <f t="shared" ca="1" si="147"/>
        <v>#REF!</v>
      </c>
      <c r="K667" s="82" t="str">
        <f t="shared" ca="1" si="256"/>
        <v>#REF!</v>
      </c>
      <c r="L667" s="82" t="str">
        <f t="shared" ca="1" si="199"/>
        <v>#REF!</v>
      </c>
      <c r="M667" s="125"/>
      <c r="N667" s="125"/>
      <c r="O667" s="230">
        <f t="shared" si="2"/>
        <v>0</v>
      </c>
      <c r="P667" s="231">
        <f t="shared" si="3"/>
        <v>0</v>
      </c>
      <c r="Q667" s="232" t="str">
        <f ca="1">ROUNDUP(HLOOKUP(IF(CEILING(L667,0.5)&lt;1,1,CEILING(L667,0.5)),'배송비 조회'!A$32:AY$36,2,0),-2)</f>
        <v>#REF!</v>
      </c>
      <c r="R667" s="232">
        <v>0</v>
      </c>
      <c r="S667" s="231" t="str">
        <f t="shared" ca="1" si="250"/>
        <v>#REF!</v>
      </c>
      <c r="T667" s="231" t="str">
        <f t="shared" ca="1" si="200"/>
        <v>#REF!</v>
      </c>
      <c r="U667" s="233" t="str">
        <f t="shared" ca="1" si="142"/>
        <v>#REF!</v>
      </c>
      <c r="V667" s="233" t="str">
        <f t="shared" ca="1" si="7"/>
        <v>#REF!</v>
      </c>
      <c r="W667" s="234">
        <v>0</v>
      </c>
      <c r="X667" s="234" t="str">
        <f t="shared" ca="1" si="8"/>
        <v>#REF!</v>
      </c>
      <c r="Y667" s="234" t="str">
        <f t="shared" ca="1" si="9"/>
        <v>#REF!</v>
      </c>
      <c r="Z667" s="234" t="str">
        <f t="shared" ca="1" si="10"/>
        <v>#REF!</v>
      </c>
      <c r="AA667" s="234" t="str">
        <f t="shared" ca="1" si="11"/>
        <v>#REF!</v>
      </c>
      <c r="AB667" s="234" t="str">
        <f t="shared" ca="1" si="12"/>
        <v>#REF!</v>
      </c>
      <c r="AC667" s="234" t="str">
        <f t="shared" ca="1" si="13"/>
        <v>#REF!</v>
      </c>
      <c r="AD667" s="101" t="str">
        <f t="shared" ca="1" si="14"/>
        <v>#REF!</v>
      </c>
      <c r="AE667" s="101" t="str">
        <f t="shared" ca="1" si="15"/>
        <v>#REF!</v>
      </c>
      <c r="AF667" s="235" t="str">
        <f t="shared" ref="AF667:AG667" ca="1" si="744">AD667/U667</f>
        <v>#REF!</v>
      </c>
      <c r="AG667" s="235" t="str">
        <f t="shared" ca="1" si="744"/>
        <v>#REF!</v>
      </c>
      <c r="AH667" s="212"/>
      <c r="AI667" s="213"/>
      <c r="AJ667" s="4"/>
      <c r="AK667" s="4"/>
      <c r="AL667" s="4"/>
      <c r="AM667" s="4"/>
      <c r="AN667" s="4"/>
      <c r="AO667" s="4"/>
      <c r="AP667" s="4"/>
      <c r="AQ667" s="4"/>
      <c r="AR667" s="4"/>
      <c r="AS667" s="4"/>
      <c r="AT667" s="4"/>
      <c r="AU667" s="4"/>
    </row>
    <row r="668" spans="1:47" ht="13.2">
      <c r="A668" s="120"/>
      <c r="B668" s="113"/>
      <c r="C668" s="117"/>
      <c r="D668" s="117"/>
      <c r="E668" s="117"/>
      <c r="F668" s="123"/>
      <c r="G668" s="93" t="s">
        <v>145</v>
      </c>
      <c r="H668" s="125"/>
      <c r="I668" s="125"/>
      <c r="J668" s="82" t="str">
        <f t="shared" ca="1" si="147"/>
        <v>#REF!</v>
      </c>
      <c r="K668" s="82" t="str">
        <f t="shared" ca="1" si="256"/>
        <v>#REF!</v>
      </c>
      <c r="L668" s="82" t="str">
        <f t="shared" ca="1" si="199"/>
        <v>#REF!</v>
      </c>
      <c r="M668" s="125"/>
      <c r="N668" s="125"/>
      <c r="O668" s="230">
        <f t="shared" si="2"/>
        <v>0</v>
      </c>
      <c r="P668" s="231">
        <f t="shared" si="3"/>
        <v>0</v>
      </c>
      <c r="Q668" s="232" t="str">
        <f ca="1">ROUNDUP(HLOOKUP(IF(CEILING(L668,0.5)&lt;1,1,CEILING(L668,0.5)),'배송비 조회'!A$32:AY$36,2,0),-2)</f>
        <v>#REF!</v>
      </c>
      <c r="R668" s="232">
        <v>0</v>
      </c>
      <c r="S668" s="231" t="str">
        <f t="shared" ca="1" si="250"/>
        <v>#REF!</v>
      </c>
      <c r="T668" s="231" t="str">
        <f t="shared" ca="1" si="200"/>
        <v>#REF!</v>
      </c>
      <c r="U668" s="233" t="str">
        <f t="shared" ca="1" si="142"/>
        <v>#REF!</v>
      </c>
      <c r="V668" s="233" t="str">
        <f t="shared" ca="1" si="7"/>
        <v>#REF!</v>
      </c>
      <c r="W668" s="234">
        <v>0</v>
      </c>
      <c r="X668" s="234" t="str">
        <f t="shared" ca="1" si="8"/>
        <v>#REF!</v>
      </c>
      <c r="Y668" s="234" t="str">
        <f t="shared" ca="1" si="9"/>
        <v>#REF!</v>
      </c>
      <c r="Z668" s="234" t="str">
        <f t="shared" ca="1" si="10"/>
        <v>#REF!</v>
      </c>
      <c r="AA668" s="234" t="str">
        <f t="shared" ca="1" si="11"/>
        <v>#REF!</v>
      </c>
      <c r="AB668" s="234" t="str">
        <f t="shared" ca="1" si="12"/>
        <v>#REF!</v>
      </c>
      <c r="AC668" s="234" t="str">
        <f t="shared" ca="1" si="13"/>
        <v>#REF!</v>
      </c>
      <c r="AD668" s="101" t="str">
        <f t="shared" ca="1" si="14"/>
        <v>#REF!</v>
      </c>
      <c r="AE668" s="101" t="str">
        <f t="shared" ca="1" si="15"/>
        <v>#REF!</v>
      </c>
      <c r="AF668" s="235" t="str">
        <f t="shared" ref="AF668:AG668" ca="1" si="745">AD668/U668</f>
        <v>#REF!</v>
      </c>
      <c r="AG668" s="235" t="str">
        <f t="shared" ca="1" si="745"/>
        <v>#REF!</v>
      </c>
      <c r="AH668" s="212"/>
      <c r="AI668" s="213"/>
      <c r="AJ668" s="4"/>
      <c r="AK668" s="4"/>
      <c r="AL668" s="4"/>
      <c r="AM668" s="4"/>
      <c r="AN668" s="4"/>
      <c r="AO668" s="4"/>
      <c r="AP668" s="4"/>
      <c r="AQ668" s="4"/>
      <c r="AR668" s="4"/>
      <c r="AS668" s="4"/>
      <c r="AT668" s="4"/>
      <c r="AU668" s="4"/>
    </row>
    <row r="669" spans="1:47" ht="13.2">
      <c r="A669" s="120"/>
      <c r="B669" s="113"/>
      <c r="C669" s="117"/>
      <c r="D669" s="117"/>
      <c r="E669" s="117"/>
      <c r="F669" s="123"/>
      <c r="G669" s="93" t="s">
        <v>145</v>
      </c>
      <c r="H669" s="125"/>
      <c r="I669" s="125"/>
      <c r="J669" s="82" t="str">
        <f t="shared" ca="1" si="147"/>
        <v>#REF!</v>
      </c>
      <c r="K669" s="82" t="str">
        <f t="shared" ca="1" si="256"/>
        <v>#REF!</v>
      </c>
      <c r="L669" s="82" t="str">
        <f t="shared" ca="1" si="199"/>
        <v>#REF!</v>
      </c>
      <c r="M669" s="125"/>
      <c r="N669" s="125"/>
      <c r="O669" s="230">
        <f t="shared" si="2"/>
        <v>0</v>
      </c>
      <c r="P669" s="231">
        <f t="shared" si="3"/>
        <v>0</v>
      </c>
      <c r="Q669" s="232" t="str">
        <f ca="1">ROUNDUP(HLOOKUP(IF(CEILING(L669,0.5)&lt;1,1,CEILING(L669,0.5)),'배송비 조회'!A$32:AY$36,2,0),-2)</f>
        <v>#REF!</v>
      </c>
      <c r="R669" s="232">
        <v>0</v>
      </c>
      <c r="S669" s="231" t="str">
        <f t="shared" ca="1" si="250"/>
        <v>#REF!</v>
      </c>
      <c r="T669" s="231" t="str">
        <f t="shared" ca="1" si="200"/>
        <v>#REF!</v>
      </c>
      <c r="U669" s="233" t="str">
        <f t="shared" ca="1" si="142"/>
        <v>#REF!</v>
      </c>
      <c r="V669" s="233" t="str">
        <f t="shared" ca="1" si="7"/>
        <v>#REF!</v>
      </c>
      <c r="W669" s="234">
        <v>0</v>
      </c>
      <c r="X669" s="234" t="str">
        <f t="shared" ca="1" si="8"/>
        <v>#REF!</v>
      </c>
      <c r="Y669" s="234" t="str">
        <f t="shared" ca="1" si="9"/>
        <v>#REF!</v>
      </c>
      <c r="Z669" s="234" t="str">
        <f t="shared" ca="1" si="10"/>
        <v>#REF!</v>
      </c>
      <c r="AA669" s="234" t="str">
        <f t="shared" ca="1" si="11"/>
        <v>#REF!</v>
      </c>
      <c r="AB669" s="234" t="str">
        <f t="shared" ca="1" si="12"/>
        <v>#REF!</v>
      </c>
      <c r="AC669" s="234" t="str">
        <f t="shared" ca="1" si="13"/>
        <v>#REF!</v>
      </c>
      <c r="AD669" s="101" t="str">
        <f t="shared" ca="1" si="14"/>
        <v>#REF!</v>
      </c>
      <c r="AE669" s="101" t="str">
        <f t="shared" ca="1" si="15"/>
        <v>#REF!</v>
      </c>
      <c r="AF669" s="235" t="str">
        <f t="shared" ref="AF669:AG669" ca="1" si="746">AD669/U669</f>
        <v>#REF!</v>
      </c>
      <c r="AG669" s="235" t="str">
        <f t="shared" ca="1" si="746"/>
        <v>#REF!</v>
      </c>
      <c r="AH669" s="212"/>
      <c r="AI669" s="213"/>
      <c r="AJ669" s="4"/>
      <c r="AK669" s="4"/>
      <c r="AL669" s="4"/>
      <c r="AM669" s="4"/>
      <c r="AN669" s="4"/>
      <c r="AO669" s="4"/>
      <c r="AP669" s="4"/>
      <c r="AQ669" s="4"/>
      <c r="AR669" s="4"/>
      <c r="AS669" s="4"/>
      <c r="AT669" s="4"/>
      <c r="AU669" s="4"/>
    </row>
    <row r="670" spans="1:47" ht="13.2">
      <c r="A670" s="120"/>
      <c r="B670" s="113"/>
      <c r="C670" s="117"/>
      <c r="D670" s="117"/>
      <c r="E670" s="117"/>
      <c r="F670" s="123"/>
      <c r="G670" s="93" t="s">
        <v>145</v>
      </c>
      <c r="H670" s="125"/>
      <c r="I670" s="125"/>
      <c r="J670" s="82" t="str">
        <f t="shared" ca="1" si="147"/>
        <v>#REF!</v>
      </c>
      <c r="K670" s="82" t="str">
        <f t="shared" ca="1" si="256"/>
        <v>#REF!</v>
      </c>
      <c r="L670" s="82" t="str">
        <f t="shared" ca="1" si="199"/>
        <v>#REF!</v>
      </c>
      <c r="M670" s="125"/>
      <c r="N670" s="125"/>
      <c r="O670" s="230">
        <f t="shared" si="2"/>
        <v>0</v>
      </c>
      <c r="P670" s="231">
        <f t="shared" si="3"/>
        <v>0</v>
      </c>
      <c r="Q670" s="232" t="str">
        <f ca="1">ROUNDUP(HLOOKUP(IF(CEILING(L670,0.5)&lt;1,1,CEILING(L670,0.5)),'배송비 조회'!A$32:AY$36,2,0),-2)</f>
        <v>#REF!</v>
      </c>
      <c r="R670" s="232">
        <v>0</v>
      </c>
      <c r="S670" s="231" t="str">
        <f t="shared" ca="1" si="250"/>
        <v>#REF!</v>
      </c>
      <c r="T670" s="231" t="str">
        <f t="shared" ca="1" si="200"/>
        <v>#REF!</v>
      </c>
      <c r="U670" s="233" t="str">
        <f t="shared" ca="1" si="142"/>
        <v>#REF!</v>
      </c>
      <c r="V670" s="233" t="str">
        <f t="shared" ca="1" si="7"/>
        <v>#REF!</v>
      </c>
      <c r="W670" s="234">
        <v>0</v>
      </c>
      <c r="X670" s="234" t="str">
        <f t="shared" ca="1" si="8"/>
        <v>#REF!</v>
      </c>
      <c r="Y670" s="234" t="str">
        <f t="shared" ca="1" si="9"/>
        <v>#REF!</v>
      </c>
      <c r="Z670" s="234" t="str">
        <f t="shared" ca="1" si="10"/>
        <v>#REF!</v>
      </c>
      <c r="AA670" s="234" t="str">
        <f t="shared" ca="1" si="11"/>
        <v>#REF!</v>
      </c>
      <c r="AB670" s="234" t="str">
        <f t="shared" ca="1" si="12"/>
        <v>#REF!</v>
      </c>
      <c r="AC670" s="234" t="str">
        <f t="shared" ca="1" si="13"/>
        <v>#REF!</v>
      </c>
      <c r="AD670" s="101" t="str">
        <f t="shared" ca="1" si="14"/>
        <v>#REF!</v>
      </c>
      <c r="AE670" s="101" t="str">
        <f t="shared" ca="1" si="15"/>
        <v>#REF!</v>
      </c>
      <c r="AF670" s="235" t="str">
        <f t="shared" ref="AF670:AG670" ca="1" si="747">AD670/U670</f>
        <v>#REF!</v>
      </c>
      <c r="AG670" s="235" t="str">
        <f t="shared" ca="1" si="747"/>
        <v>#REF!</v>
      </c>
      <c r="AH670" s="212"/>
      <c r="AI670" s="213"/>
      <c r="AJ670" s="4"/>
      <c r="AK670" s="4"/>
      <c r="AL670" s="4"/>
      <c r="AM670" s="4"/>
      <c r="AN670" s="4"/>
      <c r="AO670" s="4"/>
      <c r="AP670" s="4"/>
      <c r="AQ670" s="4"/>
      <c r="AR670" s="4"/>
      <c r="AS670" s="4"/>
      <c r="AT670" s="4"/>
      <c r="AU670" s="4"/>
    </row>
    <row r="671" spans="1:47" ht="13.2">
      <c r="A671" s="120"/>
      <c r="B671" s="113"/>
      <c r="C671" s="117"/>
      <c r="D671" s="117"/>
      <c r="E671" s="117"/>
      <c r="F671" s="123"/>
      <c r="G671" s="93" t="s">
        <v>145</v>
      </c>
      <c r="H671" s="125"/>
      <c r="I671" s="125"/>
      <c r="J671" s="82" t="str">
        <f t="shared" ca="1" si="147"/>
        <v>#REF!</v>
      </c>
      <c r="K671" s="82" t="str">
        <f t="shared" ca="1" si="256"/>
        <v>#REF!</v>
      </c>
      <c r="L671" s="82" t="str">
        <f t="shared" ca="1" si="199"/>
        <v>#REF!</v>
      </c>
      <c r="M671" s="125"/>
      <c r="N671" s="125"/>
      <c r="O671" s="230">
        <f t="shared" si="2"/>
        <v>0</v>
      </c>
      <c r="P671" s="231">
        <f t="shared" si="3"/>
        <v>0</v>
      </c>
      <c r="Q671" s="232" t="str">
        <f ca="1">ROUNDUP(HLOOKUP(IF(CEILING(L671,0.5)&lt;1,1,CEILING(L671,0.5)),'배송비 조회'!A$32:AY$36,2,0),-2)</f>
        <v>#REF!</v>
      </c>
      <c r="R671" s="232">
        <v>0</v>
      </c>
      <c r="S671" s="231" t="str">
        <f t="shared" ca="1" si="250"/>
        <v>#REF!</v>
      </c>
      <c r="T671" s="231" t="str">
        <f t="shared" ca="1" si="200"/>
        <v>#REF!</v>
      </c>
      <c r="U671" s="233" t="str">
        <f t="shared" ca="1" si="142"/>
        <v>#REF!</v>
      </c>
      <c r="V671" s="233" t="str">
        <f t="shared" ca="1" si="7"/>
        <v>#REF!</v>
      </c>
      <c r="W671" s="234">
        <v>0</v>
      </c>
      <c r="X671" s="234" t="str">
        <f t="shared" ca="1" si="8"/>
        <v>#REF!</v>
      </c>
      <c r="Y671" s="234" t="str">
        <f t="shared" ca="1" si="9"/>
        <v>#REF!</v>
      </c>
      <c r="Z671" s="234" t="str">
        <f t="shared" ca="1" si="10"/>
        <v>#REF!</v>
      </c>
      <c r="AA671" s="234" t="str">
        <f t="shared" ca="1" si="11"/>
        <v>#REF!</v>
      </c>
      <c r="AB671" s="234" t="str">
        <f t="shared" ca="1" si="12"/>
        <v>#REF!</v>
      </c>
      <c r="AC671" s="234" t="str">
        <f t="shared" ca="1" si="13"/>
        <v>#REF!</v>
      </c>
      <c r="AD671" s="101" t="str">
        <f t="shared" ca="1" si="14"/>
        <v>#REF!</v>
      </c>
      <c r="AE671" s="101" t="str">
        <f t="shared" ca="1" si="15"/>
        <v>#REF!</v>
      </c>
      <c r="AF671" s="235" t="str">
        <f t="shared" ref="AF671:AG671" ca="1" si="748">AD671/U671</f>
        <v>#REF!</v>
      </c>
      <c r="AG671" s="235" t="str">
        <f t="shared" ca="1" si="748"/>
        <v>#REF!</v>
      </c>
      <c r="AH671" s="212"/>
      <c r="AI671" s="213"/>
      <c r="AJ671" s="4"/>
      <c r="AK671" s="4"/>
      <c r="AL671" s="4"/>
      <c r="AM671" s="4"/>
      <c r="AN671" s="4"/>
      <c r="AO671" s="4"/>
      <c r="AP671" s="4"/>
      <c r="AQ671" s="4"/>
      <c r="AR671" s="4"/>
      <c r="AS671" s="4"/>
      <c r="AT671" s="4"/>
      <c r="AU671" s="4"/>
    </row>
    <row r="672" spans="1:47" ht="13.2">
      <c r="A672" s="120"/>
      <c r="B672" s="113"/>
      <c r="C672" s="117"/>
      <c r="D672" s="117"/>
      <c r="E672" s="117"/>
      <c r="F672" s="123"/>
      <c r="G672" s="93" t="s">
        <v>145</v>
      </c>
      <c r="H672" s="125"/>
      <c r="I672" s="125"/>
      <c r="J672" s="82" t="str">
        <f t="shared" ca="1" si="147"/>
        <v>#REF!</v>
      </c>
      <c r="K672" s="82" t="str">
        <f t="shared" ca="1" si="256"/>
        <v>#REF!</v>
      </c>
      <c r="L672" s="82" t="str">
        <f t="shared" ca="1" si="199"/>
        <v>#REF!</v>
      </c>
      <c r="M672" s="125"/>
      <c r="N672" s="125"/>
      <c r="O672" s="230">
        <f t="shared" si="2"/>
        <v>0</v>
      </c>
      <c r="P672" s="231">
        <f t="shared" si="3"/>
        <v>0</v>
      </c>
      <c r="Q672" s="232" t="str">
        <f ca="1">ROUNDUP(HLOOKUP(IF(CEILING(L672,0.5)&lt;1,1,CEILING(L672,0.5)),'배송비 조회'!A$32:AY$36,2,0),-2)</f>
        <v>#REF!</v>
      </c>
      <c r="R672" s="232">
        <v>0</v>
      </c>
      <c r="S672" s="231" t="str">
        <f t="shared" ca="1" si="250"/>
        <v>#REF!</v>
      </c>
      <c r="T672" s="231" t="str">
        <f t="shared" ca="1" si="200"/>
        <v>#REF!</v>
      </c>
      <c r="U672" s="233" t="str">
        <f t="shared" ca="1" si="142"/>
        <v>#REF!</v>
      </c>
      <c r="V672" s="233" t="str">
        <f t="shared" ca="1" si="7"/>
        <v>#REF!</v>
      </c>
      <c r="W672" s="234">
        <v>0</v>
      </c>
      <c r="X672" s="234" t="str">
        <f t="shared" ca="1" si="8"/>
        <v>#REF!</v>
      </c>
      <c r="Y672" s="234" t="str">
        <f t="shared" ca="1" si="9"/>
        <v>#REF!</v>
      </c>
      <c r="Z672" s="234" t="str">
        <f t="shared" ca="1" si="10"/>
        <v>#REF!</v>
      </c>
      <c r="AA672" s="234" t="str">
        <f t="shared" ca="1" si="11"/>
        <v>#REF!</v>
      </c>
      <c r="AB672" s="234" t="str">
        <f t="shared" ca="1" si="12"/>
        <v>#REF!</v>
      </c>
      <c r="AC672" s="234" t="str">
        <f t="shared" ca="1" si="13"/>
        <v>#REF!</v>
      </c>
      <c r="AD672" s="101" t="str">
        <f t="shared" ca="1" si="14"/>
        <v>#REF!</v>
      </c>
      <c r="AE672" s="101" t="str">
        <f t="shared" ca="1" si="15"/>
        <v>#REF!</v>
      </c>
      <c r="AF672" s="235" t="str">
        <f t="shared" ref="AF672:AG672" ca="1" si="749">AD672/U672</f>
        <v>#REF!</v>
      </c>
      <c r="AG672" s="235" t="str">
        <f t="shared" ca="1" si="749"/>
        <v>#REF!</v>
      </c>
      <c r="AH672" s="212"/>
      <c r="AI672" s="213"/>
      <c r="AJ672" s="4"/>
      <c r="AK672" s="4"/>
      <c r="AL672" s="4"/>
      <c r="AM672" s="4"/>
      <c r="AN672" s="4"/>
      <c r="AO672" s="4"/>
      <c r="AP672" s="4"/>
      <c r="AQ672" s="4"/>
      <c r="AR672" s="4"/>
      <c r="AS672" s="4"/>
      <c r="AT672" s="4"/>
      <c r="AU672" s="4"/>
    </row>
    <row r="673" spans="1:47" ht="13.2">
      <c r="A673" s="120"/>
      <c r="B673" s="113"/>
      <c r="C673" s="117"/>
      <c r="D673" s="117"/>
      <c r="E673" s="117"/>
      <c r="F673" s="123"/>
      <c r="G673" s="93" t="s">
        <v>145</v>
      </c>
      <c r="H673" s="125"/>
      <c r="I673" s="125"/>
      <c r="J673" s="82" t="str">
        <f t="shared" ca="1" si="147"/>
        <v>#REF!</v>
      </c>
      <c r="K673" s="82" t="str">
        <f t="shared" ca="1" si="256"/>
        <v>#REF!</v>
      </c>
      <c r="L673" s="82" t="str">
        <f t="shared" ca="1" si="199"/>
        <v>#REF!</v>
      </c>
      <c r="M673" s="125"/>
      <c r="N673" s="125"/>
      <c r="O673" s="230">
        <f t="shared" si="2"/>
        <v>0</v>
      </c>
      <c r="P673" s="231">
        <f t="shared" si="3"/>
        <v>0</v>
      </c>
      <c r="Q673" s="232" t="str">
        <f ca="1">ROUNDUP(HLOOKUP(IF(CEILING(L673,0.5)&lt;1,1,CEILING(L673,0.5)),'배송비 조회'!A$32:AY$36,2,0),-2)</f>
        <v>#REF!</v>
      </c>
      <c r="R673" s="232">
        <v>0</v>
      </c>
      <c r="S673" s="231" t="str">
        <f t="shared" ca="1" si="250"/>
        <v>#REF!</v>
      </c>
      <c r="T673" s="231" t="str">
        <f t="shared" ca="1" si="200"/>
        <v>#REF!</v>
      </c>
      <c r="U673" s="233" t="str">
        <f t="shared" ca="1" si="142"/>
        <v>#REF!</v>
      </c>
      <c r="V673" s="233" t="str">
        <f t="shared" ca="1" si="7"/>
        <v>#REF!</v>
      </c>
      <c r="W673" s="234">
        <v>0</v>
      </c>
      <c r="X673" s="234" t="str">
        <f t="shared" ca="1" si="8"/>
        <v>#REF!</v>
      </c>
      <c r="Y673" s="234" t="str">
        <f t="shared" ca="1" si="9"/>
        <v>#REF!</v>
      </c>
      <c r="Z673" s="234" t="str">
        <f t="shared" ca="1" si="10"/>
        <v>#REF!</v>
      </c>
      <c r="AA673" s="234" t="str">
        <f t="shared" ca="1" si="11"/>
        <v>#REF!</v>
      </c>
      <c r="AB673" s="234" t="str">
        <f t="shared" ca="1" si="12"/>
        <v>#REF!</v>
      </c>
      <c r="AC673" s="234" t="str">
        <f t="shared" ca="1" si="13"/>
        <v>#REF!</v>
      </c>
      <c r="AD673" s="101" t="str">
        <f t="shared" ca="1" si="14"/>
        <v>#REF!</v>
      </c>
      <c r="AE673" s="101" t="str">
        <f t="shared" ca="1" si="15"/>
        <v>#REF!</v>
      </c>
      <c r="AF673" s="235" t="str">
        <f t="shared" ref="AF673:AG673" ca="1" si="750">AD673/U673</f>
        <v>#REF!</v>
      </c>
      <c r="AG673" s="235" t="str">
        <f t="shared" ca="1" si="750"/>
        <v>#REF!</v>
      </c>
      <c r="AH673" s="212"/>
      <c r="AI673" s="213"/>
      <c r="AJ673" s="4"/>
      <c r="AK673" s="4"/>
      <c r="AL673" s="4"/>
      <c r="AM673" s="4"/>
      <c r="AN673" s="4"/>
      <c r="AO673" s="4"/>
      <c r="AP673" s="4"/>
      <c r="AQ673" s="4"/>
      <c r="AR673" s="4"/>
      <c r="AS673" s="4"/>
      <c r="AT673" s="4"/>
      <c r="AU673" s="4"/>
    </row>
    <row r="674" spans="1:47" ht="13.2">
      <c r="A674" s="120"/>
      <c r="B674" s="113"/>
      <c r="C674" s="117"/>
      <c r="D674" s="117"/>
      <c r="E674" s="117"/>
      <c r="F674" s="123"/>
      <c r="G674" s="93" t="s">
        <v>145</v>
      </c>
      <c r="H674" s="125"/>
      <c r="I674" s="125"/>
      <c r="J674" s="82" t="str">
        <f t="shared" ca="1" si="147"/>
        <v>#REF!</v>
      </c>
      <c r="K674" s="82" t="str">
        <f t="shared" ca="1" si="256"/>
        <v>#REF!</v>
      </c>
      <c r="L674" s="82" t="str">
        <f t="shared" ca="1" si="199"/>
        <v>#REF!</v>
      </c>
      <c r="M674" s="125"/>
      <c r="N674" s="125"/>
      <c r="O674" s="230">
        <f t="shared" si="2"/>
        <v>0</v>
      </c>
      <c r="P674" s="231">
        <f t="shared" si="3"/>
        <v>0</v>
      </c>
      <c r="Q674" s="232" t="str">
        <f ca="1">ROUNDUP(HLOOKUP(IF(CEILING(L674,0.5)&lt;1,1,CEILING(L674,0.5)),'배송비 조회'!A$32:AY$36,2,0),-2)</f>
        <v>#REF!</v>
      </c>
      <c r="R674" s="232">
        <v>0</v>
      </c>
      <c r="S674" s="231" t="str">
        <f t="shared" ca="1" si="250"/>
        <v>#REF!</v>
      </c>
      <c r="T674" s="231" t="str">
        <f t="shared" ca="1" si="200"/>
        <v>#REF!</v>
      </c>
      <c r="U674" s="233" t="str">
        <f t="shared" ca="1" si="142"/>
        <v>#REF!</v>
      </c>
      <c r="V674" s="233" t="str">
        <f t="shared" ca="1" si="7"/>
        <v>#REF!</v>
      </c>
      <c r="W674" s="234">
        <v>0</v>
      </c>
      <c r="X674" s="234" t="str">
        <f t="shared" ca="1" si="8"/>
        <v>#REF!</v>
      </c>
      <c r="Y674" s="234" t="str">
        <f t="shared" ca="1" si="9"/>
        <v>#REF!</v>
      </c>
      <c r="Z674" s="234" t="str">
        <f t="shared" ca="1" si="10"/>
        <v>#REF!</v>
      </c>
      <c r="AA674" s="234" t="str">
        <f t="shared" ca="1" si="11"/>
        <v>#REF!</v>
      </c>
      <c r="AB674" s="234" t="str">
        <f t="shared" ca="1" si="12"/>
        <v>#REF!</v>
      </c>
      <c r="AC674" s="234" t="str">
        <f t="shared" ca="1" si="13"/>
        <v>#REF!</v>
      </c>
      <c r="AD674" s="101" t="str">
        <f t="shared" ca="1" si="14"/>
        <v>#REF!</v>
      </c>
      <c r="AE674" s="101" t="str">
        <f t="shared" ca="1" si="15"/>
        <v>#REF!</v>
      </c>
      <c r="AF674" s="235" t="str">
        <f t="shared" ref="AF674:AG674" ca="1" si="751">AD674/U674</f>
        <v>#REF!</v>
      </c>
      <c r="AG674" s="235" t="str">
        <f t="shared" ca="1" si="751"/>
        <v>#REF!</v>
      </c>
      <c r="AH674" s="212"/>
      <c r="AI674" s="213"/>
      <c r="AJ674" s="4"/>
      <c r="AK674" s="4"/>
      <c r="AL674" s="4"/>
      <c r="AM674" s="4"/>
      <c r="AN674" s="4"/>
      <c r="AO674" s="4"/>
      <c r="AP674" s="4"/>
      <c r="AQ674" s="4"/>
      <c r="AR674" s="4"/>
      <c r="AS674" s="4"/>
      <c r="AT674" s="4"/>
      <c r="AU674" s="4"/>
    </row>
    <row r="675" spans="1:47" ht="13.2">
      <c r="A675" s="120"/>
      <c r="B675" s="113"/>
      <c r="C675" s="117"/>
      <c r="D675" s="117"/>
      <c r="E675" s="117"/>
      <c r="F675" s="123"/>
      <c r="G675" s="93" t="s">
        <v>145</v>
      </c>
      <c r="H675" s="125"/>
      <c r="I675" s="125"/>
      <c r="J675" s="82" t="str">
        <f t="shared" ca="1" si="147"/>
        <v>#REF!</v>
      </c>
      <c r="K675" s="82" t="str">
        <f t="shared" ca="1" si="256"/>
        <v>#REF!</v>
      </c>
      <c r="L675" s="82" t="str">
        <f t="shared" ca="1" si="199"/>
        <v>#REF!</v>
      </c>
      <c r="M675" s="125"/>
      <c r="N675" s="125"/>
      <c r="O675" s="230">
        <f t="shared" si="2"/>
        <v>0</v>
      </c>
      <c r="P675" s="231">
        <f t="shared" si="3"/>
        <v>0</v>
      </c>
      <c r="Q675" s="232" t="str">
        <f ca="1">ROUNDUP(HLOOKUP(IF(CEILING(L675,0.5)&lt;1,1,CEILING(L675,0.5)),'배송비 조회'!A$32:AY$36,2,0),-2)</f>
        <v>#REF!</v>
      </c>
      <c r="R675" s="232">
        <v>0</v>
      </c>
      <c r="S675" s="231" t="str">
        <f t="shared" ca="1" si="250"/>
        <v>#REF!</v>
      </c>
      <c r="T675" s="231" t="str">
        <f t="shared" ca="1" si="200"/>
        <v>#REF!</v>
      </c>
      <c r="U675" s="233" t="str">
        <f t="shared" ca="1" si="142"/>
        <v>#REF!</v>
      </c>
      <c r="V675" s="233" t="str">
        <f t="shared" ca="1" si="7"/>
        <v>#REF!</v>
      </c>
      <c r="W675" s="234">
        <v>0</v>
      </c>
      <c r="X675" s="234" t="str">
        <f t="shared" ca="1" si="8"/>
        <v>#REF!</v>
      </c>
      <c r="Y675" s="234" t="str">
        <f t="shared" ca="1" si="9"/>
        <v>#REF!</v>
      </c>
      <c r="Z675" s="234" t="str">
        <f t="shared" ca="1" si="10"/>
        <v>#REF!</v>
      </c>
      <c r="AA675" s="234" t="str">
        <f t="shared" ca="1" si="11"/>
        <v>#REF!</v>
      </c>
      <c r="AB675" s="234" t="str">
        <f t="shared" ca="1" si="12"/>
        <v>#REF!</v>
      </c>
      <c r="AC675" s="234" t="str">
        <f t="shared" ca="1" si="13"/>
        <v>#REF!</v>
      </c>
      <c r="AD675" s="101" t="str">
        <f t="shared" ca="1" si="14"/>
        <v>#REF!</v>
      </c>
      <c r="AE675" s="101" t="str">
        <f t="shared" ca="1" si="15"/>
        <v>#REF!</v>
      </c>
      <c r="AF675" s="235" t="str">
        <f t="shared" ref="AF675:AG675" ca="1" si="752">AD675/U675</f>
        <v>#REF!</v>
      </c>
      <c r="AG675" s="235" t="str">
        <f t="shared" ca="1" si="752"/>
        <v>#REF!</v>
      </c>
      <c r="AH675" s="212"/>
      <c r="AI675" s="213"/>
      <c r="AJ675" s="4"/>
      <c r="AK675" s="4"/>
      <c r="AL675" s="4"/>
      <c r="AM675" s="4"/>
      <c r="AN675" s="4"/>
      <c r="AO675" s="4"/>
      <c r="AP675" s="4"/>
      <c r="AQ675" s="4"/>
      <c r="AR675" s="4"/>
      <c r="AS675" s="4"/>
      <c r="AT675" s="4"/>
      <c r="AU675" s="4"/>
    </row>
    <row r="676" spans="1:47" ht="13.2">
      <c r="A676" s="120"/>
      <c r="B676" s="113"/>
      <c r="C676" s="117"/>
      <c r="D676" s="117"/>
      <c r="E676" s="117"/>
      <c r="F676" s="123"/>
      <c r="G676" s="93" t="s">
        <v>145</v>
      </c>
      <c r="H676" s="125"/>
      <c r="I676" s="125"/>
      <c r="J676" s="82" t="str">
        <f t="shared" ca="1" si="147"/>
        <v>#REF!</v>
      </c>
      <c r="K676" s="82" t="str">
        <f t="shared" ca="1" si="256"/>
        <v>#REF!</v>
      </c>
      <c r="L676" s="82" t="str">
        <f t="shared" ca="1" si="199"/>
        <v>#REF!</v>
      </c>
      <c r="M676" s="125"/>
      <c r="N676" s="125"/>
      <c r="O676" s="230">
        <f t="shared" si="2"/>
        <v>0</v>
      </c>
      <c r="P676" s="231">
        <f t="shared" si="3"/>
        <v>0</v>
      </c>
      <c r="Q676" s="232" t="str">
        <f ca="1">ROUNDUP(HLOOKUP(IF(CEILING(L676,0.5)&lt;1,1,CEILING(L676,0.5)),'배송비 조회'!A$32:AY$36,2,0),-2)</f>
        <v>#REF!</v>
      </c>
      <c r="R676" s="232">
        <v>0</v>
      </c>
      <c r="S676" s="231" t="str">
        <f t="shared" ca="1" si="250"/>
        <v>#REF!</v>
      </c>
      <c r="T676" s="231" t="str">
        <f t="shared" ca="1" si="200"/>
        <v>#REF!</v>
      </c>
      <c r="U676" s="233" t="str">
        <f t="shared" ca="1" si="142"/>
        <v>#REF!</v>
      </c>
      <c r="V676" s="233" t="str">
        <f t="shared" ca="1" si="7"/>
        <v>#REF!</v>
      </c>
      <c r="W676" s="234">
        <v>0</v>
      </c>
      <c r="X676" s="234" t="str">
        <f t="shared" ca="1" si="8"/>
        <v>#REF!</v>
      </c>
      <c r="Y676" s="234" t="str">
        <f t="shared" ca="1" si="9"/>
        <v>#REF!</v>
      </c>
      <c r="Z676" s="234" t="str">
        <f t="shared" ca="1" si="10"/>
        <v>#REF!</v>
      </c>
      <c r="AA676" s="234" t="str">
        <f t="shared" ca="1" si="11"/>
        <v>#REF!</v>
      </c>
      <c r="AB676" s="234" t="str">
        <f t="shared" ca="1" si="12"/>
        <v>#REF!</v>
      </c>
      <c r="AC676" s="234" t="str">
        <f t="shared" ca="1" si="13"/>
        <v>#REF!</v>
      </c>
      <c r="AD676" s="101" t="str">
        <f t="shared" ca="1" si="14"/>
        <v>#REF!</v>
      </c>
      <c r="AE676" s="101" t="str">
        <f t="shared" ca="1" si="15"/>
        <v>#REF!</v>
      </c>
      <c r="AF676" s="235" t="str">
        <f t="shared" ref="AF676:AG676" ca="1" si="753">AD676/U676</f>
        <v>#REF!</v>
      </c>
      <c r="AG676" s="235" t="str">
        <f t="shared" ca="1" si="753"/>
        <v>#REF!</v>
      </c>
      <c r="AH676" s="212"/>
      <c r="AI676" s="213"/>
      <c r="AJ676" s="4"/>
      <c r="AK676" s="4"/>
      <c r="AL676" s="4"/>
      <c r="AM676" s="4"/>
      <c r="AN676" s="4"/>
      <c r="AO676" s="4"/>
      <c r="AP676" s="4"/>
      <c r="AQ676" s="4"/>
      <c r="AR676" s="4"/>
      <c r="AS676" s="4"/>
      <c r="AT676" s="4"/>
      <c r="AU676" s="4"/>
    </row>
    <row r="677" spans="1:47" ht="13.2">
      <c r="A677" s="120"/>
      <c r="B677" s="113"/>
      <c r="C677" s="117"/>
      <c r="D677" s="117"/>
      <c r="E677" s="117"/>
      <c r="F677" s="123"/>
      <c r="G677" s="93" t="s">
        <v>145</v>
      </c>
      <c r="H677" s="125"/>
      <c r="I677" s="125"/>
      <c r="J677" s="82" t="str">
        <f t="shared" ca="1" si="147"/>
        <v>#REF!</v>
      </c>
      <c r="K677" s="82" t="str">
        <f t="shared" ca="1" si="256"/>
        <v>#REF!</v>
      </c>
      <c r="L677" s="82" t="str">
        <f t="shared" ca="1" si="199"/>
        <v>#REF!</v>
      </c>
      <c r="M677" s="125"/>
      <c r="N677" s="125"/>
      <c r="O677" s="230">
        <f t="shared" si="2"/>
        <v>0</v>
      </c>
      <c r="P677" s="231">
        <f t="shared" si="3"/>
        <v>0</v>
      </c>
      <c r="Q677" s="232" t="str">
        <f ca="1">ROUNDUP(HLOOKUP(IF(CEILING(L677,0.5)&lt;1,1,CEILING(L677,0.5)),'배송비 조회'!A$32:AY$36,2,0),-2)</f>
        <v>#REF!</v>
      </c>
      <c r="R677" s="232">
        <v>0</v>
      </c>
      <c r="S677" s="231" t="str">
        <f t="shared" ca="1" si="250"/>
        <v>#REF!</v>
      </c>
      <c r="T677" s="231" t="str">
        <f t="shared" ca="1" si="200"/>
        <v>#REF!</v>
      </c>
      <c r="U677" s="233" t="str">
        <f t="shared" ca="1" si="142"/>
        <v>#REF!</v>
      </c>
      <c r="V677" s="233" t="str">
        <f t="shared" ca="1" si="7"/>
        <v>#REF!</v>
      </c>
      <c r="W677" s="234">
        <v>0</v>
      </c>
      <c r="X677" s="234" t="str">
        <f t="shared" ca="1" si="8"/>
        <v>#REF!</v>
      </c>
      <c r="Y677" s="234" t="str">
        <f t="shared" ca="1" si="9"/>
        <v>#REF!</v>
      </c>
      <c r="Z677" s="234" t="str">
        <f t="shared" ca="1" si="10"/>
        <v>#REF!</v>
      </c>
      <c r="AA677" s="234" t="str">
        <f t="shared" ca="1" si="11"/>
        <v>#REF!</v>
      </c>
      <c r="AB677" s="234" t="str">
        <f t="shared" ca="1" si="12"/>
        <v>#REF!</v>
      </c>
      <c r="AC677" s="234" t="str">
        <f t="shared" ca="1" si="13"/>
        <v>#REF!</v>
      </c>
      <c r="AD677" s="101" t="str">
        <f t="shared" ca="1" si="14"/>
        <v>#REF!</v>
      </c>
      <c r="AE677" s="101" t="str">
        <f t="shared" ca="1" si="15"/>
        <v>#REF!</v>
      </c>
      <c r="AF677" s="235" t="str">
        <f t="shared" ref="AF677:AG677" ca="1" si="754">AD677/U677</f>
        <v>#REF!</v>
      </c>
      <c r="AG677" s="235" t="str">
        <f t="shared" ca="1" si="754"/>
        <v>#REF!</v>
      </c>
      <c r="AH677" s="212"/>
      <c r="AI677" s="213"/>
      <c r="AJ677" s="4"/>
      <c r="AK677" s="4"/>
      <c r="AL677" s="4"/>
      <c r="AM677" s="4"/>
      <c r="AN677" s="4"/>
      <c r="AO677" s="4"/>
      <c r="AP677" s="4"/>
      <c r="AQ677" s="4"/>
      <c r="AR677" s="4"/>
      <c r="AS677" s="4"/>
      <c r="AT677" s="4"/>
      <c r="AU677" s="4"/>
    </row>
    <row r="678" spans="1:47" ht="13.2">
      <c r="A678" s="120"/>
      <c r="B678" s="113"/>
      <c r="C678" s="117"/>
      <c r="D678" s="117"/>
      <c r="E678" s="117"/>
      <c r="F678" s="123"/>
      <c r="G678" s="93" t="s">
        <v>145</v>
      </c>
      <c r="H678" s="125"/>
      <c r="I678" s="125"/>
      <c r="J678" s="82" t="str">
        <f t="shared" ca="1" si="147"/>
        <v>#REF!</v>
      </c>
      <c r="K678" s="82" t="str">
        <f t="shared" ca="1" si="256"/>
        <v>#REF!</v>
      </c>
      <c r="L678" s="82" t="str">
        <f t="shared" ca="1" si="199"/>
        <v>#REF!</v>
      </c>
      <c r="M678" s="125"/>
      <c r="N678" s="125"/>
      <c r="O678" s="230">
        <f t="shared" si="2"/>
        <v>0</v>
      </c>
      <c r="P678" s="231">
        <f t="shared" si="3"/>
        <v>0</v>
      </c>
      <c r="Q678" s="232" t="str">
        <f ca="1">ROUNDUP(HLOOKUP(IF(CEILING(L678,0.5)&lt;1,1,CEILING(L678,0.5)),'배송비 조회'!A$32:AY$36,2,0),-2)</f>
        <v>#REF!</v>
      </c>
      <c r="R678" s="232">
        <v>0</v>
      </c>
      <c r="S678" s="231" t="str">
        <f t="shared" ca="1" si="250"/>
        <v>#REF!</v>
      </c>
      <c r="T678" s="231" t="str">
        <f t="shared" ca="1" si="200"/>
        <v>#REF!</v>
      </c>
      <c r="U678" s="233" t="str">
        <f t="shared" ca="1" si="142"/>
        <v>#REF!</v>
      </c>
      <c r="V678" s="233" t="str">
        <f t="shared" ca="1" si="7"/>
        <v>#REF!</v>
      </c>
      <c r="W678" s="234">
        <v>0</v>
      </c>
      <c r="X678" s="234" t="str">
        <f t="shared" ca="1" si="8"/>
        <v>#REF!</v>
      </c>
      <c r="Y678" s="234" t="str">
        <f t="shared" ca="1" si="9"/>
        <v>#REF!</v>
      </c>
      <c r="Z678" s="234" t="str">
        <f t="shared" ca="1" si="10"/>
        <v>#REF!</v>
      </c>
      <c r="AA678" s="234" t="str">
        <f t="shared" ca="1" si="11"/>
        <v>#REF!</v>
      </c>
      <c r="AB678" s="234" t="str">
        <f t="shared" ca="1" si="12"/>
        <v>#REF!</v>
      </c>
      <c r="AC678" s="234" t="str">
        <f t="shared" ca="1" si="13"/>
        <v>#REF!</v>
      </c>
      <c r="AD678" s="101" t="str">
        <f t="shared" ca="1" si="14"/>
        <v>#REF!</v>
      </c>
      <c r="AE678" s="101" t="str">
        <f t="shared" ca="1" si="15"/>
        <v>#REF!</v>
      </c>
      <c r="AF678" s="235" t="str">
        <f t="shared" ref="AF678:AG678" ca="1" si="755">AD678/U678</f>
        <v>#REF!</v>
      </c>
      <c r="AG678" s="235" t="str">
        <f t="shared" ca="1" si="755"/>
        <v>#REF!</v>
      </c>
      <c r="AH678" s="212"/>
      <c r="AI678" s="213"/>
      <c r="AJ678" s="4"/>
      <c r="AK678" s="4"/>
      <c r="AL678" s="4"/>
      <c r="AM678" s="4"/>
      <c r="AN678" s="4"/>
      <c r="AO678" s="4"/>
      <c r="AP678" s="4"/>
      <c r="AQ678" s="4"/>
      <c r="AR678" s="4"/>
      <c r="AS678" s="4"/>
      <c r="AT678" s="4"/>
      <c r="AU678" s="4"/>
    </row>
    <row r="679" spans="1:47" ht="13.2">
      <c r="A679" s="120"/>
      <c r="B679" s="113"/>
      <c r="C679" s="117"/>
      <c r="D679" s="117"/>
      <c r="E679" s="117"/>
      <c r="F679" s="123"/>
      <c r="G679" s="93" t="s">
        <v>145</v>
      </c>
      <c r="H679" s="125"/>
      <c r="I679" s="125"/>
      <c r="J679" s="82" t="str">
        <f t="shared" ca="1" si="147"/>
        <v>#REF!</v>
      </c>
      <c r="K679" s="82" t="str">
        <f t="shared" ca="1" si="256"/>
        <v>#REF!</v>
      </c>
      <c r="L679" s="82" t="str">
        <f t="shared" ca="1" si="199"/>
        <v>#REF!</v>
      </c>
      <c r="M679" s="125"/>
      <c r="N679" s="125"/>
      <c r="O679" s="230">
        <f t="shared" si="2"/>
        <v>0</v>
      </c>
      <c r="P679" s="231">
        <f t="shared" si="3"/>
        <v>0</v>
      </c>
      <c r="Q679" s="232" t="str">
        <f ca="1">ROUNDUP(HLOOKUP(IF(CEILING(L679,0.5)&lt;1,1,CEILING(L679,0.5)),'배송비 조회'!A$32:AY$36,2,0),-2)</f>
        <v>#REF!</v>
      </c>
      <c r="R679" s="232">
        <v>0</v>
      </c>
      <c r="S679" s="231" t="str">
        <f t="shared" ca="1" si="250"/>
        <v>#REF!</v>
      </c>
      <c r="T679" s="231" t="str">
        <f t="shared" ca="1" si="200"/>
        <v>#REF!</v>
      </c>
      <c r="U679" s="233" t="str">
        <f t="shared" ca="1" si="142"/>
        <v>#REF!</v>
      </c>
      <c r="V679" s="233" t="str">
        <f t="shared" ca="1" si="7"/>
        <v>#REF!</v>
      </c>
      <c r="W679" s="234">
        <v>0</v>
      </c>
      <c r="X679" s="234" t="str">
        <f t="shared" ca="1" si="8"/>
        <v>#REF!</v>
      </c>
      <c r="Y679" s="234" t="str">
        <f t="shared" ca="1" si="9"/>
        <v>#REF!</v>
      </c>
      <c r="Z679" s="234" t="str">
        <f t="shared" ca="1" si="10"/>
        <v>#REF!</v>
      </c>
      <c r="AA679" s="234" t="str">
        <f t="shared" ca="1" si="11"/>
        <v>#REF!</v>
      </c>
      <c r="AB679" s="234" t="str">
        <f t="shared" ca="1" si="12"/>
        <v>#REF!</v>
      </c>
      <c r="AC679" s="234" t="str">
        <f t="shared" ca="1" si="13"/>
        <v>#REF!</v>
      </c>
      <c r="AD679" s="101" t="str">
        <f t="shared" ca="1" si="14"/>
        <v>#REF!</v>
      </c>
      <c r="AE679" s="101" t="str">
        <f t="shared" ca="1" si="15"/>
        <v>#REF!</v>
      </c>
      <c r="AF679" s="235" t="str">
        <f t="shared" ref="AF679:AG679" ca="1" si="756">AD679/U679</f>
        <v>#REF!</v>
      </c>
      <c r="AG679" s="235" t="str">
        <f t="shared" ca="1" si="756"/>
        <v>#REF!</v>
      </c>
      <c r="AH679" s="212"/>
      <c r="AI679" s="213"/>
      <c r="AJ679" s="4"/>
      <c r="AK679" s="4"/>
      <c r="AL679" s="4"/>
      <c r="AM679" s="4"/>
      <c r="AN679" s="4"/>
      <c r="AO679" s="4"/>
      <c r="AP679" s="4"/>
      <c r="AQ679" s="4"/>
      <c r="AR679" s="4"/>
      <c r="AS679" s="4"/>
      <c r="AT679" s="4"/>
      <c r="AU679" s="4"/>
    </row>
    <row r="680" spans="1:47" ht="13.2">
      <c r="A680" s="120"/>
      <c r="B680" s="113"/>
      <c r="C680" s="117"/>
      <c r="D680" s="117"/>
      <c r="E680" s="117"/>
      <c r="F680" s="123"/>
      <c r="G680" s="93" t="s">
        <v>145</v>
      </c>
      <c r="H680" s="125"/>
      <c r="I680" s="125"/>
      <c r="J680" s="82" t="str">
        <f t="shared" ca="1" si="147"/>
        <v>#REF!</v>
      </c>
      <c r="K680" s="82" t="str">
        <f t="shared" ca="1" si="256"/>
        <v>#REF!</v>
      </c>
      <c r="L680" s="82" t="str">
        <f t="shared" ca="1" si="199"/>
        <v>#REF!</v>
      </c>
      <c r="M680" s="125"/>
      <c r="N680" s="125"/>
      <c r="O680" s="230">
        <f t="shared" si="2"/>
        <v>0</v>
      </c>
      <c r="P680" s="231">
        <f t="shared" si="3"/>
        <v>0</v>
      </c>
      <c r="Q680" s="232" t="str">
        <f ca="1">ROUNDUP(HLOOKUP(IF(CEILING(L680,0.5)&lt;1,1,CEILING(L680,0.5)),'배송비 조회'!A$32:AY$36,2,0),-2)</f>
        <v>#REF!</v>
      </c>
      <c r="R680" s="232">
        <v>0</v>
      </c>
      <c r="S680" s="231" t="str">
        <f t="shared" ca="1" si="250"/>
        <v>#REF!</v>
      </c>
      <c r="T680" s="231" t="str">
        <f t="shared" ca="1" si="200"/>
        <v>#REF!</v>
      </c>
      <c r="U680" s="233" t="str">
        <f t="shared" ca="1" si="142"/>
        <v>#REF!</v>
      </c>
      <c r="V680" s="233" t="str">
        <f t="shared" ca="1" si="7"/>
        <v>#REF!</v>
      </c>
      <c r="W680" s="234">
        <v>0</v>
      </c>
      <c r="X680" s="234" t="str">
        <f t="shared" ca="1" si="8"/>
        <v>#REF!</v>
      </c>
      <c r="Y680" s="234" t="str">
        <f t="shared" ca="1" si="9"/>
        <v>#REF!</v>
      </c>
      <c r="Z680" s="234" t="str">
        <f t="shared" ca="1" si="10"/>
        <v>#REF!</v>
      </c>
      <c r="AA680" s="234" t="str">
        <f t="shared" ca="1" si="11"/>
        <v>#REF!</v>
      </c>
      <c r="AB680" s="234" t="str">
        <f t="shared" ca="1" si="12"/>
        <v>#REF!</v>
      </c>
      <c r="AC680" s="234" t="str">
        <f t="shared" ca="1" si="13"/>
        <v>#REF!</v>
      </c>
      <c r="AD680" s="101" t="str">
        <f t="shared" ca="1" si="14"/>
        <v>#REF!</v>
      </c>
      <c r="AE680" s="101" t="str">
        <f t="shared" ca="1" si="15"/>
        <v>#REF!</v>
      </c>
      <c r="AF680" s="235" t="str">
        <f t="shared" ref="AF680:AG680" ca="1" si="757">AD680/U680</f>
        <v>#REF!</v>
      </c>
      <c r="AG680" s="235" t="str">
        <f t="shared" ca="1" si="757"/>
        <v>#REF!</v>
      </c>
      <c r="AH680" s="212"/>
      <c r="AI680" s="213"/>
      <c r="AJ680" s="4"/>
      <c r="AK680" s="4"/>
      <c r="AL680" s="4"/>
      <c r="AM680" s="4"/>
      <c r="AN680" s="4"/>
      <c r="AO680" s="4"/>
      <c r="AP680" s="4"/>
      <c r="AQ680" s="4"/>
      <c r="AR680" s="4"/>
      <c r="AS680" s="4"/>
      <c r="AT680" s="4"/>
      <c r="AU680" s="4"/>
    </row>
    <row r="681" spans="1:47" ht="13.2">
      <c r="A681" s="120"/>
      <c r="B681" s="113"/>
      <c r="C681" s="117"/>
      <c r="D681" s="117"/>
      <c r="E681" s="117"/>
      <c r="F681" s="123"/>
      <c r="G681" s="93" t="s">
        <v>145</v>
      </c>
      <c r="H681" s="125"/>
      <c r="I681" s="125"/>
      <c r="J681" s="82" t="str">
        <f t="shared" ca="1" si="147"/>
        <v>#REF!</v>
      </c>
      <c r="K681" s="82" t="str">
        <f t="shared" ca="1" si="256"/>
        <v>#REF!</v>
      </c>
      <c r="L681" s="82" t="str">
        <f t="shared" ca="1" si="199"/>
        <v>#REF!</v>
      </c>
      <c r="M681" s="125"/>
      <c r="N681" s="125"/>
      <c r="O681" s="230">
        <f t="shared" si="2"/>
        <v>0</v>
      </c>
      <c r="P681" s="231">
        <f t="shared" si="3"/>
        <v>0</v>
      </c>
      <c r="Q681" s="232" t="str">
        <f ca="1">ROUNDUP(HLOOKUP(IF(CEILING(L681,0.5)&lt;1,1,CEILING(L681,0.5)),'배송비 조회'!A$32:AY$36,2,0),-2)</f>
        <v>#REF!</v>
      </c>
      <c r="R681" s="232">
        <v>0</v>
      </c>
      <c r="S681" s="231" t="str">
        <f t="shared" ca="1" si="250"/>
        <v>#REF!</v>
      </c>
      <c r="T681" s="231" t="str">
        <f t="shared" ca="1" si="200"/>
        <v>#REF!</v>
      </c>
      <c r="U681" s="233" t="str">
        <f t="shared" ca="1" si="142"/>
        <v>#REF!</v>
      </c>
      <c r="V681" s="233" t="str">
        <f t="shared" ca="1" si="7"/>
        <v>#REF!</v>
      </c>
      <c r="W681" s="234">
        <v>0</v>
      </c>
      <c r="X681" s="234" t="str">
        <f t="shared" ca="1" si="8"/>
        <v>#REF!</v>
      </c>
      <c r="Y681" s="234" t="str">
        <f t="shared" ca="1" si="9"/>
        <v>#REF!</v>
      </c>
      <c r="Z681" s="234" t="str">
        <f t="shared" ca="1" si="10"/>
        <v>#REF!</v>
      </c>
      <c r="AA681" s="234" t="str">
        <f t="shared" ca="1" si="11"/>
        <v>#REF!</v>
      </c>
      <c r="AB681" s="234" t="str">
        <f t="shared" ca="1" si="12"/>
        <v>#REF!</v>
      </c>
      <c r="AC681" s="234" t="str">
        <f t="shared" ca="1" si="13"/>
        <v>#REF!</v>
      </c>
      <c r="AD681" s="101" t="str">
        <f t="shared" ca="1" si="14"/>
        <v>#REF!</v>
      </c>
      <c r="AE681" s="101" t="str">
        <f t="shared" ca="1" si="15"/>
        <v>#REF!</v>
      </c>
      <c r="AF681" s="235" t="str">
        <f t="shared" ref="AF681:AG681" ca="1" si="758">AD681/U681</f>
        <v>#REF!</v>
      </c>
      <c r="AG681" s="235" t="str">
        <f t="shared" ca="1" si="758"/>
        <v>#REF!</v>
      </c>
      <c r="AH681" s="212"/>
      <c r="AI681" s="213"/>
      <c r="AJ681" s="4"/>
      <c r="AK681" s="4"/>
      <c r="AL681" s="4"/>
      <c r="AM681" s="4"/>
      <c r="AN681" s="4"/>
      <c r="AO681" s="4"/>
      <c r="AP681" s="4"/>
      <c r="AQ681" s="4"/>
      <c r="AR681" s="4"/>
      <c r="AS681" s="4"/>
      <c r="AT681" s="4"/>
      <c r="AU681" s="4"/>
    </row>
    <row r="682" spans="1:47" ht="13.2">
      <c r="A682" s="120"/>
      <c r="B682" s="113"/>
      <c r="C682" s="117"/>
      <c r="D682" s="117"/>
      <c r="E682" s="117"/>
      <c r="F682" s="123"/>
      <c r="G682" s="93" t="s">
        <v>145</v>
      </c>
      <c r="H682" s="125"/>
      <c r="I682" s="125"/>
      <c r="J682" s="82" t="str">
        <f t="shared" ca="1" si="147"/>
        <v>#REF!</v>
      </c>
      <c r="K682" s="82" t="str">
        <f t="shared" ca="1" si="256"/>
        <v>#REF!</v>
      </c>
      <c r="L682" s="82" t="str">
        <f t="shared" ca="1" si="199"/>
        <v>#REF!</v>
      </c>
      <c r="M682" s="125"/>
      <c r="N682" s="125"/>
      <c r="O682" s="230">
        <f t="shared" si="2"/>
        <v>0</v>
      </c>
      <c r="P682" s="231">
        <f t="shared" si="3"/>
        <v>0</v>
      </c>
      <c r="Q682" s="232" t="str">
        <f ca="1">ROUNDUP(HLOOKUP(IF(CEILING(L682,0.5)&lt;1,1,CEILING(L682,0.5)),'배송비 조회'!A$32:AY$36,2,0),-2)</f>
        <v>#REF!</v>
      </c>
      <c r="R682" s="232">
        <v>0</v>
      </c>
      <c r="S682" s="231" t="str">
        <f t="shared" ca="1" si="250"/>
        <v>#REF!</v>
      </c>
      <c r="T682" s="231" t="str">
        <f t="shared" ca="1" si="200"/>
        <v>#REF!</v>
      </c>
      <c r="U682" s="233" t="str">
        <f t="shared" ca="1" si="142"/>
        <v>#REF!</v>
      </c>
      <c r="V682" s="233" t="str">
        <f t="shared" ca="1" si="7"/>
        <v>#REF!</v>
      </c>
      <c r="W682" s="234">
        <v>0</v>
      </c>
      <c r="X682" s="234" t="str">
        <f t="shared" ca="1" si="8"/>
        <v>#REF!</v>
      </c>
      <c r="Y682" s="234" t="str">
        <f t="shared" ca="1" si="9"/>
        <v>#REF!</v>
      </c>
      <c r="Z682" s="234" t="str">
        <f t="shared" ca="1" si="10"/>
        <v>#REF!</v>
      </c>
      <c r="AA682" s="234" t="str">
        <f t="shared" ca="1" si="11"/>
        <v>#REF!</v>
      </c>
      <c r="AB682" s="234" t="str">
        <f t="shared" ca="1" si="12"/>
        <v>#REF!</v>
      </c>
      <c r="AC682" s="234" t="str">
        <f t="shared" ca="1" si="13"/>
        <v>#REF!</v>
      </c>
      <c r="AD682" s="101" t="str">
        <f t="shared" ca="1" si="14"/>
        <v>#REF!</v>
      </c>
      <c r="AE682" s="101" t="str">
        <f t="shared" ca="1" si="15"/>
        <v>#REF!</v>
      </c>
      <c r="AF682" s="235" t="str">
        <f t="shared" ref="AF682:AG682" ca="1" si="759">AD682/U682</f>
        <v>#REF!</v>
      </c>
      <c r="AG682" s="235" t="str">
        <f t="shared" ca="1" si="759"/>
        <v>#REF!</v>
      </c>
      <c r="AH682" s="212"/>
      <c r="AI682" s="213"/>
      <c r="AJ682" s="4"/>
      <c r="AK682" s="4"/>
      <c r="AL682" s="4"/>
      <c r="AM682" s="4"/>
      <c r="AN682" s="4"/>
      <c r="AO682" s="4"/>
      <c r="AP682" s="4"/>
      <c r="AQ682" s="4"/>
      <c r="AR682" s="4"/>
      <c r="AS682" s="4"/>
      <c r="AT682" s="4"/>
      <c r="AU682" s="4"/>
    </row>
    <row r="683" spans="1:47" ht="13.2">
      <c r="A683" s="120"/>
      <c r="B683" s="113"/>
      <c r="C683" s="117"/>
      <c r="D683" s="117"/>
      <c r="E683" s="117"/>
      <c r="F683" s="123"/>
      <c r="G683" s="93" t="s">
        <v>145</v>
      </c>
      <c r="H683" s="125"/>
      <c r="I683" s="125"/>
      <c r="J683" s="82" t="str">
        <f t="shared" ca="1" si="147"/>
        <v>#REF!</v>
      </c>
      <c r="K683" s="82" t="str">
        <f t="shared" ca="1" si="256"/>
        <v>#REF!</v>
      </c>
      <c r="L683" s="82" t="str">
        <f t="shared" ca="1" si="199"/>
        <v>#REF!</v>
      </c>
      <c r="M683" s="125"/>
      <c r="N683" s="125"/>
      <c r="O683" s="230">
        <f t="shared" si="2"/>
        <v>0</v>
      </c>
      <c r="P683" s="231">
        <f t="shared" si="3"/>
        <v>0</v>
      </c>
      <c r="Q683" s="232" t="str">
        <f ca="1">ROUNDUP(HLOOKUP(IF(CEILING(L683,0.5)&lt;1,1,CEILING(L683,0.5)),'배송비 조회'!A$32:AY$36,2,0),-2)</f>
        <v>#REF!</v>
      </c>
      <c r="R683" s="232">
        <v>0</v>
      </c>
      <c r="S683" s="231" t="str">
        <f t="shared" ca="1" si="250"/>
        <v>#REF!</v>
      </c>
      <c r="T683" s="231" t="str">
        <f t="shared" ca="1" si="200"/>
        <v>#REF!</v>
      </c>
      <c r="U683" s="233" t="str">
        <f t="shared" ca="1" si="142"/>
        <v>#REF!</v>
      </c>
      <c r="V683" s="233" t="str">
        <f t="shared" ca="1" si="7"/>
        <v>#REF!</v>
      </c>
      <c r="W683" s="234">
        <v>0</v>
      </c>
      <c r="X683" s="234" t="str">
        <f t="shared" ca="1" si="8"/>
        <v>#REF!</v>
      </c>
      <c r="Y683" s="234" t="str">
        <f t="shared" ca="1" si="9"/>
        <v>#REF!</v>
      </c>
      <c r="Z683" s="234" t="str">
        <f t="shared" ca="1" si="10"/>
        <v>#REF!</v>
      </c>
      <c r="AA683" s="234" t="str">
        <f t="shared" ca="1" si="11"/>
        <v>#REF!</v>
      </c>
      <c r="AB683" s="234" t="str">
        <f t="shared" ca="1" si="12"/>
        <v>#REF!</v>
      </c>
      <c r="AC683" s="234" t="str">
        <f t="shared" ca="1" si="13"/>
        <v>#REF!</v>
      </c>
      <c r="AD683" s="101" t="str">
        <f t="shared" ca="1" si="14"/>
        <v>#REF!</v>
      </c>
      <c r="AE683" s="101" t="str">
        <f t="shared" ca="1" si="15"/>
        <v>#REF!</v>
      </c>
      <c r="AF683" s="235" t="str">
        <f t="shared" ref="AF683:AG683" ca="1" si="760">AD683/U683</f>
        <v>#REF!</v>
      </c>
      <c r="AG683" s="235" t="str">
        <f t="shared" ca="1" si="760"/>
        <v>#REF!</v>
      </c>
      <c r="AH683" s="212"/>
      <c r="AI683" s="213"/>
      <c r="AJ683" s="4"/>
      <c r="AK683" s="4"/>
      <c r="AL683" s="4"/>
      <c r="AM683" s="4"/>
      <c r="AN683" s="4"/>
      <c r="AO683" s="4"/>
      <c r="AP683" s="4"/>
      <c r="AQ683" s="4"/>
      <c r="AR683" s="4"/>
      <c r="AS683" s="4"/>
      <c r="AT683" s="4"/>
      <c r="AU683" s="4"/>
    </row>
    <row r="684" spans="1:47" ht="13.2">
      <c r="A684" s="120"/>
      <c r="B684" s="113"/>
      <c r="C684" s="117"/>
      <c r="D684" s="117"/>
      <c r="E684" s="117"/>
      <c r="F684" s="123"/>
      <c r="G684" s="93" t="s">
        <v>145</v>
      </c>
      <c r="H684" s="125"/>
      <c r="I684" s="125"/>
      <c r="J684" s="82" t="str">
        <f t="shared" ca="1" si="147"/>
        <v>#REF!</v>
      </c>
      <c r="K684" s="82" t="str">
        <f t="shared" ca="1" si="256"/>
        <v>#REF!</v>
      </c>
      <c r="L684" s="82" t="str">
        <f t="shared" ca="1" si="199"/>
        <v>#REF!</v>
      </c>
      <c r="M684" s="125"/>
      <c r="N684" s="125"/>
      <c r="O684" s="230">
        <f t="shared" si="2"/>
        <v>0</v>
      </c>
      <c r="P684" s="231">
        <f t="shared" si="3"/>
        <v>0</v>
      </c>
      <c r="Q684" s="232" t="str">
        <f ca="1">ROUNDUP(HLOOKUP(IF(CEILING(L684,0.5)&lt;1,1,CEILING(L684,0.5)),'배송비 조회'!A$32:AY$36,2,0),-2)</f>
        <v>#REF!</v>
      </c>
      <c r="R684" s="232">
        <v>0</v>
      </c>
      <c r="S684" s="231" t="str">
        <f t="shared" ca="1" si="250"/>
        <v>#REF!</v>
      </c>
      <c r="T684" s="231" t="str">
        <f t="shared" ca="1" si="200"/>
        <v>#REF!</v>
      </c>
      <c r="U684" s="233" t="str">
        <f t="shared" ca="1" si="142"/>
        <v>#REF!</v>
      </c>
      <c r="V684" s="233" t="str">
        <f t="shared" ca="1" si="7"/>
        <v>#REF!</v>
      </c>
      <c r="W684" s="234">
        <v>0</v>
      </c>
      <c r="X684" s="234" t="str">
        <f t="shared" ca="1" si="8"/>
        <v>#REF!</v>
      </c>
      <c r="Y684" s="234" t="str">
        <f t="shared" ca="1" si="9"/>
        <v>#REF!</v>
      </c>
      <c r="Z684" s="234" t="str">
        <f t="shared" ca="1" si="10"/>
        <v>#REF!</v>
      </c>
      <c r="AA684" s="234" t="str">
        <f t="shared" ca="1" si="11"/>
        <v>#REF!</v>
      </c>
      <c r="AB684" s="234" t="str">
        <f t="shared" ca="1" si="12"/>
        <v>#REF!</v>
      </c>
      <c r="AC684" s="234" t="str">
        <f t="shared" ca="1" si="13"/>
        <v>#REF!</v>
      </c>
      <c r="AD684" s="101" t="str">
        <f t="shared" ca="1" si="14"/>
        <v>#REF!</v>
      </c>
      <c r="AE684" s="101" t="str">
        <f t="shared" ca="1" si="15"/>
        <v>#REF!</v>
      </c>
      <c r="AF684" s="235" t="str">
        <f t="shared" ref="AF684:AG684" ca="1" si="761">AD684/U684</f>
        <v>#REF!</v>
      </c>
      <c r="AG684" s="235" t="str">
        <f t="shared" ca="1" si="761"/>
        <v>#REF!</v>
      </c>
      <c r="AH684" s="212"/>
      <c r="AI684" s="213"/>
      <c r="AJ684" s="4"/>
      <c r="AK684" s="4"/>
      <c r="AL684" s="4"/>
      <c r="AM684" s="4"/>
      <c r="AN684" s="4"/>
      <c r="AO684" s="4"/>
      <c r="AP684" s="4"/>
      <c r="AQ684" s="4"/>
      <c r="AR684" s="4"/>
      <c r="AS684" s="4"/>
      <c r="AT684" s="4"/>
      <c r="AU684" s="4"/>
    </row>
    <row r="685" spans="1:47" ht="13.2">
      <c r="A685" s="120"/>
      <c r="B685" s="113"/>
      <c r="C685" s="117"/>
      <c r="D685" s="117"/>
      <c r="E685" s="117"/>
      <c r="F685" s="123"/>
      <c r="G685" s="93" t="s">
        <v>145</v>
      </c>
      <c r="H685" s="125"/>
      <c r="I685" s="125"/>
      <c r="J685" s="82" t="str">
        <f t="shared" ca="1" si="147"/>
        <v>#REF!</v>
      </c>
      <c r="K685" s="82" t="str">
        <f t="shared" ca="1" si="256"/>
        <v>#REF!</v>
      </c>
      <c r="L685" s="82" t="str">
        <f t="shared" ca="1" si="199"/>
        <v>#REF!</v>
      </c>
      <c r="M685" s="125"/>
      <c r="N685" s="125"/>
      <c r="O685" s="230">
        <f t="shared" si="2"/>
        <v>0</v>
      </c>
      <c r="P685" s="231">
        <f t="shared" si="3"/>
        <v>0</v>
      </c>
      <c r="Q685" s="232" t="str">
        <f ca="1">ROUNDUP(HLOOKUP(IF(CEILING(L685,0.5)&lt;1,1,CEILING(L685,0.5)),'배송비 조회'!A$32:AY$36,2,0),-2)</f>
        <v>#REF!</v>
      </c>
      <c r="R685" s="232">
        <v>0</v>
      </c>
      <c r="S685" s="231" t="str">
        <f t="shared" ca="1" si="250"/>
        <v>#REF!</v>
      </c>
      <c r="T685" s="231" t="str">
        <f t="shared" ca="1" si="200"/>
        <v>#REF!</v>
      </c>
      <c r="U685" s="233" t="str">
        <f t="shared" ca="1" si="142"/>
        <v>#REF!</v>
      </c>
      <c r="V685" s="233" t="str">
        <f t="shared" ca="1" si="7"/>
        <v>#REF!</v>
      </c>
      <c r="W685" s="234">
        <v>0</v>
      </c>
      <c r="X685" s="234" t="str">
        <f t="shared" ca="1" si="8"/>
        <v>#REF!</v>
      </c>
      <c r="Y685" s="234" t="str">
        <f t="shared" ca="1" si="9"/>
        <v>#REF!</v>
      </c>
      <c r="Z685" s="234" t="str">
        <f t="shared" ca="1" si="10"/>
        <v>#REF!</v>
      </c>
      <c r="AA685" s="234" t="str">
        <f t="shared" ca="1" si="11"/>
        <v>#REF!</v>
      </c>
      <c r="AB685" s="234" t="str">
        <f t="shared" ca="1" si="12"/>
        <v>#REF!</v>
      </c>
      <c r="AC685" s="234" t="str">
        <f t="shared" ca="1" si="13"/>
        <v>#REF!</v>
      </c>
      <c r="AD685" s="101" t="str">
        <f t="shared" ca="1" si="14"/>
        <v>#REF!</v>
      </c>
      <c r="AE685" s="101" t="str">
        <f t="shared" ca="1" si="15"/>
        <v>#REF!</v>
      </c>
      <c r="AF685" s="235" t="str">
        <f t="shared" ref="AF685:AG685" ca="1" si="762">AD685/U685</f>
        <v>#REF!</v>
      </c>
      <c r="AG685" s="235" t="str">
        <f t="shared" ca="1" si="762"/>
        <v>#REF!</v>
      </c>
      <c r="AH685" s="212"/>
      <c r="AI685" s="213"/>
      <c r="AJ685" s="4"/>
      <c r="AK685" s="4"/>
      <c r="AL685" s="4"/>
      <c r="AM685" s="4"/>
      <c r="AN685" s="4"/>
      <c r="AO685" s="4"/>
      <c r="AP685" s="4"/>
      <c r="AQ685" s="4"/>
      <c r="AR685" s="4"/>
      <c r="AS685" s="4"/>
      <c r="AT685" s="4"/>
      <c r="AU685" s="4"/>
    </row>
    <row r="686" spans="1:47" ht="13.2">
      <c r="A686" s="120"/>
      <c r="B686" s="113"/>
      <c r="C686" s="117"/>
      <c r="D686" s="117"/>
      <c r="E686" s="117"/>
      <c r="F686" s="123"/>
      <c r="G686" s="93" t="s">
        <v>145</v>
      </c>
      <c r="H686" s="125"/>
      <c r="I686" s="125"/>
      <c r="J686" s="82" t="str">
        <f t="shared" ca="1" si="147"/>
        <v>#REF!</v>
      </c>
      <c r="K686" s="82" t="str">
        <f t="shared" ca="1" si="256"/>
        <v>#REF!</v>
      </c>
      <c r="L686" s="82" t="str">
        <f t="shared" ca="1" si="199"/>
        <v>#REF!</v>
      </c>
      <c r="M686" s="125"/>
      <c r="N686" s="125"/>
      <c r="O686" s="230">
        <f t="shared" si="2"/>
        <v>0</v>
      </c>
      <c r="P686" s="231">
        <f t="shared" si="3"/>
        <v>0</v>
      </c>
      <c r="Q686" s="232" t="str">
        <f ca="1">ROUNDUP(HLOOKUP(IF(CEILING(L686,0.5)&lt;1,1,CEILING(L686,0.5)),'배송비 조회'!A$32:AY$36,2,0),-2)</f>
        <v>#REF!</v>
      </c>
      <c r="R686" s="232">
        <v>0</v>
      </c>
      <c r="S686" s="231" t="str">
        <f t="shared" ca="1" si="250"/>
        <v>#REF!</v>
      </c>
      <c r="T686" s="231" t="str">
        <f t="shared" ca="1" si="200"/>
        <v>#REF!</v>
      </c>
      <c r="U686" s="233" t="str">
        <f t="shared" ca="1" si="142"/>
        <v>#REF!</v>
      </c>
      <c r="V686" s="233" t="str">
        <f t="shared" ca="1" si="7"/>
        <v>#REF!</v>
      </c>
      <c r="W686" s="234">
        <v>0</v>
      </c>
      <c r="X686" s="234" t="str">
        <f t="shared" ca="1" si="8"/>
        <v>#REF!</v>
      </c>
      <c r="Y686" s="234" t="str">
        <f t="shared" ca="1" si="9"/>
        <v>#REF!</v>
      </c>
      <c r="Z686" s="234" t="str">
        <f t="shared" ca="1" si="10"/>
        <v>#REF!</v>
      </c>
      <c r="AA686" s="234" t="str">
        <f t="shared" ca="1" si="11"/>
        <v>#REF!</v>
      </c>
      <c r="AB686" s="234" t="str">
        <f t="shared" ca="1" si="12"/>
        <v>#REF!</v>
      </c>
      <c r="AC686" s="234" t="str">
        <f t="shared" ca="1" si="13"/>
        <v>#REF!</v>
      </c>
      <c r="AD686" s="101" t="str">
        <f t="shared" ca="1" si="14"/>
        <v>#REF!</v>
      </c>
      <c r="AE686" s="101" t="str">
        <f t="shared" ca="1" si="15"/>
        <v>#REF!</v>
      </c>
      <c r="AF686" s="235" t="str">
        <f t="shared" ref="AF686:AG686" ca="1" si="763">AD686/U686</f>
        <v>#REF!</v>
      </c>
      <c r="AG686" s="235" t="str">
        <f t="shared" ca="1" si="763"/>
        <v>#REF!</v>
      </c>
      <c r="AH686" s="212"/>
      <c r="AI686" s="213"/>
      <c r="AJ686" s="4"/>
      <c r="AK686" s="4"/>
      <c r="AL686" s="4"/>
      <c r="AM686" s="4"/>
      <c r="AN686" s="4"/>
      <c r="AO686" s="4"/>
      <c r="AP686" s="4"/>
      <c r="AQ686" s="4"/>
      <c r="AR686" s="4"/>
      <c r="AS686" s="4"/>
      <c r="AT686" s="4"/>
      <c r="AU686" s="4"/>
    </row>
    <row r="687" spans="1:47" ht="13.2">
      <c r="A687" s="120"/>
      <c r="B687" s="113"/>
      <c r="C687" s="117"/>
      <c r="D687" s="117"/>
      <c r="E687" s="117"/>
      <c r="F687" s="123"/>
      <c r="G687" s="93" t="s">
        <v>145</v>
      </c>
      <c r="H687" s="125"/>
      <c r="I687" s="125"/>
      <c r="J687" s="82" t="str">
        <f t="shared" ca="1" si="147"/>
        <v>#REF!</v>
      </c>
      <c r="K687" s="82" t="str">
        <f t="shared" ca="1" si="256"/>
        <v>#REF!</v>
      </c>
      <c r="L687" s="82" t="str">
        <f t="shared" ca="1" si="199"/>
        <v>#REF!</v>
      </c>
      <c r="M687" s="125"/>
      <c r="N687" s="125"/>
      <c r="O687" s="230">
        <f t="shared" si="2"/>
        <v>0</v>
      </c>
      <c r="P687" s="231">
        <f t="shared" si="3"/>
        <v>0</v>
      </c>
      <c r="Q687" s="232" t="str">
        <f ca="1">ROUNDUP(HLOOKUP(IF(CEILING(L687,0.5)&lt;1,1,CEILING(L687,0.5)),'배송비 조회'!A$32:AY$36,2,0),-2)</f>
        <v>#REF!</v>
      </c>
      <c r="R687" s="232">
        <v>0</v>
      </c>
      <c r="S687" s="231" t="str">
        <f t="shared" ca="1" si="250"/>
        <v>#REF!</v>
      </c>
      <c r="T687" s="231" t="str">
        <f t="shared" ca="1" si="200"/>
        <v>#REF!</v>
      </c>
      <c r="U687" s="233" t="str">
        <f t="shared" ca="1" si="142"/>
        <v>#REF!</v>
      </c>
      <c r="V687" s="233" t="str">
        <f t="shared" ca="1" si="7"/>
        <v>#REF!</v>
      </c>
      <c r="W687" s="234">
        <v>0</v>
      </c>
      <c r="X687" s="234" t="str">
        <f t="shared" ca="1" si="8"/>
        <v>#REF!</v>
      </c>
      <c r="Y687" s="234" t="str">
        <f t="shared" ca="1" si="9"/>
        <v>#REF!</v>
      </c>
      <c r="Z687" s="234" t="str">
        <f t="shared" ca="1" si="10"/>
        <v>#REF!</v>
      </c>
      <c r="AA687" s="234" t="str">
        <f t="shared" ca="1" si="11"/>
        <v>#REF!</v>
      </c>
      <c r="AB687" s="234" t="str">
        <f t="shared" ca="1" si="12"/>
        <v>#REF!</v>
      </c>
      <c r="AC687" s="234" t="str">
        <f t="shared" ca="1" si="13"/>
        <v>#REF!</v>
      </c>
      <c r="AD687" s="101" t="str">
        <f t="shared" ca="1" si="14"/>
        <v>#REF!</v>
      </c>
      <c r="AE687" s="101" t="str">
        <f t="shared" ca="1" si="15"/>
        <v>#REF!</v>
      </c>
      <c r="AF687" s="235" t="str">
        <f t="shared" ref="AF687:AG687" ca="1" si="764">AD687/U687</f>
        <v>#REF!</v>
      </c>
      <c r="AG687" s="235" t="str">
        <f t="shared" ca="1" si="764"/>
        <v>#REF!</v>
      </c>
      <c r="AH687" s="212"/>
      <c r="AI687" s="213"/>
      <c r="AJ687" s="4"/>
      <c r="AK687" s="4"/>
      <c r="AL687" s="4"/>
      <c r="AM687" s="4"/>
      <c r="AN687" s="4"/>
      <c r="AO687" s="4"/>
      <c r="AP687" s="4"/>
      <c r="AQ687" s="4"/>
      <c r="AR687" s="4"/>
      <c r="AS687" s="4"/>
      <c r="AT687" s="4"/>
      <c r="AU687" s="4"/>
    </row>
    <row r="688" spans="1:47" ht="13.2">
      <c r="A688" s="120"/>
      <c r="B688" s="113"/>
      <c r="C688" s="117"/>
      <c r="D688" s="117"/>
      <c r="E688" s="117"/>
      <c r="F688" s="123"/>
      <c r="G688" s="93" t="s">
        <v>145</v>
      </c>
      <c r="H688" s="125"/>
      <c r="I688" s="125"/>
      <c r="J688" s="82" t="str">
        <f t="shared" ca="1" si="147"/>
        <v>#REF!</v>
      </c>
      <c r="K688" s="82" t="str">
        <f t="shared" ca="1" si="256"/>
        <v>#REF!</v>
      </c>
      <c r="L688" s="82" t="str">
        <f t="shared" ca="1" si="199"/>
        <v>#REF!</v>
      </c>
      <c r="M688" s="125"/>
      <c r="N688" s="125"/>
      <c r="O688" s="230">
        <f t="shared" si="2"/>
        <v>0</v>
      </c>
      <c r="P688" s="231">
        <f t="shared" si="3"/>
        <v>0</v>
      </c>
      <c r="Q688" s="232" t="str">
        <f ca="1">ROUNDUP(HLOOKUP(IF(CEILING(L688,0.5)&lt;1,1,CEILING(L688,0.5)),'배송비 조회'!A$32:AY$36,2,0),-2)</f>
        <v>#REF!</v>
      </c>
      <c r="R688" s="232">
        <v>0</v>
      </c>
      <c r="S688" s="231" t="str">
        <f t="shared" ca="1" si="250"/>
        <v>#REF!</v>
      </c>
      <c r="T688" s="231" t="str">
        <f t="shared" ca="1" si="200"/>
        <v>#REF!</v>
      </c>
      <c r="U688" s="233" t="str">
        <f t="shared" ca="1" si="142"/>
        <v>#REF!</v>
      </c>
      <c r="V688" s="233" t="str">
        <f t="shared" ca="1" si="7"/>
        <v>#REF!</v>
      </c>
      <c r="W688" s="234">
        <v>0</v>
      </c>
      <c r="X688" s="234" t="str">
        <f t="shared" ca="1" si="8"/>
        <v>#REF!</v>
      </c>
      <c r="Y688" s="234" t="str">
        <f t="shared" ca="1" si="9"/>
        <v>#REF!</v>
      </c>
      <c r="Z688" s="234" t="str">
        <f t="shared" ca="1" si="10"/>
        <v>#REF!</v>
      </c>
      <c r="AA688" s="234" t="str">
        <f t="shared" ca="1" si="11"/>
        <v>#REF!</v>
      </c>
      <c r="AB688" s="234" t="str">
        <f t="shared" ca="1" si="12"/>
        <v>#REF!</v>
      </c>
      <c r="AC688" s="234" t="str">
        <f t="shared" ca="1" si="13"/>
        <v>#REF!</v>
      </c>
      <c r="AD688" s="101" t="str">
        <f t="shared" ca="1" si="14"/>
        <v>#REF!</v>
      </c>
      <c r="AE688" s="101" t="str">
        <f t="shared" ca="1" si="15"/>
        <v>#REF!</v>
      </c>
      <c r="AF688" s="235" t="str">
        <f t="shared" ref="AF688:AG688" ca="1" si="765">AD688/U688</f>
        <v>#REF!</v>
      </c>
      <c r="AG688" s="235" t="str">
        <f t="shared" ca="1" si="765"/>
        <v>#REF!</v>
      </c>
      <c r="AH688" s="212"/>
      <c r="AI688" s="213"/>
      <c r="AJ688" s="4"/>
      <c r="AK688" s="4"/>
      <c r="AL688" s="4"/>
      <c r="AM688" s="4"/>
      <c r="AN688" s="4"/>
      <c r="AO688" s="4"/>
      <c r="AP688" s="4"/>
      <c r="AQ688" s="4"/>
      <c r="AR688" s="4"/>
      <c r="AS688" s="4"/>
      <c r="AT688" s="4"/>
      <c r="AU688" s="4"/>
    </row>
    <row r="689" spans="1:47" ht="13.2">
      <c r="A689" s="120"/>
      <c r="B689" s="113"/>
      <c r="C689" s="117"/>
      <c r="D689" s="117"/>
      <c r="E689" s="117"/>
      <c r="F689" s="123"/>
      <c r="G689" s="93" t="s">
        <v>145</v>
      </c>
      <c r="H689" s="125"/>
      <c r="I689" s="125"/>
      <c r="J689" s="82" t="str">
        <f t="shared" ca="1" si="147"/>
        <v>#REF!</v>
      </c>
      <c r="K689" s="82" t="str">
        <f t="shared" ca="1" si="256"/>
        <v>#REF!</v>
      </c>
      <c r="L689" s="82" t="str">
        <f t="shared" ca="1" si="199"/>
        <v>#REF!</v>
      </c>
      <c r="M689" s="125"/>
      <c r="N689" s="125"/>
      <c r="O689" s="230">
        <f t="shared" si="2"/>
        <v>0</v>
      </c>
      <c r="P689" s="231">
        <f t="shared" si="3"/>
        <v>0</v>
      </c>
      <c r="Q689" s="232" t="str">
        <f ca="1">ROUNDUP(HLOOKUP(IF(CEILING(L689,0.5)&lt;1,1,CEILING(L689,0.5)),'배송비 조회'!A$32:AY$36,2,0),-2)</f>
        <v>#REF!</v>
      </c>
      <c r="R689" s="232">
        <v>0</v>
      </c>
      <c r="S689" s="231" t="str">
        <f t="shared" ca="1" si="250"/>
        <v>#REF!</v>
      </c>
      <c r="T689" s="231" t="str">
        <f t="shared" ca="1" si="200"/>
        <v>#REF!</v>
      </c>
      <c r="U689" s="233" t="str">
        <f t="shared" ca="1" si="142"/>
        <v>#REF!</v>
      </c>
      <c r="V689" s="233" t="str">
        <f t="shared" ca="1" si="7"/>
        <v>#REF!</v>
      </c>
      <c r="W689" s="234">
        <v>0</v>
      </c>
      <c r="X689" s="234" t="str">
        <f t="shared" ca="1" si="8"/>
        <v>#REF!</v>
      </c>
      <c r="Y689" s="234" t="str">
        <f t="shared" ca="1" si="9"/>
        <v>#REF!</v>
      </c>
      <c r="Z689" s="234" t="str">
        <f t="shared" ca="1" si="10"/>
        <v>#REF!</v>
      </c>
      <c r="AA689" s="234" t="str">
        <f t="shared" ca="1" si="11"/>
        <v>#REF!</v>
      </c>
      <c r="AB689" s="234" t="str">
        <f t="shared" ca="1" si="12"/>
        <v>#REF!</v>
      </c>
      <c r="AC689" s="234" t="str">
        <f t="shared" ca="1" si="13"/>
        <v>#REF!</v>
      </c>
      <c r="AD689" s="101" t="str">
        <f t="shared" ca="1" si="14"/>
        <v>#REF!</v>
      </c>
      <c r="AE689" s="101" t="str">
        <f t="shared" ca="1" si="15"/>
        <v>#REF!</v>
      </c>
      <c r="AF689" s="235" t="str">
        <f t="shared" ref="AF689:AG689" ca="1" si="766">AD689/U689</f>
        <v>#REF!</v>
      </c>
      <c r="AG689" s="235" t="str">
        <f t="shared" ca="1" si="766"/>
        <v>#REF!</v>
      </c>
      <c r="AH689" s="212"/>
      <c r="AI689" s="213"/>
      <c r="AJ689" s="4"/>
      <c r="AK689" s="4"/>
      <c r="AL689" s="4"/>
      <c r="AM689" s="4"/>
      <c r="AN689" s="4"/>
      <c r="AO689" s="4"/>
      <c r="AP689" s="4"/>
      <c r="AQ689" s="4"/>
      <c r="AR689" s="4"/>
      <c r="AS689" s="4"/>
      <c r="AT689" s="4"/>
      <c r="AU689" s="4"/>
    </row>
    <row r="690" spans="1:47" ht="13.2">
      <c r="A690" s="120"/>
      <c r="B690" s="113"/>
      <c r="C690" s="117"/>
      <c r="D690" s="117"/>
      <c r="E690" s="117"/>
      <c r="F690" s="123"/>
      <c r="G690" s="93" t="s">
        <v>145</v>
      </c>
      <c r="H690" s="125"/>
      <c r="I690" s="125"/>
      <c r="J690" s="82" t="str">
        <f t="shared" ca="1" si="147"/>
        <v>#REF!</v>
      </c>
      <c r="K690" s="82" t="str">
        <f t="shared" ca="1" si="256"/>
        <v>#REF!</v>
      </c>
      <c r="L690" s="82" t="str">
        <f t="shared" ca="1" si="199"/>
        <v>#REF!</v>
      </c>
      <c r="M690" s="125"/>
      <c r="N690" s="125"/>
      <c r="O690" s="230">
        <f t="shared" si="2"/>
        <v>0</v>
      </c>
      <c r="P690" s="231">
        <f t="shared" si="3"/>
        <v>0</v>
      </c>
      <c r="Q690" s="232" t="str">
        <f ca="1">ROUNDUP(HLOOKUP(IF(CEILING(L690,0.5)&lt;1,1,CEILING(L690,0.5)),'배송비 조회'!A$32:AY$36,2,0),-2)</f>
        <v>#REF!</v>
      </c>
      <c r="R690" s="232">
        <v>0</v>
      </c>
      <c r="S690" s="231" t="str">
        <f t="shared" ca="1" si="250"/>
        <v>#REF!</v>
      </c>
      <c r="T690" s="231" t="str">
        <f t="shared" ca="1" si="200"/>
        <v>#REF!</v>
      </c>
      <c r="U690" s="233" t="str">
        <f t="shared" ca="1" si="142"/>
        <v>#REF!</v>
      </c>
      <c r="V690" s="233" t="str">
        <f t="shared" ca="1" si="7"/>
        <v>#REF!</v>
      </c>
      <c r="W690" s="234">
        <v>0</v>
      </c>
      <c r="X690" s="234" t="str">
        <f t="shared" ca="1" si="8"/>
        <v>#REF!</v>
      </c>
      <c r="Y690" s="234" t="str">
        <f t="shared" ca="1" si="9"/>
        <v>#REF!</v>
      </c>
      <c r="Z690" s="234" t="str">
        <f t="shared" ca="1" si="10"/>
        <v>#REF!</v>
      </c>
      <c r="AA690" s="234" t="str">
        <f t="shared" ca="1" si="11"/>
        <v>#REF!</v>
      </c>
      <c r="AB690" s="234" t="str">
        <f t="shared" ca="1" si="12"/>
        <v>#REF!</v>
      </c>
      <c r="AC690" s="234" t="str">
        <f t="shared" ca="1" si="13"/>
        <v>#REF!</v>
      </c>
      <c r="AD690" s="101" t="str">
        <f t="shared" ca="1" si="14"/>
        <v>#REF!</v>
      </c>
      <c r="AE690" s="101" t="str">
        <f t="shared" ca="1" si="15"/>
        <v>#REF!</v>
      </c>
      <c r="AF690" s="235" t="str">
        <f t="shared" ref="AF690:AG690" ca="1" si="767">AD690/U690</f>
        <v>#REF!</v>
      </c>
      <c r="AG690" s="235" t="str">
        <f t="shared" ca="1" si="767"/>
        <v>#REF!</v>
      </c>
      <c r="AH690" s="212"/>
      <c r="AI690" s="213"/>
      <c r="AJ690" s="4"/>
      <c r="AK690" s="4"/>
      <c r="AL690" s="4"/>
      <c r="AM690" s="4"/>
      <c r="AN690" s="4"/>
      <c r="AO690" s="4"/>
      <c r="AP690" s="4"/>
      <c r="AQ690" s="4"/>
      <c r="AR690" s="4"/>
      <c r="AS690" s="4"/>
      <c r="AT690" s="4"/>
      <c r="AU690" s="4"/>
    </row>
    <row r="691" spans="1:47" ht="13.2">
      <c r="A691" s="120"/>
      <c r="B691" s="113"/>
      <c r="C691" s="117"/>
      <c r="D691" s="117"/>
      <c r="E691" s="117"/>
      <c r="F691" s="123"/>
      <c r="G691" s="93" t="s">
        <v>145</v>
      </c>
      <c r="H691" s="125"/>
      <c r="I691" s="125"/>
      <c r="J691" s="82" t="str">
        <f t="shared" ca="1" si="147"/>
        <v>#REF!</v>
      </c>
      <c r="K691" s="82" t="str">
        <f t="shared" ca="1" si="256"/>
        <v>#REF!</v>
      </c>
      <c r="L691" s="82" t="str">
        <f t="shared" ca="1" si="199"/>
        <v>#REF!</v>
      </c>
      <c r="M691" s="125"/>
      <c r="N691" s="125"/>
      <c r="O691" s="230">
        <f t="shared" si="2"/>
        <v>0</v>
      </c>
      <c r="P691" s="231">
        <f t="shared" si="3"/>
        <v>0</v>
      </c>
      <c r="Q691" s="232" t="str">
        <f ca="1">ROUNDUP(HLOOKUP(IF(CEILING(L691,0.5)&lt;1,1,CEILING(L691,0.5)),'배송비 조회'!A$32:AY$36,2,0),-2)</f>
        <v>#REF!</v>
      </c>
      <c r="R691" s="232">
        <v>0</v>
      </c>
      <c r="S691" s="231" t="str">
        <f t="shared" ca="1" si="250"/>
        <v>#REF!</v>
      </c>
      <c r="T691" s="231" t="str">
        <f t="shared" ca="1" si="200"/>
        <v>#REF!</v>
      </c>
      <c r="U691" s="233" t="str">
        <f t="shared" ca="1" si="142"/>
        <v>#REF!</v>
      </c>
      <c r="V691" s="233" t="str">
        <f t="shared" ca="1" si="7"/>
        <v>#REF!</v>
      </c>
      <c r="W691" s="234">
        <v>0</v>
      </c>
      <c r="X691" s="234" t="str">
        <f t="shared" ca="1" si="8"/>
        <v>#REF!</v>
      </c>
      <c r="Y691" s="234" t="str">
        <f t="shared" ca="1" si="9"/>
        <v>#REF!</v>
      </c>
      <c r="Z691" s="234" t="str">
        <f t="shared" ca="1" si="10"/>
        <v>#REF!</v>
      </c>
      <c r="AA691" s="234" t="str">
        <f t="shared" ca="1" si="11"/>
        <v>#REF!</v>
      </c>
      <c r="AB691" s="234" t="str">
        <f t="shared" ca="1" si="12"/>
        <v>#REF!</v>
      </c>
      <c r="AC691" s="234" t="str">
        <f t="shared" ca="1" si="13"/>
        <v>#REF!</v>
      </c>
      <c r="AD691" s="101" t="str">
        <f t="shared" ca="1" si="14"/>
        <v>#REF!</v>
      </c>
      <c r="AE691" s="101" t="str">
        <f t="shared" ca="1" si="15"/>
        <v>#REF!</v>
      </c>
      <c r="AF691" s="235" t="str">
        <f t="shared" ref="AF691:AG691" ca="1" si="768">AD691/U691</f>
        <v>#REF!</v>
      </c>
      <c r="AG691" s="235" t="str">
        <f t="shared" ca="1" si="768"/>
        <v>#REF!</v>
      </c>
      <c r="AH691" s="212"/>
      <c r="AI691" s="213"/>
      <c r="AJ691" s="4"/>
      <c r="AK691" s="4"/>
      <c r="AL691" s="4"/>
      <c r="AM691" s="4"/>
      <c r="AN691" s="4"/>
      <c r="AO691" s="4"/>
      <c r="AP691" s="4"/>
      <c r="AQ691" s="4"/>
      <c r="AR691" s="4"/>
      <c r="AS691" s="4"/>
      <c r="AT691" s="4"/>
      <c r="AU691" s="4"/>
    </row>
    <row r="692" spans="1:47" ht="13.2">
      <c r="A692" s="120"/>
      <c r="B692" s="113"/>
      <c r="C692" s="117"/>
      <c r="D692" s="117"/>
      <c r="E692" s="117"/>
      <c r="F692" s="123"/>
      <c r="G692" s="93" t="s">
        <v>145</v>
      </c>
      <c r="H692" s="125"/>
      <c r="I692" s="125"/>
      <c r="J692" s="82" t="str">
        <f t="shared" ca="1" si="147"/>
        <v>#REF!</v>
      </c>
      <c r="K692" s="82" t="str">
        <f t="shared" ca="1" si="256"/>
        <v>#REF!</v>
      </c>
      <c r="L692" s="82" t="str">
        <f t="shared" ca="1" si="199"/>
        <v>#REF!</v>
      </c>
      <c r="M692" s="125"/>
      <c r="N692" s="125"/>
      <c r="O692" s="230">
        <f t="shared" si="2"/>
        <v>0</v>
      </c>
      <c r="P692" s="231">
        <f t="shared" si="3"/>
        <v>0</v>
      </c>
      <c r="Q692" s="232" t="str">
        <f ca="1">ROUNDUP(HLOOKUP(IF(CEILING(L692,0.5)&lt;1,1,CEILING(L692,0.5)),'배송비 조회'!A$32:AY$36,2,0),-2)</f>
        <v>#REF!</v>
      </c>
      <c r="R692" s="232">
        <v>0</v>
      </c>
      <c r="S692" s="231" t="str">
        <f t="shared" ca="1" si="250"/>
        <v>#REF!</v>
      </c>
      <c r="T692" s="231" t="str">
        <f t="shared" ca="1" si="200"/>
        <v>#REF!</v>
      </c>
      <c r="U692" s="233" t="str">
        <f t="shared" ca="1" si="142"/>
        <v>#REF!</v>
      </c>
      <c r="V692" s="233" t="str">
        <f t="shared" ca="1" si="7"/>
        <v>#REF!</v>
      </c>
      <c r="W692" s="234">
        <v>0</v>
      </c>
      <c r="X692" s="234" t="str">
        <f t="shared" ca="1" si="8"/>
        <v>#REF!</v>
      </c>
      <c r="Y692" s="234" t="str">
        <f t="shared" ca="1" si="9"/>
        <v>#REF!</v>
      </c>
      <c r="Z692" s="234" t="str">
        <f t="shared" ca="1" si="10"/>
        <v>#REF!</v>
      </c>
      <c r="AA692" s="234" t="str">
        <f t="shared" ca="1" si="11"/>
        <v>#REF!</v>
      </c>
      <c r="AB692" s="234" t="str">
        <f t="shared" ca="1" si="12"/>
        <v>#REF!</v>
      </c>
      <c r="AC692" s="234" t="str">
        <f t="shared" ca="1" si="13"/>
        <v>#REF!</v>
      </c>
      <c r="AD692" s="101" t="str">
        <f t="shared" ca="1" si="14"/>
        <v>#REF!</v>
      </c>
      <c r="AE692" s="101" t="str">
        <f t="shared" ca="1" si="15"/>
        <v>#REF!</v>
      </c>
      <c r="AF692" s="235" t="str">
        <f t="shared" ref="AF692:AG692" ca="1" si="769">AD692/U692</f>
        <v>#REF!</v>
      </c>
      <c r="AG692" s="235" t="str">
        <f t="shared" ca="1" si="769"/>
        <v>#REF!</v>
      </c>
      <c r="AH692" s="212"/>
      <c r="AI692" s="213"/>
      <c r="AJ692" s="4"/>
      <c r="AK692" s="4"/>
      <c r="AL692" s="4"/>
      <c r="AM692" s="4"/>
      <c r="AN692" s="4"/>
      <c r="AO692" s="4"/>
      <c r="AP692" s="4"/>
      <c r="AQ692" s="4"/>
      <c r="AR692" s="4"/>
      <c r="AS692" s="4"/>
      <c r="AT692" s="4"/>
      <c r="AU692" s="4"/>
    </row>
    <row r="693" spans="1:47" ht="13.2">
      <c r="A693" s="120"/>
      <c r="B693" s="113"/>
      <c r="C693" s="117"/>
      <c r="D693" s="117"/>
      <c r="E693" s="117"/>
      <c r="F693" s="123"/>
      <c r="G693" s="93" t="s">
        <v>145</v>
      </c>
      <c r="H693" s="125"/>
      <c r="I693" s="125"/>
      <c r="J693" s="82" t="str">
        <f t="shared" ca="1" si="147"/>
        <v>#REF!</v>
      </c>
      <c r="K693" s="82" t="str">
        <f t="shared" ca="1" si="256"/>
        <v>#REF!</v>
      </c>
      <c r="L693" s="82" t="str">
        <f t="shared" ca="1" si="199"/>
        <v>#REF!</v>
      </c>
      <c r="M693" s="125"/>
      <c r="N693" s="125"/>
      <c r="O693" s="230">
        <f t="shared" si="2"/>
        <v>0</v>
      </c>
      <c r="P693" s="231">
        <f t="shared" si="3"/>
        <v>0</v>
      </c>
      <c r="Q693" s="232" t="str">
        <f ca="1">ROUNDUP(HLOOKUP(IF(CEILING(L693,0.5)&lt;1,1,CEILING(L693,0.5)),'배송비 조회'!A$32:AY$36,2,0),-2)</f>
        <v>#REF!</v>
      </c>
      <c r="R693" s="232">
        <v>0</v>
      </c>
      <c r="S693" s="231" t="str">
        <f t="shared" ca="1" si="250"/>
        <v>#REF!</v>
      </c>
      <c r="T693" s="231" t="str">
        <f t="shared" ca="1" si="200"/>
        <v>#REF!</v>
      </c>
      <c r="U693" s="233" t="str">
        <f t="shared" ca="1" si="142"/>
        <v>#REF!</v>
      </c>
      <c r="V693" s="233" t="str">
        <f t="shared" ca="1" si="7"/>
        <v>#REF!</v>
      </c>
      <c r="W693" s="234">
        <v>0</v>
      </c>
      <c r="X693" s="234" t="str">
        <f t="shared" ca="1" si="8"/>
        <v>#REF!</v>
      </c>
      <c r="Y693" s="234" t="str">
        <f t="shared" ca="1" si="9"/>
        <v>#REF!</v>
      </c>
      <c r="Z693" s="234" t="str">
        <f t="shared" ca="1" si="10"/>
        <v>#REF!</v>
      </c>
      <c r="AA693" s="234" t="str">
        <f t="shared" ca="1" si="11"/>
        <v>#REF!</v>
      </c>
      <c r="AB693" s="234" t="str">
        <f t="shared" ca="1" si="12"/>
        <v>#REF!</v>
      </c>
      <c r="AC693" s="234" t="str">
        <f t="shared" ca="1" si="13"/>
        <v>#REF!</v>
      </c>
      <c r="AD693" s="101" t="str">
        <f t="shared" ca="1" si="14"/>
        <v>#REF!</v>
      </c>
      <c r="AE693" s="101" t="str">
        <f t="shared" ca="1" si="15"/>
        <v>#REF!</v>
      </c>
      <c r="AF693" s="235" t="str">
        <f t="shared" ref="AF693:AG693" ca="1" si="770">AD693/U693</f>
        <v>#REF!</v>
      </c>
      <c r="AG693" s="235" t="str">
        <f t="shared" ca="1" si="770"/>
        <v>#REF!</v>
      </c>
      <c r="AH693" s="212"/>
      <c r="AI693" s="213"/>
      <c r="AJ693" s="4"/>
      <c r="AK693" s="4"/>
      <c r="AL693" s="4"/>
      <c r="AM693" s="4"/>
      <c r="AN693" s="4"/>
      <c r="AO693" s="4"/>
      <c r="AP693" s="4"/>
      <c r="AQ693" s="4"/>
      <c r="AR693" s="4"/>
      <c r="AS693" s="4"/>
      <c r="AT693" s="4"/>
      <c r="AU693" s="4"/>
    </row>
    <row r="694" spans="1:47" ht="13.2">
      <c r="A694" s="120"/>
      <c r="B694" s="113"/>
      <c r="C694" s="117"/>
      <c r="D694" s="117"/>
      <c r="E694" s="117"/>
      <c r="F694" s="123"/>
      <c r="G694" s="93" t="s">
        <v>145</v>
      </c>
      <c r="H694" s="125"/>
      <c r="I694" s="125"/>
      <c r="J694" s="82" t="str">
        <f t="shared" ca="1" si="147"/>
        <v>#REF!</v>
      </c>
      <c r="K694" s="82" t="str">
        <f t="shared" ca="1" si="256"/>
        <v>#REF!</v>
      </c>
      <c r="L694" s="82" t="str">
        <f t="shared" ca="1" si="199"/>
        <v>#REF!</v>
      </c>
      <c r="M694" s="125"/>
      <c r="N694" s="125"/>
      <c r="O694" s="230">
        <f t="shared" si="2"/>
        <v>0</v>
      </c>
      <c r="P694" s="231">
        <f t="shared" si="3"/>
        <v>0</v>
      </c>
      <c r="Q694" s="232" t="str">
        <f ca="1">ROUNDUP(HLOOKUP(IF(CEILING(L694,0.5)&lt;1,1,CEILING(L694,0.5)),'배송비 조회'!A$32:AY$36,2,0),-2)</f>
        <v>#REF!</v>
      </c>
      <c r="R694" s="232">
        <v>0</v>
      </c>
      <c r="S694" s="231" t="str">
        <f t="shared" ca="1" si="250"/>
        <v>#REF!</v>
      </c>
      <c r="T694" s="231" t="str">
        <f t="shared" ca="1" si="200"/>
        <v>#REF!</v>
      </c>
      <c r="U694" s="233" t="str">
        <f t="shared" ca="1" si="142"/>
        <v>#REF!</v>
      </c>
      <c r="V694" s="233" t="str">
        <f t="shared" ca="1" si="7"/>
        <v>#REF!</v>
      </c>
      <c r="W694" s="234">
        <v>0</v>
      </c>
      <c r="X694" s="234" t="str">
        <f t="shared" ca="1" si="8"/>
        <v>#REF!</v>
      </c>
      <c r="Y694" s="234" t="str">
        <f t="shared" ca="1" si="9"/>
        <v>#REF!</v>
      </c>
      <c r="Z694" s="234" t="str">
        <f t="shared" ca="1" si="10"/>
        <v>#REF!</v>
      </c>
      <c r="AA694" s="234" t="str">
        <f t="shared" ca="1" si="11"/>
        <v>#REF!</v>
      </c>
      <c r="AB694" s="234" t="str">
        <f t="shared" ca="1" si="12"/>
        <v>#REF!</v>
      </c>
      <c r="AC694" s="234" t="str">
        <f t="shared" ca="1" si="13"/>
        <v>#REF!</v>
      </c>
      <c r="AD694" s="101" t="str">
        <f t="shared" ca="1" si="14"/>
        <v>#REF!</v>
      </c>
      <c r="AE694" s="101" t="str">
        <f t="shared" ca="1" si="15"/>
        <v>#REF!</v>
      </c>
      <c r="AF694" s="235" t="str">
        <f t="shared" ref="AF694:AG694" ca="1" si="771">AD694/U694</f>
        <v>#REF!</v>
      </c>
      <c r="AG694" s="235" t="str">
        <f t="shared" ca="1" si="771"/>
        <v>#REF!</v>
      </c>
      <c r="AH694" s="212"/>
      <c r="AI694" s="213"/>
      <c r="AJ694" s="4"/>
      <c r="AK694" s="4"/>
      <c r="AL694" s="4"/>
      <c r="AM694" s="4"/>
      <c r="AN694" s="4"/>
      <c r="AO694" s="4"/>
      <c r="AP694" s="4"/>
      <c r="AQ694" s="4"/>
      <c r="AR694" s="4"/>
      <c r="AS694" s="4"/>
      <c r="AT694" s="4"/>
      <c r="AU694" s="4"/>
    </row>
    <row r="695" spans="1:47" ht="13.2">
      <c r="A695" s="120"/>
      <c r="B695" s="113"/>
      <c r="C695" s="117"/>
      <c r="D695" s="117"/>
      <c r="E695" s="117"/>
      <c r="F695" s="123"/>
      <c r="G695" s="93" t="s">
        <v>145</v>
      </c>
      <c r="H695" s="125"/>
      <c r="I695" s="125"/>
      <c r="J695" s="82" t="str">
        <f t="shared" ca="1" si="147"/>
        <v>#REF!</v>
      </c>
      <c r="K695" s="82" t="str">
        <f t="shared" ca="1" si="256"/>
        <v>#REF!</v>
      </c>
      <c r="L695" s="82" t="str">
        <f t="shared" ca="1" si="199"/>
        <v>#REF!</v>
      </c>
      <c r="M695" s="125"/>
      <c r="N695" s="125"/>
      <c r="O695" s="230">
        <f t="shared" si="2"/>
        <v>0</v>
      </c>
      <c r="P695" s="231">
        <f t="shared" si="3"/>
        <v>0</v>
      </c>
      <c r="Q695" s="232" t="str">
        <f ca="1">ROUNDUP(HLOOKUP(IF(CEILING(L695,0.5)&lt;1,1,CEILING(L695,0.5)),'배송비 조회'!A$32:AY$36,2,0),-2)</f>
        <v>#REF!</v>
      </c>
      <c r="R695" s="232">
        <v>0</v>
      </c>
      <c r="S695" s="231" t="str">
        <f t="shared" ca="1" si="250"/>
        <v>#REF!</v>
      </c>
      <c r="T695" s="231" t="str">
        <f t="shared" ca="1" si="200"/>
        <v>#REF!</v>
      </c>
      <c r="U695" s="233" t="str">
        <f t="shared" ca="1" si="142"/>
        <v>#REF!</v>
      </c>
      <c r="V695" s="233" t="str">
        <f t="shared" ca="1" si="7"/>
        <v>#REF!</v>
      </c>
      <c r="W695" s="234">
        <v>0</v>
      </c>
      <c r="X695" s="234" t="str">
        <f t="shared" ca="1" si="8"/>
        <v>#REF!</v>
      </c>
      <c r="Y695" s="234" t="str">
        <f t="shared" ca="1" si="9"/>
        <v>#REF!</v>
      </c>
      <c r="Z695" s="234" t="str">
        <f t="shared" ca="1" si="10"/>
        <v>#REF!</v>
      </c>
      <c r="AA695" s="234" t="str">
        <f t="shared" ca="1" si="11"/>
        <v>#REF!</v>
      </c>
      <c r="AB695" s="234" t="str">
        <f t="shared" ca="1" si="12"/>
        <v>#REF!</v>
      </c>
      <c r="AC695" s="234" t="str">
        <f t="shared" ca="1" si="13"/>
        <v>#REF!</v>
      </c>
      <c r="AD695" s="101" t="str">
        <f t="shared" ca="1" si="14"/>
        <v>#REF!</v>
      </c>
      <c r="AE695" s="101" t="str">
        <f t="shared" ca="1" si="15"/>
        <v>#REF!</v>
      </c>
      <c r="AF695" s="235" t="str">
        <f t="shared" ref="AF695:AG695" ca="1" si="772">AD695/U695</f>
        <v>#REF!</v>
      </c>
      <c r="AG695" s="235" t="str">
        <f t="shared" ca="1" si="772"/>
        <v>#REF!</v>
      </c>
      <c r="AH695" s="212"/>
      <c r="AI695" s="213"/>
      <c r="AJ695" s="4"/>
      <c r="AK695" s="4"/>
      <c r="AL695" s="4"/>
      <c r="AM695" s="4"/>
      <c r="AN695" s="4"/>
      <c r="AO695" s="4"/>
      <c r="AP695" s="4"/>
      <c r="AQ695" s="4"/>
      <c r="AR695" s="4"/>
      <c r="AS695" s="4"/>
      <c r="AT695" s="4"/>
      <c r="AU695" s="4"/>
    </row>
    <row r="696" spans="1:47" ht="13.2">
      <c r="A696" s="120"/>
      <c r="B696" s="113"/>
      <c r="C696" s="117"/>
      <c r="D696" s="117"/>
      <c r="E696" s="117"/>
      <c r="F696" s="123"/>
      <c r="G696" s="93" t="s">
        <v>145</v>
      </c>
      <c r="H696" s="125"/>
      <c r="I696" s="125"/>
      <c r="J696" s="82" t="str">
        <f t="shared" ca="1" si="147"/>
        <v>#REF!</v>
      </c>
      <c r="K696" s="82" t="str">
        <f t="shared" ca="1" si="256"/>
        <v>#REF!</v>
      </c>
      <c r="L696" s="82" t="str">
        <f t="shared" ca="1" si="199"/>
        <v>#REF!</v>
      </c>
      <c r="M696" s="125"/>
      <c r="N696" s="125"/>
      <c r="O696" s="230">
        <f t="shared" si="2"/>
        <v>0</v>
      </c>
      <c r="P696" s="231">
        <f t="shared" si="3"/>
        <v>0</v>
      </c>
      <c r="Q696" s="232" t="str">
        <f ca="1">ROUNDUP(HLOOKUP(IF(CEILING(L696,0.5)&lt;1,1,CEILING(L696,0.5)),'배송비 조회'!A$32:AY$36,2,0),-2)</f>
        <v>#REF!</v>
      </c>
      <c r="R696" s="232">
        <v>0</v>
      </c>
      <c r="S696" s="231" t="str">
        <f t="shared" ca="1" si="250"/>
        <v>#REF!</v>
      </c>
      <c r="T696" s="231" t="str">
        <f t="shared" ca="1" si="200"/>
        <v>#REF!</v>
      </c>
      <c r="U696" s="233" t="str">
        <f t="shared" ca="1" si="142"/>
        <v>#REF!</v>
      </c>
      <c r="V696" s="233" t="str">
        <f t="shared" ca="1" si="7"/>
        <v>#REF!</v>
      </c>
      <c r="W696" s="234">
        <v>0</v>
      </c>
      <c r="X696" s="234" t="str">
        <f t="shared" ca="1" si="8"/>
        <v>#REF!</v>
      </c>
      <c r="Y696" s="234" t="str">
        <f t="shared" ca="1" si="9"/>
        <v>#REF!</v>
      </c>
      <c r="Z696" s="234" t="str">
        <f t="shared" ca="1" si="10"/>
        <v>#REF!</v>
      </c>
      <c r="AA696" s="234" t="str">
        <f t="shared" ca="1" si="11"/>
        <v>#REF!</v>
      </c>
      <c r="AB696" s="234" t="str">
        <f t="shared" ca="1" si="12"/>
        <v>#REF!</v>
      </c>
      <c r="AC696" s="234" t="str">
        <f t="shared" ca="1" si="13"/>
        <v>#REF!</v>
      </c>
      <c r="AD696" s="101" t="str">
        <f t="shared" ca="1" si="14"/>
        <v>#REF!</v>
      </c>
      <c r="AE696" s="101" t="str">
        <f t="shared" ca="1" si="15"/>
        <v>#REF!</v>
      </c>
      <c r="AF696" s="235" t="str">
        <f t="shared" ref="AF696:AG696" ca="1" si="773">AD696/U696</f>
        <v>#REF!</v>
      </c>
      <c r="AG696" s="235" t="str">
        <f t="shared" ca="1" si="773"/>
        <v>#REF!</v>
      </c>
      <c r="AH696" s="212"/>
      <c r="AI696" s="213"/>
      <c r="AJ696" s="4"/>
      <c r="AK696" s="4"/>
      <c r="AL696" s="4"/>
      <c r="AM696" s="4"/>
      <c r="AN696" s="4"/>
      <c r="AO696" s="4"/>
      <c r="AP696" s="4"/>
      <c r="AQ696" s="4"/>
      <c r="AR696" s="4"/>
      <c r="AS696" s="4"/>
      <c r="AT696" s="4"/>
      <c r="AU696" s="4"/>
    </row>
    <row r="697" spans="1:47" ht="13.2">
      <c r="A697" s="120"/>
      <c r="B697" s="113"/>
      <c r="C697" s="117"/>
      <c r="D697" s="117"/>
      <c r="E697" s="117"/>
      <c r="F697" s="123"/>
      <c r="G697" s="93" t="s">
        <v>145</v>
      </c>
      <c r="H697" s="125"/>
      <c r="I697" s="125"/>
      <c r="J697" s="82" t="str">
        <f t="shared" ca="1" si="147"/>
        <v>#REF!</v>
      </c>
      <c r="K697" s="82" t="str">
        <f t="shared" ca="1" si="256"/>
        <v>#REF!</v>
      </c>
      <c r="L697" s="82" t="str">
        <f t="shared" ca="1" si="199"/>
        <v>#REF!</v>
      </c>
      <c r="M697" s="125"/>
      <c r="N697" s="125"/>
      <c r="O697" s="230">
        <f t="shared" si="2"/>
        <v>0</v>
      </c>
      <c r="P697" s="231">
        <f t="shared" si="3"/>
        <v>0</v>
      </c>
      <c r="Q697" s="232" t="str">
        <f ca="1">ROUNDUP(HLOOKUP(IF(CEILING(L697,0.5)&lt;1,1,CEILING(L697,0.5)),'배송비 조회'!A$32:AY$36,2,0),-2)</f>
        <v>#REF!</v>
      </c>
      <c r="R697" s="232">
        <v>0</v>
      </c>
      <c r="S697" s="231" t="str">
        <f t="shared" ca="1" si="250"/>
        <v>#REF!</v>
      </c>
      <c r="T697" s="231" t="str">
        <f t="shared" ca="1" si="200"/>
        <v>#REF!</v>
      </c>
      <c r="U697" s="233" t="str">
        <f t="shared" ca="1" si="142"/>
        <v>#REF!</v>
      </c>
      <c r="V697" s="233" t="str">
        <f t="shared" ca="1" si="7"/>
        <v>#REF!</v>
      </c>
      <c r="W697" s="234">
        <v>0</v>
      </c>
      <c r="X697" s="234" t="str">
        <f t="shared" ca="1" si="8"/>
        <v>#REF!</v>
      </c>
      <c r="Y697" s="234" t="str">
        <f t="shared" ca="1" si="9"/>
        <v>#REF!</v>
      </c>
      <c r="Z697" s="234" t="str">
        <f t="shared" ca="1" si="10"/>
        <v>#REF!</v>
      </c>
      <c r="AA697" s="234" t="str">
        <f t="shared" ca="1" si="11"/>
        <v>#REF!</v>
      </c>
      <c r="AB697" s="234" t="str">
        <f t="shared" ca="1" si="12"/>
        <v>#REF!</v>
      </c>
      <c r="AC697" s="234" t="str">
        <f t="shared" ca="1" si="13"/>
        <v>#REF!</v>
      </c>
      <c r="AD697" s="101" t="str">
        <f t="shared" ca="1" si="14"/>
        <v>#REF!</v>
      </c>
      <c r="AE697" s="101" t="str">
        <f t="shared" ca="1" si="15"/>
        <v>#REF!</v>
      </c>
      <c r="AF697" s="235" t="str">
        <f t="shared" ref="AF697:AG697" ca="1" si="774">AD697/U697</f>
        <v>#REF!</v>
      </c>
      <c r="AG697" s="235" t="str">
        <f t="shared" ca="1" si="774"/>
        <v>#REF!</v>
      </c>
      <c r="AH697" s="212"/>
      <c r="AI697" s="213"/>
      <c r="AJ697" s="4"/>
      <c r="AK697" s="4"/>
      <c r="AL697" s="4"/>
      <c r="AM697" s="4"/>
      <c r="AN697" s="4"/>
      <c r="AO697" s="4"/>
      <c r="AP697" s="4"/>
      <c r="AQ697" s="4"/>
      <c r="AR697" s="4"/>
      <c r="AS697" s="4"/>
      <c r="AT697" s="4"/>
      <c r="AU697" s="4"/>
    </row>
    <row r="698" spans="1:47" ht="13.2">
      <c r="A698" s="120"/>
      <c r="B698" s="113"/>
      <c r="C698" s="117"/>
      <c r="D698" s="117"/>
      <c r="E698" s="117"/>
      <c r="F698" s="123"/>
      <c r="G698" s="93" t="s">
        <v>145</v>
      </c>
      <c r="H698" s="125"/>
      <c r="I698" s="125"/>
      <c r="J698" s="82" t="str">
        <f t="shared" ca="1" si="147"/>
        <v>#REF!</v>
      </c>
      <c r="K698" s="82" t="str">
        <f t="shared" ca="1" si="256"/>
        <v>#REF!</v>
      </c>
      <c r="L698" s="82" t="str">
        <f t="shared" ca="1" si="199"/>
        <v>#REF!</v>
      </c>
      <c r="M698" s="125"/>
      <c r="N698" s="125"/>
      <c r="O698" s="230">
        <f t="shared" si="2"/>
        <v>0</v>
      </c>
      <c r="P698" s="231">
        <f t="shared" si="3"/>
        <v>0</v>
      </c>
      <c r="Q698" s="232" t="str">
        <f ca="1">ROUNDUP(HLOOKUP(IF(CEILING(L698,0.5)&lt;1,1,CEILING(L698,0.5)),'배송비 조회'!A$32:AY$36,2,0),-2)</f>
        <v>#REF!</v>
      </c>
      <c r="R698" s="232">
        <v>0</v>
      </c>
      <c r="S698" s="231" t="str">
        <f t="shared" ca="1" si="250"/>
        <v>#REF!</v>
      </c>
      <c r="T698" s="231" t="str">
        <f t="shared" ca="1" si="200"/>
        <v>#REF!</v>
      </c>
      <c r="U698" s="233" t="str">
        <f t="shared" ca="1" si="142"/>
        <v>#REF!</v>
      </c>
      <c r="V698" s="233" t="str">
        <f t="shared" ca="1" si="7"/>
        <v>#REF!</v>
      </c>
      <c r="W698" s="234">
        <v>0</v>
      </c>
      <c r="X698" s="234" t="str">
        <f t="shared" ca="1" si="8"/>
        <v>#REF!</v>
      </c>
      <c r="Y698" s="234" t="str">
        <f t="shared" ca="1" si="9"/>
        <v>#REF!</v>
      </c>
      <c r="Z698" s="234" t="str">
        <f t="shared" ca="1" si="10"/>
        <v>#REF!</v>
      </c>
      <c r="AA698" s="234" t="str">
        <f t="shared" ca="1" si="11"/>
        <v>#REF!</v>
      </c>
      <c r="AB698" s="234" t="str">
        <f t="shared" ca="1" si="12"/>
        <v>#REF!</v>
      </c>
      <c r="AC698" s="234" t="str">
        <f t="shared" ca="1" si="13"/>
        <v>#REF!</v>
      </c>
      <c r="AD698" s="101" t="str">
        <f t="shared" ca="1" si="14"/>
        <v>#REF!</v>
      </c>
      <c r="AE698" s="101" t="str">
        <f t="shared" ca="1" si="15"/>
        <v>#REF!</v>
      </c>
      <c r="AF698" s="235" t="str">
        <f t="shared" ref="AF698:AG698" ca="1" si="775">AD698/U698</f>
        <v>#REF!</v>
      </c>
      <c r="AG698" s="235" t="str">
        <f t="shared" ca="1" si="775"/>
        <v>#REF!</v>
      </c>
      <c r="AH698" s="212"/>
      <c r="AI698" s="213"/>
      <c r="AJ698" s="4"/>
      <c r="AK698" s="4"/>
      <c r="AL698" s="4"/>
      <c r="AM698" s="4"/>
      <c r="AN698" s="4"/>
      <c r="AO698" s="4"/>
      <c r="AP698" s="4"/>
      <c r="AQ698" s="4"/>
      <c r="AR698" s="4"/>
      <c r="AS698" s="4"/>
      <c r="AT698" s="4"/>
      <c r="AU698" s="4"/>
    </row>
    <row r="699" spans="1:47" ht="13.2">
      <c r="A699" s="120"/>
      <c r="B699" s="113"/>
      <c r="C699" s="117"/>
      <c r="D699" s="117"/>
      <c r="E699" s="117"/>
      <c r="F699" s="123"/>
      <c r="G699" s="93" t="s">
        <v>145</v>
      </c>
      <c r="H699" s="125"/>
      <c r="I699" s="125"/>
      <c r="J699" s="82" t="str">
        <f t="shared" ca="1" si="147"/>
        <v>#REF!</v>
      </c>
      <c r="K699" s="82" t="str">
        <f t="shared" ca="1" si="256"/>
        <v>#REF!</v>
      </c>
      <c r="L699" s="82" t="str">
        <f t="shared" ca="1" si="199"/>
        <v>#REF!</v>
      </c>
      <c r="M699" s="125"/>
      <c r="N699" s="125"/>
      <c r="O699" s="230">
        <f t="shared" si="2"/>
        <v>0</v>
      </c>
      <c r="P699" s="231">
        <f t="shared" si="3"/>
        <v>0</v>
      </c>
      <c r="Q699" s="232" t="str">
        <f ca="1">ROUNDUP(HLOOKUP(IF(CEILING(L699,0.5)&lt;1,1,CEILING(L699,0.5)),'배송비 조회'!A$32:AY$36,2,0),-2)</f>
        <v>#REF!</v>
      </c>
      <c r="R699" s="232">
        <v>0</v>
      </c>
      <c r="S699" s="231" t="str">
        <f t="shared" ca="1" si="250"/>
        <v>#REF!</v>
      </c>
      <c r="T699" s="231" t="str">
        <f t="shared" ca="1" si="200"/>
        <v>#REF!</v>
      </c>
      <c r="U699" s="233" t="str">
        <f t="shared" ca="1" si="142"/>
        <v>#REF!</v>
      </c>
      <c r="V699" s="233" t="str">
        <f t="shared" ca="1" si="7"/>
        <v>#REF!</v>
      </c>
      <c r="W699" s="234">
        <v>0</v>
      </c>
      <c r="X699" s="234" t="str">
        <f t="shared" ca="1" si="8"/>
        <v>#REF!</v>
      </c>
      <c r="Y699" s="234" t="str">
        <f t="shared" ca="1" si="9"/>
        <v>#REF!</v>
      </c>
      <c r="Z699" s="234" t="str">
        <f t="shared" ca="1" si="10"/>
        <v>#REF!</v>
      </c>
      <c r="AA699" s="234" t="str">
        <f t="shared" ca="1" si="11"/>
        <v>#REF!</v>
      </c>
      <c r="AB699" s="234" t="str">
        <f t="shared" ca="1" si="12"/>
        <v>#REF!</v>
      </c>
      <c r="AC699" s="234" t="str">
        <f t="shared" ca="1" si="13"/>
        <v>#REF!</v>
      </c>
      <c r="AD699" s="101" t="str">
        <f t="shared" ca="1" si="14"/>
        <v>#REF!</v>
      </c>
      <c r="AE699" s="101" t="str">
        <f t="shared" ca="1" si="15"/>
        <v>#REF!</v>
      </c>
      <c r="AF699" s="235" t="str">
        <f t="shared" ref="AF699:AG699" ca="1" si="776">AD699/U699</f>
        <v>#REF!</v>
      </c>
      <c r="AG699" s="235" t="str">
        <f t="shared" ca="1" si="776"/>
        <v>#REF!</v>
      </c>
      <c r="AH699" s="212"/>
      <c r="AI699" s="213"/>
      <c r="AJ699" s="4"/>
      <c r="AK699" s="4"/>
      <c r="AL699" s="4"/>
      <c r="AM699" s="4"/>
      <c r="AN699" s="4"/>
      <c r="AO699" s="4"/>
      <c r="AP699" s="4"/>
      <c r="AQ699" s="4"/>
      <c r="AR699" s="4"/>
      <c r="AS699" s="4"/>
      <c r="AT699" s="4"/>
      <c r="AU699" s="4"/>
    </row>
    <row r="700" spans="1:47" ht="13.2">
      <c r="A700" s="120"/>
      <c r="B700" s="113"/>
      <c r="C700" s="117"/>
      <c r="D700" s="117"/>
      <c r="E700" s="117"/>
      <c r="F700" s="123"/>
      <c r="G700" s="93" t="s">
        <v>145</v>
      </c>
      <c r="H700" s="125"/>
      <c r="I700" s="125"/>
      <c r="J700" s="82" t="str">
        <f t="shared" ca="1" si="147"/>
        <v>#REF!</v>
      </c>
      <c r="K700" s="82" t="str">
        <f t="shared" ca="1" si="256"/>
        <v>#REF!</v>
      </c>
      <c r="L700" s="82" t="str">
        <f t="shared" ca="1" si="199"/>
        <v>#REF!</v>
      </c>
      <c r="M700" s="125"/>
      <c r="N700" s="125"/>
      <c r="O700" s="230">
        <f t="shared" si="2"/>
        <v>0</v>
      </c>
      <c r="P700" s="231">
        <f t="shared" si="3"/>
        <v>0</v>
      </c>
      <c r="Q700" s="232" t="str">
        <f ca="1">ROUNDUP(HLOOKUP(IF(CEILING(L700,0.5)&lt;1,1,CEILING(L700,0.5)),'배송비 조회'!A$32:AY$36,2,0),-2)</f>
        <v>#REF!</v>
      </c>
      <c r="R700" s="232">
        <v>0</v>
      </c>
      <c r="S700" s="231" t="str">
        <f t="shared" ca="1" si="250"/>
        <v>#REF!</v>
      </c>
      <c r="T700" s="231" t="str">
        <f t="shared" ca="1" si="200"/>
        <v>#REF!</v>
      </c>
      <c r="U700" s="233" t="str">
        <f t="shared" ca="1" si="142"/>
        <v>#REF!</v>
      </c>
      <c r="V700" s="233" t="str">
        <f t="shared" ca="1" si="7"/>
        <v>#REF!</v>
      </c>
      <c r="W700" s="234">
        <v>0</v>
      </c>
      <c r="X700" s="234" t="str">
        <f t="shared" ca="1" si="8"/>
        <v>#REF!</v>
      </c>
      <c r="Y700" s="234" t="str">
        <f t="shared" ca="1" si="9"/>
        <v>#REF!</v>
      </c>
      <c r="Z700" s="234" t="str">
        <f t="shared" ca="1" si="10"/>
        <v>#REF!</v>
      </c>
      <c r="AA700" s="234" t="str">
        <f t="shared" ca="1" si="11"/>
        <v>#REF!</v>
      </c>
      <c r="AB700" s="234" t="str">
        <f t="shared" ca="1" si="12"/>
        <v>#REF!</v>
      </c>
      <c r="AC700" s="234" t="str">
        <f t="shared" ca="1" si="13"/>
        <v>#REF!</v>
      </c>
      <c r="AD700" s="101" t="str">
        <f t="shared" ca="1" si="14"/>
        <v>#REF!</v>
      </c>
      <c r="AE700" s="101" t="str">
        <f t="shared" ca="1" si="15"/>
        <v>#REF!</v>
      </c>
      <c r="AF700" s="235" t="str">
        <f t="shared" ref="AF700:AG700" ca="1" si="777">AD700/U700</f>
        <v>#REF!</v>
      </c>
      <c r="AG700" s="235" t="str">
        <f t="shared" ca="1" si="777"/>
        <v>#REF!</v>
      </c>
      <c r="AH700" s="212"/>
      <c r="AI700" s="213"/>
      <c r="AJ700" s="4"/>
      <c r="AK700" s="4"/>
      <c r="AL700" s="4"/>
      <c r="AM700" s="4"/>
      <c r="AN700" s="4"/>
      <c r="AO700" s="4"/>
      <c r="AP700" s="4"/>
      <c r="AQ700" s="4"/>
      <c r="AR700" s="4"/>
      <c r="AS700" s="4"/>
      <c r="AT700" s="4"/>
      <c r="AU700" s="4"/>
    </row>
    <row r="701" spans="1:47" ht="13.2">
      <c r="A701" s="120"/>
      <c r="B701" s="113"/>
      <c r="C701" s="117"/>
      <c r="D701" s="117"/>
      <c r="E701" s="117"/>
      <c r="F701" s="123"/>
      <c r="G701" s="93" t="s">
        <v>145</v>
      </c>
      <c r="H701" s="125"/>
      <c r="I701" s="125"/>
      <c r="J701" s="82" t="str">
        <f t="shared" ca="1" si="147"/>
        <v>#REF!</v>
      </c>
      <c r="K701" s="82" t="str">
        <f t="shared" ca="1" si="256"/>
        <v>#REF!</v>
      </c>
      <c r="L701" s="82" t="str">
        <f t="shared" ca="1" si="199"/>
        <v>#REF!</v>
      </c>
      <c r="M701" s="125"/>
      <c r="N701" s="125"/>
      <c r="O701" s="230">
        <f t="shared" si="2"/>
        <v>0</v>
      </c>
      <c r="P701" s="231">
        <f t="shared" si="3"/>
        <v>0</v>
      </c>
      <c r="Q701" s="232" t="str">
        <f ca="1">ROUNDUP(HLOOKUP(IF(CEILING(L701,0.5)&lt;1,1,CEILING(L701,0.5)),'배송비 조회'!A$32:AY$36,2,0),-2)</f>
        <v>#REF!</v>
      </c>
      <c r="R701" s="232">
        <v>0</v>
      </c>
      <c r="S701" s="231" t="str">
        <f t="shared" ca="1" si="250"/>
        <v>#REF!</v>
      </c>
      <c r="T701" s="231" t="str">
        <f t="shared" ca="1" si="200"/>
        <v>#REF!</v>
      </c>
      <c r="U701" s="233" t="str">
        <f t="shared" ca="1" si="142"/>
        <v>#REF!</v>
      </c>
      <c r="V701" s="233" t="str">
        <f t="shared" ca="1" si="7"/>
        <v>#REF!</v>
      </c>
      <c r="W701" s="234">
        <v>0</v>
      </c>
      <c r="X701" s="234" t="str">
        <f t="shared" ca="1" si="8"/>
        <v>#REF!</v>
      </c>
      <c r="Y701" s="234" t="str">
        <f t="shared" ca="1" si="9"/>
        <v>#REF!</v>
      </c>
      <c r="Z701" s="234" t="str">
        <f t="shared" ca="1" si="10"/>
        <v>#REF!</v>
      </c>
      <c r="AA701" s="234" t="str">
        <f t="shared" ca="1" si="11"/>
        <v>#REF!</v>
      </c>
      <c r="AB701" s="234" t="str">
        <f t="shared" ca="1" si="12"/>
        <v>#REF!</v>
      </c>
      <c r="AC701" s="234" t="str">
        <f t="shared" ca="1" si="13"/>
        <v>#REF!</v>
      </c>
      <c r="AD701" s="101" t="str">
        <f t="shared" ca="1" si="14"/>
        <v>#REF!</v>
      </c>
      <c r="AE701" s="101" t="str">
        <f t="shared" ca="1" si="15"/>
        <v>#REF!</v>
      </c>
      <c r="AF701" s="235" t="str">
        <f t="shared" ref="AF701:AG701" ca="1" si="778">AD701/U701</f>
        <v>#REF!</v>
      </c>
      <c r="AG701" s="235" t="str">
        <f t="shared" ca="1" si="778"/>
        <v>#REF!</v>
      </c>
      <c r="AH701" s="212"/>
      <c r="AI701" s="213"/>
      <c r="AJ701" s="4"/>
      <c r="AK701" s="4"/>
      <c r="AL701" s="4"/>
      <c r="AM701" s="4"/>
      <c r="AN701" s="4"/>
      <c r="AO701" s="4"/>
      <c r="AP701" s="4"/>
      <c r="AQ701" s="4"/>
      <c r="AR701" s="4"/>
      <c r="AS701" s="4"/>
      <c r="AT701" s="4"/>
      <c r="AU701" s="4"/>
    </row>
    <row r="702" spans="1:47" ht="13.2">
      <c r="A702" s="120"/>
      <c r="B702" s="113"/>
      <c r="C702" s="117"/>
      <c r="D702" s="117"/>
      <c r="E702" s="117"/>
      <c r="F702" s="123"/>
      <c r="G702" s="93" t="s">
        <v>145</v>
      </c>
      <c r="H702" s="125"/>
      <c r="I702" s="125"/>
      <c r="J702" s="82" t="str">
        <f t="shared" ca="1" si="147"/>
        <v>#REF!</v>
      </c>
      <c r="K702" s="82" t="str">
        <f t="shared" ca="1" si="256"/>
        <v>#REF!</v>
      </c>
      <c r="L702" s="82" t="str">
        <f t="shared" ca="1" si="199"/>
        <v>#REF!</v>
      </c>
      <c r="M702" s="125"/>
      <c r="N702" s="125"/>
      <c r="O702" s="230">
        <f t="shared" si="2"/>
        <v>0</v>
      </c>
      <c r="P702" s="231">
        <f t="shared" si="3"/>
        <v>0</v>
      </c>
      <c r="Q702" s="232" t="str">
        <f ca="1">ROUNDUP(HLOOKUP(IF(CEILING(L702,0.5)&lt;1,1,CEILING(L702,0.5)),'배송비 조회'!A$32:AY$36,2,0),-2)</f>
        <v>#REF!</v>
      </c>
      <c r="R702" s="232">
        <v>0</v>
      </c>
      <c r="S702" s="231" t="str">
        <f t="shared" ca="1" si="250"/>
        <v>#REF!</v>
      </c>
      <c r="T702" s="231" t="str">
        <f t="shared" ca="1" si="200"/>
        <v>#REF!</v>
      </c>
      <c r="U702" s="233" t="str">
        <f t="shared" ca="1" si="142"/>
        <v>#REF!</v>
      </c>
      <c r="V702" s="233" t="str">
        <f t="shared" ca="1" si="7"/>
        <v>#REF!</v>
      </c>
      <c r="W702" s="234">
        <v>0</v>
      </c>
      <c r="X702" s="234" t="str">
        <f t="shared" ca="1" si="8"/>
        <v>#REF!</v>
      </c>
      <c r="Y702" s="234" t="str">
        <f t="shared" ca="1" si="9"/>
        <v>#REF!</v>
      </c>
      <c r="Z702" s="234" t="str">
        <f t="shared" ca="1" si="10"/>
        <v>#REF!</v>
      </c>
      <c r="AA702" s="234" t="str">
        <f t="shared" ca="1" si="11"/>
        <v>#REF!</v>
      </c>
      <c r="AB702" s="234" t="str">
        <f t="shared" ca="1" si="12"/>
        <v>#REF!</v>
      </c>
      <c r="AC702" s="234" t="str">
        <f t="shared" ca="1" si="13"/>
        <v>#REF!</v>
      </c>
      <c r="AD702" s="101" t="str">
        <f t="shared" ca="1" si="14"/>
        <v>#REF!</v>
      </c>
      <c r="AE702" s="101" t="str">
        <f t="shared" ca="1" si="15"/>
        <v>#REF!</v>
      </c>
      <c r="AF702" s="235" t="str">
        <f t="shared" ref="AF702:AG702" ca="1" si="779">AD702/U702</f>
        <v>#REF!</v>
      </c>
      <c r="AG702" s="235" t="str">
        <f t="shared" ca="1" si="779"/>
        <v>#REF!</v>
      </c>
      <c r="AH702" s="212"/>
      <c r="AI702" s="213"/>
      <c r="AJ702" s="4"/>
      <c r="AK702" s="4"/>
      <c r="AL702" s="4"/>
      <c r="AM702" s="4"/>
      <c r="AN702" s="4"/>
      <c r="AO702" s="4"/>
      <c r="AP702" s="4"/>
      <c r="AQ702" s="4"/>
      <c r="AR702" s="4"/>
      <c r="AS702" s="4"/>
      <c r="AT702" s="4"/>
      <c r="AU702" s="4"/>
    </row>
    <row r="703" spans="1:47" ht="13.2">
      <c r="A703" s="120"/>
      <c r="B703" s="113"/>
      <c r="C703" s="117"/>
      <c r="D703" s="117"/>
      <c r="E703" s="117"/>
      <c r="F703" s="123"/>
      <c r="G703" s="93" t="s">
        <v>145</v>
      </c>
      <c r="H703" s="125"/>
      <c r="I703" s="125"/>
      <c r="J703" s="82" t="str">
        <f t="shared" ca="1" si="147"/>
        <v>#REF!</v>
      </c>
      <c r="K703" s="82" t="str">
        <f t="shared" ca="1" si="256"/>
        <v>#REF!</v>
      </c>
      <c r="L703" s="82" t="str">
        <f t="shared" ca="1" si="199"/>
        <v>#REF!</v>
      </c>
      <c r="M703" s="125"/>
      <c r="N703" s="125"/>
      <c r="O703" s="230">
        <f t="shared" si="2"/>
        <v>0</v>
      </c>
      <c r="P703" s="231">
        <f t="shared" si="3"/>
        <v>0</v>
      </c>
      <c r="Q703" s="232" t="str">
        <f ca="1">ROUNDUP(HLOOKUP(IF(CEILING(L703,0.5)&lt;1,1,CEILING(L703,0.5)),'배송비 조회'!A$32:AY$36,2,0),-2)</f>
        <v>#REF!</v>
      </c>
      <c r="R703" s="232">
        <v>0</v>
      </c>
      <c r="S703" s="231" t="str">
        <f t="shared" ca="1" si="250"/>
        <v>#REF!</v>
      </c>
      <c r="T703" s="231" t="str">
        <f t="shared" ca="1" si="200"/>
        <v>#REF!</v>
      </c>
      <c r="U703" s="233" t="str">
        <f t="shared" ca="1" si="142"/>
        <v>#REF!</v>
      </c>
      <c r="V703" s="233" t="str">
        <f t="shared" ca="1" si="7"/>
        <v>#REF!</v>
      </c>
      <c r="W703" s="234">
        <v>0</v>
      </c>
      <c r="X703" s="234" t="str">
        <f t="shared" ca="1" si="8"/>
        <v>#REF!</v>
      </c>
      <c r="Y703" s="234" t="str">
        <f t="shared" ca="1" si="9"/>
        <v>#REF!</v>
      </c>
      <c r="Z703" s="234" t="str">
        <f t="shared" ca="1" si="10"/>
        <v>#REF!</v>
      </c>
      <c r="AA703" s="234" t="str">
        <f t="shared" ca="1" si="11"/>
        <v>#REF!</v>
      </c>
      <c r="AB703" s="234" t="str">
        <f t="shared" ca="1" si="12"/>
        <v>#REF!</v>
      </c>
      <c r="AC703" s="234" t="str">
        <f t="shared" ca="1" si="13"/>
        <v>#REF!</v>
      </c>
      <c r="AD703" s="101" t="str">
        <f t="shared" ca="1" si="14"/>
        <v>#REF!</v>
      </c>
      <c r="AE703" s="101" t="str">
        <f t="shared" ca="1" si="15"/>
        <v>#REF!</v>
      </c>
      <c r="AF703" s="235" t="str">
        <f t="shared" ref="AF703:AG703" ca="1" si="780">AD703/U703</f>
        <v>#REF!</v>
      </c>
      <c r="AG703" s="235" t="str">
        <f t="shared" ca="1" si="780"/>
        <v>#REF!</v>
      </c>
      <c r="AH703" s="212"/>
      <c r="AI703" s="213"/>
      <c r="AJ703" s="4"/>
      <c r="AK703" s="4"/>
      <c r="AL703" s="4"/>
      <c r="AM703" s="4"/>
      <c r="AN703" s="4"/>
      <c r="AO703" s="4"/>
      <c r="AP703" s="4"/>
      <c r="AQ703" s="4"/>
      <c r="AR703" s="4"/>
      <c r="AS703" s="4"/>
      <c r="AT703" s="4"/>
      <c r="AU703" s="4"/>
    </row>
    <row r="704" spans="1:47" ht="13.2">
      <c r="A704" s="120"/>
      <c r="B704" s="113"/>
      <c r="C704" s="117"/>
      <c r="D704" s="117"/>
      <c r="E704" s="117"/>
      <c r="F704" s="123"/>
      <c r="G704" s="93" t="s">
        <v>145</v>
      </c>
      <c r="H704" s="125"/>
      <c r="I704" s="125"/>
      <c r="J704" s="82" t="str">
        <f t="shared" ca="1" si="147"/>
        <v>#REF!</v>
      </c>
      <c r="K704" s="82" t="str">
        <f t="shared" ca="1" si="256"/>
        <v>#REF!</v>
      </c>
      <c r="L704" s="82" t="str">
        <f t="shared" ca="1" si="199"/>
        <v>#REF!</v>
      </c>
      <c r="M704" s="125"/>
      <c r="N704" s="125"/>
      <c r="O704" s="230">
        <f t="shared" si="2"/>
        <v>0</v>
      </c>
      <c r="P704" s="231">
        <f t="shared" si="3"/>
        <v>0</v>
      </c>
      <c r="Q704" s="232" t="str">
        <f ca="1">ROUNDUP(HLOOKUP(IF(CEILING(L704,0.5)&lt;1,1,CEILING(L704,0.5)),'배송비 조회'!A$32:AY$36,2,0),-2)</f>
        <v>#REF!</v>
      </c>
      <c r="R704" s="232">
        <v>0</v>
      </c>
      <c r="S704" s="231" t="str">
        <f t="shared" ca="1" si="250"/>
        <v>#REF!</v>
      </c>
      <c r="T704" s="231" t="str">
        <f t="shared" ca="1" si="200"/>
        <v>#REF!</v>
      </c>
      <c r="U704" s="233" t="str">
        <f t="shared" ca="1" si="142"/>
        <v>#REF!</v>
      </c>
      <c r="V704" s="233" t="str">
        <f t="shared" ca="1" si="7"/>
        <v>#REF!</v>
      </c>
      <c r="W704" s="234">
        <v>0</v>
      </c>
      <c r="X704" s="234" t="str">
        <f t="shared" ca="1" si="8"/>
        <v>#REF!</v>
      </c>
      <c r="Y704" s="234" t="str">
        <f t="shared" ca="1" si="9"/>
        <v>#REF!</v>
      </c>
      <c r="Z704" s="234" t="str">
        <f t="shared" ca="1" si="10"/>
        <v>#REF!</v>
      </c>
      <c r="AA704" s="234" t="str">
        <f t="shared" ca="1" si="11"/>
        <v>#REF!</v>
      </c>
      <c r="AB704" s="234" t="str">
        <f t="shared" ca="1" si="12"/>
        <v>#REF!</v>
      </c>
      <c r="AC704" s="234" t="str">
        <f t="shared" ca="1" si="13"/>
        <v>#REF!</v>
      </c>
      <c r="AD704" s="101" t="str">
        <f t="shared" ca="1" si="14"/>
        <v>#REF!</v>
      </c>
      <c r="AE704" s="101" t="str">
        <f t="shared" ca="1" si="15"/>
        <v>#REF!</v>
      </c>
      <c r="AF704" s="235" t="str">
        <f t="shared" ref="AF704:AG704" ca="1" si="781">AD704/U704</f>
        <v>#REF!</v>
      </c>
      <c r="AG704" s="235" t="str">
        <f t="shared" ca="1" si="781"/>
        <v>#REF!</v>
      </c>
      <c r="AH704" s="212"/>
      <c r="AI704" s="213"/>
      <c r="AJ704" s="4"/>
      <c r="AK704" s="4"/>
      <c r="AL704" s="4"/>
      <c r="AM704" s="4"/>
      <c r="AN704" s="4"/>
      <c r="AO704" s="4"/>
      <c r="AP704" s="4"/>
      <c r="AQ704" s="4"/>
      <c r="AR704" s="4"/>
      <c r="AS704" s="4"/>
      <c r="AT704" s="4"/>
      <c r="AU704" s="4"/>
    </row>
    <row r="705" spans="1:47" ht="13.2">
      <c r="A705" s="120"/>
      <c r="B705" s="113"/>
      <c r="C705" s="117"/>
      <c r="D705" s="117"/>
      <c r="E705" s="117"/>
      <c r="F705" s="123"/>
      <c r="G705" s="93" t="s">
        <v>145</v>
      </c>
      <c r="H705" s="125"/>
      <c r="I705" s="125"/>
      <c r="J705" s="82" t="str">
        <f t="shared" ca="1" si="147"/>
        <v>#REF!</v>
      </c>
      <c r="K705" s="82" t="str">
        <f t="shared" ca="1" si="256"/>
        <v>#REF!</v>
      </c>
      <c r="L705" s="82" t="str">
        <f t="shared" ca="1" si="199"/>
        <v>#REF!</v>
      </c>
      <c r="M705" s="125"/>
      <c r="N705" s="125"/>
      <c r="O705" s="230">
        <f t="shared" si="2"/>
        <v>0</v>
      </c>
      <c r="P705" s="231">
        <f t="shared" si="3"/>
        <v>0</v>
      </c>
      <c r="Q705" s="232" t="str">
        <f ca="1">ROUNDUP(HLOOKUP(IF(CEILING(L705,0.5)&lt;1,1,CEILING(L705,0.5)),'배송비 조회'!A$32:AY$36,2,0),-2)</f>
        <v>#REF!</v>
      </c>
      <c r="R705" s="232">
        <v>0</v>
      </c>
      <c r="S705" s="231" t="str">
        <f t="shared" ca="1" si="250"/>
        <v>#REF!</v>
      </c>
      <c r="T705" s="231" t="str">
        <f t="shared" ca="1" si="200"/>
        <v>#REF!</v>
      </c>
      <c r="U705" s="233" t="str">
        <f t="shared" ca="1" si="142"/>
        <v>#REF!</v>
      </c>
      <c r="V705" s="233" t="str">
        <f t="shared" ca="1" si="7"/>
        <v>#REF!</v>
      </c>
      <c r="W705" s="234">
        <v>0</v>
      </c>
      <c r="X705" s="234" t="str">
        <f t="shared" ca="1" si="8"/>
        <v>#REF!</v>
      </c>
      <c r="Y705" s="234" t="str">
        <f t="shared" ca="1" si="9"/>
        <v>#REF!</v>
      </c>
      <c r="Z705" s="234" t="str">
        <f t="shared" ca="1" si="10"/>
        <v>#REF!</v>
      </c>
      <c r="AA705" s="234" t="str">
        <f t="shared" ca="1" si="11"/>
        <v>#REF!</v>
      </c>
      <c r="AB705" s="234" t="str">
        <f t="shared" ca="1" si="12"/>
        <v>#REF!</v>
      </c>
      <c r="AC705" s="234" t="str">
        <f t="shared" ca="1" si="13"/>
        <v>#REF!</v>
      </c>
      <c r="AD705" s="101" t="str">
        <f t="shared" ca="1" si="14"/>
        <v>#REF!</v>
      </c>
      <c r="AE705" s="101" t="str">
        <f t="shared" ca="1" si="15"/>
        <v>#REF!</v>
      </c>
      <c r="AF705" s="235" t="str">
        <f t="shared" ref="AF705:AG705" ca="1" si="782">AD705/U705</f>
        <v>#REF!</v>
      </c>
      <c r="AG705" s="235" t="str">
        <f t="shared" ca="1" si="782"/>
        <v>#REF!</v>
      </c>
      <c r="AH705" s="212"/>
      <c r="AI705" s="213"/>
      <c r="AJ705" s="4"/>
      <c r="AK705" s="4"/>
      <c r="AL705" s="4"/>
      <c r="AM705" s="4"/>
      <c r="AN705" s="4"/>
      <c r="AO705" s="4"/>
      <c r="AP705" s="4"/>
      <c r="AQ705" s="4"/>
      <c r="AR705" s="4"/>
      <c r="AS705" s="4"/>
      <c r="AT705" s="4"/>
      <c r="AU705" s="4"/>
    </row>
    <row r="706" spans="1:47" ht="13.2">
      <c r="A706" s="120"/>
      <c r="B706" s="113"/>
      <c r="C706" s="117"/>
      <c r="D706" s="117"/>
      <c r="E706" s="117"/>
      <c r="F706" s="123"/>
      <c r="G706" s="93" t="s">
        <v>145</v>
      </c>
      <c r="H706" s="125"/>
      <c r="I706" s="125"/>
      <c r="J706" s="82" t="str">
        <f t="shared" ca="1" si="147"/>
        <v>#REF!</v>
      </c>
      <c r="K706" s="82" t="str">
        <f t="shared" ca="1" si="256"/>
        <v>#REF!</v>
      </c>
      <c r="L706" s="82" t="str">
        <f t="shared" ca="1" si="199"/>
        <v>#REF!</v>
      </c>
      <c r="M706" s="125"/>
      <c r="N706" s="125"/>
      <c r="O706" s="230">
        <f t="shared" si="2"/>
        <v>0</v>
      </c>
      <c r="P706" s="231">
        <f t="shared" si="3"/>
        <v>0</v>
      </c>
      <c r="Q706" s="232" t="str">
        <f ca="1">ROUNDUP(HLOOKUP(IF(CEILING(L706,0.5)&lt;1,1,CEILING(L706,0.5)),'배송비 조회'!A$32:AY$36,2,0),-2)</f>
        <v>#REF!</v>
      </c>
      <c r="R706" s="232">
        <v>0</v>
      </c>
      <c r="S706" s="231" t="str">
        <f t="shared" ca="1" si="250"/>
        <v>#REF!</v>
      </c>
      <c r="T706" s="231" t="str">
        <f t="shared" ca="1" si="200"/>
        <v>#REF!</v>
      </c>
      <c r="U706" s="233" t="str">
        <f t="shared" ca="1" si="142"/>
        <v>#REF!</v>
      </c>
      <c r="V706" s="233" t="str">
        <f t="shared" ca="1" si="7"/>
        <v>#REF!</v>
      </c>
      <c r="W706" s="234">
        <v>0</v>
      </c>
      <c r="X706" s="234" t="str">
        <f t="shared" ca="1" si="8"/>
        <v>#REF!</v>
      </c>
      <c r="Y706" s="234" t="str">
        <f t="shared" ca="1" si="9"/>
        <v>#REF!</v>
      </c>
      <c r="Z706" s="234" t="str">
        <f t="shared" ca="1" si="10"/>
        <v>#REF!</v>
      </c>
      <c r="AA706" s="234" t="str">
        <f t="shared" ca="1" si="11"/>
        <v>#REF!</v>
      </c>
      <c r="AB706" s="234" t="str">
        <f t="shared" ca="1" si="12"/>
        <v>#REF!</v>
      </c>
      <c r="AC706" s="234" t="str">
        <f t="shared" ca="1" si="13"/>
        <v>#REF!</v>
      </c>
      <c r="AD706" s="101" t="str">
        <f t="shared" ca="1" si="14"/>
        <v>#REF!</v>
      </c>
      <c r="AE706" s="101" t="str">
        <f t="shared" ca="1" si="15"/>
        <v>#REF!</v>
      </c>
      <c r="AF706" s="235" t="str">
        <f t="shared" ref="AF706:AG706" ca="1" si="783">AD706/U706</f>
        <v>#REF!</v>
      </c>
      <c r="AG706" s="235" t="str">
        <f t="shared" ca="1" si="783"/>
        <v>#REF!</v>
      </c>
      <c r="AH706" s="212"/>
      <c r="AI706" s="213"/>
      <c r="AJ706" s="4"/>
      <c r="AK706" s="4"/>
      <c r="AL706" s="4"/>
      <c r="AM706" s="4"/>
      <c r="AN706" s="4"/>
      <c r="AO706" s="4"/>
      <c r="AP706" s="4"/>
      <c r="AQ706" s="4"/>
      <c r="AR706" s="4"/>
      <c r="AS706" s="4"/>
      <c r="AT706" s="4"/>
      <c r="AU706" s="4"/>
    </row>
    <row r="707" spans="1:47" ht="13.2">
      <c r="A707" s="120"/>
      <c r="B707" s="113"/>
      <c r="C707" s="117"/>
      <c r="D707" s="117"/>
      <c r="E707" s="117"/>
      <c r="F707" s="123"/>
      <c r="G707" s="93" t="s">
        <v>145</v>
      </c>
      <c r="H707" s="125"/>
      <c r="I707" s="125"/>
      <c r="J707" s="82" t="str">
        <f t="shared" ca="1" si="147"/>
        <v>#REF!</v>
      </c>
      <c r="K707" s="82" t="str">
        <f t="shared" ca="1" si="256"/>
        <v>#REF!</v>
      </c>
      <c r="L707" s="82" t="str">
        <f t="shared" ca="1" si="199"/>
        <v>#REF!</v>
      </c>
      <c r="M707" s="125"/>
      <c r="N707" s="125"/>
      <c r="O707" s="230">
        <f t="shared" si="2"/>
        <v>0</v>
      </c>
      <c r="P707" s="231">
        <f t="shared" si="3"/>
        <v>0</v>
      </c>
      <c r="Q707" s="232" t="str">
        <f ca="1">ROUNDUP(HLOOKUP(IF(CEILING(L707,0.5)&lt;1,1,CEILING(L707,0.5)),'배송비 조회'!A$32:AY$36,2,0),-2)</f>
        <v>#REF!</v>
      </c>
      <c r="R707" s="232">
        <v>0</v>
      </c>
      <c r="S707" s="231" t="str">
        <f t="shared" ca="1" si="250"/>
        <v>#REF!</v>
      </c>
      <c r="T707" s="231" t="str">
        <f t="shared" ca="1" si="200"/>
        <v>#REF!</v>
      </c>
      <c r="U707" s="233" t="str">
        <f t="shared" ca="1" si="142"/>
        <v>#REF!</v>
      </c>
      <c r="V707" s="233" t="str">
        <f t="shared" ca="1" si="7"/>
        <v>#REF!</v>
      </c>
      <c r="W707" s="234">
        <v>0</v>
      </c>
      <c r="X707" s="234" t="str">
        <f t="shared" ca="1" si="8"/>
        <v>#REF!</v>
      </c>
      <c r="Y707" s="234" t="str">
        <f t="shared" ca="1" si="9"/>
        <v>#REF!</v>
      </c>
      <c r="Z707" s="234" t="str">
        <f t="shared" ca="1" si="10"/>
        <v>#REF!</v>
      </c>
      <c r="AA707" s="234" t="str">
        <f t="shared" ca="1" si="11"/>
        <v>#REF!</v>
      </c>
      <c r="AB707" s="234" t="str">
        <f t="shared" ca="1" si="12"/>
        <v>#REF!</v>
      </c>
      <c r="AC707" s="234" t="str">
        <f t="shared" ca="1" si="13"/>
        <v>#REF!</v>
      </c>
      <c r="AD707" s="101" t="str">
        <f t="shared" ca="1" si="14"/>
        <v>#REF!</v>
      </c>
      <c r="AE707" s="101" t="str">
        <f t="shared" ca="1" si="15"/>
        <v>#REF!</v>
      </c>
      <c r="AF707" s="235" t="str">
        <f t="shared" ref="AF707:AG707" ca="1" si="784">AD707/U707</f>
        <v>#REF!</v>
      </c>
      <c r="AG707" s="235" t="str">
        <f t="shared" ca="1" si="784"/>
        <v>#REF!</v>
      </c>
      <c r="AH707" s="212"/>
      <c r="AI707" s="213"/>
      <c r="AJ707" s="4"/>
      <c r="AK707" s="4"/>
      <c r="AL707" s="4"/>
      <c r="AM707" s="4"/>
      <c r="AN707" s="4"/>
      <c r="AO707" s="4"/>
      <c r="AP707" s="4"/>
      <c r="AQ707" s="4"/>
      <c r="AR707" s="4"/>
      <c r="AS707" s="4"/>
      <c r="AT707" s="4"/>
      <c r="AU707" s="4"/>
    </row>
    <row r="708" spans="1:47" ht="13.2">
      <c r="A708" s="120"/>
      <c r="B708" s="113"/>
      <c r="C708" s="117"/>
      <c r="D708" s="117"/>
      <c r="E708" s="117"/>
      <c r="F708" s="123"/>
      <c r="G708" s="93" t="s">
        <v>145</v>
      </c>
      <c r="H708" s="125"/>
      <c r="I708" s="125"/>
      <c r="J708" s="82" t="str">
        <f t="shared" ca="1" si="147"/>
        <v>#REF!</v>
      </c>
      <c r="K708" s="82" t="str">
        <f t="shared" ca="1" si="256"/>
        <v>#REF!</v>
      </c>
      <c r="L708" s="82" t="str">
        <f t="shared" ca="1" si="199"/>
        <v>#REF!</v>
      </c>
      <c r="M708" s="125"/>
      <c r="N708" s="125"/>
      <c r="O708" s="230">
        <f t="shared" si="2"/>
        <v>0</v>
      </c>
      <c r="P708" s="231">
        <f t="shared" si="3"/>
        <v>0</v>
      </c>
      <c r="Q708" s="232" t="str">
        <f ca="1">ROUNDUP(HLOOKUP(IF(CEILING(L708,0.5)&lt;1,1,CEILING(L708,0.5)),'배송비 조회'!A$32:AY$36,2,0),-2)</f>
        <v>#REF!</v>
      </c>
      <c r="R708" s="232">
        <v>0</v>
      </c>
      <c r="S708" s="231" t="str">
        <f t="shared" ca="1" si="250"/>
        <v>#REF!</v>
      </c>
      <c r="T708" s="231" t="str">
        <f t="shared" ca="1" si="200"/>
        <v>#REF!</v>
      </c>
      <c r="U708" s="233" t="str">
        <f t="shared" ca="1" si="142"/>
        <v>#REF!</v>
      </c>
      <c r="V708" s="233" t="str">
        <f t="shared" ca="1" si="7"/>
        <v>#REF!</v>
      </c>
      <c r="W708" s="234">
        <v>0</v>
      </c>
      <c r="X708" s="234" t="str">
        <f t="shared" ca="1" si="8"/>
        <v>#REF!</v>
      </c>
      <c r="Y708" s="234" t="str">
        <f t="shared" ca="1" si="9"/>
        <v>#REF!</v>
      </c>
      <c r="Z708" s="234" t="str">
        <f t="shared" ca="1" si="10"/>
        <v>#REF!</v>
      </c>
      <c r="AA708" s="234" t="str">
        <f t="shared" ca="1" si="11"/>
        <v>#REF!</v>
      </c>
      <c r="AB708" s="234" t="str">
        <f t="shared" ca="1" si="12"/>
        <v>#REF!</v>
      </c>
      <c r="AC708" s="234" t="str">
        <f t="shared" ca="1" si="13"/>
        <v>#REF!</v>
      </c>
      <c r="AD708" s="101" t="str">
        <f t="shared" ca="1" si="14"/>
        <v>#REF!</v>
      </c>
      <c r="AE708" s="101" t="str">
        <f t="shared" ca="1" si="15"/>
        <v>#REF!</v>
      </c>
      <c r="AF708" s="235" t="str">
        <f t="shared" ref="AF708:AG708" ca="1" si="785">AD708/U708</f>
        <v>#REF!</v>
      </c>
      <c r="AG708" s="235" t="str">
        <f t="shared" ca="1" si="785"/>
        <v>#REF!</v>
      </c>
      <c r="AH708" s="212"/>
      <c r="AI708" s="213"/>
      <c r="AJ708" s="4"/>
      <c r="AK708" s="4"/>
      <c r="AL708" s="4"/>
      <c r="AM708" s="4"/>
      <c r="AN708" s="4"/>
      <c r="AO708" s="4"/>
      <c r="AP708" s="4"/>
      <c r="AQ708" s="4"/>
      <c r="AR708" s="4"/>
      <c r="AS708" s="4"/>
      <c r="AT708" s="4"/>
      <c r="AU708" s="4"/>
    </row>
    <row r="709" spans="1:47" ht="13.2">
      <c r="A709" s="120"/>
      <c r="B709" s="113"/>
      <c r="C709" s="117"/>
      <c r="D709" s="117"/>
      <c r="E709" s="117"/>
      <c r="F709" s="123"/>
      <c r="G709" s="93" t="s">
        <v>145</v>
      </c>
      <c r="H709" s="125"/>
      <c r="I709" s="125"/>
      <c r="J709" s="82" t="str">
        <f t="shared" ca="1" si="147"/>
        <v>#REF!</v>
      </c>
      <c r="K709" s="82" t="str">
        <f t="shared" ca="1" si="256"/>
        <v>#REF!</v>
      </c>
      <c r="L709" s="82" t="str">
        <f t="shared" ca="1" si="199"/>
        <v>#REF!</v>
      </c>
      <c r="M709" s="125"/>
      <c r="N709" s="125"/>
      <c r="O709" s="230">
        <f t="shared" si="2"/>
        <v>0</v>
      </c>
      <c r="P709" s="231">
        <f t="shared" si="3"/>
        <v>0</v>
      </c>
      <c r="Q709" s="232" t="str">
        <f ca="1">ROUNDUP(HLOOKUP(IF(CEILING(L709,0.5)&lt;1,1,CEILING(L709,0.5)),'배송비 조회'!A$32:AY$36,2,0),-2)</f>
        <v>#REF!</v>
      </c>
      <c r="R709" s="232">
        <v>0</v>
      </c>
      <c r="S709" s="231" t="str">
        <f t="shared" ca="1" si="250"/>
        <v>#REF!</v>
      </c>
      <c r="T709" s="231" t="str">
        <f t="shared" ca="1" si="200"/>
        <v>#REF!</v>
      </c>
      <c r="U709" s="233" t="str">
        <f t="shared" ca="1" si="142"/>
        <v>#REF!</v>
      </c>
      <c r="V709" s="233" t="str">
        <f t="shared" ca="1" si="7"/>
        <v>#REF!</v>
      </c>
      <c r="W709" s="234">
        <v>0</v>
      </c>
      <c r="X709" s="234" t="str">
        <f t="shared" ca="1" si="8"/>
        <v>#REF!</v>
      </c>
      <c r="Y709" s="234" t="str">
        <f t="shared" ca="1" si="9"/>
        <v>#REF!</v>
      </c>
      <c r="Z709" s="234" t="str">
        <f t="shared" ca="1" si="10"/>
        <v>#REF!</v>
      </c>
      <c r="AA709" s="234" t="str">
        <f t="shared" ca="1" si="11"/>
        <v>#REF!</v>
      </c>
      <c r="AB709" s="234" t="str">
        <f t="shared" ca="1" si="12"/>
        <v>#REF!</v>
      </c>
      <c r="AC709" s="234" t="str">
        <f t="shared" ca="1" si="13"/>
        <v>#REF!</v>
      </c>
      <c r="AD709" s="101" t="str">
        <f t="shared" ca="1" si="14"/>
        <v>#REF!</v>
      </c>
      <c r="AE709" s="101" t="str">
        <f t="shared" ca="1" si="15"/>
        <v>#REF!</v>
      </c>
      <c r="AF709" s="235" t="str">
        <f t="shared" ref="AF709:AG709" ca="1" si="786">AD709/U709</f>
        <v>#REF!</v>
      </c>
      <c r="AG709" s="235" t="str">
        <f t="shared" ca="1" si="786"/>
        <v>#REF!</v>
      </c>
      <c r="AH709" s="212"/>
      <c r="AI709" s="213"/>
      <c r="AJ709" s="4"/>
      <c r="AK709" s="4"/>
      <c r="AL709" s="4"/>
      <c r="AM709" s="4"/>
      <c r="AN709" s="4"/>
      <c r="AO709" s="4"/>
      <c r="AP709" s="4"/>
      <c r="AQ709" s="4"/>
      <c r="AR709" s="4"/>
      <c r="AS709" s="4"/>
      <c r="AT709" s="4"/>
      <c r="AU709" s="4"/>
    </row>
    <row r="710" spans="1:47" ht="13.2">
      <c r="A710" s="120"/>
      <c r="B710" s="113"/>
      <c r="C710" s="117"/>
      <c r="D710" s="117"/>
      <c r="E710" s="117"/>
      <c r="F710" s="123"/>
      <c r="G710" s="93" t="s">
        <v>145</v>
      </c>
      <c r="H710" s="125"/>
      <c r="I710" s="125"/>
      <c r="J710" s="82" t="str">
        <f t="shared" ca="1" si="147"/>
        <v>#REF!</v>
      </c>
      <c r="K710" s="82" t="str">
        <f t="shared" ca="1" si="256"/>
        <v>#REF!</v>
      </c>
      <c r="L710" s="82" t="str">
        <f t="shared" ca="1" si="199"/>
        <v>#REF!</v>
      </c>
      <c r="M710" s="125"/>
      <c r="N710" s="125"/>
      <c r="O710" s="230">
        <f t="shared" si="2"/>
        <v>0</v>
      </c>
      <c r="P710" s="231">
        <f t="shared" si="3"/>
        <v>0</v>
      </c>
      <c r="Q710" s="232" t="str">
        <f ca="1">ROUNDUP(HLOOKUP(IF(CEILING(L710,0.5)&lt;1,1,CEILING(L710,0.5)),'배송비 조회'!A$32:AY$36,2,0),-2)</f>
        <v>#REF!</v>
      </c>
      <c r="R710" s="232">
        <v>0</v>
      </c>
      <c r="S710" s="231" t="str">
        <f t="shared" ca="1" si="250"/>
        <v>#REF!</v>
      </c>
      <c r="T710" s="231" t="str">
        <f t="shared" ca="1" si="200"/>
        <v>#REF!</v>
      </c>
      <c r="U710" s="233" t="str">
        <f t="shared" ca="1" si="142"/>
        <v>#REF!</v>
      </c>
      <c r="V710" s="233" t="str">
        <f t="shared" ca="1" si="7"/>
        <v>#REF!</v>
      </c>
      <c r="W710" s="234">
        <v>0</v>
      </c>
      <c r="X710" s="234" t="str">
        <f t="shared" ca="1" si="8"/>
        <v>#REF!</v>
      </c>
      <c r="Y710" s="234" t="str">
        <f t="shared" ca="1" si="9"/>
        <v>#REF!</v>
      </c>
      <c r="Z710" s="234" t="str">
        <f t="shared" ca="1" si="10"/>
        <v>#REF!</v>
      </c>
      <c r="AA710" s="234" t="str">
        <f t="shared" ca="1" si="11"/>
        <v>#REF!</v>
      </c>
      <c r="AB710" s="234" t="str">
        <f t="shared" ca="1" si="12"/>
        <v>#REF!</v>
      </c>
      <c r="AC710" s="234" t="str">
        <f t="shared" ca="1" si="13"/>
        <v>#REF!</v>
      </c>
      <c r="AD710" s="101" t="str">
        <f t="shared" ca="1" si="14"/>
        <v>#REF!</v>
      </c>
      <c r="AE710" s="101" t="str">
        <f t="shared" ca="1" si="15"/>
        <v>#REF!</v>
      </c>
      <c r="AF710" s="235" t="str">
        <f t="shared" ref="AF710:AG710" ca="1" si="787">AD710/U710</f>
        <v>#REF!</v>
      </c>
      <c r="AG710" s="235" t="str">
        <f t="shared" ca="1" si="787"/>
        <v>#REF!</v>
      </c>
      <c r="AH710" s="212"/>
      <c r="AI710" s="213"/>
      <c r="AJ710" s="4"/>
      <c r="AK710" s="4"/>
      <c r="AL710" s="4"/>
      <c r="AM710" s="4"/>
      <c r="AN710" s="4"/>
      <c r="AO710" s="4"/>
      <c r="AP710" s="4"/>
      <c r="AQ710" s="4"/>
      <c r="AR710" s="4"/>
      <c r="AS710" s="4"/>
      <c r="AT710" s="4"/>
      <c r="AU710" s="4"/>
    </row>
    <row r="711" spans="1:47" ht="13.2">
      <c r="A711" s="120"/>
      <c r="B711" s="113"/>
      <c r="C711" s="117"/>
      <c r="D711" s="117"/>
      <c r="E711" s="117"/>
      <c r="F711" s="123"/>
      <c r="G711" s="93" t="s">
        <v>145</v>
      </c>
      <c r="H711" s="125"/>
      <c r="I711" s="125"/>
      <c r="J711" s="82" t="str">
        <f t="shared" ca="1" si="147"/>
        <v>#REF!</v>
      </c>
      <c r="K711" s="82" t="str">
        <f t="shared" ca="1" si="256"/>
        <v>#REF!</v>
      </c>
      <c r="L711" s="82" t="str">
        <f t="shared" ca="1" si="199"/>
        <v>#REF!</v>
      </c>
      <c r="M711" s="125"/>
      <c r="N711" s="125"/>
      <c r="O711" s="230">
        <f t="shared" si="2"/>
        <v>0</v>
      </c>
      <c r="P711" s="231">
        <f t="shared" si="3"/>
        <v>0</v>
      </c>
      <c r="Q711" s="232" t="str">
        <f ca="1">ROUNDUP(HLOOKUP(IF(CEILING(L711,0.5)&lt;1,1,CEILING(L711,0.5)),'배송비 조회'!A$32:AY$36,2,0),-2)</f>
        <v>#REF!</v>
      </c>
      <c r="R711" s="232">
        <v>0</v>
      </c>
      <c r="S711" s="231" t="str">
        <f t="shared" ca="1" si="250"/>
        <v>#REF!</v>
      </c>
      <c r="T711" s="231" t="str">
        <f t="shared" ca="1" si="200"/>
        <v>#REF!</v>
      </c>
      <c r="U711" s="233" t="str">
        <f t="shared" ca="1" si="142"/>
        <v>#REF!</v>
      </c>
      <c r="V711" s="233" t="str">
        <f t="shared" ca="1" si="7"/>
        <v>#REF!</v>
      </c>
      <c r="W711" s="234">
        <v>0</v>
      </c>
      <c r="X711" s="234" t="str">
        <f t="shared" ca="1" si="8"/>
        <v>#REF!</v>
      </c>
      <c r="Y711" s="234" t="str">
        <f t="shared" ca="1" si="9"/>
        <v>#REF!</v>
      </c>
      <c r="Z711" s="234" t="str">
        <f t="shared" ca="1" si="10"/>
        <v>#REF!</v>
      </c>
      <c r="AA711" s="234" t="str">
        <f t="shared" ca="1" si="11"/>
        <v>#REF!</v>
      </c>
      <c r="AB711" s="234" t="str">
        <f t="shared" ca="1" si="12"/>
        <v>#REF!</v>
      </c>
      <c r="AC711" s="234" t="str">
        <f t="shared" ca="1" si="13"/>
        <v>#REF!</v>
      </c>
      <c r="AD711" s="101" t="str">
        <f t="shared" ca="1" si="14"/>
        <v>#REF!</v>
      </c>
      <c r="AE711" s="101" t="str">
        <f t="shared" ca="1" si="15"/>
        <v>#REF!</v>
      </c>
      <c r="AF711" s="235" t="str">
        <f t="shared" ref="AF711:AG711" ca="1" si="788">AD711/U711</f>
        <v>#REF!</v>
      </c>
      <c r="AG711" s="235" t="str">
        <f t="shared" ca="1" si="788"/>
        <v>#REF!</v>
      </c>
      <c r="AH711" s="212"/>
      <c r="AI711" s="213"/>
      <c r="AJ711" s="4"/>
      <c r="AK711" s="4"/>
      <c r="AL711" s="4"/>
      <c r="AM711" s="4"/>
      <c r="AN711" s="4"/>
      <c r="AO711" s="4"/>
      <c r="AP711" s="4"/>
      <c r="AQ711" s="4"/>
      <c r="AR711" s="4"/>
      <c r="AS711" s="4"/>
      <c r="AT711" s="4"/>
      <c r="AU711" s="4"/>
    </row>
    <row r="712" spans="1:47" ht="13.2">
      <c r="A712" s="120"/>
      <c r="B712" s="113"/>
      <c r="C712" s="117"/>
      <c r="D712" s="117"/>
      <c r="E712" s="117"/>
      <c r="F712" s="123"/>
      <c r="G712" s="93" t="s">
        <v>145</v>
      </c>
      <c r="H712" s="125"/>
      <c r="I712" s="125"/>
      <c r="J712" s="82" t="str">
        <f t="shared" ca="1" si="147"/>
        <v>#REF!</v>
      </c>
      <c r="K712" s="82" t="str">
        <f t="shared" ca="1" si="256"/>
        <v>#REF!</v>
      </c>
      <c r="L712" s="82" t="str">
        <f t="shared" ca="1" si="199"/>
        <v>#REF!</v>
      </c>
      <c r="M712" s="125"/>
      <c r="N712" s="125"/>
      <c r="O712" s="230">
        <f t="shared" si="2"/>
        <v>0</v>
      </c>
      <c r="P712" s="231">
        <f t="shared" si="3"/>
        <v>0</v>
      </c>
      <c r="Q712" s="232" t="str">
        <f ca="1">ROUNDUP(HLOOKUP(IF(CEILING(L712,0.5)&lt;1,1,CEILING(L712,0.5)),'배송비 조회'!A$32:AY$36,2,0),-2)</f>
        <v>#REF!</v>
      </c>
      <c r="R712" s="232">
        <v>0</v>
      </c>
      <c r="S712" s="231" t="str">
        <f t="shared" ca="1" si="250"/>
        <v>#REF!</v>
      </c>
      <c r="T712" s="231" t="str">
        <f t="shared" ca="1" si="200"/>
        <v>#REF!</v>
      </c>
      <c r="U712" s="233" t="str">
        <f t="shared" ca="1" si="142"/>
        <v>#REF!</v>
      </c>
      <c r="V712" s="233" t="str">
        <f t="shared" ca="1" si="7"/>
        <v>#REF!</v>
      </c>
      <c r="W712" s="234">
        <v>0</v>
      </c>
      <c r="X712" s="234" t="str">
        <f t="shared" ca="1" si="8"/>
        <v>#REF!</v>
      </c>
      <c r="Y712" s="234" t="str">
        <f t="shared" ca="1" si="9"/>
        <v>#REF!</v>
      </c>
      <c r="Z712" s="234" t="str">
        <f t="shared" ca="1" si="10"/>
        <v>#REF!</v>
      </c>
      <c r="AA712" s="234" t="str">
        <f t="shared" ca="1" si="11"/>
        <v>#REF!</v>
      </c>
      <c r="AB712" s="234" t="str">
        <f t="shared" ca="1" si="12"/>
        <v>#REF!</v>
      </c>
      <c r="AC712" s="234" t="str">
        <f t="shared" ca="1" si="13"/>
        <v>#REF!</v>
      </c>
      <c r="AD712" s="101" t="str">
        <f t="shared" ca="1" si="14"/>
        <v>#REF!</v>
      </c>
      <c r="AE712" s="101" t="str">
        <f t="shared" ca="1" si="15"/>
        <v>#REF!</v>
      </c>
      <c r="AF712" s="235" t="str">
        <f t="shared" ref="AF712:AG712" ca="1" si="789">AD712/U712</f>
        <v>#REF!</v>
      </c>
      <c r="AG712" s="235" t="str">
        <f t="shared" ca="1" si="789"/>
        <v>#REF!</v>
      </c>
      <c r="AH712" s="212"/>
      <c r="AI712" s="213"/>
      <c r="AJ712" s="4"/>
      <c r="AK712" s="4"/>
      <c r="AL712" s="4"/>
      <c r="AM712" s="4"/>
      <c r="AN712" s="4"/>
      <c r="AO712" s="4"/>
      <c r="AP712" s="4"/>
      <c r="AQ712" s="4"/>
      <c r="AR712" s="4"/>
      <c r="AS712" s="4"/>
      <c r="AT712" s="4"/>
      <c r="AU712" s="4"/>
    </row>
    <row r="713" spans="1:47" ht="13.2">
      <c r="A713" s="120"/>
      <c r="B713" s="113"/>
      <c r="C713" s="117"/>
      <c r="D713" s="117"/>
      <c r="E713" s="117"/>
      <c r="F713" s="123"/>
      <c r="G713" s="93" t="s">
        <v>145</v>
      </c>
      <c r="H713" s="125"/>
      <c r="I713" s="125"/>
      <c r="J713" s="82" t="str">
        <f t="shared" ca="1" si="147"/>
        <v>#REF!</v>
      </c>
      <c r="K713" s="82" t="str">
        <f t="shared" ca="1" si="256"/>
        <v>#REF!</v>
      </c>
      <c r="L713" s="82" t="str">
        <f t="shared" ca="1" si="199"/>
        <v>#REF!</v>
      </c>
      <c r="M713" s="125"/>
      <c r="N713" s="125"/>
      <c r="O713" s="230">
        <f t="shared" si="2"/>
        <v>0</v>
      </c>
      <c r="P713" s="231">
        <f t="shared" si="3"/>
        <v>0</v>
      </c>
      <c r="Q713" s="232" t="str">
        <f ca="1">ROUNDUP(HLOOKUP(IF(CEILING(L713,0.5)&lt;1,1,CEILING(L713,0.5)),'배송비 조회'!A$32:AY$36,2,0),-2)</f>
        <v>#REF!</v>
      </c>
      <c r="R713" s="232">
        <v>0</v>
      </c>
      <c r="S713" s="231" t="str">
        <f t="shared" ca="1" si="250"/>
        <v>#REF!</v>
      </c>
      <c r="T713" s="231" t="str">
        <f t="shared" ca="1" si="200"/>
        <v>#REF!</v>
      </c>
      <c r="U713" s="233" t="str">
        <f t="shared" ca="1" si="142"/>
        <v>#REF!</v>
      </c>
      <c r="V713" s="233" t="str">
        <f t="shared" ca="1" si="7"/>
        <v>#REF!</v>
      </c>
      <c r="W713" s="234">
        <v>0</v>
      </c>
      <c r="X713" s="234" t="str">
        <f t="shared" ca="1" si="8"/>
        <v>#REF!</v>
      </c>
      <c r="Y713" s="234" t="str">
        <f t="shared" ca="1" si="9"/>
        <v>#REF!</v>
      </c>
      <c r="Z713" s="234" t="str">
        <f t="shared" ca="1" si="10"/>
        <v>#REF!</v>
      </c>
      <c r="AA713" s="234" t="str">
        <f t="shared" ca="1" si="11"/>
        <v>#REF!</v>
      </c>
      <c r="AB713" s="234" t="str">
        <f t="shared" ca="1" si="12"/>
        <v>#REF!</v>
      </c>
      <c r="AC713" s="234" t="str">
        <f t="shared" ca="1" si="13"/>
        <v>#REF!</v>
      </c>
      <c r="AD713" s="101" t="str">
        <f t="shared" ca="1" si="14"/>
        <v>#REF!</v>
      </c>
      <c r="AE713" s="101" t="str">
        <f t="shared" ca="1" si="15"/>
        <v>#REF!</v>
      </c>
      <c r="AF713" s="235" t="str">
        <f t="shared" ref="AF713:AG713" ca="1" si="790">AD713/U713</f>
        <v>#REF!</v>
      </c>
      <c r="AG713" s="235" t="str">
        <f t="shared" ca="1" si="790"/>
        <v>#REF!</v>
      </c>
      <c r="AH713" s="212"/>
      <c r="AI713" s="213"/>
      <c r="AJ713" s="4"/>
      <c r="AK713" s="4"/>
      <c r="AL713" s="4"/>
      <c r="AM713" s="4"/>
      <c r="AN713" s="4"/>
      <c r="AO713" s="4"/>
      <c r="AP713" s="4"/>
      <c r="AQ713" s="4"/>
      <c r="AR713" s="4"/>
      <c r="AS713" s="4"/>
      <c r="AT713" s="4"/>
      <c r="AU713" s="4"/>
    </row>
    <row r="714" spans="1:47" ht="13.2">
      <c r="A714" s="120"/>
      <c r="B714" s="113"/>
      <c r="C714" s="117"/>
      <c r="D714" s="117"/>
      <c r="E714" s="117"/>
      <c r="F714" s="123"/>
      <c r="G714" s="93" t="s">
        <v>145</v>
      </c>
      <c r="H714" s="125"/>
      <c r="I714" s="125"/>
      <c r="J714" s="82" t="str">
        <f t="shared" ca="1" si="147"/>
        <v>#REF!</v>
      </c>
      <c r="K714" s="82" t="str">
        <f t="shared" ca="1" si="256"/>
        <v>#REF!</v>
      </c>
      <c r="L714" s="82" t="str">
        <f t="shared" ca="1" si="199"/>
        <v>#REF!</v>
      </c>
      <c r="M714" s="125"/>
      <c r="N714" s="125"/>
      <c r="O714" s="230">
        <f t="shared" si="2"/>
        <v>0</v>
      </c>
      <c r="P714" s="231">
        <f t="shared" si="3"/>
        <v>0</v>
      </c>
      <c r="Q714" s="232" t="str">
        <f ca="1">ROUNDUP(HLOOKUP(IF(CEILING(L714,0.5)&lt;1,1,CEILING(L714,0.5)),'배송비 조회'!A$32:AY$36,2,0),-2)</f>
        <v>#REF!</v>
      </c>
      <c r="R714" s="232">
        <v>0</v>
      </c>
      <c r="S714" s="231" t="str">
        <f t="shared" ca="1" si="250"/>
        <v>#REF!</v>
      </c>
      <c r="T714" s="231" t="str">
        <f t="shared" ca="1" si="200"/>
        <v>#REF!</v>
      </c>
      <c r="U714" s="233" t="str">
        <f t="shared" ca="1" si="142"/>
        <v>#REF!</v>
      </c>
      <c r="V714" s="233" t="str">
        <f t="shared" ca="1" si="7"/>
        <v>#REF!</v>
      </c>
      <c r="W714" s="234">
        <v>0</v>
      </c>
      <c r="X714" s="234" t="str">
        <f t="shared" ca="1" si="8"/>
        <v>#REF!</v>
      </c>
      <c r="Y714" s="234" t="str">
        <f t="shared" ca="1" si="9"/>
        <v>#REF!</v>
      </c>
      <c r="Z714" s="234" t="str">
        <f t="shared" ca="1" si="10"/>
        <v>#REF!</v>
      </c>
      <c r="AA714" s="234" t="str">
        <f t="shared" ca="1" si="11"/>
        <v>#REF!</v>
      </c>
      <c r="AB714" s="234" t="str">
        <f t="shared" ca="1" si="12"/>
        <v>#REF!</v>
      </c>
      <c r="AC714" s="234" t="str">
        <f t="shared" ca="1" si="13"/>
        <v>#REF!</v>
      </c>
      <c r="AD714" s="101" t="str">
        <f t="shared" ca="1" si="14"/>
        <v>#REF!</v>
      </c>
      <c r="AE714" s="101" t="str">
        <f t="shared" ca="1" si="15"/>
        <v>#REF!</v>
      </c>
      <c r="AF714" s="235" t="str">
        <f t="shared" ref="AF714:AG714" ca="1" si="791">AD714/U714</f>
        <v>#REF!</v>
      </c>
      <c r="AG714" s="235" t="str">
        <f t="shared" ca="1" si="791"/>
        <v>#REF!</v>
      </c>
      <c r="AH714" s="212"/>
      <c r="AI714" s="213"/>
      <c r="AJ714" s="4"/>
      <c r="AK714" s="4"/>
      <c r="AL714" s="4"/>
      <c r="AM714" s="4"/>
      <c r="AN714" s="4"/>
      <c r="AO714" s="4"/>
      <c r="AP714" s="4"/>
      <c r="AQ714" s="4"/>
      <c r="AR714" s="4"/>
      <c r="AS714" s="4"/>
      <c r="AT714" s="4"/>
      <c r="AU714" s="4"/>
    </row>
    <row r="715" spans="1:47" ht="13.2">
      <c r="A715" s="120"/>
      <c r="B715" s="113"/>
      <c r="C715" s="117"/>
      <c r="D715" s="117"/>
      <c r="E715" s="117"/>
      <c r="F715" s="123"/>
      <c r="G715" s="93" t="s">
        <v>145</v>
      </c>
      <c r="H715" s="125"/>
      <c r="I715" s="125"/>
      <c r="J715" s="82" t="str">
        <f t="shared" ca="1" si="147"/>
        <v>#REF!</v>
      </c>
      <c r="K715" s="82" t="str">
        <f t="shared" ca="1" si="256"/>
        <v>#REF!</v>
      </c>
      <c r="L715" s="82" t="str">
        <f t="shared" ca="1" si="199"/>
        <v>#REF!</v>
      </c>
      <c r="M715" s="125"/>
      <c r="N715" s="125"/>
      <c r="O715" s="230">
        <f t="shared" si="2"/>
        <v>0</v>
      </c>
      <c r="P715" s="231">
        <f t="shared" si="3"/>
        <v>0</v>
      </c>
      <c r="Q715" s="232" t="str">
        <f ca="1">ROUNDUP(HLOOKUP(IF(CEILING(L715,0.5)&lt;1,1,CEILING(L715,0.5)),'배송비 조회'!A$32:AY$36,2,0),-2)</f>
        <v>#REF!</v>
      </c>
      <c r="R715" s="232">
        <v>0</v>
      </c>
      <c r="S715" s="231" t="str">
        <f t="shared" ca="1" si="250"/>
        <v>#REF!</v>
      </c>
      <c r="T715" s="231" t="str">
        <f t="shared" ca="1" si="200"/>
        <v>#REF!</v>
      </c>
      <c r="U715" s="233" t="str">
        <f t="shared" ca="1" si="142"/>
        <v>#REF!</v>
      </c>
      <c r="V715" s="233" t="str">
        <f t="shared" ca="1" si="7"/>
        <v>#REF!</v>
      </c>
      <c r="W715" s="234">
        <v>0</v>
      </c>
      <c r="X715" s="234" t="str">
        <f t="shared" ca="1" si="8"/>
        <v>#REF!</v>
      </c>
      <c r="Y715" s="234" t="str">
        <f t="shared" ca="1" si="9"/>
        <v>#REF!</v>
      </c>
      <c r="Z715" s="234" t="str">
        <f t="shared" ca="1" si="10"/>
        <v>#REF!</v>
      </c>
      <c r="AA715" s="234" t="str">
        <f t="shared" ca="1" si="11"/>
        <v>#REF!</v>
      </c>
      <c r="AB715" s="234" t="str">
        <f t="shared" ca="1" si="12"/>
        <v>#REF!</v>
      </c>
      <c r="AC715" s="234" t="str">
        <f t="shared" ca="1" si="13"/>
        <v>#REF!</v>
      </c>
      <c r="AD715" s="101" t="str">
        <f t="shared" ca="1" si="14"/>
        <v>#REF!</v>
      </c>
      <c r="AE715" s="101" t="str">
        <f t="shared" ca="1" si="15"/>
        <v>#REF!</v>
      </c>
      <c r="AF715" s="235" t="str">
        <f t="shared" ref="AF715:AG715" ca="1" si="792">AD715/U715</f>
        <v>#REF!</v>
      </c>
      <c r="AG715" s="235" t="str">
        <f t="shared" ca="1" si="792"/>
        <v>#REF!</v>
      </c>
      <c r="AH715" s="212"/>
      <c r="AI715" s="213"/>
      <c r="AJ715" s="4"/>
      <c r="AK715" s="4"/>
      <c r="AL715" s="4"/>
      <c r="AM715" s="4"/>
      <c r="AN715" s="4"/>
      <c r="AO715" s="4"/>
      <c r="AP715" s="4"/>
      <c r="AQ715" s="4"/>
      <c r="AR715" s="4"/>
      <c r="AS715" s="4"/>
      <c r="AT715" s="4"/>
      <c r="AU715" s="4"/>
    </row>
    <row r="716" spans="1:47" ht="13.2">
      <c r="A716" s="120"/>
      <c r="B716" s="113"/>
      <c r="C716" s="117"/>
      <c r="D716" s="117"/>
      <c r="E716" s="117"/>
      <c r="F716" s="123"/>
      <c r="G716" s="93" t="s">
        <v>145</v>
      </c>
      <c r="H716" s="125"/>
      <c r="I716" s="125"/>
      <c r="J716" s="82" t="str">
        <f t="shared" ca="1" si="147"/>
        <v>#REF!</v>
      </c>
      <c r="K716" s="82" t="str">
        <f t="shared" ca="1" si="256"/>
        <v>#REF!</v>
      </c>
      <c r="L716" s="82" t="str">
        <f t="shared" ca="1" si="199"/>
        <v>#REF!</v>
      </c>
      <c r="M716" s="125"/>
      <c r="N716" s="125"/>
      <c r="O716" s="230">
        <f t="shared" si="2"/>
        <v>0</v>
      </c>
      <c r="P716" s="231">
        <f t="shared" si="3"/>
        <v>0</v>
      </c>
      <c r="Q716" s="232" t="str">
        <f ca="1">ROUNDUP(HLOOKUP(IF(CEILING(L716,0.5)&lt;1,1,CEILING(L716,0.5)),'배송비 조회'!A$32:AY$36,2,0),-2)</f>
        <v>#REF!</v>
      </c>
      <c r="R716" s="232">
        <v>0</v>
      </c>
      <c r="S716" s="231" t="str">
        <f t="shared" ca="1" si="250"/>
        <v>#REF!</v>
      </c>
      <c r="T716" s="231" t="str">
        <f t="shared" ca="1" si="200"/>
        <v>#REF!</v>
      </c>
      <c r="U716" s="233" t="str">
        <f t="shared" ca="1" si="142"/>
        <v>#REF!</v>
      </c>
      <c r="V716" s="233" t="str">
        <f t="shared" ca="1" si="7"/>
        <v>#REF!</v>
      </c>
      <c r="W716" s="234">
        <v>0</v>
      </c>
      <c r="X716" s="234" t="str">
        <f t="shared" ca="1" si="8"/>
        <v>#REF!</v>
      </c>
      <c r="Y716" s="234" t="str">
        <f t="shared" ca="1" si="9"/>
        <v>#REF!</v>
      </c>
      <c r="Z716" s="234" t="str">
        <f t="shared" ca="1" si="10"/>
        <v>#REF!</v>
      </c>
      <c r="AA716" s="234" t="str">
        <f t="shared" ca="1" si="11"/>
        <v>#REF!</v>
      </c>
      <c r="AB716" s="234" t="str">
        <f t="shared" ca="1" si="12"/>
        <v>#REF!</v>
      </c>
      <c r="AC716" s="234" t="str">
        <f t="shared" ca="1" si="13"/>
        <v>#REF!</v>
      </c>
      <c r="AD716" s="101" t="str">
        <f t="shared" ca="1" si="14"/>
        <v>#REF!</v>
      </c>
      <c r="AE716" s="101" t="str">
        <f t="shared" ca="1" si="15"/>
        <v>#REF!</v>
      </c>
      <c r="AF716" s="235" t="str">
        <f t="shared" ref="AF716:AG716" ca="1" si="793">AD716/U716</f>
        <v>#REF!</v>
      </c>
      <c r="AG716" s="235" t="str">
        <f t="shared" ca="1" si="793"/>
        <v>#REF!</v>
      </c>
      <c r="AH716" s="212"/>
      <c r="AI716" s="213"/>
      <c r="AJ716" s="4"/>
      <c r="AK716" s="4"/>
      <c r="AL716" s="4"/>
      <c r="AM716" s="4"/>
      <c r="AN716" s="4"/>
      <c r="AO716" s="4"/>
      <c r="AP716" s="4"/>
      <c r="AQ716" s="4"/>
      <c r="AR716" s="4"/>
      <c r="AS716" s="4"/>
      <c r="AT716" s="4"/>
      <c r="AU716" s="4"/>
    </row>
    <row r="717" spans="1:47" ht="13.2">
      <c r="A717" s="120"/>
      <c r="B717" s="113"/>
      <c r="C717" s="117"/>
      <c r="D717" s="117"/>
      <c r="E717" s="117"/>
      <c r="F717" s="123"/>
      <c r="G717" s="93" t="s">
        <v>145</v>
      </c>
      <c r="H717" s="125"/>
      <c r="I717" s="125"/>
      <c r="J717" s="82" t="str">
        <f t="shared" ca="1" si="147"/>
        <v>#REF!</v>
      </c>
      <c r="K717" s="82" t="str">
        <f t="shared" ca="1" si="256"/>
        <v>#REF!</v>
      </c>
      <c r="L717" s="82" t="str">
        <f t="shared" ca="1" si="199"/>
        <v>#REF!</v>
      </c>
      <c r="M717" s="125"/>
      <c r="N717" s="125"/>
      <c r="O717" s="230">
        <f t="shared" si="2"/>
        <v>0</v>
      </c>
      <c r="P717" s="231">
        <f t="shared" si="3"/>
        <v>0</v>
      </c>
      <c r="Q717" s="232" t="str">
        <f ca="1">ROUNDUP(HLOOKUP(IF(CEILING(L717,0.5)&lt;1,1,CEILING(L717,0.5)),'배송비 조회'!A$32:AY$36,2,0),-2)</f>
        <v>#REF!</v>
      </c>
      <c r="R717" s="232">
        <v>0</v>
      </c>
      <c r="S717" s="231" t="str">
        <f t="shared" ca="1" si="250"/>
        <v>#REF!</v>
      </c>
      <c r="T717" s="231" t="str">
        <f t="shared" ca="1" si="200"/>
        <v>#REF!</v>
      </c>
      <c r="U717" s="233" t="str">
        <f t="shared" ca="1" si="142"/>
        <v>#REF!</v>
      </c>
      <c r="V717" s="233" t="str">
        <f t="shared" ca="1" si="7"/>
        <v>#REF!</v>
      </c>
      <c r="W717" s="234">
        <v>0</v>
      </c>
      <c r="X717" s="234" t="str">
        <f t="shared" ca="1" si="8"/>
        <v>#REF!</v>
      </c>
      <c r="Y717" s="234" t="str">
        <f t="shared" ca="1" si="9"/>
        <v>#REF!</v>
      </c>
      <c r="Z717" s="234" t="str">
        <f t="shared" ca="1" si="10"/>
        <v>#REF!</v>
      </c>
      <c r="AA717" s="234" t="str">
        <f t="shared" ca="1" si="11"/>
        <v>#REF!</v>
      </c>
      <c r="AB717" s="234" t="str">
        <f t="shared" ca="1" si="12"/>
        <v>#REF!</v>
      </c>
      <c r="AC717" s="234" t="str">
        <f t="shared" ca="1" si="13"/>
        <v>#REF!</v>
      </c>
      <c r="AD717" s="101" t="str">
        <f t="shared" ca="1" si="14"/>
        <v>#REF!</v>
      </c>
      <c r="AE717" s="101" t="str">
        <f t="shared" ca="1" si="15"/>
        <v>#REF!</v>
      </c>
      <c r="AF717" s="235" t="str">
        <f t="shared" ref="AF717:AG717" ca="1" si="794">AD717/U717</f>
        <v>#REF!</v>
      </c>
      <c r="AG717" s="235" t="str">
        <f t="shared" ca="1" si="794"/>
        <v>#REF!</v>
      </c>
      <c r="AH717" s="212"/>
      <c r="AI717" s="213"/>
      <c r="AJ717" s="4"/>
      <c r="AK717" s="4"/>
      <c r="AL717" s="4"/>
      <c r="AM717" s="4"/>
      <c r="AN717" s="4"/>
      <c r="AO717" s="4"/>
      <c r="AP717" s="4"/>
      <c r="AQ717" s="4"/>
      <c r="AR717" s="4"/>
      <c r="AS717" s="4"/>
      <c r="AT717" s="4"/>
      <c r="AU717" s="4"/>
    </row>
    <row r="718" spans="1:47" ht="13.2">
      <c r="A718" s="120"/>
      <c r="B718" s="113"/>
      <c r="C718" s="117"/>
      <c r="D718" s="117"/>
      <c r="E718" s="117"/>
      <c r="F718" s="123"/>
      <c r="G718" s="93" t="s">
        <v>145</v>
      </c>
      <c r="H718" s="125"/>
      <c r="I718" s="125"/>
      <c r="J718" s="82" t="str">
        <f t="shared" ca="1" si="147"/>
        <v>#REF!</v>
      </c>
      <c r="K718" s="82" t="str">
        <f t="shared" ca="1" si="256"/>
        <v>#REF!</v>
      </c>
      <c r="L718" s="82" t="str">
        <f t="shared" ca="1" si="199"/>
        <v>#REF!</v>
      </c>
      <c r="M718" s="125"/>
      <c r="N718" s="125"/>
      <c r="O718" s="230">
        <f t="shared" si="2"/>
        <v>0</v>
      </c>
      <c r="P718" s="231">
        <f t="shared" si="3"/>
        <v>0</v>
      </c>
      <c r="Q718" s="232" t="str">
        <f ca="1">ROUNDUP(HLOOKUP(IF(CEILING(L718,0.5)&lt;1,1,CEILING(L718,0.5)),'배송비 조회'!A$32:AY$36,2,0),-2)</f>
        <v>#REF!</v>
      </c>
      <c r="R718" s="232">
        <v>0</v>
      </c>
      <c r="S718" s="231" t="str">
        <f t="shared" ca="1" si="250"/>
        <v>#REF!</v>
      </c>
      <c r="T718" s="231" t="str">
        <f t="shared" ca="1" si="200"/>
        <v>#REF!</v>
      </c>
      <c r="U718" s="233" t="str">
        <f t="shared" ca="1" si="142"/>
        <v>#REF!</v>
      </c>
      <c r="V718" s="233" t="str">
        <f t="shared" ca="1" si="7"/>
        <v>#REF!</v>
      </c>
      <c r="W718" s="234">
        <v>0</v>
      </c>
      <c r="X718" s="234" t="str">
        <f t="shared" ca="1" si="8"/>
        <v>#REF!</v>
      </c>
      <c r="Y718" s="234" t="str">
        <f t="shared" ca="1" si="9"/>
        <v>#REF!</v>
      </c>
      <c r="Z718" s="234" t="str">
        <f t="shared" ca="1" si="10"/>
        <v>#REF!</v>
      </c>
      <c r="AA718" s="234" t="str">
        <f t="shared" ca="1" si="11"/>
        <v>#REF!</v>
      </c>
      <c r="AB718" s="234" t="str">
        <f t="shared" ca="1" si="12"/>
        <v>#REF!</v>
      </c>
      <c r="AC718" s="234" t="str">
        <f t="shared" ca="1" si="13"/>
        <v>#REF!</v>
      </c>
      <c r="AD718" s="101" t="str">
        <f t="shared" ca="1" si="14"/>
        <v>#REF!</v>
      </c>
      <c r="AE718" s="101" t="str">
        <f t="shared" ca="1" si="15"/>
        <v>#REF!</v>
      </c>
      <c r="AF718" s="235" t="str">
        <f t="shared" ref="AF718:AG718" ca="1" si="795">AD718/U718</f>
        <v>#REF!</v>
      </c>
      <c r="AG718" s="235" t="str">
        <f t="shared" ca="1" si="795"/>
        <v>#REF!</v>
      </c>
      <c r="AH718" s="212"/>
      <c r="AI718" s="213"/>
      <c r="AJ718" s="4"/>
      <c r="AK718" s="4"/>
      <c r="AL718" s="4"/>
      <c r="AM718" s="4"/>
      <c r="AN718" s="4"/>
      <c r="AO718" s="4"/>
      <c r="AP718" s="4"/>
      <c r="AQ718" s="4"/>
      <c r="AR718" s="4"/>
      <c r="AS718" s="4"/>
      <c r="AT718" s="4"/>
      <c r="AU718" s="4"/>
    </row>
    <row r="719" spans="1:47" ht="13.2">
      <c r="A719" s="120"/>
      <c r="B719" s="113"/>
      <c r="C719" s="117"/>
      <c r="D719" s="117"/>
      <c r="E719" s="117"/>
      <c r="F719" s="123"/>
      <c r="G719" s="93" t="s">
        <v>145</v>
      </c>
      <c r="H719" s="125"/>
      <c r="I719" s="125"/>
      <c r="J719" s="82" t="str">
        <f t="shared" ca="1" si="147"/>
        <v>#REF!</v>
      </c>
      <c r="K719" s="82" t="str">
        <f t="shared" ca="1" si="256"/>
        <v>#REF!</v>
      </c>
      <c r="L719" s="82" t="str">
        <f t="shared" ca="1" si="199"/>
        <v>#REF!</v>
      </c>
      <c r="M719" s="125"/>
      <c r="N719" s="125"/>
      <c r="O719" s="230">
        <f t="shared" si="2"/>
        <v>0</v>
      </c>
      <c r="P719" s="231">
        <f t="shared" si="3"/>
        <v>0</v>
      </c>
      <c r="Q719" s="232" t="str">
        <f ca="1">ROUNDUP(HLOOKUP(IF(CEILING(L719,0.5)&lt;1,1,CEILING(L719,0.5)),'배송비 조회'!A$32:AY$36,2,0),-2)</f>
        <v>#REF!</v>
      </c>
      <c r="R719" s="232">
        <v>0</v>
      </c>
      <c r="S719" s="231" t="str">
        <f t="shared" ca="1" si="250"/>
        <v>#REF!</v>
      </c>
      <c r="T719" s="231" t="str">
        <f t="shared" ca="1" si="200"/>
        <v>#REF!</v>
      </c>
      <c r="U719" s="233" t="str">
        <f t="shared" ca="1" si="142"/>
        <v>#REF!</v>
      </c>
      <c r="V719" s="233" t="str">
        <f t="shared" ca="1" si="7"/>
        <v>#REF!</v>
      </c>
      <c r="W719" s="234">
        <v>0</v>
      </c>
      <c r="X719" s="234" t="str">
        <f t="shared" ca="1" si="8"/>
        <v>#REF!</v>
      </c>
      <c r="Y719" s="234" t="str">
        <f t="shared" ca="1" si="9"/>
        <v>#REF!</v>
      </c>
      <c r="Z719" s="234" t="str">
        <f t="shared" ca="1" si="10"/>
        <v>#REF!</v>
      </c>
      <c r="AA719" s="234" t="str">
        <f t="shared" ca="1" si="11"/>
        <v>#REF!</v>
      </c>
      <c r="AB719" s="234" t="str">
        <f t="shared" ca="1" si="12"/>
        <v>#REF!</v>
      </c>
      <c r="AC719" s="234" t="str">
        <f t="shared" ca="1" si="13"/>
        <v>#REF!</v>
      </c>
      <c r="AD719" s="101" t="str">
        <f t="shared" ca="1" si="14"/>
        <v>#REF!</v>
      </c>
      <c r="AE719" s="101" t="str">
        <f t="shared" ca="1" si="15"/>
        <v>#REF!</v>
      </c>
      <c r="AF719" s="235" t="str">
        <f t="shared" ref="AF719:AG719" ca="1" si="796">AD719/U719</f>
        <v>#REF!</v>
      </c>
      <c r="AG719" s="235" t="str">
        <f t="shared" ca="1" si="796"/>
        <v>#REF!</v>
      </c>
      <c r="AH719" s="212"/>
      <c r="AI719" s="213"/>
      <c r="AJ719" s="4"/>
      <c r="AK719" s="4"/>
      <c r="AL719" s="4"/>
      <c r="AM719" s="4"/>
      <c r="AN719" s="4"/>
      <c r="AO719" s="4"/>
      <c r="AP719" s="4"/>
      <c r="AQ719" s="4"/>
      <c r="AR719" s="4"/>
      <c r="AS719" s="4"/>
      <c r="AT719" s="4"/>
      <c r="AU719" s="4"/>
    </row>
    <row r="720" spans="1:47" ht="13.2">
      <c r="A720" s="120"/>
      <c r="B720" s="113"/>
      <c r="C720" s="117"/>
      <c r="D720" s="117"/>
      <c r="E720" s="117"/>
      <c r="F720" s="123"/>
      <c r="G720" s="93" t="s">
        <v>145</v>
      </c>
      <c r="H720" s="125"/>
      <c r="I720" s="125"/>
      <c r="J720" s="82" t="str">
        <f t="shared" ca="1" si="147"/>
        <v>#REF!</v>
      </c>
      <c r="K720" s="82" t="str">
        <f t="shared" ca="1" si="256"/>
        <v>#REF!</v>
      </c>
      <c r="L720" s="82" t="str">
        <f t="shared" ca="1" si="199"/>
        <v>#REF!</v>
      </c>
      <c r="M720" s="125"/>
      <c r="N720" s="125"/>
      <c r="O720" s="230">
        <f t="shared" si="2"/>
        <v>0</v>
      </c>
      <c r="P720" s="231">
        <f t="shared" si="3"/>
        <v>0</v>
      </c>
      <c r="Q720" s="232" t="str">
        <f ca="1">ROUNDUP(HLOOKUP(IF(CEILING(L720,0.5)&lt;1,1,CEILING(L720,0.5)),'배송비 조회'!A$32:AY$36,2,0),-2)</f>
        <v>#REF!</v>
      </c>
      <c r="R720" s="232">
        <v>0</v>
      </c>
      <c r="S720" s="231" t="str">
        <f t="shared" ca="1" si="250"/>
        <v>#REF!</v>
      </c>
      <c r="T720" s="231" t="str">
        <f t="shared" ca="1" si="200"/>
        <v>#REF!</v>
      </c>
      <c r="U720" s="233" t="str">
        <f t="shared" ca="1" si="142"/>
        <v>#REF!</v>
      </c>
      <c r="V720" s="233" t="str">
        <f t="shared" ca="1" si="7"/>
        <v>#REF!</v>
      </c>
      <c r="W720" s="234">
        <v>0</v>
      </c>
      <c r="X720" s="234" t="str">
        <f t="shared" ca="1" si="8"/>
        <v>#REF!</v>
      </c>
      <c r="Y720" s="234" t="str">
        <f t="shared" ca="1" si="9"/>
        <v>#REF!</v>
      </c>
      <c r="Z720" s="234" t="str">
        <f t="shared" ca="1" si="10"/>
        <v>#REF!</v>
      </c>
      <c r="AA720" s="234" t="str">
        <f t="shared" ca="1" si="11"/>
        <v>#REF!</v>
      </c>
      <c r="AB720" s="234" t="str">
        <f t="shared" ca="1" si="12"/>
        <v>#REF!</v>
      </c>
      <c r="AC720" s="234" t="str">
        <f t="shared" ca="1" si="13"/>
        <v>#REF!</v>
      </c>
      <c r="AD720" s="101" t="str">
        <f t="shared" ca="1" si="14"/>
        <v>#REF!</v>
      </c>
      <c r="AE720" s="101" t="str">
        <f t="shared" ca="1" si="15"/>
        <v>#REF!</v>
      </c>
      <c r="AF720" s="235" t="str">
        <f t="shared" ref="AF720:AG720" ca="1" si="797">AD720/U720</f>
        <v>#REF!</v>
      </c>
      <c r="AG720" s="235" t="str">
        <f t="shared" ca="1" si="797"/>
        <v>#REF!</v>
      </c>
      <c r="AH720" s="212"/>
      <c r="AI720" s="213"/>
      <c r="AJ720" s="4"/>
      <c r="AK720" s="4"/>
      <c r="AL720" s="4"/>
      <c r="AM720" s="4"/>
      <c r="AN720" s="4"/>
      <c r="AO720" s="4"/>
      <c r="AP720" s="4"/>
      <c r="AQ720" s="4"/>
      <c r="AR720" s="4"/>
      <c r="AS720" s="4"/>
      <c r="AT720" s="4"/>
      <c r="AU720" s="4"/>
    </row>
    <row r="721" spans="1:47" ht="13.2">
      <c r="A721" s="120"/>
      <c r="B721" s="113"/>
      <c r="C721" s="117"/>
      <c r="D721" s="117"/>
      <c r="E721" s="117"/>
      <c r="F721" s="123"/>
      <c r="G721" s="93" t="s">
        <v>145</v>
      </c>
      <c r="H721" s="125"/>
      <c r="I721" s="125"/>
      <c r="J721" s="82" t="str">
        <f t="shared" ca="1" si="147"/>
        <v>#REF!</v>
      </c>
      <c r="K721" s="82" t="str">
        <f t="shared" ca="1" si="256"/>
        <v>#REF!</v>
      </c>
      <c r="L721" s="82" t="str">
        <f t="shared" ca="1" si="199"/>
        <v>#REF!</v>
      </c>
      <c r="M721" s="125"/>
      <c r="N721" s="125"/>
      <c r="O721" s="230">
        <f t="shared" si="2"/>
        <v>0</v>
      </c>
      <c r="P721" s="231">
        <f t="shared" si="3"/>
        <v>0</v>
      </c>
      <c r="Q721" s="232" t="str">
        <f ca="1">ROUNDUP(HLOOKUP(IF(CEILING(L721,0.5)&lt;1,1,CEILING(L721,0.5)),'배송비 조회'!A$32:AY$36,2,0),-2)</f>
        <v>#REF!</v>
      </c>
      <c r="R721" s="232">
        <v>0</v>
      </c>
      <c r="S721" s="231" t="str">
        <f t="shared" ca="1" si="250"/>
        <v>#REF!</v>
      </c>
      <c r="T721" s="231" t="str">
        <f t="shared" ca="1" si="200"/>
        <v>#REF!</v>
      </c>
      <c r="U721" s="233" t="str">
        <f t="shared" ca="1" si="142"/>
        <v>#REF!</v>
      </c>
      <c r="V721" s="233" t="str">
        <f t="shared" ca="1" si="7"/>
        <v>#REF!</v>
      </c>
      <c r="W721" s="234">
        <v>0</v>
      </c>
      <c r="X721" s="234" t="str">
        <f t="shared" ca="1" si="8"/>
        <v>#REF!</v>
      </c>
      <c r="Y721" s="234" t="str">
        <f t="shared" ca="1" si="9"/>
        <v>#REF!</v>
      </c>
      <c r="Z721" s="234" t="str">
        <f t="shared" ca="1" si="10"/>
        <v>#REF!</v>
      </c>
      <c r="AA721" s="234" t="str">
        <f t="shared" ca="1" si="11"/>
        <v>#REF!</v>
      </c>
      <c r="AB721" s="234" t="str">
        <f t="shared" ca="1" si="12"/>
        <v>#REF!</v>
      </c>
      <c r="AC721" s="234" t="str">
        <f t="shared" ca="1" si="13"/>
        <v>#REF!</v>
      </c>
      <c r="AD721" s="101" t="str">
        <f t="shared" ca="1" si="14"/>
        <v>#REF!</v>
      </c>
      <c r="AE721" s="101" t="str">
        <f t="shared" ca="1" si="15"/>
        <v>#REF!</v>
      </c>
      <c r="AF721" s="235" t="str">
        <f t="shared" ref="AF721:AG721" ca="1" si="798">AD721/U721</f>
        <v>#REF!</v>
      </c>
      <c r="AG721" s="235" t="str">
        <f t="shared" ca="1" si="798"/>
        <v>#REF!</v>
      </c>
      <c r="AH721" s="212"/>
      <c r="AI721" s="213"/>
      <c r="AJ721" s="4"/>
      <c r="AK721" s="4"/>
      <c r="AL721" s="4"/>
      <c r="AM721" s="4"/>
      <c r="AN721" s="4"/>
      <c r="AO721" s="4"/>
      <c r="AP721" s="4"/>
      <c r="AQ721" s="4"/>
      <c r="AR721" s="4"/>
      <c r="AS721" s="4"/>
      <c r="AT721" s="4"/>
      <c r="AU721" s="4"/>
    </row>
    <row r="722" spans="1:47" ht="13.2">
      <c r="A722" s="120"/>
      <c r="B722" s="113"/>
      <c r="C722" s="117"/>
      <c r="D722" s="117"/>
      <c r="E722" s="117"/>
      <c r="F722" s="123"/>
      <c r="G722" s="93" t="s">
        <v>145</v>
      </c>
      <c r="H722" s="125"/>
      <c r="I722" s="125"/>
      <c r="J722" s="82" t="str">
        <f t="shared" ca="1" si="147"/>
        <v>#REF!</v>
      </c>
      <c r="K722" s="82" t="str">
        <f t="shared" ca="1" si="256"/>
        <v>#REF!</v>
      </c>
      <c r="L722" s="82" t="str">
        <f t="shared" ca="1" si="199"/>
        <v>#REF!</v>
      </c>
      <c r="M722" s="125"/>
      <c r="N722" s="125"/>
      <c r="O722" s="230">
        <f t="shared" si="2"/>
        <v>0</v>
      </c>
      <c r="P722" s="231">
        <f t="shared" si="3"/>
        <v>0</v>
      </c>
      <c r="Q722" s="232" t="str">
        <f ca="1">ROUNDUP(HLOOKUP(IF(CEILING(L722,0.5)&lt;1,1,CEILING(L722,0.5)),'배송비 조회'!A$32:AY$36,2,0),-2)</f>
        <v>#REF!</v>
      </c>
      <c r="R722" s="232">
        <v>0</v>
      </c>
      <c r="S722" s="231" t="str">
        <f t="shared" ca="1" si="250"/>
        <v>#REF!</v>
      </c>
      <c r="T722" s="231" t="str">
        <f t="shared" ca="1" si="200"/>
        <v>#REF!</v>
      </c>
      <c r="U722" s="233" t="str">
        <f t="shared" ca="1" si="142"/>
        <v>#REF!</v>
      </c>
      <c r="V722" s="233" t="str">
        <f t="shared" ca="1" si="7"/>
        <v>#REF!</v>
      </c>
      <c r="W722" s="234">
        <v>0</v>
      </c>
      <c r="X722" s="234" t="str">
        <f t="shared" ca="1" si="8"/>
        <v>#REF!</v>
      </c>
      <c r="Y722" s="234" t="str">
        <f t="shared" ca="1" si="9"/>
        <v>#REF!</v>
      </c>
      <c r="Z722" s="234" t="str">
        <f t="shared" ca="1" si="10"/>
        <v>#REF!</v>
      </c>
      <c r="AA722" s="234" t="str">
        <f t="shared" ca="1" si="11"/>
        <v>#REF!</v>
      </c>
      <c r="AB722" s="234" t="str">
        <f t="shared" ca="1" si="12"/>
        <v>#REF!</v>
      </c>
      <c r="AC722" s="234" t="str">
        <f t="shared" ca="1" si="13"/>
        <v>#REF!</v>
      </c>
      <c r="AD722" s="101" t="str">
        <f t="shared" ca="1" si="14"/>
        <v>#REF!</v>
      </c>
      <c r="AE722" s="101" t="str">
        <f t="shared" ca="1" si="15"/>
        <v>#REF!</v>
      </c>
      <c r="AF722" s="235" t="str">
        <f t="shared" ref="AF722:AG722" ca="1" si="799">AD722/U722</f>
        <v>#REF!</v>
      </c>
      <c r="AG722" s="235" t="str">
        <f t="shared" ca="1" si="799"/>
        <v>#REF!</v>
      </c>
      <c r="AH722" s="212"/>
      <c r="AI722" s="213"/>
      <c r="AJ722" s="4"/>
      <c r="AK722" s="4"/>
      <c r="AL722" s="4"/>
      <c r="AM722" s="4"/>
      <c r="AN722" s="4"/>
      <c r="AO722" s="4"/>
      <c r="AP722" s="4"/>
      <c r="AQ722" s="4"/>
      <c r="AR722" s="4"/>
      <c r="AS722" s="4"/>
      <c r="AT722" s="4"/>
      <c r="AU722" s="4"/>
    </row>
    <row r="723" spans="1:47" ht="13.2">
      <c r="A723" s="120"/>
      <c r="B723" s="113"/>
      <c r="C723" s="117"/>
      <c r="D723" s="117"/>
      <c r="E723" s="117"/>
      <c r="F723" s="123"/>
      <c r="G723" s="93" t="s">
        <v>145</v>
      </c>
      <c r="H723" s="125"/>
      <c r="I723" s="125"/>
      <c r="J723" s="82" t="str">
        <f t="shared" ca="1" si="147"/>
        <v>#REF!</v>
      </c>
      <c r="K723" s="82" t="str">
        <f t="shared" ca="1" si="256"/>
        <v>#REF!</v>
      </c>
      <c r="L723" s="82" t="str">
        <f t="shared" ca="1" si="199"/>
        <v>#REF!</v>
      </c>
      <c r="M723" s="125"/>
      <c r="N723" s="125"/>
      <c r="O723" s="230">
        <f t="shared" si="2"/>
        <v>0</v>
      </c>
      <c r="P723" s="231">
        <f t="shared" si="3"/>
        <v>0</v>
      </c>
      <c r="Q723" s="232" t="str">
        <f ca="1">ROUNDUP(HLOOKUP(IF(CEILING(L723,0.5)&lt;1,1,CEILING(L723,0.5)),'배송비 조회'!A$32:AY$36,2,0),-2)</f>
        <v>#REF!</v>
      </c>
      <c r="R723" s="232">
        <v>0</v>
      </c>
      <c r="S723" s="231" t="str">
        <f t="shared" ca="1" si="250"/>
        <v>#REF!</v>
      </c>
      <c r="T723" s="231" t="str">
        <f t="shared" ca="1" si="200"/>
        <v>#REF!</v>
      </c>
      <c r="U723" s="233" t="str">
        <f t="shared" ca="1" si="142"/>
        <v>#REF!</v>
      </c>
      <c r="V723" s="233" t="str">
        <f t="shared" ca="1" si="7"/>
        <v>#REF!</v>
      </c>
      <c r="W723" s="234">
        <v>0</v>
      </c>
      <c r="X723" s="234" t="str">
        <f t="shared" ca="1" si="8"/>
        <v>#REF!</v>
      </c>
      <c r="Y723" s="234" t="str">
        <f t="shared" ca="1" si="9"/>
        <v>#REF!</v>
      </c>
      <c r="Z723" s="234" t="str">
        <f t="shared" ca="1" si="10"/>
        <v>#REF!</v>
      </c>
      <c r="AA723" s="234" t="str">
        <f t="shared" ca="1" si="11"/>
        <v>#REF!</v>
      </c>
      <c r="AB723" s="234" t="str">
        <f t="shared" ca="1" si="12"/>
        <v>#REF!</v>
      </c>
      <c r="AC723" s="234" t="str">
        <f t="shared" ca="1" si="13"/>
        <v>#REF!</v>
      </c>
      <c r="AD723" s="101" t="str">
        <f t="shared" ca="1" si="14"/>
        <v>#REF!</v>
      </c>
      <c r="AE723" s="101" t="str">
        <f t="shared" ca="1" si="15"/>
        <v>#REF!</v>
      </c>
      <c r="AF723" s="235" t="str">
        <f t="shared" ref="AF723:AG723" ca="1" si="800">AD723/U723</f>
        <v>#REF!</v>
      </c>
      <c r="AG723" s="235" t="str">
        <f t="shared" ca="1" si="800"/>
        <v>#REF!</v>
      </c>
      <c r="AH723" s="212"/>
      <c r="AI723" s="213"/>
      <c r="AJ723" s="4"/>
      <c r="AK723" s="4"/>
      <c r="AL723" s="4"/>
      <c r="AM723" s="4"/>
      <c r="AN723" s="4"/>
      <c r="AO723" s="4"/>
      <c r="AP723" s="4"/>
      <c r="AQ723" s="4"/>
      <c r="AR723" s="4"/>
      <c r="AS723" s="4"/>
      <c r="AT723" s="4"/>
      <c r="AU723" s="4"/>
    </row>
    <row r="724" spans="1:47" ht="13.2">
      <c r="A724" s="120"/>
      <c r="B724" s="113"/>
      <c r="C724" s="117"/>
      <c r="D724" s="117"/>
      <c r="E724" s="117"/>
      <c r="F724" s="123"/>
      <c r="G724" s="93" t="s">
        <v>145</v>
      </c>
      <c r="H724" s="125"/>
      <c r="I724" s="125"/>
      <c r="J724" s="82" t="str">
        <f t="shared" ca="1" si="147"/>
        <v>#REF!</v>
      </c>
      <c r="K724" s="82" t="str">
        <f t="shared" ca="1" si="256"/>
        <v>#REF!</v>
      </c>
      <c r="L724" s="82" t="str">
        <f t="shared" ca="1" si="199"/>
        <v>#REF!</v>
      </c>
      <c r="M724" s="125"/>
      <c r="N724" s="125"/>
      <c r="O724" s="230">
        <f t="shared" si="2"/>
        <v>0</v>
      </c>
      <c r="P724" s="231">
        <f t="shared" si="3"/>
        <v>0</v>
      </c>
      <c r="Q724" s="232" t="str">
        <f ca="1">ROUNDUP(HLOOKUP(IF(CEILING(L724,0.5)&lt;1,1,CEILING(L724,0.5)),'배송비 조회'!A$32:AY$36,2,0),-2)</f>
        <v>#REF!</v>
      </c>
      <c r="R724" s="232">
        <v>0</v>
      </c>
      <c r="S724" s="231" t="str">
        <f t="shared" ca="1" si="250"/>
        <v>#REF!</v>
      </c>
      <c r="T724" s="231" t="str">
        <f t="shared" ca="1" si="200"/>
        <v>#REF!</v>
      </c>
      <c r="U724" s="233" t="str">
        <f t="shared" ca="1" si="142"/>
        <v>#REF!</v>
      </c>
      <c r="V724" s="233" t="str">
        <f t="shared" ca="1" si="7"/>
        <v>#REF!</v>
      </c>
      <c r="W724" s="234">
        <v>0</v>
      </c>
      <c r="X724" s="234" t="str">
        <f t="shared" ca="1" si="8"/>
        <v>#REF!</v>
      </c>
      <c r="Y724" s="234" t="str">
        <f t="shared" ca="1" si="9"/>
        <v>#REF!</v>
      </c>
      <c r="Z724" s="234" t="str">
        <f t="shared" ca="1" si="10"/>
        <v>#REF!</v>
      </c>
      <c r="AA724" s="234" t="str">
        <f t="shared" ca="1" si="11"/>
        <v>#REF!</v>
      </c>
      <c r="AB724" s="234" t="str">
        <f t="shared" ca="1" si="12"/>
        <v>#REF!</v>
      </c>
      <c r="AC724" s="234" t="str">
        <f t="shared" ca="1" si="13"/>
        <v>#REF!</v>
      </c>
      <c r="AD724" s="101" t="str">
        <f t="shared" ca="1" si="14"/>
        <v>#REF!</v>
      </c>
      <c r="AE724" s="101" t="str">
        <f t="shared" ca="1" si="15"/>
        <v>#REF!</v>
      </c>
      <c r="AF724" s="235" t="str">
        <f t="shared" ref="AF724:AG724" ca="1" si="801">AD724/U724</f>
        <v>#REF!</v>
      </c>
      <c r="AG724" s="235" t="str">
        <f t="shared" ca="1" si="801"/>
        <v>#REF!</v>
      </c>
      <c r="AH724" s="212"/>
      <c r="AI724" s="213"/>
      <c r="AJ724" s="4"/>
      <c r="AK724" s="4"/>
      <c r="AL724" s="4"/>
      <c r="AM724" s="4"/>
      <c r="AN724" s="4"/>
      <c r="AO724" s="4"/>
      <c r="AP724" s="4"/>
      <c r="AQ724" s="4"/>
      <c r="AR724" s="4"/>
      <c r="AS724" s="4"/>
      <c r="AT724" s="4"/>
      <c r="AU724" s="4"/>
    </row>
    <row r="725" spans="1:47" ht="13.2">
      <c r="A725" s="120"/>
      <c r="B725" s="113"/>
      <c r="C725" s="117"/>
      <c r="D725" s="117"/>
      <c r="E725" s="117"/>
      <c r="F725" s="123"/>
      <c r="G725" s="93" t="s">
        <v>145</v>
      </c>
      <c r="H725" s="125"/>
      <c r="I725" s="125"/>
      <c r="J725" s="82" t="str">
        <f t="shared" ca="1" si="147"/>
        <v>#REF!</v>
      </c>
      <c r="K725" s="82" t="str">
        <f t="shared" ca="1" si="256"/>
        <v>#REF!</v>
      </c>
      <c r="L725" s="82" t="str">
        <f t="shared" ca="1" si="199"/>
        <v>#REF!</v>
      </c>
      <c r="M725" s="125"/>
      <c r="N725" s="125"/>
      <c r="O725" s="230">
        <f t="shared" si="2"/>
        <v>0</v>
      </c>
      <c r="P725" s="231">
        <f t="shared" si="3"/>
        <v>0</v>
      </c>
      <c r="Q725" s="232" t="str">
        <f ca="1">ROUNDUP(HLOOKUP(IF(CEILING(L725,0.5)&lt;1,1,CEILING(L725,0.5)),'배송비 조회'!A$32:AY$36,2,0),-2)</f>
        <v>#REF!</v>
      </c>
      <c r="R725" s="232">
        <v>0</v>
      </c>
      <c r="S725" s="231" t="str">
        <f t="shared" ca="1" si="250"/>
        <v>#REF!</v>
      </c>
      <c r="T725" s="231" t="str">
        <f t="shared" ca="1" si="200"/>
        <v>#REF!</v>
      </c>
      <c r="U725" s="233" t="str">
        <f t="shared" ca="1" si="142"/>
        <v>#REF!</v>
      </c>
      <c r="V725" s="233" t="str">
        <f t="shared" ca="1" si="7"/>
        <v>#REF!</v>
      </c>
      <c r="W725" s="234">
        <v>0</v>
      </c>
      <c r="X725" s="234" t="str">
        <f t="shared" ca="1" si="8"/>
        <v>#REF!</v>
      </c>
      <c r="Y725" s="234" t="str">
        <f t="shared" ca="1" si="9"/>
        <v>#REF!</v>
      </c>
      <c r="Z725" s="234" t="str">
        <f t="shared" ca="1" si="10"/>
        <v>#REF!</v>
      </c>
      <c r="AA725" s="234" t="str">
        <f t="shared" ca="1" si="11"/>
        <v>#REF!</v>
      </c>
      <c r="AB725" s="234" t="str">
        <f t="shared" ca="1" si="12"/>
        <v>#REF!</v>
      </c>
      <c r="AC725" s="234" t="str">
        <f t="shared" ca="1" si="13"/>
        <v>#REF!</v>
      </c>
      <c r="AD725" s="101" t="str">
        <f t="shared" ca="1" si="14"/>
        <v>#REF!</v>
      </c>
      <c r="AE725" s="101" t="str">
        <f t="shared" ca="1" si="15"/>
        <v>#REF!</v>
      </c>
      <c r="AF725" s="235" t="str">
        <f t="shared" ref="AF725:AG725" ca="1" si="802">AD725/U725</f>
        <v>#REF!</v>
      </c>
      <c r="AG725" s="235" t="str">
        <f t="shared" ca="1" si="802"/>
        <v>#REF!</v>
      </c>
      <c r="AH725" s="212"/>
      <c r="AI725" s="213"/>
      <c r="AJ725" s="4"/>
      <c r="AK725" s="4"/>
      <c r="AL725" s="4"/>
      <c r="AM725" s="4"/>
      <c r="AN725" s="4"/>
      <c r="AO725" s="4"/>
      <c r="AP725" s="4"/>
      <c r="AQ725" s="4"/>
      <c r="AR725" s="4"/>
      <c r="AS725" s="4"/>
      <c r="AT725" s="4"/>
      <c r="AU725" s="4"/>
    </row>
    <row r="726" spans="1:47" ht="13.2">
      <c r="A726" s="120"/>
      <c r="B726" s="113"/>
      <c r="C726" s="117"/>
      <c r="D726" s="117"/>
      <c r="E726" s="117"/>
      <c r="F726" s="123"/>
      <c r="G726" s="93" t="s">
        <v>145</v>
      </c>
      <c r="H726" s="125"/>
      <c r="I726" s="125"/>
      <c r="J726" s="82" t="str">
        <f t="shared" ca="1" si="147"/>
        <v>#REF!</v>
      </c>
      <c r="K726" s="82" t="str">
        <f t="shared" ca="1" si="256"/>
        <v>#REF!</v>
      </c>
      <c r="L726" s="82" t="str">
        <f t="shared" ca="1" si="199"/>
        <v>#REF!</v>
      </c>
      <c r="M726" s="125"/>
      <c r="N726" s="125"/>
      <c r="O726" s="230">
        <f t="shared" si="2"/>
        <v>0</v>
      </c>
      <c r="P726" s="231">
        <f t="shared" si="3"/>
        <v>0</v>
      </c>
      <c r="Q726" s="232" t="str">
        <f ca="1">ROUNDUP(HLOOKUP(IF(CEILING(L726,0.5)&lt;1,1,CEILING(L726,0.5)),'배송비 조회'!A$32:AY$36,2,0),-2)</f>
        <v>#REF!</v>
      </c>
      <c r="R726" s="232">
        <v>0</v>
      </c>
      <c r="S726" s="231" t="str">
        <f t="shared" ca="1" si="250"/>
        <v>#REF!</v>
      </c>
      <c r="T726" s="231" t="str">
        <f t="shared" ca="1" si="200"/>
        <v>#REF!</v>
      </c>
      <c r="U726" s="233" t="str">
        <f t="shared" ca="1" si="142"/>
        <v>#REF!</v>
      </c>
      <c r="V726" s="233" t="str">
        <f t="shared" ca="1" si="7"/>
        <v>#REF!</v>
      </c>
      <c r="W726" s="234">
        <v>0</v>
      </c>
      <c r="X726" s="234" t="str">
        <f t="shared" ca="1" si="8"/>
        <v>#REF!</v>
      </c>
      <c r="Y726" s="234" t="str">
        <f t="shared" ca="1" si="9"/>
        <v>#REF!</v>
      </c>
      <c r="Z726" s="234" t="str">
        <f t="shared" ca="1" si="10"/>
        <v>#REF!</v>
      </c>
      <c r="AA726" s="234" t="str">
        <f t="shared" ca="1" si="11"/>
        <v>#REF!</v>
      </c>
      <c r="AB726" s="234" t="str">
        <f t="shared" ca="1" si="12"/>
        <v>#REF!</v>
      </c>
      <c r="AC726" s="234" t="str">
        <f t="shared" ca="1" si="13"/>
        <v>#REF!</v>
      </c>
      <c r="AD726" s="101" t="str">
        <f t="shared" ca="1" si="14"/>
        <v>#REF!</v>
      </c>
      <c r="AE726" s="101" t="str">
        <f t="shared" ca="1" si="15"/>
        <v>#REF!</v>
      </c>
      <c r="AF726" s="235" t="str">
        <f t="shared" ref="AF726:AG726" ca="1" si="803">AD726/U726</f>
        <v>#REF!</v>
      </c>
      <c r="AG726" s="235" t="str">
        <f t="shared" ca="1" si="803"/>
        <v>#REF!</v>
      </c>
      <c r="AH726" s="212"/>
      <c r="AI726" s="213"/>
      <c r="AJ726" s="4"/>
      <c r="AK726" s="4"/>
      <c r="AL726" s="4"/>
      <c r="AM726" s="4"/>
      <c r="AN726" s="4"/>
      <c r="AO726" s="4"/>
      <c r="AP726" s="4"/>
      <c r="AQ726" s="4"/>
      <c r="AR726" s="4"/>
      <c r="AS726" s="4"/>
      <c r="AT726" s="4"/>
      <c r="AU726" s="4"/>
    </row>
    <row r="727" spans="1:47" ht="13.2">
      <c r="A727" s="120"/>
      <c r="B727" s="113"/>
      <c r="C727" s="117"/>
      <c r="D727" s="117"/>
      <c r="E727" s="117"/>
      <c r="F727" s="123"/>
      <c r="G727" s="93" t="s">
        <v>145</v>
      </c>
      <c r="H727" s="125"/>
      <c r="I727" s="125"/>
      <c r="J727" s="82" t="str">
        <f t="shared" ca="1" si="147"/>
        <v>#REF!</v>
      </c>
      <c r="K727" s="82" t="str">
        <f t="shared" ca="1" si="256"/>
        <v>#REF!</v>
      </c>
      <c r="L727" s="82" t="str">
        <f t="shared" ca="1" si="199"/>
        <v>#REF!</v>
      </c>
      <c r="M727" s="125"/>
      <c r="N727" s="125"/>
      <c r="O727" s="230">
        <f t="shared" si="2"/>
        <v>0</v>
      </c>
      <c r="P727" s="231">
        <f t="shared" si="3"/>
        <v>0</v>
      </c>
      <c r="Q727" s="232" t="str">
        <f ca="1">ROUNDUP(HLOOKUP(IF(CEILING(L727,0.5)&lt;1,1,CEILING(L727,0.5)),'배송비 조회'!A$32:AY$36,2,0),-2)</f>
        <v>#REF!</v>
      </c>
      <c r="R727" s="232">
        <v>0</v>
      </c>
      <c r="S727" s="231" t="str">
        <f t="shared" ca="1" si="250"/>
        <v>#REF!</v>
      </c>
      <c r="T727" s="231" t="str">
        <f t="shared" ca="1" si="200"/>
        <v>#REF!</v>
      </c>
      <c r="U727" s="233" t="str">
        <f t="shared" ca="1" si="142"/>
        <v>#REF!</v>
      </c>
      <c r="V727" s="233" t="str">
        <f t="shared" ca="1" si="7"/>
        <v>#REF!</v>
      </c>
      <c r="W727" s="234">
        <v>0</v>
      </c>
      <c r="X727" s="234" t="str">
        <f t="shared" ca="1" si="8"/>
        <v>#REF!</v>
      </c>
      <c r="Y727" s="234" t="str">
        <f t="shared" ca="1" si="9"/>
        <v>#REF!</v>
      </c>
      <c r="Z727" s="234" t="str">
        <f t="shared" ca="1" si="10"/>
        <v>#REF!</v>
      </c>
      <c r="AA727" s="234" t="str">
        <f t="shared" ca="1" si="11"/>
        <v>#REF!</v>
      </c>
      <c r="AB727" s="234" t="str">
        <f t="shared" ca="1" si="12"/>
        <v>#REF!</v>
      </c>
      <c r="AC727" s="234" t="str">
        <f t="shared" ca="1" si="13"/>
        <v>#REF!</v>
      </c>
      <c r="AD727" s="101" t="str">
        <f t="shared" ca="1" si="14"/>
        <v>#REF!</v>
      </c>
      <c r="AE727" s="101" t="str">
        <f t="shared" ca="1" si="15"/>
        <v>#REF!</v>
      </c>
      <c r="AF727" s="235" t="str">
        <f t="shared" ref="AF727:AG727" ca="1" si="804">AD727/U727</f>
        <v>#REF!</v>
      </c>
      <c r="AG727" s="235" t="str">
        <f t="shared" ca="1" si="804"/>
        <v>#REF!</v>
      </c>
      <c r="AH727" s="212"/>
      <c r="AI727" s="213"/>
      <c r="AJ727" s="4"/>
      <c r="AK727" s="4"/>
      <c r="AL727" s="4"/>
      <c r="AM727" s="4"/>
      <c r="AN727" s="4"/>
      <c r="AO727" s="4"/>
      <c r="AP727" s="4"/>
      <c r="AQ727" s="4"/>
      <c r="AR727" s="4"/>
      <c r="AS727" s="4"/>
      <c r="AT727" s="4"/>
      <c r="AU727" s="4"/>
    </row>
    <row r="728" spans="1:47" ht="13.2">
      <c r="A728" s="120"/>
      <c r="B728" s="113"/>
      <c r="C728" s="117"/>
      <c r="D728" s="117"/>
      <c r="E728" s="117"/>
      <c r="F728" s="123"/>
      <c r="G728" s="93" t="s">
        <v>145</v>
      </c>
      <c r="H728" s="125"/>
      <c r="I728" s="125"/>
      <c r="J728" s="82" t="str">
        <f t="shared" ca="1" si="147"/>
        <v>#REF!</v>
      </c>
      <c r="K728" s="82" t="str">
        <f t="shared" ca="1" si="256"/>
        <v>#REF!</v>
      </c>
      <c r="L728" s="82" t="str">
        <f t="shared" ca="1" si="199"/>
        <v>#REF!</v>
      </c>
      <c r="M728" s="125"/>
      <c r="N728" s="125"/>
      <c r="O728" s="230">
        <f t="shared" si="2"/>
        <v>0</v>
      </c>
      <c r="P728" s="231">
        <f t="shared" si="3"/>
        <v>0</v>
      </c>
      <c r="Q728" s="232" t="str">
        <f ca="1">ROUNDUP(HLOOKUP(IF(CEILING(L728,0.5)&lt;1,1,CEILING(L728,0.5)),'배송비 조회'!A$32:AY$36,2,0),-2)</f>
        <v>#REF!</v>
      </c>
      <c r="R728" s="232">
        <v>0</v>
      </c>
      <c r="S728" s="231" t="str">
        <f t="shared" ca="1" si="250"/>
        <v>#REF!</v>
      </c>
      <c r="T728" s="231" t="str">
        <f t="shared" ca="1" si="200"/>
        <v>#REF!</v>
      </c>
      <c r="U728" s="233" t="str">
        <f t="shared" ca="1" si="142"/>
        <v>#REF!</v>
      </c>
      <c r="V728" s="233" t="str">
        <f t="shared" ca="1" si="7"/>
        <v>#REF!</v>
      </c>
      <c r="W728" s="234">
        <v>0</v>
      </c>
      <c r="X728" s="234" t="str">
        <f t="shared" ca="1" si="8"/>
        <v>#REF!</v>
      </c>
      <c r="Y728" s="234" t="str">
        <f t="shared" ca="1" si="9"/>
        <v>#REF!</v>
      </c>
      <c r="Z728" s="234" t="str">
        <f t="shared" ca="1" si="10"/>
        <v>#REF!</v>
      </c>
      <c r="AA728" s="234" t="str">
        <f t="shared" ca="1" si="11"/>
        <v>#REF!</v>
      </c>
      <c r="AB728" s="234" t="str">
        <f t="shared" ca="1" si="12"/>
        <v>#REF!</v>
      </c>
      <c r="AC728" s="234" t="str">
        <f t="shared" ca="1" si="13"/>
        <v>#REF!</v>
      </c>
      <c r="AD728" s="101" t="str">
        <f t="shared" ca="1" si="14"/>
        <v>#REF!</v>
      </c>
      <c r="AE728" s="101" t="str">
        <f t="shared" ca="1" si="15"/>
        <v>#REF!</v>
      </c>
      <c r="AF728" s="235" t="str">
        <f t="shared" ref="AF728:AG728" ca="1" si="805">AD728/U728</f>
        <v>#REF!</v>
      </c>
      <c r="AG728" s="235" t="str">
        <f t="shared" ca="1" si="805"/>
        <v>#REF!</v>
      </c>
      <c r="AH728" s="212"/>
      <c r="AI728" s="213"/>
      <c r="AJ728" s="4"/>
      <c r="AK728" s="4"/>
      <c r="AL728" s="4"/>
      <c r="AM728" s="4"/>
      <c r="AN728" s="4"/>
      <c r="AO728" s="4"/>
      <c r="AP728" s="4"/>
      <c r="AQ728" s="4"/>
      <c r="AR728" s="4"/>
      <c r="AS728" s="4"/>
      <c r="AT728" s="4"/>
      <c r="AU728" s="4"/>
    </row>
    <row r="729" spans="1:47" ht="13.2">
      <c r="A729" s="120"/>
      <c r="B729" s="113"/>
      <c r="C729" s="117"/>
      <c r="D729" s="117"/>
      <c r="E729" s="117"/>
      <c r="F729" s="123"/>
      <c r="G729" s="93" t="s">
        <v>145</v>
      </c>
      <c r="H729" s="125"/>
      <c r="I729" s="125"/>
      <c r="J729" s="82" t="str">
        <f t="shared" ca="1" si="147"/>
        <v>#REF!</v>
      </c>
      <c r="K729" s="82" t="str">
        <f t="shared" ca="1" si="256"/>
        <v>#REF!</v>
      </c>
      <c r="L729" s="82" t="str">
        <f t="shared" ca="1" si="199"/>
        <v>#REF!</v>
      </c>
      <c r="M729" s="125"/>
      <c r="N729" s="125"/>
      <c r="O729" s="230">
        <f t="shared" si="2"/>
        <v>0</v>
      </c>
      <c r="P729" s="231">
        <f t="shared" si="3"/>
        <v>0</v>
      </c>
      <c r="Q729" s="232" t="str">
        <f ca="1">ROUNDUP(HLOOKUP(IF(CEILING(L729,0.5)&lt;1,1,CEILING(L729,0.5)),'배송비 조회'!A$32:AY$36,2,0),-2)</f>
        <v>#REF!</v>
      </c>
      <c r="R729" s="232">
        <v>0</v>
      </c>
      <c r="S729" s="231" t="str">
        <f t="shared" ca="1" si="250"/>
        <v>#REF!</v>
      </c>
      <c r="T729" s="231" t="str">
        <f t="shared" ca="1" si="200"/>
        <v>#REF!</v>
      </c>
      <c r="U729" s="233" t="str">
        <f t="shared" ca="1" si="142"/>
        <v>#REF!</v>
      </c>
      <c r="V729" s="233" t="str">
        <f t="shared" ca="1" si="7"/>
        <v>#REF!</v>
      </c>
      <c r="W729" s="234">
        <v>0</v>
      </c>
      <c r="X729" s="234" t="str">
        <f t="shared" ca="1" si="8"/>
        <v>#REF!</v>
      </c>
      <c r="Y729" s="234" t="str">
        <f t="shared" ca="1" si="9"/>
        <v>#REF!</v>
      </c>
      <c r="Z729" s="234" t="str">
        <f t="shared" ca="1" si="10"/>
        <v>#REF!</v>
      </c>
      <c r="AA729" s="234" t="str">
        <f t="shared" ca="1" si="11"/>
        <v>#REF!</v>
      </c>
      <c r="AB729" s="234" t="str">
        <f t="shared" ca="1" si="12"/>
        <v>#REF!</v>
      </c>
      <c r="AC729" s="234" t="str">
        <f t="shared" ca="1" si="13"/>
        <v>#REF!</v>
      </c>
      <c r="AD729" s="101" t="str">
        <f t="shared" ca="1" si="14"/>
        <v>#REF!</v>
      </c>
      <c r="AE729" s="101" t="str">
        <f t="shared" ca="1" si="15"/>
        <v>#REF!</v>
      </c>
      <c r="AF729" s="235" t="str">
        <f t="shared" ref="AF729:AG729" ca="1" si="806">AD729/U729</f>
        <v>#REF!</v>
      </c>
      <c r="AG729" s="235" t="str">
        <f t="shared" ca="1" si="806"/>
        <v>#REF!</v>
      </c>
      <c r="AH729" s="212"/>
      <c r="AI729" s="213"/>
      <c r="AJ729" s="4"/>
      <c r="AK729" s="4"/>
      <c r="AL729" s="4"/>
      <c r="AM729" s="4"/>
      <c r="AN729" s="4"/>
      <c r="AO729" s="4"/>
      <c r="AP729" s="4"/>
      <c r="AQ729" s="4"/>
      <c r="AR729" s="4"/>
      <c r="AS729" s="4"/>
      <c r="AT729" s="4"/>
      <c r="AU729" s="4"/>
    </row>
    <row r="730" spans="1:47" ht="13.2">
      <c r="A730" s="120"/>
      <c r="B730" s="113"/>
      <c r="C730" s="117"/>
      <c r="D730" s="117"/>
      <c r="E730" s="117"/>
      <c r="F730" s="123"/>
      <c r="G730" s="93" t="s">
        <v>145</v>
      </c>
      <c r="H730" s="125"/>
      <c r="I730" s="125"/>
      <c r="J730" s="82" t="str">
        <f t="shared" ca="1" si="147"/>
        <v>#REF!</v>
      </c>
      <c r="K730" s="82" t="str">
        <f t="shared" ca="1" si="256"/>
        <v>#REF!</v>
      </c>
      <c r="L730" s="82" t="str">
        <f t="shared" ca="1" si="199"/>
        <v>#REF!</v>
      </c>
      <c r="M730" s="125"/>
      <c r="N730" s="125"/>
      <c r="O730" s="230">
        <f t="shared" si="2"/>
        <v>0</v>
      </c>
      <c r="P730" s="231">
        <f t="shared" si="3"/>
        <v>0</v>
      </c>
      <c r="Q730" s="232" t="str">
        <f ca="1">ROUNDUP(HLOOKUP(IF(CEILING(L730,0.5)&lt;1,1,CEILING(L730,0.5)),'배송비 조회'!A$32:AY$36,2,0),-2)</f>
        <v>#REF!</v>
      </c>
      <c r="R730" s="232">
        <v>0</v>
      </c>
      <c r="S730" s="231" t="str">
        <f t="shared" ca="1" si="250"/>
        <v>#REF!</v>
      </c>
      <c r="T730" s="231" t="str">
        <f t="shared" ca="1" si="200"/>
        <v>#REF!</v>
      </c>
      <c r="U730" s="233" t="str">
        <f t="shared" ca="1" si="142"/>
        <v>#REF!</v>
      </c>
      <c r="V730" s="233" t="str">
        <f t="shared" ca="1" si="7"/>
        <v>#REF!</v>
      </c>
      <c r="W730" s="234">
        <v>0</v>
      </c>
      <c r="X730" s="234" t="str">
        <f t="shared" ca="1" si="8"/>
        <v>#REF!</v>
      </c>
      <c r="Y730" s="234" t="str">
        <f t="shared" ca="1" si="9"/>
        <v>#REF!</v>
      </c>
      <c r="Z730" s="234" t="str">
        <f t="shared" ca="1" si="10"/>
        <v>#REF!</v>
      </c>
      <c r="AA730" s="234" t="str">
        <f t="shared" ca="1" si="11"/>
        <v>#REF!</v>
      </c>
      <c r="AB730" s="234" t="str">
        <f t="shared" ca="1" si="12"/>
        <v>#REF!</v>
      </c>
      <c r="AC730" s="234" t="str">
        <f t="shared" ca="1" si="13"/>
        <v>#REF!</v>
      </c>
      <c r="AD730" s="101" t="str">
        <f t="shared" ca="1" si="14"/>
        <v>#REF!</v>
      </c>
      <c r="AE730" s="101" t="str">
        <f t="shared" ca="1" si="15"/>
        <v>#REF!</v>
      </c>
      <c r="AF730" s="235" t="str">
        <f t="shared" ref="AF730:AG730" ca="1" si="807">AD730/U730</f>
        <v>#REF!</v>
      </c>
      <c r="AG730" s="235" t="str">
        <f t="shared" ca="1" si="807"/>
        <v>#REF!</v>
      </c>
      <c r="AH730" s="212"/>
      <c r="AI730" s="213"/>
      <c r="AJ730" s="4"/>
      <c r="AK730" s="4"/>
      <c r="AL730" s="4"/>
      <c r="AM730" s="4"/>
      <c r="AN730" s="4"/>
      <c r="AO730" s="4"/>
      <c r="AP730" s="4"/>
      <c r="AQ730" s="4"/>
      <c r="AR730" s="4"/>
      <c r="AS730" s="4"/>
      <c r="AT730" s="4"/>
      <c r="AU730" s="4"/>
    </row>
    <row r="731" spans="1:47" ht="13.2">
      <c r="A731" s="120"/>
      <c r="B731" s="113"/>
      <c r="C731" s="117"/>
      <c r="D731" s="117"/>
      <c r="E731" s="117"/>
      <c r="F731" s="123"/>
      <c r="G731" s="93" t="s">
        <v>145</v>
      </c>
      <c r="H731" s="125"/>
      <c r="I731" s="125"/>
      <c r="J731" s="82" t="str">
        <f t="shared" ca="1" si="147"/>
        <v>#REF!</v>
      </c>
      <c r="K731" s="82" t="str">
        <f t="shared" ca="1" si="256"/>
        <v>#REF!</v>
      </c>
      <c r="L731" s="82" t="str">
        <f t="shared" ca="1" si="199"/>
        <v>#REF!</v>
      </c>
      <c r="M731" s="125"/>
      <c r="N731" s="125"/>
      <c r="O731" s="230">
        <f t="shared" si="2"/>
        <v>0</v>
      </c>
      <c r="P731" s="231">
        <f t="shared" si="3"/>
        <v>0</v>
      </c>
      <c r="Q731" s="232" t="str">
        <f ca="1">ROUNDUP(HLOOKUP(IF(CEILING(L731,0.5)&lt;1,1,CEILING(L731,0.5)),'배송비 조회'!A$32:AY$36,2,0),-2)</f>
        <v>#REF!</v>
      </c>
      <c r="R731" s="232">
        <v>0</v>
      </c>
      <c r="S731" s="231" t="str">
        <f t="shared" ca="1" si="250"/>
        <v>#REF!</v>
      </c>
      <c r="T731" s="231" t="str">
        <f t="shared" ca="1" si="200"/>
        <v>#REF!</v>
      </c>
      <c r="U731" s="233" t="str">
        <f t="shared" ca="1" si="142"/>
        <v>#REF!</v>
      </c>
      <c r="V731" s="233" t="str">
        <f t="shared" ca="1" si="7"/>
        <v>#REF!</v>
      </c>
      <c r="W731" s="234">
        <v>0</v>
      </c>
      <c r="X731" s="234" t="str">
        <f t="shared" ca="1" si="8"/>
        <v>#REF!</v>
      </c>
      <c r="Y731" s="234" t="str">
        <f t="shared" ca="1" si="9"/>
        <v>#REF!</v>
      </c>
      <c r="Z731" s="234" t="str">
        <f t="shared" ca="1" si="10"/>
        <v>#REF!</v>
      </c>
      <c r="AA731" s="234" t="str">
        <f t="shared" ca="1" si="11"/>
        <v>#REF!</v>
      </c>
      <c r="AB731" s="234" t="str">
        <f t="shared" ca="1" si="12"/>
        <v>#REF!</v>
      </c>
      <c r="AC731" s="234" t="str">
        <f t="shared" ca="1" si="13"/>
        <v>#REF!</v>
      </c>
      <c r="AD731" s="101" t="str">
        <f t="shared" ca="1" si="14"/>
        <v>#REF!</v>
      </c>
      <c r="AE731" s="101" t="str">
        <f t="shared" ca="1" si="15"/>
        <v>#REF!</v>
      </c>
      <c r="AF731" s="235" t="str">
        <f t="shared" ref="AF731:AG731" ca="1" si="808">AD731/U731</f>
        <v>#REF!</v>
      </c>
      <c r="AG731" s="235" t="str">
        <f t="shared" ca="1" si="808"/>
        <v>#REF!</v>
      </c>
      <c r="AH731" s="212"/>
      <c r="AI731" s="213"/>
      <c r="AJ731" s="4"/>
      <c r="AK731" s="4"/>
      <c r="AL731" s="4"/>
      <c r="AM731" s="4"/>
      <c r="AN731" s="4"/>
      <c r="AO731" s="4"/>
      <c r="AP731" s="4"/>
      <c r="AQ731" s="4"/>
      <c r="AR731" s="4"/>
      <c r="AS731" s="4"/>
      <c r="AT731" s="4"/>
      <c r="AU731" s="4"/>
    </row>
    <row r="732" spans="1:47" ht="13.2">
      <c r="A732" s="120"/>
      <c r="B732" s="113"/>
      <c r="C732" s="117"/>
      <c r="D732" s="117"/>
      <c r="E732" s="117"/>
      <c r="F732" s="123"/>
      <c r="G732" s="93" t="s">
        <v>145</v>
      </c>
      <c r="H732" s="125"/>
      <c r="I732" s="125"/>
      <c r="J732" s="82" t="str">
        <f t="shared" ca="1" si="147"/>
        <v>#REF!</v>
      </c>
      <c r="K732" s="82" t="str">
        <f t="shared" ca="1" si="256"/>
        <v>#REF!</v>
      </c>
      <c r="L732" s="82" t="str">
        <f t="shared" ca="1" si="199"/>
        <v>#REF!</v>
      </c>
      <c r="M732" s="125"/>
      <c r="N732" s="125"/>
      <c r="O732" s="230">
        <f t="shared" si="2"/>
        <v>0</v>
      </c>
      <c r="P732" s="231">
        <f t="shared" si="3"/>
        <v>0</v>
      </c>
      <c r="Q732" s="232" t="str">
        <f ca="1">ROUNDUP(HLOOKUP(IF(CEILING(L732,0.5)&lt;1,1,CEILING(L732,0.5)),'배송비 조회'!A$32:AY$36,2,0),-2)</f>
        <v>#REF!</v>
      </c>
      <c r="R732" s="232">
        <v>0</v>
      </c>
      <c r="S732" s="231" t="str">
        <f t="shared" ca="1" si="250"/>
        <v>#REF!</v>
      </c>
      <c r="T732" s="231" t="str">
        <f t="shared" ca="1" si="200"/>
        <v>#REF!</v>
      </c>
      <c r="U732" s="233" t="str">
        <f t="shared" ca="1" si="142"/>
        <v>#REF!</v>
      </c>
      <c r="V732" s="233" t="str">
        <f t="shared" ca="1" si="7"/>
        <v>#REF!</v>
      </c>
      <c r="W732" s="234">
        <v>0</v>
      </c>
      <c r="X732" s="234" t="str">
        <f t="shared" ca="1" si="8"/>
        <v>#REF!</v>
      </c>
      <c r="Y732" s="234" t="str">
        <f t="shared" ca="1" si="9"/>
        <v>#REF!</v>
      </c>
      <c r="Z732" s="234" t="str">
        <f t="shared" ca="1" si="10"/>
        <v>#REF!</v>
      </c>
      <c r="AA732" s="234" t="str">
        <f t="shared" ca="1" si="11"/>
        <v>#REF!</v>
      </c>
      <c r="AB732" s="234" t="str">
        <f t="shared" ca="1" si="12"/>
        <v>#REF!</v>
      </c>
      <c r="AC732" s="234" t="str">
        <f t="shared" ca="1" si="13"/>
        <v>#REF!</v>
      </c>
      <c r="AD732" s="101" t="str">
        <f t="shared" ca="1" si="14"/>
        <v>#REF!</v>
      </c>
      <c r="AE732" s="101" t="str">
        <f t="shared" ca="1" si="15"/>
        <v>#REF!</v>
      </c>
      <c r="AF732" s="235" t="str">
        <f t="shared" ref="AF732:AG732" ca="1" si="809">AD732/U732</f>
        <v>#REF!</v>
      </c>
      <c r="AG732" s="235" t="str">
        <f t="shared" ca="1" si="809"/>
        <v>#REF!</v>
      </c>
      <c r="AH732" s="212"/>
      <c r="AI732" s="213"/>
      <c r="AJ732" s="4"/>
      <c r="AK732" s="4"/>
      <c r="AL732" s="4"/>
      <c r="AM732" s="4"/>
      <c r="AN732" s="4"/>
      <c r="AO732" s="4"/>
      <c r="AP732" s="4"/>
      <c r="AQ732" s="4"/>
      <c r="AR732" s="4"/>
      <c r="AS732" s="4"/>
      <c r="AT732" s="4"/>
      <c r="AU732" s="4"/>
    </row>
    <row r="733" spans="1:47" ht="13.2">
      <c r="A733" s="120"/>
      <c r="B733" s="113"/>
      <c r="C733" s="117"/>
      <c r="D733" s="117"/>
      <c r="E733" s="117"/>
      <c r="F733" s="123"/>
      <c r="G733" s="93" t="s">
        <v>145</v>
      </c>
      <c r="H733" s="125"/>
      <c r="I733" s="125"/>
      <c r="J733" s="82" t="str">
        <f t="shared" ca="1" si="147"/>
        <v>#REF!</v>
      </c>
      <c r="K733" s="82" t="str">
        <f t="shared" ca="1" si="256"/>
        <v>#REF!</v>
      </c>
      <c r="L733" s="82" t="str">
        <f t="shared" ca="1" si="199"/>
        <v>#REF!</v>
      </c>
      <c r="M733" s="125"/>
      <c r="N733" s="125"/>
      <c r="O733" s="230">
        <f t="shared" si="2"/>
        <v>0</v>
      </c>
      <c r="P733" s="231">
        <f t="shared" si="3"/>
        <v>0</v>
      </c>
      <c r="Q733" s="232" t="str">
        <f ca="1">ROUNDUP(HLOOKUP(IF(CEILING(L733,0.5)&lt;1,1,CEILING(L733,0.5)),'배송비 조회'!A$32:AY$36,2,0),-2)</f>
        <v>#REF!</v>
      </c>
      <c r="R733" s="232">
        <v>0</v>
      </c>
      <c r="S733" s="231" t="str">
        <f t="shared" ca="1" si="250"/>
        <v>#REF!</v>
      </c>
      <c r="T733" s="231" t="str">
        <f t="shared" ca="1" si="200"/>
        <v>#REF!</v>
      </c>
      <c r="U733" s="233" t="str">
        <f t="shared" ca="1" si="142"/>
        <v>#REF!</v>
      </c>
      <c r="V733" s="233" t="str">
        <f t="shared" ca="1" si="7"/>
        <v>#REF!</v>
      </c>
      <c r="W733" s="234">
        <v>0</v>
      </c>
      <c r="X733" s="234" t="str">
        <f t="shared" ca="1" si="8"/>
        <v>#REF!</v>
      </c>
      <c r="Y733" s="234" t="str">
        <f t="shared" ca="1" si="9"/>
        <v>#REF!</v>
      </c>
      <c r="Z733" s="234" t="str">
        <f t="shared" ca="1" si="10"/>
        <v>#REF!</v>
      </c>
      <c r="AA733" s="234" t="str">
        <f t="shared" ca="1" si="11"/>
        <v>#REF!</v>
      </c>
      <c r="AB733" s="234" t="str">
        <f t="shared" ca="1" si="12"/>
        <v>#REF!</v>
      </c>
      <c r="AC733" s="234" t="str">
        <f t="shared" ca="1" si="13"/>
        <v>#REF!</v>
      </c>
      <c r="AD733" s="101" t="str">
        <f t="shared" ca="1" si="14"/>
        <v>#REF!</v>
      </c>
      <c r="AE733" s="101" t="str">
        <f t="shared" ca="1" si="15"/>
        <v>#REF!</v>
      </c>
      <c r="AF733" s="235" t="str">
        <f t="shared" ref="AF733:AG733" ca="1" si="810">AD733/U733</f>
        <v>#REF!</v>
      </c>
      <c r="AG733" s="235" t="str">
        <f t="shared" ca="1" si="810"/>
        <v>#REF!</v>
      </c>
      <c r="AH733" s="212"/>
      <c r="AI733" s="213"/>
      <c r="AJ733" s="4"/>
      <c r="AK733" s="4"/>
      <c r="AL733" s="4"/>
      <c r="AM733" s="4"/>
      <c r="AN733" s="4"/>
      <c r="AO733" s="4"/>
      <c r="AP733" s="4"/>
      <c r="AQ733" s="4"/>
      <c r="AR733" s="4"/>
      <c r="AS733" s="4"/>
      <c r="AT733" s="4"/>
      <c r="AU733" s="4"/>
    </row>
    <row r="734" spans="1:47" ht="13.2">
      <c r="A734" s="120"/>
      <c r="B734" s="113"/>
      <c r="C734" s="117"/>
      <c r="D734" s="117"/>
      <c r="E734" s="117"/>
      <c r="F734" s="123"/>
      <c r="G734" s="93" t="s">
        <v>145</v>
      </c>
      <c r="H734" s="125"/>
      <c r="I734" s="125"/>
      <c r="J734" s="82" t="str">
        <f t="shared" ca="1" si="147"/>
        <v>#REF!</v>
      </c>
      <c r="K734" s="82" t="str">
        <f t="shared" ca="1" si="256"/>
        <v>#REF!</v>
      </c>
      <c r="L734" s="82" t="str">
        <f t="shared" ca="1" si="199"/>
        <v>#REF!</v>
      </c>
      <c r="M734" s="125"/>
      <c r="N734" s="125"/>
      <c r="O734" s="230">
        <f t="shared" si="2"/>
        <v>0</v>
      </c>
      <c r="P734" s="231">
        <f t="shared" si="3"/>
        <v>0</v>
      </c>
      <c r="Q734" s="232" t="str">
        <f ca="1">ROUNDUP(HLOOKUP(IF(CEILING(L734,0.5)&lt;1,1,CEILING(L734,0.5)),'배송비 조회'!A$32:AY$36,2,0),-2)</f>
        <v>#REF!</v>
      </c>
      <c r="R734" s="232">
        <v>0</v>
      </c>
      <c r="S734" s="231" t="str">
        <f t="shared" ca="1" si="250"/>
        <v>#REF!</v>
      </c>
      <c r="T734" s="231" t="str">
        <f t="shared" ca="1" si="200"/>
        <v>#REF!</v>
      </c>
      <c r="U734" s="233" t="str">
        <f t="shared" ca="1" si="142"/>
        <v>#REF!</v>
      </c>
      <c r="V734" s="233" t="str">
        <f t="shared" ca="1" si="7"/>
        <v>#REF!</v>
      </c>
      <c r="W734" s="234">
        <v>0</v>
      </c>
      <c r="X734" s="234" t="str">
        <f t="shared" ca="1" si="8"/>
        <v>#REF!</v>
      </c>
      <c r="Y734" s="234" t="str">
        <f t="shared" ca="1" si="9"/>
        <v>#REF!</v>
      </c>
      <c r="Z734" s="234" t="str">
        <f t="shared" ca="1" si="10"/>
        <v>#REF!</v>
      </c>
      <c r="AA734" s="234" t="str">
        <f t="shared" ca="1" si="11"/>
        <v>#REF!</v>
      </c>
      <c r="AB734" s="234" t="str">
        <f t="shared" ca="1" si="12"/>
        <v>#REF!</v>
      </c>
      <c r="AC734" s="234" t="str">
        <f t="shared" ca="1" si="13"/>
        <v>#REF!</v>
      </c>
      <c r="AD734" s="101" t="str">
        <f t="shared" ca="1" si="14"/>
        <v>#REF!</v>
      </c>
      <c r="AE734" s="101" t="str">
        <f t="shared" ca="1" si="15"/>
        <v>#REF!</v>
      </c>
      <c r="AF734" s="235" t="str">
        <f t="shared" ref="AF734:AG734" ca="1" si="811">AD734/U734</f>
        <v>#REF!</v>
      </c>
      <c r="AG734" s="235" t="str">
        <f t="shared" ca="1" si="811"/>
        <v>#REF!</v>
      </c>
      <c r="AH734" s="212"/>
      <c r="AI734" s="213"/>
      <c r="AJ734" s="4"/>
      <c r="AK734" s="4"/>
      <c r="AL734" s="4"/>
      <c r="AM734" s="4"/>
      <c r="AN734" s="4"/>
      <c r="AO734" s="4"/>
      <c r="AP734" s="4"/>
      <c r="AQ734" s="4"/>
      <c r="AR734" s="4"/>
      <c r="AS734" s="4"/>
      <c r="AT734" s="4"/>
      <c r="AU734" s="4"/>
    </row>
    <row r="735" spans="1:47" ht="13.2">
      <c r="A735" s="120"/>
      <c r="B735" s="113"/>
      <c r="C735" s="117"/>
      <c r="D735" s="117"/>
      <c r="E735" s="117"/>
      <c r="F735" s="123"/>
      <c r="G735" s="93" t="s">
        <v>145</v>
      </c>
      <c r="H735" s="125"/>
      <c r="I735" s="125"/>
      <c r="J735" s="82" t="str">
        <f t="shared" ca="1" si="147"/>
        <v>#REF!</v>
      </c>
      <c r="K735" s="82" t="str">
        <f t="shared" ca="1" si="256"/>
        <v>#REF!</v>
      </c>
      <c r="L735" s="82" t="str">
        <f t="shared" ca="1" si="199"/>
        <v>#REF!</v>
      </c>
      <c r="M735" s="125"/>
      <c r="N735" s="125"/>
      <c r="O735" s="230">
        <f t="shared" si="2"/>
        <v>0</v>
      </c>
      <c r="P735" s="231">
        <f t="shared" si="3"/>
        <v>0</v>
      </c>
      <c r="Q735" s="232" t="str">
        <f ca="1">ROUNDUP(HLOOKUP(IF(CEILING(L735,0.5)&lt;1,1,CEILING(L735,0.5)),'배송비 조회'!A$32:AY$36,2,0),-2)</f>
        <v>#REF!</v>
      </c>
      <c r="R735" s="232">
        <v>0</v>
      </c>
      <c r="S735" s="231" t="str">
        <f t="shared" ca="1" si="250"/>
        <v>#REF!</v>
      </c>
      <c r="T735" s="231" t="str">
        <f t="shared" ca="1" si="200"/>
        <v>#REF!</v>
      </c>
      <c r="U735" s="233" t="str">
        <f t="shared" ca="1" si="142"/>
        <v>#REF!</v>
      </c>
      <c r="V735" s="233" t="str">
        <f t="shared" ca="1" si="7"/>
        <v>#REF!</v>
      </c>
      <c r="W735" s="234">
        <v>0</v>
      </c>
      <c r="X735" s="234" t="str">
        <f t="shared" ca="1" si="8"/>
        <v>#REF!</v>
      </c>
      <c r="Y735" s="234" t="str">
        <f t="shared" ca="1" si="9"/>
        <v>#REF!</v>
      </c>
      <c r="Z735" s="234" t="str">
        <f t="shared" ca="1" si="10"/>
        <v>#REF!</v>
      </c>
      <c r="AA735" s="234" t="str">
        <f t="shared" ca="1" si="11"/>
        <v>#REF!</v>
      </c>
      <c r="AB735" s="234" t="str">
        <f t="shared" ca="1" si="12"/>
        <v>#REF!</v>
      </c>
      <c r="AC735" s="234" t="str">
        <f t="shared" ca="1" si="13"/>
        <v>#REF!</v>
      </c>
      <c r="AD735" s="101" t="str">
        <f t="shared" ca="1" si="14"/>
        <v>#REF!</v>
      </c>
      <c r="AE735" s="101" t="str">
        <f t="shared" ca="1" si="15"/>
        <v>#REF!</v>
      </c>
      <c r="AF735" s="235" t="str">
        <f t="shared" ref="AF735:AG735" ca="1" si="812">AD735/U735</f>
        <v>#REF!</v>
      </c>
      <c r="AG735" s="235" t="str">
        <f t="shared" ca="1" si="812"/>
        <v>#REF!</v>
      </c>
      <c r="AH735" s="212"/>
      <c r="AI735" s="213"/>
      <c r="AJ735" s="4"/>
      <c r="AK735" s="4"/>
      <c r="AL735" s="4"/>
      <c r="AM735" s="4"/>
      <c r="AN735" s="4"/>
      <c r="AO735" s="4"/>
      <c r="AP735" s="4"/>
      <c r="AQ735" s="4"/>
      <c r="AR735" s="4"/>
      <c r="AS735" s="4"/>
      <c r="AT735" s="4"/>
      <c r="AU735" s="4"/>
    </row>
    <row r="736" spans="1:47" ht="13.2">
      <c r="A736" s="120"/>
      <c r="B736" s="113"/>
      <c r="C736" s="117"/>
      <c r="D736" s="117"/>
      <c r="E736" s="117"/>
      <c r="F736" s="123"/>
      <c r="G736" s="93" t="s">
        <v>145</v>
      </c>
      <c r="H736" s="125"/>
      <c r="I736" s="125"/>
      <c r="J736" s="82" t="str">
        <f t="shared" ca="1" si="147"/>
        <v>#REF!</v>
      </c>
      <c r="K736" s="82" t="str">
        <f t="shared" ca="1" si="256"/>
        <v>#REF!</v>
      </c>
      <c r="L736" s="82" t="str">
        <f t="shared" ca="1" si="199"/>
        <v>#REF!</v>
      </c>
      <c r="M736" s="125"/>
      <c r="N736" s="125"/>
      <c r="O736" s="230">
        <f t="shared" si="2"/>
        <v>0</v>
      </c>
      <c r="P736" s="231">
        <f t="shared" si="3"/>
        <v>0</v>
      </c>
      <c r="Q736" s="232" t="str">
        <f ca="1">ROUNDUP(HLOOKUP(IF(CEILING(L736,0.5)&lt;1,1,CEILING(L736,0.5)),'배송비 조회'!A$32:AY$36,2,0),-2)</f>
        <v>#REF!</v>
      </c>
      <c r="R736" s="232">
        <v>0</v>
      </c>
      <c r="S736" s="231" t="str">
        <f t="shared" ca="1" si="250"/>
        <v>#REF!</v>
      </c>
      <c r="T736" s="231" t="str">
        <f t="shared" ca="1" si="200"/>
        <v>#REF!</v>
      </c>
      <c r="U736" s="233" t="str">
        <f t="shared" ca="1" si="142"/>
        <v>#REF!</v>
      </c>
      <c r="V736" s="233" t="str">
        <f t="shared" ca="1" si="7"/>
        <v>#REF!</v>
      </c>
      <c r="W736" s="234">
        <v>0</v>
      </c>
      <c r="X736" s="234" t="str">
        <f t="shared" ca="1" si="8"/>
        <v>#REF!</v>
      </c>
      <c r="Y736" s="234" t="str">
        <f t="shared" ca="1" si="9"/>
        <v>#REF!</v>
      </c>
      <c r="Z736" s="234" t="str">
        <f t="shared" ca="1" si="10"/>
        <v>#REF!</v>
      </c>
      <c r="AA736" s="234" t="str">
        <f t="shared" ca="1" si="11"/>
        <v>#REF!</v>
      </c>
      <c r="AB736" s="234" t="str">
        <f t="shared" ca="1" si="12"/>
        <v>#REF!</v>
      </c>
      <c r="AC736" s="234" t="str">
        <f t="shared" ca="1" si="13"/>
        <v>#REF!</v>
      </c>
      <c r="AD736" s="101" t="str">
        <f t="shared" ca="1" si="14"/>
        <v>#REF!</v>
      </c>
      <c r="AE736" s="101" t="str">
        <f t="shared" ca="1" si="15"/>
        <v>#REF!</v>
      </c>
      <c r="AF736" s="235" t="str">
        <f t="shared" ref="AF736:AG736" ca="1" si="813">AD736/U736</f>
        <v>#REF!</v>
      </c>
      <c r="AG736" s="235" t="str">
        <f t="shared" ca="1" si="813"/>
        <v>#REF!</v>
      </c>
      <c r="AH736" s="212"/>
      <c r="AI736" s="213"/>
      <c r="AJ736" s="4"/>
      <c r="AK736" s="4"/>
      <c r="AL736" s="4"/>
      <c r="AM736" s="4"/>
      <c r="AN736" s="4"/>
      <c r="AO736" s="4"/>
      <c r="AP736" s="4"/>
      <c r="AQ736" s="4"/>
      <c r="AR736" s="4"/>
      <c r="AS736" s="4"/>
      <c r="AT736" s="4"/>
      <c r="AU736" s="4"/>
    </row>
    <row r="737" spans="1:47" ht="13.2">
      <c r="A737" s="120"/>
      <c r="B737" s="113"/>
      <c r="C737" s="117"/>
      <c r="D737" s="117"/>
      <c r="E737" s="117"/>
      <c r="F737" s="123"/>
      <c r="G737" s="93" t="s">
        <v>145</v>
      </c>
      <c r="H737" s="125"/>
      <c r="I737" s="125"/>
      <c r="J737" s="82" t="str">
        <f t="shared" ca="1" si="147"/>
        <v>#REF!</v>
      </c>
      <c r="K737" s="82" t="str">
        <f t="shared" ca="1" si="256"/>
        <v>#REF!</v>
      </c>
      <c r="L737" s="82" t="str">
        <f t="shared" ca="1" si="199"/>
        <v>#REF!</v>
      </c>
      <c r="M737" s="125"/>
      <c r="N737" s="125"/>
      <c r="O737" s="230">
        <f t="shared" si="2"/>
        <v>0</v>
      </c>
      <c r="P737" s="231">
        <f t="shared" si="3"/>
        <v>0</v>
      </c>
      <c r="Q737" s="232" t="str">
        <f ca="1">ROUNDUP(HLOOKUP(IF(CEILING(L737,0.5)&lt;1,1,CEILING(L737,0.5)),'배송비 조회'!A$32:AY$36,2,0),-2)</f>
        <v>#REF!</v>
      </c>
      <c r="R737" s="232">
        <v>0</v>
      </c>
      <c r="S737" s="231" t="str">
        <f t="shared" ca="1" si="250"/>
        <v>#REF!</v>
      </c>
      <c r="T737" s="231" t="str">
        <f t="shared" ca="1" si="200"/>
        <v>#REF!</v>
      </c>
      <c r="U737" s="233" t="str">
        <f t="shared" ca="1" si="142"/>
        <v>#REF!</v>
      </c>
      <c r="V737" s="233" t="str">
        <f t="shared" ca="1" si="7"/>
        <v>#REF!</v>
      </c>
      <c r="W737" s="234">
        <v>0</v>
      </c>
      <c r="X737" s="234" t="str">
        <f t="shared" ca="1" si="8"/>
        <v>#REF!</v>
      </c>
      <c r="Y737" s="234" t="str">
        <f t="shared" ca="1" si="9"/>
        <v>#REF!</v>
      </c>
      <c r="Z737" s="234" t="str">
        <f t="shared" ca="1" si="10"/>
        <v>#REF!</v>
      </c>
      <c r="AA737" s="234" t="str">
        <f t="shared" ca="1" si="11"/>
        <v>#REF!</v>
      </c>
      <c r="AB737" s="234" t="str">
        <f t="shared" ca="1" si="12"/>
        <v>#REF!</v>
      </c>
      <c r="AC737" s="234" t="str">
        <f t="shared" ca="1" si="13"/>
        <v>#REF!</v>
      </c>
      <c r="AD737" s="101" t="str">
        <f t="shared" ca="1" si="14"/>
        <v>#REF!</v>
      </c>
      <c r="AE737" s="101" t="str">
        <f t="shared" ca="1" si="15"/>
        <v>#REF!</v>
      </c>
      <c r="AF737" s="235" t="str">
        <f t="shared" ref="AF737:AG737" ca="1" si="814">AD737/U737</f>
        <v>#REF!</v>
      </c>
      <c r="AG737" s="235" t="str">
        <f t="shared" ca="1" si="814"/>
        <v>#REF!</v>
      </c>
      <c r="AH737" s="212"/>
      <c r="AI737" s="213"/>
      <c r="AJ737" s="4"/>
      <c r="AK737" s="4"/>
      <c r="AL737" s="4"/>
      <c r="AM737" s="4"/>
      <c r="AN737" s="4"/>
      <c r="AO737" s="4"/>
      <c r="AP737" s="4"/>
      <c r="AQ737" s="4"/>
      <c r="AR737" s="4"/>
      <c r="AS737" s="4"/>
      <c r="AT737" s="4"/>
      <c r="AU737" s="4"/>
    </row>
    <row r="738" spans="1:47" ht="13.2">
      <c r="A738" s="120"/>
      <c r="B738" s="113"/>
      <c r="C738" s="117"/>
      <c r="D738" s="117"/>
      <c r="E738" s="117"/>
      <c r="F738" s="123"/>
      <c r="G738" s="93" t="s">
        <v>145</v>
      </c>
      <c r="H738" s="125"/>
      <c r="I738" s="125"/>
      <c r="J738" s="82" t="str">
        <f t="shared" ca="1" si="147"/>
        <v>#REF!</v>
      </c>
      <c r="K738" s="82" t="str">
        <f t="shared" ca="1" si="256"/>
        <v>#REF!</v>
      </c>
      <c r="L738" s="82" t="str">
        <f t="shared" ca="1" si="199"/>
        <v>#REF!</v>
      </c>
      <c r="M738" s="125"/>
      <c r="N738" s="125"/>
      <c r="O738" s="230">
        <f t="shared" si="2"/>
        <v>0</v>
      </c>
      <c r="P738" s="231">
        <f t="shared" si="3"/>
        <v>0</v>
      </c>
      <c r="Q738" s="232" t="str">
        <f ca="1">ROUNDUP(HLOOKUP(IF(CEILING(L738,0.5)&lt;1,1,CEILING(L738,0.5)),'배송비 조회'!A$32:AY$36,2,0),-2)</f>
        <v>#REF!</v>
      </c>
      <c r="R738" s="232">
        <v>0</v>
      </c>
      <c r="S738" s="231" t="str">
        <f t="shared" ca="1" si="250"/>
        <v>#REF!</v>
      </c>
      <c r="T738" s="231" t="str">
        <f t="shared" ca="1" si="200"/>
        <v>#REF!</v>
      </c>
      <c r="U738" s="233" t="str">
        <f t="shared" ca="1" si="142"/>
        <v>#REF!</v>
      </c>
      <c r="V738" s="233" t="str">
        <f t="shared" ca="1" si="7"/>
        <v>#REF!</v>
      </c>
      <c r="W738" s="234">
        <v>0</v>
      </c>
      <c r="X738" s="234" t="str">
        <f t="shared" ca="1" si="8"/>
        <v>#REF!</v>
      </c>
      <c r="Y738" s="234" t="str">
        <f t="shared" ca="1" si="9"/>
        <v>#REF!</v>
      </c>
      <c r="Z738" s="234" t="str">
        <f t="shared" ca="1" si="10"/>
        <v>#REF!</v>
      </c>
      <c r="AA738" s="234" t="str">
        <f t="shared" ca="1" si="11"/>
        <v>#REF!</v>
      </c>
      <c r="AB738" s="234" t="str">
        <f t="shared" ca="1" si="12"/>
        <v>#REF!</v>
      </c>
      <c r="AC738" s="234" t="str">
        <f t="shared" ca="1" si="13"/>
        <v>#REF!</v>
      </c>
      <c r="AD738" s="101" t="str">
        <f t="shared" ca="1" si="14"/>
        <v>#REF!</v>
      </c>
      <c r="AE738" s="101" t="str">
        <f t="shared" ca="1" si="15"/>
        <v>#REF!</v>
      </c>
      <c r="AF738" s="235" t="str">
        <f t="shared" ref="AF738:AG738" ca="1" si="815">AD738/U738</f>
        <v>#REF!</v>
      </c>
      <c r="AG738" s="235" t="str">
        <f t="shared" ca="1" si="815"/>
        <v>#REF!</v>
      </c>
      <c r="AH738" s="212"/>
      <c r="AI738" s="213"/>
      <c r="AJ738" s="4"/>
      <c r="AK738" s="4"/>
      <c r="AL738" s="4"/>
      <c r="AM738" s="4"/>
      <c r="AN738" s="4"/>
      <c r="AO738" s="4"/>
      <c r="AP738" s="4"/>
      <c r="AQ738" s="4"/>
      <c r="AR738" s="4"/>
      <c r="AS738" s="4"/>
      <c r="AT738" s="4"/>
      <c r="AU738" s="4"/>
    </row>
    <row r="739" spans="1:47" ht="13.2">
      <c r="A739" s="120"/>
      <c r="B739" s="113"/>
      <c r="C739" s="117"/>
      <c r="D739" s="117"/>
      <c r="E739" s="117"/>
      <c r="F739" s="123"/>
      <c r="G739" s="93" t="s">
        <v>145</v>
      </c>
      <c r="H739" s="125"/>
      <c r="I739" s="125"/>
      <c r="J739" s="82" t="str">
        <f t="shared" ca="1" si="147"/>
        <v>#REF!</v>
      </c>
      <c r="K739" s="82" t="str">
        <f t="shared" ca="1" si="256"/>
        <v>#REF!</v>
      </c>
      <c r="L739" s="82" t="str">
        <f t="shared" ca="1" si="199"/>
        <v>#REF!</v>
      </c>
      <c r="M739" s="125"/>
      <c r="N739" s="125"/>
      <c r="O739" s="230">
        <f t="shared" si="2"/>
        <v>0</v>
      </c>
      <c r="P739" s="231">
        <f t="shared" si="3"/>
        <v>0</v>
      </c>
      <c r="Q739" s="232" t="str">
        <f ca="1">ROUNDUP(HLOOKUP(IF(CEILING(L739,0.5)&lt;1,1,CEILING(L739,0.5)),'배송비 조회'!A$32:AY$36,2,0),-2)</f>
        <v>#REF!</v>
      </c>
      <c r="R739" s="232">
        <v>0</v>
      </c>
      <c r="S739" s="231" t="str">
        <f t="shared" ca="1" si="250"/>
        <v>#REF!</v>
      </c>
      <c r="T739" s="231" t="str">
        <f t="shared" ca="1" si="200"/>
        <v>#REF!</v>
      </c>
      <c r="U739" s="233" t="str">
        <f t="shared" ca="1" si="142"/>
        <v>#REF!</v>
      </c>
      <c r="V739" s="233" t="str">
        <f t="shared" ca="1" si="7"/>
        <v>#REF!</v>
      </c>
      <c r="W739" s="234">
        <v>0</v>
      </c>
      <c r="X739" s="234" t="str">
        <f t="shared" ca="1" si="8"/>
        <v>#REF!</v>
      </c>
      <c r="Y739" s="234" t="str">
        <f t="shared" ca="1" si="9"/>
        <v>#REF!</v>
      </c>
      <c r="Z739" s="234" t="str">
        <f t="shared" ca="1" si="10"/>
        <v>#REF!</v>
      </c>
      <c r="AA739" s="234" t="str">
        <f t="shared" ca="1" si="11"/>
        <v>#REF!</v>
      </c>
      <c r="AB739" s="234" t="str">
        <f t="shared" ca="1" si="12"/>
        <v>#REF!</v>
      </c>
      <c r="AC739" s="234" t="str">
        <f t="shared" ca="1" si="13"/>
        <v>#REF!</v>
      </c>
      <c r="AD739" s="101" t="str">
        <f t="shared" ca="1" si="14"/>
        <v>#REF!</v>
      </c>
      <c r="AE739" s="101" t="str">
        <f t="shared" ca="1" si="15"/>
        <v>#REF!</v>
      </c>
      <c r="AF739" s="235" t="str">
        <f t="shared" ref="AF739:AG739" ca="1" si="816">AD739/U739</f>
        <v>#REF!</v>
      </c>
      <c r="AG739" s="235" t="str">
        <f t="shared" ca="1" si="816"/>
        <v>#REF!</v>
      </c>
      <c r="AH739" s="212"/>
      <c r="AI739" s="213"/>
      <c r="AJ739" s="4"/>
      <c r="AK739" s="4"/>
      <c r="AL739" s="4"/>
      <c r="AM739" s="4"/>
      <c r="AN739" s="4"/>
      <c r="AO739" s="4"/>
      <c r="AP739" s="4"/>
      <c r="AQ739" s="4"/>
      <c r="AR739" s="4"/>
      <c r="AS739" s="4"/>
      <c r="AT739" s="4"/>
      <c r="AU739" s="4"/>
    </row>
    <row r="740" spans="1:47" ht="13.2">
      <c r="A740" s="120"/>
      <c r="B740" s="113"/>
      <c r="C740" s="117"/>
      <c r="D740" s="117"/>
      <c r="E740" s="117"/>
      <c r="F740" s="123"/>
      <c r="G740" s="93" t="s">
        <v>145</v>
      </c>
      <c r="H740" s="125"/>
      <c r="I740" s="125"/>
      <c r="J740" s="82" t="str">
        <f t="shared" ca="1" si="147"/>
        <v>#REF!</v>
      </c>
      <c r="K740" s="82" t="str">
        <f t="shared" ca="1" si="256"/>
        <v>#REF!</v>
      </c>
      <c r="L740" s="82" t="str">
        <f t="shared" ca="1" si="199"/>
        <v>#REF!</v>
      </c>
      <c r="M740" s="125"/>
      <c r="N740" s="125"/>
      <c r="O740" s="230">
        <f t="shared" si="2"/>
        <v>0</v>
      </c>
      <c r="P740" s="231">
        <f t="shared" si="3"/>
        <v>0</v>
      </c>
      <c r="Q740" s="232" t="str">
        <f ca="1">ROUNDUP(HLOOKUP(IF(CEILING(L740,0.5)&lt;1,1,CEILING(L740,0.5)),'배송비 조회'!A$32:AY$36,2,0),-2)</f>
        <v>#REF!</v>
      </c>
      <c r="R740" s="232">
        <v>0</v>
      </c>
      <c r="S740" s="231" t="str">
        <f t="shared" ca="1" si="250"/>
        <v>#REF!</v>
      </c>
      <c r="T740" s="231" t="str">
        <f t="shared" ca="1" si="200"/>
        <v>#REF!</v>
      </c>
      <c r="U740" s="233" t="str">
        <f t="shared" ca="1" si="142"/>
        <v>#REF!</v>
      </c>
      <c r="V740" s="233" t="str">
        <f t="shared" ca="1" si="7"/>
        <v>#REF!</v>
      </c>
      <c r="W740" s="234">
        <v>0</v>
      </c>
      <c r="X740" s="234" t="str">
        <f t="shared" ca="1" si="8"/>
        <v>#REF!</v>
      </c>
      <c r="Y740" s="234" t="str">
        <f t="shared" ca="1" si="9"/>
        <v>#REF!</v>
      </c>
      <c r="Z740" s="234" t="str">
        <f t="shared" ca="1" si="10"/>
        <v>#REF!</v>
      </c>
      <c r="AA740" s="234" t="str">
        <f t="shared" ca="1" si="11"/>
        <v>#REF!</v>
      </c>
      <c r="AB740" s="234" t="str">
        <f t="shared" ca="1" si="12"/>
        <v>#REF!</v>
      </c>
      <c r="AC740" s="234" t="str">
        <f t="shared" ca="1" si="13"/>
        <v>#REF!</v>
      </c>
      <c r="AD740" s="101" t="str">
        <f t="shared" ca="1" si="14"/>
        <v>#REF!</v>
      </c>
      <c r="AE740" s="101" t="str">
        <f t="shared" ca="1" si="15"/>
        <v>#REF!</v>
      </c>
      <c r="AF740" s="235" t="str">
        <f t="shared" ref="AF740:AG740" ca="1" si="817">AD740/U740</f>
        <v>#REF!</v>
      </c>
      <c r="AG740" s="235" t="str">
        <f t="shared" ca="1" si="817"/>
        <v>#REF!</v>
      </c>
      <c r="AH740" s="212"/>
      <c r="AI740" s="213"/>
      <c r="AJ740" s="4"/>
      <c r="AK740" s="4"/>
      <c r="AL740" s="4"/>
      <c r="AM740" s="4"/>
      <c r="AN740" s="4"/>
      <c r="AO740" s="4"/>
      <c r="AP740" s="4"/>
      <c r="AQ740" s="4"/>
      <c r="AR740" s="4"/>
      <c r="AS740" s="4"/>
      <c r="AT740" s="4"/>
      <c r="AU740" s="4"/>
    </row>
    <row r="741" spans="1:47" ht="13.2">
      <c r="A741" s="120"/>
      <c r="B741" s="113"/>
      <c r="C741" s="117"/>
      <c r="D741" s="117"/>
      <c r="E741" s="117"/>
      <c r="F741" s="123"/>
      <c r="G741" s="93" t="s">
        <v>145</v>
      </c>
      <c r="H741" s="125"/>
      <c r="I741" s="125"/>
      <c r="J741" s="82" t="str">
        <f t="shared" ca="1" si="147"/>
        <v>#REF!</v>
      </c>
      <c r="K741" s="82" t="str">
        <f t="shared" ca="1" si="256"/>
        <v>#REF!</v>
      </c>
      <c r="L741" s="82" t="str">
        <f t="shared" ca="1" si="199"/>
        <v>#REF!</v>
      </c>
      <c r="M741" s="125"/>
      <c r="N741" s="125"/>
      <c r="O741" s="230">
        <f t="shared" si="2"/>
        <v>0</v>
      </c>
      <c r="P741" s="231">
        <f t="shared" si="3"/>
        <v>0</v>
      </c>
      <c r="Q741" s="232" t="str">
        <f ca="1">ROUNDUP(HLOOKUP(IF(CEILING(L741,0.5)&lt;1,1,CEILING(L741,0.5)),'배송비 조회'!A$32:AY$36,2,0),-2)</f>
        <v>#REF!</v>
      </c>
      <c r="R741" s="232">
        <v>0</v>
      </c>
      <c r="S741" s="231" t="str">
        <f t="shared" ca="1" si="250"/>
        <v>#REF!</v>
      </c>
      <c r="T741" s="231" t="str">
        <f t="shared" ca="1" si="200"/>
        <v>#REF!</v>
      </c>
      <c r="U741" s="233" t="str">
        <f t="shared" ca="1" si="142"/>
        <v>#REF!</v>
      </c>
      <c r="V741" s="233" t="str">
        <f t="shared" ca="1" si="7"/>
        <v>#REF!</v>
      </c>
      <c r="W741" s="234">
        <v>0</v>
      </c>
      <c r="X741" s="234" t="str">
        <f t="shared" ca="1" si="8"/>
        <v>#REF!</v>
      </c>
      <c r="Y741" s="234" t="str">
        <f t="shared" ca="1" si="9"/>
        <v>#REF!</v>
      </c>
      <c r="Z741" s="234" t="str">
        <f t="shared" ca="1" si="10"/>
        <v>#REF!</v>
      </c>
      <c r="AA741" s="234" t="str">
        <f t="shared" ca="1" si="11"/>
        <v>#REF!</v>
      </c>
      <c r="AB741" s="234" t="str">
        <f t="shared" ca="1" si="12"/>
        <v>#REF!</v>
      </c>
      <c r="AC741" s="234" t="str">
        <f t="shared" ca="1" si="13"/>
        <v>#REF!</v>
      </c>
      <c r="AD741" s="101" t="str">
        <f t="shared" ca="1" si="14"/>
        <v>#REF!</v>
      </c>
      <c r="AE741" s="101" t="str">
        <f t="shared" ca="1" si="15"/>
        <v>#REF!</v>
      </c>
      <c r="AF741" s="235" t="str">
        <f t="shared" ref="AF741:AG741" ca="1" si="818">AD741/U741</f>
        <v>#REF!</v>
      </c>
      <c r="AG741" s="235" t="str">
        <f t="shared" ca="1" si="818"/>
        <v>#REF!</v>
      </c>
      <c r="AH741" s="212"/>
      <c r="AI741" s="213"/>
      <c r="AJ741" s="4"/>
      <c r="AK741" s="4"/>
      <c r="AL741" s="4"/>
      <c r="AM741" s="4"/>
      <c r="AN741" s="4"/>
      <c r="AO741" s="4"/>
      <c r="AP741" s="4"/>
      <c r="AQ741" s="4"/>
      <c r="AR741" s="4"/>
      <c r="AS741" s="4"/>
      <c r="AT741" s="4"/>
      <c r="AU741" s="4"/>
    </row>
    <row r="742" spans="1:47" ht="13.2">
      <c r="A742" s="120"/>
      <c r="B742" s="113"/>
      <c r="C742" s="117"/>
      <c r="D742" s="117"/>
      <c r="E742" s="117"/>
      <c r="F742" s="123"/>
      <c r="G742" s="93" t="s">
        <v>145</v>
      </c>
      <c r="H742" s="125"/>
      <c r="I742" s="125"/>
      <c r="J742" s="82" t="str">
        <f t="shared" ca="1" si="147"/>
        <v>#REF!</v>
      </c>
      <c r="K742" s="82" t="str">
        <f t="shared" ca="1" si="256"/>
        <v>#REF!</v>
      </c>
      <c r="L742" s="82" t="str">
        <f t="shared" ca="1" si="199"/>
        <v>#REF!</v>
      </c>
      <c r="M742" s="125"/>
      <c r="N742" s="125"/>
      <c r="O742" s="230">
        <f t="shared" si="2"/>
        <v>0</v>
      </c>
      <c r="P742" s="231">
        <f t="shared" si="3"/>
        <v>0</v>
      </c>
      <c r="Q742" s="232" t="str">
        <f ca="1">ROUNDUP(HLOOKUP(IF(CEILING(L742,0.5)&lt;1,1,CEILING(L742,0.5)),'배송비 조회'!A$32:AY$36,2,0),-2)</f>
        <v>#REF!</v>
      </c>
      <c r="R742" s="232">
        <v>0</v>
      </c>
      <c r="S742" s="231" t="str">
        <f t="shared" ca="1" si="250"/>
        <v>#REF!</v>
      </c>
      <c r="T742" s="231" t="str">
        <f t="shared" ca="1" si="200"/>
        <v>#REF!</v>
      </c>
      <c r="U742" s="233" t="str">
        <f t="shared" ca="1" si="142"/>
        <v>#REF!</v>
      </c>
      <c r="V742" s="233" t="str">
        <f t="shared" ca="1" si="7"/>
        <v>#REF!</v>
      </c>
      <c r="W742" s="234">
        <v>0</v>
      </c>
      <c r="X742" s="234" t="str">
        <f t="shared" ca="1" si="8"/>
        <v>#REF!</v>
      </c>
      <c r="Y742" s="234" t="str">
        <f t="shared" ca="1" si="9"/>
        <v>#REF!</v>
      </c>
      <c r="Z742" s="234" t="str">
        <f t="shared" ca="1" si="10"/>
        <v>#REF!</v>
      </c>
      <c r="AA742" s="234" t="str">
        <f t="shared" ca="1" si="11"/>
        <v>#REF!</v>
      </c>
      <c r="AB742" s="234" t="str">
        <f t="shared" ca="1" si="12"/>
        <v>#REF!</v>
      </c>
      <c r="AC742" s="234" t="str">
        <f t="shared" ca="1" si="13"/>
        <v>#REF!</v>
      </c>
      <c r="AD742" s="101" t="str">
        <f t="shared" ca="1" si="14"/>
        <v>#REF!</v>
      </c>
      <c r="AE742" s="101" t="str">
        <f t="shared" ca="1" si="15"/>
        <v>#REF!</v>
      </c>
      <c r="AF742" s="235" t="str">
        <f t="shared" ref="AF742:AG742" ca="1" si="819">AD742/U742</f>
        <v>#REF!</v>
      </c>
      <c r="AG742" s="235" t="str">
        <f t="shared" ca="1" si="819"/>
        <v>#REF!</v>
      </c>
      <c r="AH742" s="212"/>
      <c r="AI742" s="213"/>
      <c r="AJ742" s="4"/>
      <c r="AK742" s="4"/>
      <c r="AL742" s="4"/>
      <c r="AM742" s="4"/>
      <c r="AN742" s="4"/>
      <c r="AO742" s="4"/>
      <c r="AP742" s="4"/>
      <c r="AQ742" s="4"/>
      <c r="AR742" s="4"/>
      <c r="AS742" s="4"/>
      <c r="AT742" s="4"/>
      <c r="AU742" s="4"/>
    </row>
    <row r="743" spans="1:47" ht="13.2">
      <c r="A743" s="120"/>
      <c r="B743" s="113"/>
      <c r="C743" s="117"/>
      <c r="D743" s="117"/>
      <c r="E743" s="117"/>
      <c r="F743" s="123"/>
      <c r="G743" s="93" t="s">
        <v>145</v>
      </c>
      <c r="H743" s="125"/>
      <c r="I743" s="125"/>
      <c r="J743" s="82" t="str">
        <f t="shared" ca="1" si="147"/>
        <v>#REF!</v>
      </c>
      <c r="K743" s="82" t="str">
        <f t="shared" ca="1" si="256"/>
        <v>#REF!</v>
      </c>
      <c r="L743" s="82" t="str">
        <f t="shared" ca="1" si="199"/>
        <v>#REF!</v>
      </c>
      <c r="M743" s="125"/>
      <c r="N743" s="125"/>
      <c r="O743" s="230">
        <f t="shared" si="2"/>
        <v>0</v>
      </c>
      <c r="P743" s="231">
        <f t="shared" si="3"/>
        <v>0</v>
      </c>
      <c r="Q743" s="232" t="str">
        <f ca="1">ROUNDUP(HLOOKUP(IF(CEILING(L743,0.5)&lt;1,1,CEILING(L743,0.5)),'배송비 조회'!A$32:AY$36,2,0),-2)</f>
        <v>#REF!</v>
      </c>
      <c r="R743" s="232">
        <v>0</v>
      </c>
      <c r="S743" s="231" t="str">
        <f t="shared" ca="1" si="250"/>
        <v>#REF!</v>
      </c>
      <c r="T743" s="231" t="str">
        <f t="shared" ca="1" si="200"/>
        <v>#REF!</v>
      </c>
      <c r="U743" s="233" t="str">
        <f t="shared" ca="1" si="142"/>
        <v>#REF!</v>
      </c>
      <c r="V743" s="233" t="str">
        <f t="shared" ca="1" si="7"/>
        <v>#REF!</v>
      </c>
      <c r="W743" s="234">
        <v>0</v>
      </c>
      <c r="X743" s="234" t="str">
        <f t="shared" ca="1" si="8"/>
        <v>#REF!</v>
      </c>
      <c r="Y743" s="234" t="str">
        <f t="shared" ca="1" si="9"/>
        <v>#REF!</v>
      </c>
      <c r="Z743" s="234" t="str">
        <f t="shared" ca="1" si="10"/>
        <v>#REF!</v>
      </c>
      <c r="AA743" s="234" t="str">
        <f t="shared" ca="1" si="11"/>
        <v>#REF!</v>
      </c>
      <c r="AB743" s="234" t="str">
        <f t="shared" ca="1" si="12"/>
        <v>#REF!</v>
      </c>
      <c r="AC743" s="234" t="str">
        <f t="shared" ca="1" si="13"/>
        <v>#REF!</v>
      </c>
      <c r="AD743" s="101" t="str">
        <f t="shared" ca="1" si="14"/>
        <v>#REF!</v>
      </c>
      <c r="AE743" s="101" t="str">
        <f t="shared" ca="1" si="15"/>
        <v>#REF!</v>
      </c>
      <c r="AF743" s="235" t="str">
        <f t="shared" ref="AF743:AG743" ca="1" si="820">AD743/U743</f>
        <v>#REF!</v>
      </c>
      <c r="AG743" s="235" t="str">
        <f t="shared" ca="1" si="820"/>
        <v>#REF!</v>
      </c>
      <c r="AH743" s="212"/>
      <c r="AI743" s="213"/>
      <c r="AJ743" s="4"/>
      <c r="AK743" s="4"/>
      <c r="AL743" s="4"/>
      <c r="AM743" s="4"/>
      <c r="AN743" s="4"/>
      <c r="AO743" s="4"/>
      <c r="AP743" s="4"/>
      <c r="AQ743" s="4"/>
      <c r="AR743" s="4"/>
      <c r="AS743" s="4"/>
      <c r="AT743" s="4"/>
      <c r="AU743" s="4"/>
    </row>
    <row r="744" spans="1:47" ht="13.2">
      <c r="A744" s="120"/>
      <c r="B744" s="113"/>
      <c r="C744" s="117"/>
      <c r="D744" s="117"/>
      <c r="E744" s="117"/>
      <c r="F744" s="123"/>
      <c r="G744" s="93" t="s">
        <v>145</v>
      </c>
      <c r="H744" s="125"/>
      <c r="I744" s="125"/>
      <c r="J744" s="82" t="str">
        <f t="shared" ca="1" si="147"/>
        <v>#REF!</v>
      </c>
      <c r="K744" s="82" t="str">
        <f t="shared" ca="1" si="256"/>
        <v>#REF!</v>
      </c>
      <c r="L744" s="82" t="str">
        <f t="shared" ca="1" si="199"/>
        <v>#REF!</v>
      </c>
      <c r="M744" s="125"/>
      <c r="N744" s="125"/>
      <c r="O744" s="230">
        <f t="shared" si="2"/>
        <v>0</v>
      </c>
      <c r="P744" s="231">
        <f t="shared" si="3"/>
        <v>0</v>
      </c>
      <c r="Q744" s="232" t="str">
        <f ca="1">ROUNDUP(HLOOKUP(IF(CEILING(L744,0.5)&lt;1,1,CEILING(L744,0.5)),'배송비 조회'!A$32:AY$36,2,0),-2)</f>
        <v>#REF!</v>
      </c>
      <c r="R744" s="232">
        <v>0</v>
      </c>
      <c r="S744" s="231" t="str">
        <f t="shared" ca="1" si="250"/>
        <v>#REF!</v>
      </c>
      <c r="T744" s="231" t="str">
        <f t="shared" ca="1" si="200"/>
        <v>#REF!</v>
      </c>
      <c r="U744" s="233" t="str">
        <f t="shared" ca="1" si="142"/>
        <v>#REF!</v>
      </c>
      <c r="V744" s="233" t="str">
        <f t="shared" ca="1" si="7"/>
        <v>#REF!</v>
      </c>
      <c r="W744" s="234">
        <v>0</v>
      </c>
      <c r="X744" s="234" t="str">
        <f t="shared" ca="1" si="8"/>
        <v>#REF!</v>
      </c>
      <c r="Y744" s="234" t="str">
        <f t="shared" ca="1" si="9"/>
        <v>#REF!</v>
      </c>
      <c r="Z744" s="234" t="str">
        <f t="shared" ca="1" si="10"/>
        <v>#REF!</v>
      </c>
      <c r="AA744" s="234" t="str">
        <f t="shared" ca="1" si="11"/>
        <v>#REF!</v>
      </c>
      <c r="AB744" s="234" t="str">
        <f t="shared" ca="1" si="12"/>
        <v>#REF!</v>
      </c>
      <c r="AC744" s="234" t="str">
        <f t="shared" ca="1" si="13"/>
        <v>#REF!</v>
      </c>
      <c r="AD744" s="101" t="str">
        <f t="shared" ca="1" si="14"/>
        <v>#REF!</v>
      </c>
      <c r="AE744" s="101" t="str">
        <f t="shared" ca="1" si="15"/>
        <v>#REF!</v>
      </c>
      <c r="AF744" s="235" t="str">
        <f t="shared" ref="AF744:AG744" ca="1" si="821">AD744/U744</f>
        <v>#REF!</v>
      </c>
      <c r="AG744" s="235" t="str">
        <f t="shared" ca="1" si="821"/>
        <v>#REF!</v>
      </c>
      <c r="AH744" s="212"/>
      <c r="AI744" s="213"/>
      <c r="AJ744" s="4"/>
      <c r="AK744" s="4"/>
      <c r="AL744" s="4"/>
      <c r="AM744" s="4"/>
      <c r="AN744" s="4"/>
      <c r="AO744" s="4"/>
      <c r="AP744" s="4"/>
      <c r="AQ744" s="4"/>
      <c r="AR744" s="4"/>
      <c r="AS744" s="4"/>
      <c r="AT744" s="4"/>
      <c r="AU744" s="4"/>
    </row>
    <row r="745" spans="1:47" ht="13.2">
      <c r="A745" s="120"/>
      <c r="B745" s="113"/>
      <c r="C745" s="117"/>
      <c r="D745" s="117"/>
      <c r="E745" s="117"/>
      <c r="F745" s="123"/>
      <c r="G745" s="93" t="s">
        <v>145</v>
      </c>
      <c r="H745" s="125"/>
      <c r="I745" s="125"/>
      <c r="J745" s="82" t="str">
        <f t="shared" ca="1" si="147"/>
        <v>#REF!</v>
      </c>
      <c r="K745" s="82" t="str">
        <f t="shared" ca="1" si="256"/>
        <v>#REF!</v>
      </c>
      <c r="L745" s="82" t="str">
        <f t="shared" ca="1" si="199"/>
        <v>#REF!</v>
      </c>
      <c r="M745" s="125"/>
      <c r="N745" s="125"/>
      <c r="O745" s="230">
        <f t="shared" si="2"/>
        <v>0</v>
      </c>
      <c r="P745" s="231">
        <f t="shared" si="3"/>
        <v>0</v>
      </c>
      <c r="Q745" s="232" t="str">
        <f ca="1">ROUNDUP(HLOOKUP(IF(CEILING(L745,0.5)&lt;1,1,CEILING(L745,0.5)),'배송비 조회'!A$32:AY$36,2,0),-2)</f>
        <v>#REF!</v>
      </c>
      <c r="R745" s="232">
        <v>0</v>
      </c>
      <c r="S745" s="231" t="str">
        <f t="shared" ca="1" si="250"/>
        <v>#REF!</v>
      </c>
      <c r="T745" s="231" t="str">
        <f t="shared" ca="1" si="200"/>
        <v>#REF!</v>
      </c>
      <c r="U745" s="233" t="str">
        <f t="shared" ca="1" si="142"/>
        <v>#REF!</v>
      </c>
      <c r="V745" s="233" t="str">
        <f t="shared" ca="1" si="7"/>
        <v>#REF!</v>
      </c>
      <c r="W745" s="234">
        <v>0</v>
      </c>
      <c r="X745" s="234" t="str">
        <f t="shared" ca="1" si="8"/>
        <v>#REF!</v>
      </c>
      <c r="Y745" s="234" t="str">
        <f t="shared" ca="1" si="9"/>
        <v>#REF!</v>
      </c>
      <c r="Z745" s="234" t="str">
        <f t="shared" ca="1" si="10"/>
        <v>#REF!</v>
      </c>
      <c r="AA745" s="234" t="str">
        <f t="shared" ca="1" si="11"/>
        <v>#REF!</v>
      </c>
      <c r="AB745" s="234" t="str">
        <f t="shared" ca="1" si="12"/>
        <v>#REF!</v>
      </c>
      <c r="AC745" s="234" t="str">
        <f t="shared" ca="1" si="13"/>
        <v>#REF!</v>
      </c>
      <c r="AD745" s="101" t="str">
        <f t="shared" ca="1" si="14"/>
        <v>#REF!</v>
      </c>
      <c r="AE745" s="101" t="str">
        <f t="shared" ca="1" si="15"/>
        <v>#REF!</v>
      </c>
      <c r="AF745" s="235" t="str">
        <f t="shared" ref="AF745:AG745" ca="1" si="822">AD745/U745</f>
        <v>#REF!</v>
      </c>
      <c r="AG745" s="235" t="str">
        <f t="shared" ca="1" si="822"/>
        <v>#REF!</v>
      </c>
      <c r="AH745" s="212"/>
      <c r="AI745" s="213"/>
      <c r="AJ745" s="4"/>
      <c r="AK745" s="4"/>
      <c r="AL745" s="4"/>
      <c r="AM745" s="4"/>
      <c r="AN745" s="4"/>
      <c r="AO745" s="4"/>
      <c r="AP745" s="4"/>
      <c r="AQ745" s="4"/>
      <c r="AR745" s="4"/>
      <c r="AS745" s="4"/>
      <c r="AT745" s="4"/>
      <c r="AU745" s="4"/>
    </row>
    <row r="746" spans="1:47" ht="13.2">
      <c r="A746" s="120"/>
      <c r="B746" s="113"/>
      <c r="C746" s="117"/>
      <c r="D746" s="117"/>
      <c r="E746" s="117"/>
      <c r="F746" s="123"/>
      <c r="G746" s="93" t="s">
        <v>145</v>
      </c>
      <c r="H746" s="125"/>
      <c r="I746" s="125"/>
      <c r="J746" s="82" t="str">
        <f t="shared" ca="1" si="147"/>
        <v>#REF!</v>
      </c>
      <c r="K746" s="82" t="str">
        <f t="shared" ca="1" si="256"/>
        <v>#REF!</v>
      </c>
      <c r="L746" s="82" t="str">
        <f t="shared" ca="1" si="199"/>
        <v>#REF!</v>
      </c>
      <c r="M746" s="125"/>
      <c r="N746" s="125"/>
      <c r="O746" s="230">
        <f t="shared" si="2"/>
        <v>0</v>
      </c>
      <c r="P746" s="231">
        <f t="shared" si="3"/>
        <v>0</v>
      </c>
      <c r="Q746" s="232" t="str">
        <f ca="1">ROUNDUP(HLOOKUP(IF(CEILING(L746,0.5)&lt;1,1,CEILING(L746,0.5)),'배송비 조회'!A$32:AY$36,2,0),-2)</f>
        <v>#REF!</v>
      </c>
      <c r="R746" s="232">
        <v>0</v>
      </c>
      <c r="S746" s="231" t="str">
        <f t="shared" ca="1" si="250"/>
        <v>#REF!</v>
      </c>
      <c r="T746" s="231" t="str">
        <f t="shared" ca="1" si="200"/>
        <v>#REF!</v>
      </c>
      <c r="U746" s="233" t="str">
        <f t="shared" ca="1" si="142"/>
        <v>#REF!</v>
      </c>
      <c r="V746" s="233" t="str">
        <f t="shared" ca="1" si="7"/>
        <v>#REF!</v>
      </c>
      <c r="W746" s="234">
        <v>0</v>
      </c>
      <c r="X746" s="234" t="str">
        <f t="shared" ca="1" si="8"/>
        <v>#REF!</v>
      </c>
      <c r="Y746" s="234" t="str">
        <f t="shared" ca="1" si="9"/>
        <v>#REF!</v>
      </c>
      <c r="Z746" s="234" t="str">
        <f t="shared" ca="1" si="10"/>
        <v>#REF!</v>
      </c>
      <c r="AA746" s="234" t="str">
        <f t="shared" ca="1" si="11"/>
        <v>#REF!</v>
      </c>
      <c r="AB746" s="234" t="str">
        <f t="shared" ca="1" si="12"/>
        <v>#REF!</v>
      </c>
      <c r="AC746" s="234" t="str">
        <f t="shared" ca="1" si="13"/>
        <v>#REF!</v>
      </c>
      <c r="AD746" s="101" t="str">
        <f t="shared" ca="1" si="14"/>
        <v>#REF!</v>
      </c>
      <c r="AE746" s="101" t="str">
        <f t="shared" ca="1" si="15"/>
        <v>#REF!</v>
      </c>
      <c r="AF746" s="235" t="str">
        <f t="shared" ref="AF746:AG746" ca="1" si="823">AD746/U746</f>
        <v>#REF!</v>
      </c>
      <c r="AG746" s="235" t="str">
        <f t="shared" ca="1" si="823"/>
        <v>#REF!</v>
      </c>
      <c r="AH746" s="212"/>
      <c r="AI746" s="213"/>
      <c r="AJ746" s="4"/>
      <c r="AK746" s="4"/>
      <c r="AL746" s="4"/>
      <c r="AM746" s="4"/>
      <c r="AN746" s="4"/>
      <c r="AO746" s="4"/>
      <c r="AP746" s="4"/>
      <c r="AQ746" s="4"/>
      <c r="AR746" s="4"/>
      <c r="AS746" s="4"/>
      <c r="AT746" s="4"/>
      <c r="AU746" s="4"/>
    </row>
    <row r="747" spans="1:47" ht="13.2">
      <c r="A747" s="120"/>
      <c r="B747" s="113"/>
      <c r="C747" s="117"/>
      <c r="D747" s="117"/>
      <c r="E747" s="117"/>
      <c r="F747" s="123"/>
      <c r="G747" s="93" t="s">
        <v>145</v>
      </c>
      <c r="H747" s="125"/>
      <c r="I747" s="125"/>
      <c r="J747" s="82" t="str">
        <f t="shared" ca="1" si="147"/>
        <v>#REF!</v>
      </c>
      <c r="K747" s="82" t="str">
        <f t="shared" ca="1" si="256"/>
        <v>#REF!</v>
      </c>
      <c r="L747" s="82" t="str">
        <f t="shared" ca="1" si="199"/>
        <v>#REF!</v>
      </c>
      <c r="M747" s="125"/>
      <c r="N747" s="125"/>
      <c r="O747" s="230">
        <f t="shared" si="2"/>
        <v>0</v>
      </c>
      <c r="P747" s="231">
        <f t="shared" si="3"/>
        <v>0</v>
      </c>
      <c r="Q747" s="232" t="str">
        <f ca="1">ROUNDUP(HLOOKUP(IF(CEILING(L747,0.5)&lt;1,1,CEILING(L747,0.5)),'배송비 조회'!A$32:AY$36,2,0),-2)</f>
        <v>#REF!</v>
      </c>
      <c r="R747" s="232">
        <v>0</v>
      </c>
      <c r="S747" s="231" t="str">
        <f t="shared" ca="1" si="250"/>
        <v>#REF!</v>
      </c>
      <c r="T747" s="231" t="str">
        <f t="shared" ca="1" si="200"/>
        <v>#REF!</v>
      </c>
      <c r="U747" s="233" t="str">
        <f t="shared" ca="1" si="142"/>
        <v>#REF!</v>
      </c>
      <c r="V747" s="233" t="str">
        <f t="shared" ca="1" si="7"/>
        <v>#REF!</v>
      </c>
      <c r="W747" s="234">
        <v>0</v>
      </c>
      <c r="X747" s="234" t="str">
        <f t="shared" ca="1" si="8"/>
        <v>#REF!</v>
      </c>
      <c r="Y747" s="234" t="str">
        <f t="shared" ca="1" si="9"/>
        <v>#REF!</v>
      </c>
      <c r="Z747" s="234" t="str">
        <f t="shared" ca="1" si="10"/>
        <v>#REF!</v>
      </c>
      <c r="AA747" s="234" t="str">
        <f t="shared" ca="1" si="11"/>
        <v>#REF!</v>
      </c>
      <c r="AB747" s="234" t="str">
        <f t="shared" ca="1" si="12"/>
        <v>#REF!</v>
      </c>
      <c r="AC747" s="234" t="str">
        <f t="shared" ca="1" si="13"/>
        <v>#REF!</v>
      </c>
      <c r="AD747" s="101" t="str">
        <f t="shared" ca="1" si="14"/>
        <v>#REF!</v>
      </c>
      <c r="AE747" s="101" t="str">
        <f t="shared" ca="1" si="15"/>
        <v>#REF!</v>
      </c>
      <c r="AF747" s="235" t="str">
        <f t="shared" ref="AF747:AG747" ca="1" si="824">AD747/U747</f>
        <v>#REF!</v>
      </c>
      <c r="AG747" s="235" t="str">
        <f t="shared" ca="1" si="824"/>
        <v>#REF!</v>
      </c>
      <c r="AH747" s="212"/>
      <c r="AI747" s="213"/>
      <c r="AJ747" s="4"/>
      <c r="AK747" s="4"/>
      <c r="AL747" s="4"/>
      <c r="AM747" s="4"/>
      <c r="AN747" s="4"/>
      <c r="AO747" s="4"/>
      <c r="AP747" s="4"/>
      <c r="AQ747" s="4"/>
      <c r="AR747" s="4"/>
      <c r="AS747" s="4"/>
      <c r="AT747" s="4"/>
      <c r="AU747" s="4"/>
    </row>
    <row r="748" spans="1:47" ht="13.2">
      <c r="A748" s="120"/>
      <c r="B748" s="113"/>
      <c r="C748" s="117"/>
      <c r="D748" s="117"/>
      <c r="E748" s="117"/>
      <c r="F748" s="123"/>
      <c r="G748" s="93" t="s">
        <v>145</v>
      </c>
      <c r="H748" s="125"/>
      <c r="I748" s="125"/>
      <c r="J748" s="82" t="str">
        <f t="shared" ca="1" si="147"/>
        <v>#REF!</v>
      </c>
      <c r="K748" s="82" t="str">
        <f t="shared" ca="1" si="256"/>
        <v>#REF!</v>
      </c>
      <c r="L748" s="82" t="str">
        <f t="shared" ca="1" si="199"/>
        <v>#REF!</v>
      </c>
      <c r="M748" s="125"/>
      <c r="N748" s="125"/>
      <c r="O748" s="230">
        <f t="shared" si="2"/>
        <v>0</v>
      </c>
      <c r="P748" s="231">
        <f t="shared" si="3"/>
        <v>0</v>
      </c>
      <c r="Q748" s="232" t="str">
        <f ca="1">ROUNDUP(HLOOKUP(IF(CEILING(L748,0.5)&lt;1,1,CEILING(L748,0.5)),'배송비 조회'!A$32:AY$36,2,0),-2)</f>
        <v>#REF!</v>
      </c>
      <c r="R748" s="232">
        <v>0</v>
      </c>
      <c r="S748" s="231" t="str">
        <f t="shared" ca="1" si="250"/>
        <v>#REF!</v>
      </c>
      <c r="T748" s="231" t="str">
        <f t="shared" ca="1" si="200"/>
        <v>#REF!</v>
      </c>
      <c r="U748" s="233" t="str">
        <f t="shared" ca="1" si="142"/>
        <v>#REF!</v>
      </c>
      <c r="V748" s="233" t="str">
        <f t="shared" ca="1" si="7"/>
        <v>#REF!</v>
      </c>
      <c r="W748" s="234">
        <v>0</v>
      </c>
      <c r="X748" s="234" t="str">
        <f t="shared" ca="1" si="8"/>
        <v>#REF!</v>
      </c>
      <c r="Y748" s="234" t="str">
        <f t="shared" ca="1" si="9"/>
        <v>#REF!</v>
      </c>
      <c r="Z748" s="234" t="str">
        <f t="shared" ca="1" si="10"/>
        <v>#REF!</v>
      </c>
      <c r="AA748" s="234" t="str">
        <f t="shared" ca="1" si="11"/>
        <v>#REF!</v>
      </c>
      <c r="AB748" s="234" t="str">
        <f t="shared" ca="1" si="12"/>
        <v>#REF!</v>
      </c>
      <c r="AC748" s="234" t="str">
        <f t="shared" ca="1" si="13"/>
        <v>#REF!</v>
      </c>
      <c r="AD748" s="101" t="str">
        <f t="shared" ca="1" si="14"/>
        <v>#REF!</v>
      </c>
      <c r="AE748" s="101" t="str">
        <f t="shared" ca="1" si="15"/>
        <v>#REF!</v>
      </c>
      <c r="AF748" s="235" t="str">
        <f t="shared" ref="AF748:AG748" ca="1" si="825">AD748/U748</f>
        <v>#REF!</v>
      </c>
      <c r="AG748" s="235" t="str">
        <f t="shared" ca="1" si="825"/>
        <v>#REF!</v>
      </c>
      <c r="AH748" s="212"/>
      <c r="AI748" s="213"/>
      <c r="AJ748" s="4"/>
      <c r="AK748" s="4"/>
      <c r="AL748" s="4"/>
      <c r="AM748" s="4"/>
      <c r="AN748" s="4"/>
      <c r="AO748" s="4"/>
      <c r="AP748" s="4"/>
      <c r="AQ748" s="4"/>
      <c r="AR748" s="4"/>
      <c r="AS748" s="4"/>
      <c r="AT748" s="4"/>
      <c r="AU748" s="4"/>
    </row>
    <row r="749" spans="1:47" ht="13.2">
      <c r="A749" s="120"/>
      <c r="B749" s="113"/>
      <c r="C749" s="117"/>
      <c r="D749" s="117"/>
      <c r="E749" s="117"/>
      <c r="F749" s="123"/>
      <c r="G749" s="93" t="s">
        <v>145</v>
      </c>
      <c r="H749" s="125"/>
      <c r="I749" s="125"/>
      <c r="J749" s="82" t="str">
        <f t="shared" ca="1" si="147"/>
        <v>#REF!</v>
      </c>
      <c r="K749" s="82" t="str">
        <f t="shared" ca="1" si="256"/>
        <v>#REF!</v>
      </c>
      <c r="L749" s="82" t="str">
        <f t="shared" ca="1" si="199"/>
        <v>#REF!</v>
      </c>
      <c r="M749" s="125"/>
      <c r="N749" s="125"/>
      <c r="O749" s="230">
        <f t="shared" si="2"/>
        <v>0</v>
      </c>
      <c r="P749" s="231">
        <f t="shared" si="3"/>
        <v>0</v>
      </c>
      <c r="Q749" s="232" t="str">
        <f ca="1">ROUNDUP(HLOOKUP(IF(CEILING(L749,0.5)&lt;1,1,CEILING(L749,0.5)),'배송비 조회'!A$32:AY$36,2,0),-2)</f>
        <v>#REF!</v>
      </c>
      <c r="R749" s="232">
        <v>0</v>
      </c>
      <c r="S749" s="231" t="str">
        <f t="shared" ca="1" si="250"/>
        <v>#REF!</v>
      </c>
      <c r="T749" s="231" t="str">
        <f t="shared" ca="1" si="200"/>
        <v>#REF!</v>
      </c>
      <c r="U749" s="233" t="str">
        <f t="shared" ca="1" si="142"/>
        <v>#REF!</v>
      </c>
      <c r="V749" s="233" t="str">
        <f t="shared" ca="1" si="7"/>
        <v>#REF!</v>
      </c>
      <c r="W749" s="234">
        <v>0</v>
      </c>
      <c r="X749" s="234" t="str">
        <f t="shared" ca="1" si="8"/>
        <v>#REF!</v>
      </c>
      <c r="Y749" s="234" t="str">
        <f t="shared" ca="1" si="9"/>
        <v>#REF!</v>
      </c>
      <c r="Z749" s="234" t="str">
        <f t="shared" ca="1" si="10"/>
        <v>#REF!</v>
      </c>
      <c r="AA749" s="234" t="str">
        <f t="shared" ca="1" si="11"/>
        <v>#REF!</v>
      </c>
      <c r="AB749" s="234" t="str">
        <f t="shared" ca="1" si="12"/>
        <v>#REF!</v>
      </c>
      <c r="AC749" s="234" t="str">
        <f t="shared" ca="1" si="13"/>
        <v>#REF!</v>
      </c>
      <c r="AD749" s="101" t="str">
        <f t="shared" ca="1" si="14"/>
        <v>#REF!</v>
      </c>
      <c r="AE749" s="101" t="str">
        <f t="shared" ca="1" si="15"/>
        <v>#REF!</v>
      </c>
      <c r="AF749" s="235" t="str">
        <f t="shared" ref="AF749:AG749" ca="1" si="826">AD749/U749</f>
        <v>#REF!</v>
      </c>
      <c r="AG749" s="235" t="str">
        <f t="shared" ca="1" si="826"/>
        <v>#REF!</v>
      </c>
      <c r="AH749" s="212"/>
      <c r="AI749" s="213"/>
      <c r="AJ749" s="4"/>
      <c r="AK749" s="4"/>
      <c r="AL749" s="4"/>
      <c r="AM749" s="4"/>
      <c r="AN749" s="4"/>
      <c r="AO749" s="4"/>
      <c r="AP749" s="4"/>
      <c r="AQ749" s="4"/>
      <c r="AR749" s="4"/>
      <c r="AS749" s="4"/>
      <c r="AT749" s="4"/>
      <c r="AU749" s="4"/>
    </row>
    <row r="750" spans="1:47" ht="13.2">
      <c r="A750" s="120"/>
      <c r="B750" s="113"/>
      <c r="C750" s="117"/>
      <c r="D750" s="117"/>
      <c r="E750" s="117"/>
      <c r="F750" s="123"/>
      <c r="G750" s="93" t="s">
        <v>145</v>
      </c>
      <c r="H750" s="125"/>
      <c r="I750" s="125"/>
      <c r="J750" s="82" t="str">
        <f t="shared" ca="1" si="147"/>
        <v>#REF!</v>
      </c>
      <c r="K750" s="82" t="str">
        <f t="shared" ca="1" si="256"/>
        <v>#REF!</v>
      </c>
      <c r="L750" s="82" t="str">
        <f t="shared" ca="1" si="199"/>
        <v>#REF!</v>
      </c>
      <c r="M750" s="125"/>
      <c r="N750" s="125"/>
      <c r="O750" s="230">
        <f t="shared" si="2"/>
        <v>0</v>
      </c>
      <c r="P750" s="231">
        <f t="shared" si="3"/>
        <v>0</v>
      </c>
      <c r="Q750" s="232" t="str">
        <f ca="1">ROUNDUP(HLOOKUP(IF(CEILING(L750,0.5)&lt;1,1,CEILING(L750,0.5)),'배송비 조회'!A$32:AY$36,2,0),-2)</f>
        <v>#REF!</v>
      </c>
      <c r="R750" s="232">
        <v>0</v>
      </c>
      <c r="S750" s="231" t="str">
        <f t="shared" ca="1" si="250"/>
        <v>#REF!</v>
      </c>
      <c r="T750" s="231" t="str">
        <f t="shared" ca="1" si="200"/>
        <v>#REF!</v>
      </c>
      <c r="U750" s="233" t="str">
        <f t="shared" ca="1" si="142"/>
        <v>#REF!</v>
      </c>
      <c r="V750" s="233" t="str">
        <f t="shared" ca="1" si="7"/>
        <v>#REF!</v>
      </c>
      <c r="W750" s="234">
        <v>0</v>
      </c>
      <c r="X750" s="234" t="str">
        <f t="shared" ca="1" si="8"/>
        <v>#REF!</v>
      </c>
      <c r="Y750" s="234" t="str">
        <f t="shared" ca="1" si="9"/>
        <v>#REF!</v>
      </c>
      <c r="Z750" s="234" t="str">
        <f t="shared" ca="1" si="10"/>
        <v>#REF!</v>
      </c>
      <c r="AA750" s="234" t="str">
        <f t="shared" ca="1" si="11"/>
        <v>#REF!</v>
      </c>
      <c r="AB750" s="234" t="str">
        <f t="shared" ca="1" si="12"/>
        <v>#REF!</v>
      </c>
      <c r="AC750" s="234" t="str">
        <f t="shared" ca="1" si="13"/>
        <v>#REF!</v>
      </c>
      <c r="AD750" s="101" t="str">
        <f t="shared" ca="1" si="14"/>
        <v>#REF!</v>
      </c>
      <c r="AE750" s="101" t="str">
        <f t="shared" ca="1" si="15"/>
        <v>#REF!</v>
      </c>
      <c r="AF750" s="235" t="str">
        <f t="shared" ref="AF750:AG750" ca="1" si="827">AD750/U750</f>
        <v>#REF!</v>
      </c>
      <c r="AG750" s="235" t="str">
        <f t="shared" ca="1" si="827"/>
        <v>#REF!</v>
      </c>
      <c r="AH750" s="212"/>
      <c r="AI750" s="213"/>
      <c r="AJ750" s="4"/>
      <c r="AK750" s="4"/>
      <c r="AL750" s="4"/>
      <c r="AM750" s="4"/>
      <c r="AN750" s="4"/>
      <c r="AO750" s="4"/>
      <c r="AP750" s="4"/>
      <c r="AQ750" s="4"/>
      <c r="AR750" s="4"/>
      <c r="AS750" s="4"/>
      <c r="AT750" s="4"/>
      <c r="AU750" s="4"/>
    </row>
    <row r="751" spans="1:47" ht="13.2">
      <c r="A751" s="120"/>
      <c r="B751" s="113"/>
      <c r="C751" s="117"/>
      <c r="D751" s="117"/>
      <c r="E751" s="117"/>
      <c r="F751" s="123"/>
      <c r="G751" s="93" t="s">
        <v>145</v>
      </c>
      <c r="H751" s="125"/>
      <c r="I751" s="125"/>
      <c r="J751" s="82" t="str">
        <f t="shared" ca="1" si="147"/>
        <v>#REF!</v>
      </c>
      <c r="K751" s="82" t="str">
        <f t="shared" ca="1" si="256"/>
        <v>#REF!</v>
      </c>
      <c r="L751" s="82" t="str">
        <f t="shared" ca="1" si="199"/>
        <v>#REF!</v>
      </c>
      <c r="M751" s="125"/>
      <c r="N751" s="125"/>
      <c r="O751" s="230">
        <f t="shared" si="2"/>
        <v>0</v>
      </c>
      <c r="P751" s="231">
        <f t="shared" si="3"/>
        <v>0</v>
      </c>
      <c r="Q751" s="232" t="str">
        <f ca="1">ROUNDUP(HLOOKUP(IF(CEILING(L751,0.5)&lt;1,1,CEILING(L751,0.5)),'배송비 조회'!A$32:AY$36,2,0),-2)</f>
        <v>#REF!</v>
      </c>
      <c r="R751" s="232">
        <v>0</v>
      </c>
      <c r="S751" s="231" t="str">
        <f t="shared" ca="1" si="250"/>
        <v>#REF!</v>
      </c>
      <c r="T751" s="231" t="str">
        <f t="shared" ca="1" si="200"/>
        <v>#REF!</v>
      </c>
      <c r="U751" s="233" t="str">
        <f t="shared" ca="1" si="142"/>
        <v>#REF!</v>
      </c>
      <c r="V751" s="233" t="str">
        <f t="shared" ca="1" si="7"/>
        <v>#REF!</v>
      </c>
      <c r="W751" s="234">
        <v>0</v>
      </c>
      <c r="X751" s="234" t="str">
        <f t="shared" ca="1" si="8"/>
        <v>#REF!</v>
      </c>
      <c r="Y751" s="234" t="str">
        <f t="shared" ca="1" si="9"/>
        <v>#REF!</v>
      </c>
      <c r="Z751" s="234" t="str">
        <f t="shared" ca="1" si="10"/>
        <v>#REF!</v>
      </c>
      <c r="AA751" s="234" t="str">
        <f t="shared" ca="1" si="11"/>
        <v>#REF!</v>
      </c>
      <c r="AB751" s="234" t="str">
        <f t="shared" ca="1" si="12"/>
        <v>#REF!</v>
      </c>
      <c r="AC751" s="234" t="str">
        <f t="shared" ca="1" si="13"/>
        <v>#REF!</v>
      </c>
      <c r="AD751" s="101" t="str">
        <f t="shared" ca="1" si="14"/>
        <v>#REF!</v>
      </c>
      <c r="AE751" s="101" t="str">
        <f t="shared" ca="1" si="15"/>
        <v>#REF!</v>
      </c>
      <c r="AF751" s="235" t="str">
        <f t="shared" ref="AF751:AG751" ca="1" si="828">AD751/U751</f>
        <v>#REF!</v>
      </c>
      <c r="AG751" s="235" t="str">
        <f t="shared" ca="1" si="828"/>
        <v>#REF!</v>
      </c>
      <c r="AH751" s="212"/>
      <c r="AI751" s="213"/>
      <c r="AJ751" s="4"/>
      <c r="AK751" s="4"/>
      <c r="AL751" s="4"/>
      <c r="AM751" s="4"/>
      <c r="AN751" s="4"/>
      <c r="AO751" s="4"/>
      <c r="AP751" s="4"/>
      <c r="AQ751" s="4"/>
      <c r="AR751" s="4"/>
      <c r="AS751" s="4"/>
      <c r="AT751" s="4"/>
      <c r="AU751" s="4"/>
    </row>
    <row r="752" spans="1:47" ht="13.2">
      <c r="A752" s="120"/>
      <c r="B752" s="113"/>
      <c r="C752" s="117"/>
      <c r="D752" s="117"/>
      <c r="E752" s="117"/>
      <c r="F752" s="123"/>
      <c r="G752" s="93" t="s">
        <v>145</v>
      </c>
      <c r="H752" s="125"/>
      <c r="I752" s="125"/>
      <c r="J752" s="82" t="str">
        <f t="shared" ca="1" si="147"/>
        <v>#REF!</v>
      </c>
      <c r="K752" s="82" t="str">
        <f t="shared" ca="1" si="256"/>
        <v>#REF!</v>
      </c>
      <c r="L752" s="82" t="str">
        <f t="shared" ca="1" si="199"/>
        <v>#REF!</v>
      </c>
      <c r="M752" s="125"/>
      <c r="N752" s="125"/>
      <c r="O752" s="230">
        <f t="shared" si="2"/>
        <v>0</v>
      </c>
      <c r="P752" s="231">
        <f t="shared" si="3"/>
        <v>0</v>
      </c>
      <c r="Q752" s="232" t="str">
        <f ca="1">ROUNDUP(HLOOKUP(IF(CEILING(L752,0.5)&lt;1,1,CEILING(L752,0.5)),'배송비 조회'!A$32:AY$36,2,0),-2)</f>
        <v>#REF!</v>
      </c>
      <c r="R752" s="232">
        <v>0</v>
      </c>
      <c r="S752" s="231" t="str">
        <f t="shared" ca="1" si="250"/>
        <v>#REF!</v>
      </c>
      <c r="T752" s="231" t="str">
        <f t="shared" ca="1" si="200"/>
        <v>#REF!</v>
      </c>
      <c r="U752" s="233" t="str">
        <f t="shared" ca="1" si="142"/>
        <v>#REF!</v>
      </c>
      <c r="V752" s="233" t="str">
        <f t="shared" ca="1" si="7"/>
        <v>#REF!</v>
      </c>
      <c r="W752" s="234">
        <v>0</v>
      </c>
      <c r="X752" s="234" t="str">
        <f t="shared" ca="1" si="8"/>
        <v>#REF!</v>
      </c>
      <c r="Y752" s="234" t="str">
        <f t="shared" ca="1" si="9"/>
        <v>#REF!</v>
      </c>
      <c r="Z752" s="234" t="str">
        <f t="shared" ca="1" si="10"/>
        <v>#REF!</v>
      </c>
      <c r="AA752" s="234" t="str">
        <f t="shared" ca="1" si="11"/>
        <v>#REF!</v>
      </c>
      <c r="AB752" s="234" t="str">
        <f t="shared" ca="1" si="12"/>
        <v>#REF!</v>
      </c>
      <c r="AC752" s="234" t="str">
        <f t="shared" ca="1" si="13"/>
        <v>#REF!</v>
      </c>
      <c r="AD752" s="101" t="str">
        <f t="shared" ca="1" si="14"/>
        <v>#REF!</v>
      </c>
      <c r="AE752" s="101" t="str">
        <f t="shared" ca="1" si="15"/>
        <v>#REF!</v>
      </c>
      <c r="AF752" s="235" t="str">
        <f t="shared" ref="AF752:AG752" ca="1" si="829">AD752/U752</f>
        <v>#REF!</v>
      </c>
      <c r="AG752" s="235" t="str">
        <f t="shared" ca="1" si="829"/>
        <v>#REF!</v>
      </c>
      <c r="AH752" s="212"/>
      <c r="AI752" s="213"/>
      <c r="AJ752" s="4"/>
      <c r="AK752" s="4"/>
      <c r="AL752" s="4"/>
      <c r="AM752" s="4"/>
      <c r="AN752" s="4"/>
      <c r="AO752" s="4"/>
      <c r="AP752" s="4"/>
      <c r="AQ752" s="4"/>
      <c r="AR752" s="4"/>
      <c r="AS752" s="4"/>
      <c r="AT752" s="4"/>
      <c r="AU752" s="4"/>
    </row>
    <row r="753" spans="1:47" ht="13.2">
      <c r="A753" s="120"/>
      <c r="B753" s="113"/>
      <c r="C753" s="117"/>
      <c r="D753" s="117"/>
      <c r="E753" s="117"/>
      <c r="F753" s="123"/>
      <c r="G753" s="93" t="s">
        <v>145</v>
      </c>
      <c r="H753" s="125"/>
      <c r="I753" s="125"/>
      <c r="J753" s="82" t="str">
        <f t="shared" ca="1" si="147"/>
        <v>#REF!</v>
      </c>
      <c r="K753" s="82" t="str">
        <f t="shared" ca="1" si="256"/>
        <v>#REF!</v>
      </c>
      <c r="L753" s="82" t="str">
        <f t="shared" ca="1" si="199"/>
        <v>#REF!</v>
      </c>
      <c r="M753" s="125"/>
      <c r="N753" s="125"/>
      <c r="O753" s="230">
        <f t="shared" si="2"/>
        <v>0</v>
      </c>
      <c r="P753" s="231">
        <f t="shared" si="3"/>
        <v>0</v>
      </c>
      <c r="Q753" s="232" t="str">
        <f ca="1">ROUNDUP(HLOOKUP(IF(CEILING(L753,0.5)&lt;1,1,CEILING(L753,0.5)),'배송비 조회'!A$32:AY$36,2,0),-2)</f>
        <v>#REF!</v>
      </c>
      <c r="R753" s="232">
        <v>0</v>
      </c>
      <c r="S753" s="231" t="str">
        <f t="shared" ca="1" si="250"/>
        <v>#REF!</v>
      </c>
      <c r="T753" s="231" t="str">
        <f t="shared" ca="1" si="200"/>
        <v>#REF!</v>
      </c>
      <c r="U753" s="233" t="str">
        <f t="shared" ca="1" si="142"/>
        <v>#REF!</v>
      </c>
      <c r="V753" s="233" t="str">
        <f t="shared" ca="1" si="7"/>
        <v>#REF!</v>
      </c>
      <c r="W753" s="234">
        <v>0</v>
      </c>
      <c r="X753" s="234" t="str">
        <f t="shared" ca="1" si="8"/>
        <v>#REF!</v>
      </c>
      <c r="Y753" s="234" t="str">
        <f t="shared" ca="1" si="9"/>
        <v>#REF!</v>
      </c>
      <c r="Z753" s="234" t="str">
        <f t="shared" ca="1" si="10"/>
        <v>#REF!</v>
      </c>
      <c r="AA753" s="234" t="str">
        <f t="shared" ca="1" si="11"/>
        <v>#REF!</v>
      </c>
      <c r="AB753" s="234" t="str">
        <f t="shared" ca="1" si="12"/>
        <v>#REF!</v>
      </c>
      <c r="AC753" s="234" t="str">
        <f t="shared" ca="1" si="13"/>
        <v>#REF!</v>
      </c>
      <c r="AD753" s="101" t="str">
        <f t="shared" ca="1" si="14"/>
        <v>#REF!</v>
      </c>
      <c r="AE753" s="101" t="str">
        <f t="shared" ca="1" si="15"/>
        <v>#REF!</v>
      </c>
      <c r="AF753" s="235" t="str">
        <f t="shared" ref="AF753:AG753" ca="1" si="830">AD753/U753</f>
        <v>#REF!</v>
      </c>
      <c r="AG753" s="235" t="str">
        <f t="shared" ca="1" si="830"/>
        <v>#REF!</v>
      </c>
      <c r="AH753" s="212"/>
      <c r="AI753" s="213"/>
      <c r="AJ753" s="4"/>
      <c r="AK753" s="4"/>
      <c r="AL753" s="4"/>
      <c r="AM753" s="4"/>
      <c r="AN753" s="4"/>
      <c r="AO753" s="4"/>
      <c r="AP753" s="4"/>
      <c r="AQ753" s="4"/>
      <c r="AR753" s="4"/>
      <c r="AS753" s="4"/>
      <c r="AT753" s="4"/>
      <c r="AU753" s="4"/>
    </row>
    <row r="754" spans="1:47" ht="13.2">
      <c r="A754" s="120"/>
      <c r="B754" s="113"/>
      <c r="C754" s="117"/>
      <c r="D754" s="117"/>
      <c r="E754" s="117"/>
      <c r="F754" s="123"/>
      <c r="G754" s="93" t="s">
        <v>145</v>
      </c>
      <c r="H754" s="125"/>
      <c r="I754" s="125"/>
      <c r="J754" s="82" t="str">
        <f t="shared" ca="1" si="147"/>
        <v>#REF!</v>
      </c>
      <c r="K754" s="82" t="str">
        <f t="shared" ca="1" si="256"/>
        <v>#REF!</v>
      </c>
      <c r="L754" s="82" t="str">
        <f t="shared" ca="1" si="199"/>
        <v>#REF!</v>
      </c>
      <c r="M754" s="125"/>
      <c r="N754" s="125"/>
      <c r="O754" s="230">
        <f t="shared" si="2"/>
        <v>0</v>
      </c>
      <c r="P754" s="231">
        <f t="shared" si="3"/>
        <v>0</v>
      </c>
      <c r="Q754" s="232" t="str">
        <f ca="1">ROUNDUP(HLOOKUP(IF(CEILING(L754,0.5)&lt;1,1,CEILING(L754,0.5)),'배송비 조회'!A$32:AY$36,2,0),-2)</f>
        <v>#REF!</v>
      </c>
      <c r="R754" s="232">
        <v>0</v>
      </c>
      <c r="S754" s="231" t="str">
        <f t="shared" ca="1" si="250"/>
        <v>#REF!</v>
      </c>
      <c r="T754" s="231" t="str">
        <f t="shared" ca="1" si="200"/>
        <v>#REF!</v>
      </c>
      <c r="U754" s="233" t="str">
        <f t="shared" ca="1" si="142"/>
        <v>#REF!</v>
      </c>
      <c r="V754" s="233" t="str">
        <f t="shared" ca="1" si="7"/>
        <v>#REF!</v>
      </c>
      <c r="W754" s="234">
        <v>0</v>
      </c>
      <c r="X754" s="234" t="str">
        <f t="shared" ca="1" si="8"/>
        <v>#REF!</v>
      </c>
      <c r="Y754" s="234" t="str">
        <f t="shared" ca="1" si="9"/>
        <v>#REF!</v>
      </c>
      <c r="Z754" s="234" t="str">
        <f t="shared" ca="1" si="10"/>
        <v>#REF!</v>
      </c>
      <c r="AA754" s="234" t="str">
        <f t="shared" ca="1" si="11"/>
        <v>#REF!</v>
      </c>
      <c r="AB754" s="234" t="str">
        <f t="shared" ca="1" si="12"/>
        <v>#REF!</v>
      </c>
      <c r="AC754" s="234" t="str">
        <f t="shared" ca="1" si="13"/>
        <v>#REF!</v>
      </c>
      <c r="AD754" s="101" t="str">
        <f t="shared" ca="1" si="14"/>
        <v>#REF!</v>
      </c>
      <c r="AE754" s="101" t="str">
        <f t="shared" ca="1" si="15"/>
        <v>#REF!</v>
      </c>
      <c r="AF754" s="235" t="str">
        <f t="shared" ref="AF754:AG754" ca="1" si="831">AD754/U754</f>
        <v>#REF!</v>
      </c>
      <c r="AG754" s="235" t="str">
        <f t="shared" ca="1" si="831"/>
        <v>#REF!</v>
      </c>
      <c r="AH754" s="212"/>
      <c r="AI754" s="213"/>
      <c r="AJ754" s="4"/>
      <c r="AK754" s="4"/>
      <c r="AL754" s="4"/>
      <c r="AM754" s="4"/>
      <c r="AN754" s="4"/>
      <c r="AO754" s="4"/>
      <c r="AP754" s="4"/>
      <c r="AQ754" s="4"/>
      <c r="AR754" s="4"/>
      <c r="AS754" s="4"/>
      <c r="AT754" s="4"/>
      <c r="AU754" s="4"/>
    </row>
    <row r="755" spans="1:47" ht="13.2">
      <c r="A755" s="120"/>
      <c r="B755" s="113"/>
      <c r="C755" s="117"/>
      <c r="D755" s="117"/>
      <c r="E755" s="117"/>
      <c r="F755" s="123"/>
      <c r="G755" s="93" t="s">
        <v>145</v>
      </c>
      <c r="H755" s="125"/>
      <c r="I755" s="125"/>
      <c r="J755" s="82" t="str">
        <f t="shared" ca="1" si="147"/>
        <v>#REF!</v>
      </c>
      <c r="K755" s="82" t="str">
        <f t="shared" ca="1" si="256"/>
        <v>#REF!</v>
      </c>
      <c r="L755" s="82" t="str">
        <f t="shared" ca="1" si="199"/>
        <v>#REF!</v>
      </c>
      <c r="M755" s="125"/>
      <c r="N755" s="125"/>
      <c r="O755" s="230">
        <f t="shared" si="2"/>
        <v>0</v>
      </c>
      <c r="P755" s="231">
        <f t="shared" si="3"/>
        <v>0</v>
      </c>
      <c r="Q755" s="232" t="str">
        <f ca="1">ROUNDUP(HLOOKUP(IF(CEILING(L755,0.5)&lt;1,1,CEILING(L755,0.5)),'배송비 조회'!A$32:AY$36,2,0),-2)</f>
        <v>#REF!</v>
      </c>
      <c r="R755" s="232">
        <v>0</v>
      </c>
      <c r="S755" s="231" t="str">
        <f t="shared" ca="1" si="250"/>
        <v>#REF!</v>
      </c>
      <c r="T755" s="231" t="str">
        <f t="shared" ca="1" si="200"/>
        <v>#REF!</v>
      </c>
      <c r="U755" s="233" t="str">
        <f t="shared" ca="1" si="142"/>
        <v>#REF!</v>
      </c>
      <c r="V755" s="233" t="str">
        <f t="shared" ca="1" si="7"/>
        <v>#REF!</v>
      </c>
      <c r="W755" s="234">
        <v>0</v>
      </c>
      <c r="X755" s="234" t="str">
        <f t="shared" ca="1" si="8"/>
        <v>#REF!</v>
      </c>
      <c r="Y755" s="234" t="str">
        <f t="shared" ca="1" si="9"/>
        <v>#REF!</v>
      </c>
      <c r="Z755" s="234" t="str">
        <f t="shared" ca="1" si="10"/>
        <v>#REF!</v>
      </c>
      <c r="AA755" s="234" t="str">
        <f t="shared" ca="1" si="11"/>
        <v>#REF!</v>
      </c>
      <c r="AB755" s="234" t="str">
        <f t="shared" ca="1" si="12"/>
        <v>#REF!</v>
      </c>
      <c r="AC755" s="234" t="str">
        <f t="shared" ca="1" si="13"/>
        <v>#REF!</v>
      </c>
      <c r="AD755" s="101" t="str">
        <f t="shared" ca="1" si="14"/>
        <v>#REF!</v>
      </c>
      <c r="AE755" s="101" t="str">
        <f t="shared" ca="1" si="15"/>
        <v>#REF!</v>
      </c>
      <c r="AF755" s="235" t="str">
        <f t="shared" ref="AF755:AG755" ca="1" si="832">AD755/U755</f>
        <v>#REF!</v>
      </c>
      <c r="AG755" s="235" t="str">
        <f t="shared" ca="1" si="832"/>
        <v>#REF!</v>
      </c>
      <c r="AH755" s="212"/>
      <c r="AI755" s="213"/>
      <c r="AJ755" s="4"/>
      <c r="AK755" s="4"/>
      <c r="AL755" s="4"/>
      <c r="AM755" s="4"/>
      <c r="AN755" s="4"/>
      <c r="AO755" s="4"/>
      <c r="AP755" s="4"/>
      <c r="AQ755" s="4"/>
      <c r="AR755" s="4"/>
      <c r="AS755" s="4"/>
      <c r="AT755" s="4"/>
      <c r="AU755" s="4"/>
    </row>
    <row r="756" spans="1:47" ht="13.2">
      <c r="A756" s="120"/>
      <c r="B756" s="113"/>
      <c r="C756" s="117"/>
      <c r="D756" s="117"/>
      <c r="E756" s="117"/>
      <c r="F756" s="123"/>
      <c r="G756" s="93" t="s">
        <v>145</v>
      </c>
      <c r="H756" s="125"/>
      <c r="I756" s="125"/>
      <c r="J756" s="82" t="str">
        <f t="shared" ca="1" si="147"/>
        <v>#REF!</v>
      </c>
      <c r="K756" s="82" t="str">
        <f t="shared" ca="1" si="256"/>
        <v>#REF!</v>
      </c>
      <c r="L756" s="82" t="str">
        <f t="shared" ca="1" si="199"/>
        <v>#REF!</v>
      </c>
      <c r="M756" s="125"/>
      <c r="N756" s="125"/>
      <c r="O756" s="230">
        <f t="shared" si="2"/>
        <v>0</v>
      </c>
      <c r="P756" s="231">
        <f t="shared" si="3"/>
        <v>0</v>
      </c>
      <c r="Q756" s="232" t="str">
        <f ca="1">ROUNDUP(HLOOKUP(IF(CEILING(L756,0.5)&lt;1,1,CEILING(L756,0.5)),'배송비 조회'!A$32:AY$36,2,0),-2)</f>
        <v>#REF!</v>
      </c>
      <c r="R756" s="232">
        <v>0</v>
      </c>
      <c r="S756" s="231" t="str">
        <f t="shared" ca="1" si="250"/>
        <v>#REF!</v>
      </c>
      <c r="T756" s="231" t="str">
        <f t="shared" ca="1" si="200"/>
        <v>#REF!</v>
      </c>
      <c r="U756" s="233" t="str">
        <f t="shared" ca="1" si="142"/>
        <v>#REF!</v>
      </c>
      <c r="V756" s="233" t="str">
        <f t="shared" ca="1" si="7"/>
        <v>#REF!</v>
      </c>
      <c r="W756" s="234">
        <v>0</v>
      </c>
      <c r="X756" s="234" t="str">
        <f t="shared" ca="1" si="8"/>
        <v>#REF!</v>
      </c>
      <c r="Y756" s="234" t="str">
        <f t="shared" ca="1" si="9"/>
        <v>#REF!</v>
      </c>
      <c r="Z756" s="234" t="str">
        <f t="shared" ca="1" si="10"/>
        <v>#REF!</v>
      </c>
      <c r="AA756" s="234" t="str">
        <f t="shared" ca="1" si="11"/>
        <v>#REF!</v>
      </c>
      <c r="AB756" s="234" t="str">
        <f t="shared" ca="1" si="12"/>
        <v>#REF!</v>
      </c>
      <c r="AC756" s="234" t="str">
        <f t="shared" ca="1" si="13"/>
        <v>#REF!</v>
      </c>
      <c r="AD756" s="101" t="str">
        <f t="shared" ca="1" si="14"/>
        <v>#REF!</v>
      </c>
      <c r="AE756" s="101" t="str">
        <f t="shared" ca="1" si="15"/>
        <v>#REF!</v>
      </c>
      <c r="AF756" s="235" t="str">
        <f t="shared" ref="AF756:AG756" ca="1" si="833">AD756/U756</f>
        <v>#REF!</v>
      </c>
      <c r="AG756" s="235" t="str">
        <f t="shared" ca="1" si="833"/>
        <v>#REF!</v>
      </c>
      <c r="AH756" s="212"/>
      <c r="AI756" s="213"/>
      <c r="AJ756" s="4"/>
      <c r="AK756" s="4"/>
      <c r="AL756" s="4"/>
      <c r="AM756" s="4"/>
      <c r="AN756" s="4"/>
      <c r="AO756" s="4"/>
      <c r="AP756" s="4"/>
      <c r="AQ756" s="4"/>
      <c r="AR756" s="4"/>
      <c r="AS756" s="4"/>
      <c r="AT756" s="4"/>
      <c r="AU756" s="4"/>
    </row>
    <row r="757" spans="1:47" ht="13.2">
      <c r="A757" s="120"/>
      <c r="B757" s="113"/>
      <c r="C757" s="117"/>
      <c r="D757" s="117"/>
      <c r="E757" s="117"/>
      <c r="F757" s="123"/>
      <c r="G757" s="93" t="s">
        <v>145</v>
      </c>
      <c r="H757" s="125"/>
      <c r="I757" s="125"/>
      <c r="J757" s="82" t="str">
        <f t="shared" ca="1" si="147"/>
        <v>#REF!</v>
      </c>
      <c r="K757" s="82" t="str">
        <f t="shared" ca="1" si="256"/>
        <v>#REF!</v>
      </c>
      <c r="L757" s="82" t="str">
        <f t="shared" ca="1" si="199"/>
        <v>#REF!</v>
      </c>
      <c r="M757" s="125"/>
      <c r="N757" s="125"/>
      <c r="O757" s="230">
        <f t="shared" si="2"/>
        <v>0</v>
      </c>
      <c r="P757" s="231">
        <f t="shared" si="3"/>
        <v>0</v>
      </c>
      <c r="Q757" s="232" t="str">
        <f ca="1">ROUNDUP(HLOOKUP(IF(CEILING(L757,0.5)&lt;1,1,CEILING(L757,0.5)),'배송비 조회'!A$32:AY$36,2,0),-2)</f>
        <v>#REF!</v>
      </c>
      <c r="R757" s="232">
        <v>0</v>
      </c>
      <c r="S757" s="231" t="str">
        <f t="shared" ca="1" si="250"/>
        <v>#REF!</v>
      </c>
      <c r="T757" s="231" t="str">
        <f t="shared" ca="1" si="200"/>
        <v>#REF!</v>
      </c>
      <c r="U757" s="233" t="str">
        <f t="shared" ca="1" si="142"/>
        <v>#REF!</v>
      </c>
      <c r="V757" s="233" t="str">
        <f t="shared" ca="1" si="7"/>
        <v>#REF!</v>
      </c>
      <c r="W757" s="234">
        <v>0</v>
      </c>
      <c r="X757" s="234" t="str">
        <f t="shared" ca="1" si="8"/>
        <v>#REF!</v>
      </c>
      <c r="Y757" s="234" t="str">
        <f t="shared" ca="1" si="9"/>
        <v>#REF!</v>
      </c>
      <c r="Z757" s="234" t="str">
        <f t="shared" ca="1" si="10"/>
        <v>#REF!</v>
      </c>
      <c r="AA757" s="234" t="str">
        <f t="shared" ca="1" si="11"/>
        <v>#REF!</v>
      </c>
      <c r="AB757" s="234" t="str">
        <f t="shared" ca="1" si="12"/>
        <v>#REF!</v>
      </c>
      <c r="AC757" s="234" t="str">
        <f t="shared" ca="1" si="13"/>
        <v>#REF!</v>
      </c>
      <c r="AD757" s="101" t="str">
        <f t="shared" ca="1" si="14"/>
        <v>#REF!</v>
      </c>
      <c r="AE757" s="101" t="str">
        <f t="shared" ca="1" si="15"/>
        <v>#REF!</v>
      </c>
      <c r="AF757" s="235" t="str">
        <f t="shared" ref="AF757:AG757" ca="1" si="834">AD757/U757</f>
        <v>#REF!</v>
      </c>
      <c r="AG757" s="235" t="str">
        <f t="shared" ca="1" si="834"/>
        <v>#REF!</v>
      </c>
      <c r="AH757" s="212"/>
      <c r="AI757" s="213"/>
      <c r="AJ757" s="4"/>
      <c r="AK757" s="4"/>
      <c r="AL757" s="4"/>
      <c r="AM757" s="4"/>
      <c r="AN757" s="4"/>
      <c r="AO757" s="4"/>
      <c r="AP757" s="4"/>
      <c r="AQ757" s="4"/>
      <c r="AR757" s="4"/>
      <c r="AS757" s="4"/>
      <c r="AT757" s="4"/>
      <c r="AU757" s="4"/>
    </row>
    <row r="758" spans="1:47" ht="13.2">
      <c r="A758" s="120"/>
      <c r="B758" s="113"/>
      <c r="C758" s="117"/>
      <c r="D758" s="117"/>
      <c r="E758" s="117"/>
      <c r="F758" s="123"/>
      <c r="G758" s="93" t="s">
        <v>145</v>
      </c>
      <c r="H758" s="125"/>
      <c r="I758" s="125"/>
      <c r="J758" s="82" t="str">
        <f t="shared" ca="1" si="147"/>
        <v>#REF!</v>
      </c>
      <c r="K758" s="82" t="str">
        <f t="shared" ca="1" si="256"/>
        <v>#REF!</v>
      </c>
      <c r="L758" s="82" t="str">
        <f t="shared" ca="1" si="199"/>
        <v>#REF!</v>
      </c>
      <c r="M758" s="125"/>
      <c r="N758" s="125"/>
      <c r="O758" s="230">
        <f t="shared" si="2"/>
        <v>0</v>
      </c>
      <c r="P758" s="231">
        <f t="shared" si="3"/>
        <v>0</v>
      </c>
      <c r="Q758" s="232" t="str">
        <f ca="1">ROUNDUP(HLOOKUP(IF(CEILING(L758,0.5)&lt;1,1,CEILING(L758,0.5)),'배송비 조회'!A$32:AY$36,2,0),-2)</f>
        <v>#REF!</v>
      </c>
      <c r="R758" s="232">
        <v>0</v>
      </c>
      <c r="S758" s="231" t="str">
        <f t="shared" ca="1" si="250"/>
        <v>#REF!</v>
      </c>
      <c r="T758" s="231" t="str">
        <f t="shared" ca="1" si="200"/>
        <v>#REF!</v>
      </c>
      <c r="U758" s="233" t="str">
        <f t="shared" ca="1" si="142"/>
        <v>#REF!</v>
      </c>
      <c r="V758" s="233" t="str">
        <f t="shared" ca="1" si="7"/>
        <v>#REF!</v>
      </c>
      <c r="W758" s="234">
        <v>0</v>
      </c>
      <c r="X758" s="234" t="str">
        <f t="shared" ca="1" si="8"/>
        <v>#REF!</v>
      </c>
      <c r="Y758" s="234" t="str">
        <f t="shared" ca="1" si="9"/>
        <v>#REF!</v>
      </c>
      <c r="Z758" s="234" t="str">
        <f t="shared" ca="1" si="10"/>
        <v>#REF!</v>
      </c>
      <c r="AA758" s="234" t="str">
        <f t="shared" ca="1" si="11"/>
        <v>#REF!</v>
      </c>
      <c r="AB758" s="234" t="str">
        <f t="shared" ca="1" si="12"/>
        <v>#REF!</v>
      </c>
      <c r="AC758" s="234" t="str">
        <f t="shared" ca="1" si="13"/>
        <v>#REF!</v>
      </c>
      <c r="AD758" s="101" t="str">
        <f t="shared" ca="1" si="14"/>
        <v>#REF!</v>
      </c>
      <c r="AE758" s="101" t="str">
        <f t="shared" ca="1" si="15"/>
        <v>#REF!</v>
      </c>
      <c r="AF758" s="235" t="str">
        <f t="shared" ref="AF758:AG758" ca="1" si="835">AD758/U758</f>
        <v>#REF!</v>
      </c>
      <c r="AG758" s="235" t="str">
        <f t="shared" ca="1" si="835"/>
        <v>#REF!</v>
      </c>
      <c r="AH758" s="212"/>
      <c r="AI758" s="213"/>
      <c r="AJ758" s="4"/>
      <c r="AK758" s="4"/>
      <c r="AL758" s="4"/>
      <c r="AM758" s="4"/>
      <c r="AN758" s="4"/>
      <c r="AO758" s="4"/>
      <c r="AP758" s="4"/>
      <c r="AQ758" s="4"/>
      <c r="AR758" s="4"/>
      <c r="AS758" s="4"/>
      <c r="AT758" s="4"/>
      <c r="AU758" s="4"/>
    </row>
    <row r="759" spans="1:47" ht="13.2">
      <c r="A759" s="120"/>
      <c r="B759" s="113"/>
      <c r="C759" s="117"/>
      <c r="D759" s="117"/>
      <c r="E759" s="117"/>
      <c r="F759" s="123"/>
      <c r="G759" s="93" t="s">
        <v>145</v>
      </c>
      <c r="H759" s="125"/>
      <c r="I759" s="125"/>
      <c r="J759" s="82" t="str">
        <f t="shared" ca="1" si="147"/>
        <v>#REF!</v>
      </c>
      <c r="K759" s="82" t="str">
        <f t="shared" ca="1" si="256"/>
        <v>#REF!</v>
      </c>
      <c r="L759" s="82" t="str">
        <f t="shared" ca="1" si="199"/>
        <v>#REF!</v>
      </c>
      <c r="M759" s="125"/>
      <c r="N759" s="125"/>
      <c r="O759" s="230">
        <f t="shared" si="2"/>
        <v>0</v>
      </c>
      <c r="P759" s="231">
        <f t="shared" si="3"/>
        <v>0</v>
      </c>
      <c r="Q759" s="232" t="str">
        <f ca="1">ROUNDUP(HLOOKUP(IF(CEILING(L759,0.5)&lt;1,1,CEILING(L759,0.5)),'배송비 조회'!A$32:AY$36,2,0),-2)</f>
        <v>#REF!</v>
      </c>
      <c r="R759" s="232">
        <v>0</v>
      </c>
      <c r="S759" s="231" t="str">
        <f t="shared" ca="1" si="250"/>
        <v>#REF!</v>
      </c>
      <c r="T759" s="231" t="str">
        <f t="shared" ca="1" si="200"/>
        <v>#REF!</v>
      </c>
      <c r="U759" s="233" t="str">
        <f t="shared" ca="1" si="142"/>
        <v>#REF!</v>
      </c>
      <c r="V759" s="233" t="str">
        <f t="shared" ca="1" si="7"/>
        <v>#REF!</v>
      </c>
      <c r="W759" s="234">
        <v>0</v>
      </c>
      <c r="X759" s="234" t="str">
        <f t="shared" ca="1" si="8"/>
        <v>#REF!</v>
      </c>
      <c r="Y759" s="234" t="str">
        <f t="shared" ca="1" si="9"/>
        <v>#REF!</v>
      </c>
      <c r="Z759" s="234" t="str">
        <f t="shared" ca="1" si="10"/>
        <v>#REF!</v>
      </c>
      <c r="AA759" s="234" t="str">
        <f t="shared" ca="1" si="11"/>
        <v>#REF!</v>
      </c>
      <c r="AB759" s="234" t="str">
        <f t="shared" ca="1" si="12"/>
        <v>#REF!</v>
      </c>
      <c r="AC759" s="234" t="str">
        <f t="shared" ca="1" si="13"/>
        <v>#REF!</v>
      </c>
      <c r="AD759" s="101" t="str">
        <f t="shared" ca="1" si="14"/>
        <v>#REF!</v>
      </c>
      <c r="AE759" s="101" t="str">
        <f t="shared" ca="1" si="15"/>
        <v>#REF!</v>
      </c>
      <c r="AF759" s="235" t="str">
        <f t="shared" ref="AF759:AG759" ca="1" si="836">AD759/U759</f>
        <v>#REF!</v>
      </c>
      <c r="AG759" s="235" t="str">
        <f t="shared" ca="1" si="836"/>
        <v>#REF!</v>
      </c>
      <c r="AH759" s="212"/>
      <c r="AI759" s="213"/>
      <c r="AJ759" s="4"/>
      <c r="AK759" s="4"/>
      <c r="AL759" s="4"/>
      <c r="AM759" s="4"/>
      <c r="AN759" s="4"/>
      <c r="AO759" s="4"/>
      <c r="AP759" s="4"/>
      <c r="AQ759" s="4"/>
      <c r="AR759" s="4"/>
      <c r="AS759" s="4"/>
      <c r="AT759" s="4"/>
      <c r="AU759" s="4"/>
    </row>
    <row r="760" spans="1:47" ht="13.2">
      <c r="A760" s="120"/>
      <c r="B760" s="113"/>
      <c r="C760" s="117"/>
      <c r="D760" s="117"/>
      <c r="E760" s="117"/>
      <c r="F760" s="123"/>
      <c r="G760" s="93" t="s">
        <v>145</v>
      </c>
      <c r="H760" s="125"/>
      <c r="I760" s="125"/>
      <c r="J760" s="82" t="str">
        <f t="shared" ca="1" si="147"/>
        <v>#REF!</v>
      </c>
      <c r="K760" s="82" t="str">
        <f t="shared" ca="1" si="256"/>
        <v>#REF!</v>
      </c>
      <c r="L760" s="82" t="str">
        <f t="shared" ca="1" si="199"/>
        <v>#REF!</v>
      </c>
      <c r="M760" s="125"/>
      <c r="N760" s="125"/>
      <c r="O760" s="230">
        <f t="shared" si="2"/>
        <v>0</v>
      </c>
      <c r="P760" s="231">
        <f t="shared" si="3"/>
        <v>0</v>
      </c>
      <c r="Q760" s="232" t="str">
        <f ca="1">ROUNDUP(HLOOKUP(IF(CEILING(L760,0.5)&lt;1,1,CEILING(L760,0.5)),'배송비 조회'!A$32:AY$36,2,0),-2)</f>
        <v>#REF!</v>
      </c>
      <c r="R760" s="232">
        <v>0</v>
      </c>
      <c r="S760" s="231" t="str">
        <f t="shared" ca="1" si="250"/>
        <v>#REF!</v>
      </c>
      <c r="T760" s="231" t="str">
        <f t="shared" ca="1" si="200"/>
        <v>#REF!</v>
      </c>
      <c r="U760" s="233" t="str">
        <f t="shared" ca="1" si="142"/>
        <v>#REF!</v>
      </c>
      <c r="V760" s="233" t="str">
        <f t="shared" ca="1" si="7"/>
        <v>#REF!</v>
      </c>
      <c r="W760" s="234">
        <v>0</v>
      </c>
      <c r="X760" s="234" t="str">
        <f t="shared" ca="1" si="8"/>
        <v>#REF!</v>
      </c>
      <c r="Y760" s="234" t="str">
        <f t="shared" ca="1" si="9"/>
        <v>#REF!</v>
      </c>
      <c r="Z760" s="234" t="str">
        <f t="shared" ca="1" si="10"/>
        <v>#REF!</v>
      </c>
      <c r="AA760" s="234" t="str">
        <f t="shared" ca="1" si="11"/>
        <v>#REF!</v>
      </c>
      <c r="AB760" s="234" t="str">
        <f t="shared" ca="1" si="12"/>
        <v>#REF!</v>
      </c>
      <c r="AC760" s="234" t="str">
        <f t="shared" ca="1" si="13"/>
        <v>#REF!</v>
      </c>
      <c r="AD760" s="101" t="str">
        <f t="shared" ca="1" si="14"/>
        <v>#REF!</v>
      </c>
      <c r="AE760" s="101" t="str">
        <f t="shared" ca="1" si="15"/>
        <v>#REF!</v>
      </c>
      <c r="AF760" s="235" t="str">
        <f t="shared" ref="AF760:AG760" ca="1" si="837">AD760/U760</f>
        <v>#REF!</v>
      </c>
      <c r="AG760" s="235" t="str">
        <f t="shared" ca="1" si="837"/>
        <v>#REF!</v>
      </c>
      <c r="AH760" s="212"/>
      <c r="AI760" s="213"/>
      <c r="AJ760" s="4"/>
      <c r="AK760" s="4"/>
      <c r="AL760" s="4"/>
      <c r="AM760" s="4"/>
      <c r="AN760" s="4"/>
      <c r="AO760" s="4"/>
      <c r="AP760" s="4"/>
      <c r="AQ760" s="4"/>
      <c r="AR760" s="4"/>
      <c r="AS760" s="4"/>
      <c r="AT760" s="4"/>
      <c r="AU760" s="4"/>
    </row>
    <row r="761" spans="1:47" ht="13.2">
      <c r="A761" s="120"/>
      <c r="B761" s="113"/>
      <c r="C761" s="117"/>
      <c r="D761" s="117"/>
      <c r="E761" s="117"/>
      <c r="F761" s="123"/>
      <c r="G761" s="93" t="s">
        <v>145</v>
      </c>
      <c r="H761" s="125"/>
      <c r="I761" s="125"/>
      <c r="J761" s="82" t="str">
        <f t="shared" ca="1" si="147"/>
        <v>#REF!</v>
      </c>
      <c r="K761" s="82" t="str">
        <f t="shared" ca="1" si="256"/>
        <v>#REF!</v>
      </c>
      <c r="L761" s="82" t="str">
        <f t="shared" ca="1" si="199"/>
        <v>#REF!</v>
      </c>
      <c r="M761" s="125"/>
      <c r="N761" s="125"/>
      <c r="O761" s="230">
        <f t="shared" si="2"/>
        <v>0</v>
      </c>
      <c r="P761" s="231">
        <f t="shared" si="3"/>
        <v>0</v>
      </c>
      <c r="Q761" s="232" t="str">
        <f ca="1">ROUNDUP(HLOOKUP(IF(CEILING(L761,0.5)&lt;1,1,CEILING(L761,0.5)),'배송비 조회'!A$32:AY$36,2,0),-2)</f>
        <v>#REF!</v>
      </c>
      <c r="R761" s="232">
        <v>0</v>
      </c>
      <c r="S761" s="231" t="str">
        <f t="shared" ca="1" si="250"/>
        <v>#REF!</v>
      </c>
      <c r="T761" s="231" t="str">
        <f t="shared" ca="1" si="200"/>
        <v>#REF!</v>
      </c>
      <c r="U761" s="233" t="str">
        <f t="shared" ca="1" si="142"/>
        <v>#REF!</v>
      </c>
      <c r="V761" s="233" t="str">
        <f t="shared" ca="1" si="7"/>
        <v>#REF!</v>
      </c>
      <c r="W761" s="234">
        <v>0</v>
      </c>
      <c r="X761" s="234" t="str">
        <f t="shared" ca="1" si="8"/>
        <v>#REF!</v>
      </c>
      <c r="Y761" s="234" t="str">
        <f t="shared" ca="1" si="9"/>
        <v>#REF!</v>
      </c>
      <c r="Z761" s="234" t="str">
        <f t="shared" ca="1" si="10"/>
        <v>#REF!</v>
      </c>
      <c r="AA761" s="234" t="str">
        <f t="shared" ca="1" si="11"/>
        <v>#REF!</v>
      </c>
      <c r="AB761" s="234" t="str">
        <f t="shared" ca="1" si="12"/>
        <v>#REF!</v>
      </c>
      <c r="AC761" s="234" t="str">
        <f t="shared" ca="1" si="13"/>
        <v>#REF!</v>
      </c>
      <c r="AD761" s="101" t="str">
        <f t="shared" ca="1" si="14"/>
        <v>#REF!</v>
      </c>
      <c r="AE761" s="101" t="str">
        <f t="shared" ca="1" si="15"/>
        <v>#REF!</v>
      </c>
      <c r="AF761" s="235" t="str">
        <f t="shared" ref="AF761:AG761" ca="1" si="838">AD761/U761</f>
        <v>#REF!</v>
      </c>
      <c r="AG761" s="235" t="str">
        <f t="shared" ca="1" si="838"/>
        <v>#REF!</v>
      </c>
      <c r="AH761" s="212"/>
      <c r="AI761" s="213"/>
      <c r="AJ761" s="4"/>
      <c r="AK761" s="4"/>
      <c r="AL761" s="4"/>
      <c r="AM761" s="4"/>
      <c r="AN761" s="4"/>
      <c r="AO761" s="4"/>
      <c r="AP761" s="4"/>
      <c r="AQ761" s="4"/>
      <c r="AR761" s="4"/>
      <c r="AS761" s="4"/>
      <c r="AT761" s="4"/>
      <c r="AU761" s="4"/>
    </row>
    <row r="762" spans="1:47" ht="13.2">
      <c r="A762" s="120"/>
      <c r="B762" s="113"/>
      <c r="C762" s="117"/>
      <c r="D762" s="117"/>
      <c r="E762" s="117"/>
      <c r="F762" s="123"/>
      <c r="G762" s="93" t="s">
        <v>145</v>
      </c>
      <c r="H762" s="125"/>
      <c r="I762" s="125"/>
      <c r="J762" s="82" t="str">
        <f t="shared" ca="1" si="147"/>
        <v>#REF!</v>
      </c>
      <c r="K762" s="82" t="str">
        <f t="shared" ca="1" si="256"/>
        <v>#REF!</v>
      </c>
      <c r="L762" s="82" t="str">
        <f t="shared" ca="1" si="199"/>
        <v>#REF!</v>
      </c>
      <c r="M762" s="125"/>
      <c r="N762" s="125"/>
      <c r="O762" s="230">
        <f t="shared" si="2"/>
        <v>0</v>
      </c>
      <c r="P762" s="231">
        <f t="shared" si="3"/>
        <v>0</v>
      </c>
      <c r="Q762" s="232" t="str">
        <f ca="1">ROUNDUP(HLOOKUP(IF(CEILING(L762,0.5)&lt;1,1,CEILING(L762,0.5)),'배송비 조회'!A$32:AY$36,2,0),-2)</f>
        <v>#REF!</v>
      </c>
      <c r="R762" s="232">
        <v>0</v>
      </c>
      <c r="S762" s="231" t="str">
        <f t="shared" ca="1" si="250"/>
        <v>#REF!</v>
      </c>
      <c r="T762" s="231" t="str">
        <f t="shared" ca="1" si="200"/>
        <v>#REF!</v>
      </c>
      <c r="U762" s="233" t="str">
        <f t="shared" ca="1" si="142"/>
        <v>#REF!</v>
      </c>
      <c r="V762" s="233" t="str">
        <f t="shared" ca="1" si="7"/>
        <v>#REF!</v>
      </c>
      <c r="W762" s="234">
        <v>0</v>
      </c>
      <c r="X762" s="234" t="str">
        <f t="shared" ca="1" si="8"/>
        <v>#REF!</v>
      </c>
      <c r="Y762" s="234" t="str">
        <f t="shared" ca="1" si="9"/>
        <v>#REF!</v>
      </c>
      <c r="Z762" s="234" t="str">
        <f t="shared" ca="1" si="10"/>
        <v>#REF!</v>
      </c>
      <c r="AA762" s="234" t="str">
        <f t="shared" ca="1" si="11"/>
        <v>#REF!</v>
      </c>
      <c r="AB762" s="234" t="str">
        <f t="shared" ca="1" si="12"/>
        <v>#REF!</v>
      </c>
      <c r="AC762" s="234" t="str">
        <f t="shared" ca="1" si="13"/>
        <v>#REF!</v>
      </c>
      <c r="AD762" s="101" t="str">
        <f t="shared" ca="1" si="14"/>
        <v>#REF!</v>
      </c>
      <c r="AE762" s="101" t="str">
        <f t="shared" ca="1" si="15"/>
        <v>#REF!</v>
      </c>
      <c r="AF762" s="235" t="str">
        <f t="shared" ref="AF762:AG762" ca="1" si="839">AD762/U762</f>
        <v>#REF!</v>
      </c>
      <c r="AG762" s="235" t="str">
        <f t="shared" ca="1" si="839"/>
        <v>#REF!</v>
      </c>
      <c r="AH762" s="212"/>
      <c r="AI762" s="213"/>
      <c r="AJ762" s="4"/>
      <c r="AK762" s="4"/>
      <c r="AL762" s="4"/>
      <c r="AM762" s="4"/>
      <c r="AN762" s="4"/>
      <c r="AO762" s="4"/>
      <c r="AP762" s="4"/>
      <c r="AQ762" s="4"/>
      <c r="AR762" s="4"/>
      <c r="AS762" s="4"/>
      <c r="AT762" s="4"/>
      <c r="AU762" s="4"/>
    </row>
    <row r="763" spans="1:47" ht="13.2">
      <c r="A763" s="120"/>
      <c r="B763" s="113"/>
      <c r="C763" s="117"/>
      <c r="D763" s="117"/>
      <c r="E763" s="117"/>
      <c r="F763" s="123"/>
      <c r="G763" s="93" t="s">
        <v>145</v>
      </c>
      <c r="H763" s="125"/>
      <c r="I763" s="125"/>
      <c r="J763" s="82" t="str">
        <f t="shared" ca="1" si="147"/>
        <v>#REF!</v>
      </c>
      <c r="K763" s="82" t="str">
        <f t="shared" ca="1" si="256"/>
        <v>#REF!</v>
      </c>
      <c r="L763" s="82" t="str">
        <f t="shared" ca="1" si="199"/>
        <v>#REF!</v>
      </c>
      <c r="M763" s="125"/>
      <c r="N763" s="125"/>
      <c r="O763" s="230">
        <f t="shared" si="2"/>
        <v>0</v>
      </c>
      <c r="P763" s="231">
        <f t="shared" si="3"/>
        <v>0</v>
      </c>
      <c r="Q763" s="232" t="str">
        <f ca="1">ROUNDUP(HLOOKUP(IF(CEILING(L763,0.5)&lt;1,1,CEILING(L763,0.5)),'배송비 조회'!A$32:AY$36,2,0),-2)</f>
        <v>#REF!</v>
      </c>
      <c r="R763" s="232">
        <v>0</v>
      </c>
      <c r="S763" s="231" t="str">
        <f t="shared" ca="1" si="250"/>
        <v>#REF!</v>
      </c>
      <c r="T763" s="231" t="str">
        <f t="shared" ca="1" si="200"/>
        <v>#REF!</v>
      </c>
      <c r="U763" s="233" t="str">
        <f t="shared" ca="1" si="142"/>
        <v>#REF!</v>
      </c>
      <c r="V763" s="233" t="str">
        <f t="shared" ca="1" si="7"/>
        <v>#REF!</v>
      </c>
      <c r="W763" s="234">
        <v>0</v>
      </c>
      <c r="X763" s="234" t="str">
        <f t="shared" ca="1" si="8"/>
        <v>#REF!</v>
      </c>
      <c r="Y763" s="234" t="str">
        <f t="shared" ca="1" si="9"/>
        <v>#REF!</v>
      </c>
      <c r="Z763" s="234" t="str">
        <f t="shared" ca="1" si="10"/>
        <v>#REF!</v>
      </c>
      <c r="AA763" s="234" t="str">
        <f t="shared" ca="1" si="11"/>
        <v>#REF!</v>
      </c>
      <c r="AB763" s="234" t="str">
        <f t="shared" ca="1" si="12"/>
        <v>#REF!</v>
      </c>
      <c r="AC763" s="234" t="str">
        <f t="shared" ca="1" si="13"/>
        <v>#REF!</v>
      </c>
      <c r="AD763" s="101" t="str">
        <f t="shared" ca="1" si="14"/>
        <v>#REF!</v>
      </c>
      <c r="AE763" s="101" t="str">
        <f t="shared" ca="1" si="15"/>
        <v>#REF!</v>
      </c>
      <c r="AF763" s="235" t="str">
        <f t="shared" ref="AF763:AG763" ca="1" si="840">AD763/U763</f>
        <v>#REF!</v>
      </c>
      <c r="AG763" s="235" t="str">
        <f t="shared" ca="1" si="840"/>
        <v>#REF!</v>
      </c>
      <c r="AH763" s="212"/>
      <c r="AI763" s="213"/>
      <c r="AJ763" s="4"/>
      <c r="AK763" s="4"/>
      <c r="AL763" s="4"/>
      <c r="AM763" s="4"/>
      <c r="AN763" s="4"/>
      <c r="AO763" s="4"/>
      <c r="AP763" s="4"/>
      <c r="AQ763" s="4"/>
      <c r="AR763" s="4"/>
      <c r="AS763" s="4"/>
      <c r="AT763" s="4"/>
      <c r="AU763" s="4"/>
    </row>
    <row r="764" spans="1:47" ht="13.2">
      <c r="A764" s="120"/>
      <c r="B764" s="113"/>
      <c r="C764" s="117"/>
      <c r="D764" s="117"/>
      <c r="E764" s="117"/>
      <c r="F764" s="123"/>
      <c r="G764" s="93" t="s">
        <v>145</v>
      </c>
      <c r="H764" s="125"/>
      <c r="I764" s="125"/>
      <c r="J764" s="82" t="str">
        <f t="shared" ca="1" si="147"/>
        <v>#REF!</v>
      </c>
      <c r="K764" s="82" t="str">
        <f t="shared" ca="1" si="256"/>
        <v>#REF!</v>
      </c>
      <c r="L764" s="82" t="str">
        <f t="shared" ca="1" si="199"/>
        <v>#REF!</v>
      </c>
      <c r="M764" s="125"/>
      <c r="N764" s="125"/>
      <c r="O764" s="230">
        <f t="shared" si="2"/>
        <v>0</v>
      </c>
      <c r="P764" s="231">
        <f t="shared" si="3"/>
        <v>0</v>
      </c>
      <c r="Q764" s="232" t="str">
        <f ca="1">ROUNDUP(HLOOKUP(IF(CEILING(L764,0.5)&lt;1,1,CEILING(L764,0.5)),'배송비 조회'!A$32:AY$36,2,0),-2)</f>
        <v>#REF!</v>
      </c>
      <c r="R764" s="232">
        <v>0</v>
      </c>
      <c r="S764" s="231" t="str">
        <f t="shared" ca="1" si="250"/>
        <v>#REF!</v>
      </c>
      <c r="T764" s="231" t="str">
        <f t="shared" ca="1" si="200"/>
        <v>#REF!</v>
      </c>
      <c r="U764" s="233" t="str">
        <f t="shared" ca="1" si="142"/>
        <v>#REF!</v>
      </c>
      <c r="V764" s="233" t="str">
        <f t="shared" ca="1" si="7"/>
        <v>#REF!</v>
      </c>
      <c r="W764" s="234">
        <v>0</v>
      </c>
      <c r="X764" s="234" t="str">
        <f t="shared" ca="1" si="8"/>
        <v>#REF!</v>
      </c>
      <c r="Y764" s="234" t="str">
        <f t="shared" ca="1" si="9"/>
        <v>#REF!</v>
      </c>
      <c r="Z764" s="234" t="str">
        <f t="shared" ca="1" si="10"/>
        <v>#REF!</v>
      </c>
      <c r="AA764" s="234" t="str">
        <f t="shared" ca="1" si="11"/>
        <v>#REF!</v>
      </c>
      <c r="AB764" s="234" t="str">
        <f t="shared" ca="1" si="12"/>
        <v>#REF!</v>
      </c>
      <c r="AC764" s="234" t="str">
        <f t="shared" ca="1" si="13"/>
        <v>#REF!</v>
      </c>
      <c r="AD764" s="101" t="str">
        <f t="shared" ca="1" si="14"/>
        <v>#REF!</v>
      </c>
      <c r="AE764" s="101" t="str">
        <f t="shared" ca="1" si="15"/>
        <v>#REF!</v>
      </c>
      <c r="AF764" s="235" t="str">
        <f t="shared" ref="AF764:AG764" ca="1" si="841">AD764/U764</f>
        <v>#REF!</v>
      </c>
      <c r="AG764" s="235" t="str">
        <f t="shared" ca="1" si="841"/>
        <v>#REF!</v>
      </c>
      <c r="AH764" s="212"/>
      <c r="AI764" s="213"/>
      <c r="AJ764" s="4"/>
      <c r="AK764" s="4"/>
      <c r="AL764" s="4"/>
      <c r="AM764" s="4"/>
      <c r="AN764" s="4"/>
      <c r="AO764" s="4"/>
      <c r="AP764" s="4"/>
      <c r="AQ764" s="4"/>
      <c r="AR764" s="4"/>
      <c r="AS764" s="4"/>
      <c r="AT764" s="4"/>
      <c r="AU764" s="4"/>
    </row>
    <row r="765" spans="1:47" ht="13.2">
      <c r="A765" s="120"/>
      <c r="B765" s="113"/>
      <c r="C765" s="117"/>
      <c r="D765" s="117"/>
      <c r="E765" s="117"/>
      <c r="F765" s="123"/>
      <c r="G765" s="93" t="s">
        <v>145</v>
      </c>
      <c r="H765" s="125"/>
      <c r="I765" s="125"/>
      <c r="J765" s="82" t="str">
        <f t="shared" ca="1" si="147"/>
        <v>#REF!</v>
      </c>
      <c r="K765" s="82" t="str">
        <f t="shared" ca="1" si="256"/>
        <v>#REF!</v>
      </c>
      <c r="L765" s="82" t="str">
        <f t="shared" ca="1" si="199"/>
        <v>#REF!</v>
      </c>
      <c r="M765" s="125"/>
      <c r="N765" s="125"/>
      <c r="O765" s="230">
        <f t="shared" si="2"/>
        <v>0</v>
      </c>
      <c r="P765" s="231">
        <f t="shared" si="3"/>
        <v>0</v>
      </c>
      <c r="Q765" s="232" t="str">
        <f ca="1">ROUNDUP(HLOOKUP(IF(CEILING(L765,0.5)&lt;1,1,CEILING(L765,0.5)),'배송비 조회'!A$32:AY$36,2,0),-2)</f>
        <v>#REF!</v>
      </c>
      <c r="R765" s="232">
        <v>0</v>
      </c>
      <c r="S765" s="231" t="str">
        <f t="shared" ca="1" si="250"/>
        <v>#REF!</v>
      </c>
      <c r="T765" s="231" t="str">
        <f t="shared" ca="1" si="200"/>
        <v>#REF!</v>
      </c>
      <c r="U765" s="233" t="str">
        <f t="shared" ca="1" si="142"/>
        <v>#REF!</v>
      </c>
      <c r="V765" s="233" t="str">
        <f t="shared" ca="1" si="7"/>
        <v>#REF!</v>
      </c>
      <c r="W765" s="234">
        <v>0</v>
      </c>
      <c r="X765" s="234" t="str">
        <f t="shared" ca="1" si="8"/>
        <v>#REF!</v>
      </c>
      <c r="Y765" s="234" t="str">
        <f t="shared" ca="1" si="9"/>
        <v>#REF!</v>
      </c>
      <c r="Z765" s="234" t="str">
        <f t="shared" ca="1" si="10"/>
        <v>#REF!</v>
      </c>
      <c r="AA765" s="234" t="str">
        <f t="shared" ca="1" si="11"/>
        <v>#REF!</v>
      </c>
      <c r="AB765" s="234" t="str">
        <f t="shared" ca="1" si="12"/>
        <v>#REF!</v>
      </c>
      <c r="AC765" s="234" t="str">
        <f t="shared" ca="1" si="13"/>
        <v>#REF!</v>
      </c>
      <c r="AD765" s="101" t="str">
        <f t="shared" ca="1" si="14"/>
        <v>#REF!</v>
      </c>
      <c r="AE765" s="101" t="str">
        <f t="shared" ca="1" si="15"/>
        <v>#REF!</v>
      </c>
      <c r="AF765" s="235" t="str">
        <f t="shared" ref="AF765:AG765" ca="1" si="842">AD765/U765</f>
        <v>#REF!</v>
      </c>
      <c r="AG765" s="235" t="str">
        <f t="shared" ca="1" si="842"/>
        <v>#REF!</v>
      </c>
      <c r="AH765" s="212"/>
      <c r="AI765" s="213"/>
      <c r="AJ765" s="4"/>
      <c r="AK765" s="4"/>
      <c r="AL765" s="4"/>
      <c r="AM765" s="4"/>
      <c r="AN765" s="4"/>
      <c r="AO765" s="4"/>
      <c r="AP765" s="4"/>
      <c r="AQ765" s="4"/>
      <c r="AR765" s="4"/>
      <c r="AS765" s="4"/>
      <c r="AT765" s="4"/>
      <c r="AU765" s="4"/>
    </row>
    <row r="766" spans="1:47" ht="13.2">
      <c r="A766" s="120"/>
      <c r="B766" s="113"/>
      <c r="C766" s="117"/>
      <c r="D766" s="117"/>
      <c r="E766" s="117"/>
      <c r="F766" s="123"/>
      <c r="G766" s="93" t="s">
        <v>145</v>
      </c>
      <c r="H766" s="125"/>
      <c r="I766" s="125"/>
      <c r="J766" s="82" t="str">
        <f t="shared" ca="1" si="147"/>
        <v>#REF!</v>
      </c>
      <c r="K766" s="82" t="str">
        <f t="shared" ca="1" si="256"/>
        <v>#REF!</v>
      </c>
      <c r="L766" s="82" t="str">
        <f t="shared" ca="1" si="199"/>
        <v>#REF!</v>
      </c>
      <c r="M766" s="125"/>
      <c r="N766" s="125"/>
      <c r="O766" s="230">
        <f t="shared" si="2"/>
        <v>0</v>
      </c>
      <c r="P766" s="231">
        <f t="shared" si="3"/>
        <v>0</v>
      </c>
      <c r="Q766" s="232" t="str">
        <f ca="1">ROUNDUP(HLOOKUP(IF(CEILING(L766,0.5)&lt;1,1,CEILING(L766,0.5)),'배송비 조회'!A$32:AY$36,2,0),-2)</f>
        <v>#REF!</v>
      </c>
      <c r="R766" s="232">
        <v>0</v>
      </c>
      <c r="S766" s="231" t="str">
        <f t="shared" ca="1" si="250"/>
        <v>#REF!</v>
      </c>
      <c r="T766" s="231" t="str">
        <f t="shared" ca="1" si="200"/>
        <v>#REF!</v>
      </c>
      <c r="U766" s="233" t="str">
        <f t="shared" ca="1" si="142"/>
        <v>#REF!</v>
      </c>
      <c r="V766" s="233" t="str">
        <f t="shared" ca="1" si="7"/>
        <v>#REF!</v>
      </c>
      <c r="W766" s="234">
        <v>0</v>
      </c>
      <c r="X766" s="234" t="str">
        <f t="shared" ca="1" si="8"/>
        <v>#REF!</v>
      </c>
      <c r="Y766" s="234" t="str">
        <f t="shared" ca="1" si="9"/>
        <v>#REF!</v>
      </c>
      <c r="Z766" s="234" t="str">
        <f t="shared" ca="1" si="10"/>
        <v>#REF!</v>
      </c>
      <c r="AA766" s="234" t="str">
        <f t="shared" ca="1" si="11"/>
        <v>#REF!</v>
      </c>
      <c r="AB766" s="234" t="str">
        <f t="shared" ca="1" si="12"/>
        <v>#REF!</v>
      </c>
      <c r="AC766" s="234" t="str">
        <f t="shared" ca="1" si="13"/>
        <v>#REF!</v>
      </c>
      <c r="AD766" s="101" t="str">
        <f t="shared" ca="1" si="14"/>
        <v>#REF!</v>
      </c>
      <c r="AE766" s="101" t="str">
        <f t="shared" ca="1" si="15"/>
        <v>#REF!</v>
      </c>
      <c r="AF766" s="235" t="str">
        <f t="shared" ref="AF766:AG766" ca="1" si="843">AD766/U766</f>
        <v>#REF!</v>
      </c>
      <c r="AG766" s="235" t="str">
        <f t="shared" ca="1" si="843"/>
        <v>#REF!</v>
      </c>
      <c r="AH766" s="212"/>
      <c r="AI766" s="213"/>
      <c r="AJ766" s="4"/>
      <c r="AK766" s="4"/>
      <c r="AL766" s="4"/>
      <c r="AM766" s="4"/>
      <c r="AN766" s="4"/>
      <c r="AO766" s="4"/>
      <c r="AP766" s="4"/>
      <c r="AQ766" s="4"/>
      <c r="AR766" s="4"/>
      <c r="AS766" s="4"/>
      <c r="AT766" s="4"/>
      <c r="AU766" s="4"/>
    </row>
    <row r="767" spans="1:47" ht="13.2">
      <c r="A767" s="120"/>
      <c r="B767" s="113"/>
      <c r="C767" s="117"/>
      <c r="D767" s="117"/>
      <c r="E767" s="117"/>
      <c r="F767" s="123"/>
      <c r="G767" s="93" t="s">
        <v>145</v>
      </c>
      <c r="H767" s="125"/>
      <c r="I767" s="125"/>
      <c r="J767" s="82" t="str">
        <f t="shared" ca="1" si="147"/>
        <v>#REF!</v>
      </c>
      <c r="K767" s="82" t="str">
        <f t="shared" ca="1" si="256"/>
        <v>#REF!</v>
      </c>
      <c r="L767" s="82" t="str">
        <f t="shared" ca="1" si="199"/>
        <v>#REF!</v>
      </c>
      <c r="M767" s="125"/>
      <c r="N767" s="125"/>
      <c r="O767" s="230">
        <f t="shared" si="2"/>
        <v>0</v>
      </c>
      <c r="P767" s="231">
        <f t="shared" si="3"/>
        <v>0</v>
      </c>
      <c r="Q767" s="232" t="str">
        <f ca="1">ROUNDUP(HLOOKUP(IF(CEILING(L767,0.5)&lt;1,1,CEILING(L767,0.5)),'배송비 조회'!A$32:AY$36,2,0),-2)</f>
        <v>#REF!</v>
      </c>
      <c r="R767" s="232">
        <v>0</v>
      </c>
      <c r="S767" s="231" t="str">
        <f t="shared" ca="1" si="250"/>
        <v>#REF!</v>
      </c>
      <c r="T767" s="231" t="str">
        <f t="shared" ca="1" si="200"/>
        <v>#REF!</v>
      </c>
      <c r="U767" s="233" t="str">
        <f t="shared" ca="1" si="142"/>
        <v>#REF!</v>
      </c>
      <c r="V767" s="233" t="str">
        <f t="shared" ca="1" si="7"/>
        <v>#REF!</v>
      </c>
      <c r="W767" s="234">
        <v>0</v>
      </c>
      <c r="X767" s="234" t="str">
        <f t="shared" ca="1" si="8"/>
        <v>#REF!</v>
      </c>
      <c r="Y767" s="234" t="str">
        <f t="shared" ca="1" si="9"/>
        <v>#REF!</v>
      </c>
      <c r="Z767" s="234" t="str">
        <f t="shared" ca="1" si="10"/>
        <v>#REF!</v>
      </c>
      <c r="AA767" s="234" t="str">
        <f t="shared" ca="1" si="11"/>
        <v>#REF!</v>
      </c>
      <c r="AB767" s="234" t="str">
        <f t="shared" ca="1" si="12"/>
        <v>#REF!</v>
      </c>
      <c r="AC767" s="234" t="str">
        <f t="shared" ca="1" si="13"/>
        <v>#REF!</v>
      </c>
      <c r="AD767" s="101" t="str">
        <f t="shared" ca="1" si="14"/>
        <v>#REF!</v>
      </c>
      <c r="AE767" s="101" t="str">
        <f t="shared" ca="1" si="15"/>
        <v>#REF!</v>
      </c>
      <c r="AF767" s="235" t="str">
        <f t="shared" ref="AF767:AG767" ca="1" si="844">AD767/U767</f>
        <v>#REF!</v>
      </c>
      <c r="AG767" s="235" t="str">
        <f t="shared" ca="1" si="844"/>
        <v>#REF!</v>
      </c>
      <c r="AH767" s="212"/>
      <c r="AI767" s="213"/>
      <c r="AJ767" s="4"/>
      <c r="AK767" s="4"/>
      <c r="AL767" s="4"/>
      <c r="AM767" s="4"/>
      <c r="AN767" s="4"/>
      <c r="AO767" s="4"/>
      <c r="AP767" s="4"/>
      <c r="AQ767" s="4"/>
      <c r="AR767" s="4"/>
      <c r="AS767" s="4"/>
      <c r="AT767" s="4"/>
      <c r="AU767" s="4"/>
    </row>
    <row r="768" spans="1:47" ht="13.2">
      <c r="A768" s="120"/>
      <c r="B768" s="113"/>
      <c r="C768" s="117"/>
      <c r="D768" s="117"/>
      <c r="E768" s="117"/>
      <c r="F768" s="123"/>
      <c r="G768" s="93" t="s">
        <v>145</v>
      </c>
      <c r="H768" s="125"/>
      <c r="I768" s="125"/>
      <c r="J768" s="82" t="str">
        <f t="shared" ca="1" si="147"/>
        <v>#REF!</v>
      </c>
      <c r="K768" s="82" t="str">
        <f t="shared" ca="1" si="256"/>
        <v>#REF!</v>
      </c>
      <c r="L768" s="82" t="str">
        <f t="shared" ca="1" si="199"/>
        <v>#REF!</v>
      </c>
      <c r="M768" s="125"/>
      <c r="N768" s="125"/>
      <c r="O768" s="230">
        <f t="shared" si="2"/>
        <v>0</v>
      </c>
      <c r="P768" s="231">
        <f t="shared" si="3"/>
        <v>0</v>
      </c>
      <c r="Q768" s="232" t="str">
        <f ca="1">ROUNDUP(HLOOKUP(IF(CEILING(L768,0.5)&lt;1,1,CEILING(L768,0.5)),'배송비 조회'!A$32:AY$36,2,0),-2)</f>
        <v>#REF!</v>
      </c>
      <c r="R768" s="232">
        <v>0</v>
      </c>
      <c r="S768" s="231" t="str">
        <f t="shared" ca="1" si="250"/>
        <v>#REF!</v>
      </c>
      <c r="T768" s="231" t="str">
        <f t="shared" ca="1" si="200"/>
        <v>#REF!</v>
      </c>
      <c r="U768" s="233" t="str">
        <f t="shared" ca="1" si="142"/>
        <v>#REF!</v>
      </c>
      <c r="V768" s="233" t="str">
        <f t="shared" ca="1" si="7"/>
        <v>#REF!</v>
      </c>
      <c r="W768" s="234">
        <v>0</v>
      </c>
      <c r="X768" s="234" t="str">
        <f t="shared" ca="1" si="8"/>
        <v>#REF!</v>
      </c>
      <c r="Y768" s="234" t="str">
        <f t="shared" ca="1" si="9"/>
        <v>#REF!</v>
      </c>
      <c r="Z768" s="234" t="str">
        <f t="shared" ca="1" si="10"/>
        <v>#REF!</v>
      </c>
      <c r="AA768" s="234" t="str">
        <f t="shared" ca="1" si="11"/>
        <v>#REF!</v>
      </c>
      <c r="AB768" s="234" t="str">
        <f t="shared" ca="1" si="12"/>
        <v>#REF!</v>
      </c>
      <c r="AC768" s="234" t="str">
        <f t="shared" ca="1" si="13"/>
        <v>#REF!</v>
      </c>
      <c r="AD768" s="101" t="str">
        <f t="shared" ca="1" si="14"/>
        <v>#REF!</v>
      </c>
      <c r="AE768" s="101" t="str">
        <f t="shared" ca="1" si="15"/>
        <v>#REF!</v>
      </c>
      <c r="AF768" s="235" t="str">
        <f t="shared" ref="AF768:AG768" ca="1" si="845">AD768/U768</f>
        <v>#REF!</v>
      </c>
      <c r="AG768" s="235" t="str">
        <f t="shared" ca="1" si="845"/>
        <v>#REF!</v>
      </c>
      <c r="AH768" s="212"/>
      <c r="AI768" s="213"/>
      <c r="AJ768" s="4"/>
      <c r="AK768" s="4"/>
      <c r="AL768" s="4"/>
      <c r="AM768" s="4"/>
      <c r="AN768" s="4"/>
      <c r="AO768" s="4"/>
      <c r="AP768" s="4"/>
      <c r="AQ768" s="4"/>
      <c r="AR768" s="4"/>
      <c r="AS768" s="4"/>
      <c r="AT768" s="4"/>
      <c r="AU768" s="4"/>
    </row>
    <row r="769" spans="1:47" ht="13.2">
      <c r="A769" s="120"/>
      <c r="B769" s="113"/>
      <c r="C769" s="117"/>
      <c r="D769" s="117"/>
      <c r="E769" s="117"/>
      <c r="F769" s="123"/>
      <c r="G769" s="93" t="s">
        <v>145</v>
      </c>
      <c r="H769" s="125"/>
      <c r="I769" s="125"/>
      <c r="J769" s="82" t="str">
        <f t="shared" ca="1" si="147"/>
        <v>#REF!</v>
      </c>
      <c r="K769" s="82" t="str">
        <f t="shared" ca="1" si="256"/>
        <v>#REF!</v>
      </c>
      <c r="L769" s="82" t="str">
        <f t="shared" ca="1" si="199"/>
        <v>#REF!</v>
      </c>
      <c r="M769" s="125"/>
      <c r="N769" s="125"/>
      <c r="O769" s="230">
        <f t="shared" si="2"/>
        <v>0</v>
      </c>
      <c r="P769" s="231">
        <f t="shared" si="3"/>
        <v>0</v>
      </c>
      <c r="Q769" s="232" t="str">
        <f ca="1">ROUNDUP(HLOOKUP(IF(CEILING(L769,0.5)&lt;1,1,CEILING(L769,0.5)),'배송비 조회'!A$32:AY$36,2,0),-2)</f>
        <v>#REF!</v>
      </c>
      <c r="R769" s="232">
        <v>0</v>
      </c>
      <c r="S769" s="231" t="str">
        <f t="shared" ca="1" si="250"/>
        <v>#REF!</v>
      </c>
      <c r="T769" s="231" t="str">
        <f t="shared" ca="1" si="200"/>
        <v>#REF!</v>
      </c>
      <c r="U769" s="233" t="str">
        <f t="shared" ca="1" si="142"/>
        <v>#REF!</v>
      </c>
      <c r="V769" s="233" t="str">
        <f t="shared" ca="1" si="7"/>
        <v>#REF!</v>
      </c>
      <c r="W769" s="234">
        <v>0</v>
      </c>
      <c r="X769" s="234" t="str">
        <f t="shared" ca="1" si="8"/>
        <v>#REF!</v>
      </c>
      <c r="Y769" s="234" t="str">
        <f t="shared" ca="1" si="9"/>
        <v>#REF!</v>
      </c>
      <c r="Z769" s="234" t="str">
        <f t="shared" ca="1" si="10"/>
        <v>#REF!</v>
      </c>
      <c r="AA769" s="234" t="str">
        <f t="shared" ca="1" si="11"/>
        <v>#REF!</v>
      </c>
      <c r="AB769" s="234" t="str">
        <f t="shared" ca="1" si="12"/>
        <v>#REF!</v>
      </c>
      <c r="AC769" s="234" t="str">
        <f t="shared" ca="1" si="13"/>
        <v>#REF!</v>
      </c>
      <c r="AD769" s="101" t="str">
        <f t="shared" ca="1" si="14"/>
        <v>#REF!</v>
      </c>
      <c r="AE769" s="101" t="str">
        <f t="shared" ca="1" si="15"/>
        <v>#REF!</v>
      </c>
      <c r="AF769" s="235" t="str">
        <f t="shared" ref="AF769:AG769" ca="1" si="846">AD769/U769</f>
        <v>#REF!</v>
      </c>
      <c r="AG769" s="235" t="str">
        <f t="shared" ca="1" si="846"/>
        <v>#REF!</v>
      </c>
      <c r="AH769" s="212"/>
      <c r="AI769" s="213"/>
      <c r="AJ769" s="4"/>
      <c r="AK769" s="4"/>
      <c r="AL769" s="4"/>
      <c r="AM769" s="4"/>
      <c r="AN769" s="4"/>
      <c r="AO769" s="4"/>
      <c r="AP769" s="4"/>
      <c r="AQ769" s="4"/>
      <c r="AR769" s="4"/>
      <c r="AS769" s="4"/>
      <c r="AT769" s="4"/>
      <c r="AU769" s="4"/>
    </row>
    <row r="770" spans="1:47" ht="13.2">
      <c r="A770" s="120"/>
      <c r="B770" s="113"/>
      <c r="C770" s="117"/>
      <c r="D770" s="117"/>
      <c r="E770" s="117"/>
      <c r="F770" s="123"/>
      <c r="G770" s="93" t="s">
        <v>145</v>
      </c>
      <c r="H770" s="125"/>
      <c r="I770" s="125"/>
      <c r="J770" s="82" t="str">
        <f t="shared" ca="1" si="147"/>
        <v>#REF!</v>
      </c>
      <c r="K770" s="82" t="str">
        <f t="shared" ca="1" si="256"/>
        <v>#REF!</v>
      </c>
      <c r="L770" s="82" t="str">
        <f t="shared" ca="1" si="199"/>
        <v>#REF!</v>
      </c>
      <c r="M770" s="125"/>
      <c r="N770" s="125"/>
      <c r="O770" s="230">
        <f t="shared" si="2"/>
        <v>0</v>
      </c>
      <c r="P770" s="231">
        <f t="shared" si="3"/>
        <v>0</v>
      </c>
      <c r="Q770" s="232" t="str">
        <f ca="1">ROUNDUP(HLOOKUP(IF(CEILING(L770,0.5)&lt;1,1,CEILING(L770,0.5)),'배송비 조회'!A$32:AY$36,2,0),-2)</f>
        <v>#REF!</v>
      </c>
      <c r="R770" s="232">
        <v>0</v>
      </c>
      <c r="S770" s="231" t="str">
        <f t="shared" ca="1" si="250"/>
        <v>#REF!</v>
      </c>
      <c r="T770" s="231" t="str">
        <f t="shared" ca="1" si="200"/>
        <v>#REF!</v>
      </c>
      <c r="U770" s="233" t="str">
        <f t="shared" ca="1" si="142"/>
        <v>#REF!</v>
      </c>
      <c r="V770" s="233" t="str">
        <f t="shared" ca="1" si="7"/>
        <v>#REF!</v>
      </c>
      <c r="W770" s="234">
        <v>0</v>
      </c>
      <c r="X770" s="234" t="str">
        <f t="shared" ca="1" si="8"/>
        <v>#REF!</v>
      </c>
      <c r="Y770" s="234" t="str">
        <f t="shared" ca="1" si="9"/>
        <v>#REF!</v>
      </c>
      <c r="Z770" s="234" t="str">
        <f t="shared" ca="1" si="10"/>
        <v>#REF!</v>
      </c>
      <c r="AA770" s="234" t="str">
        <f t="shared" ca="1" si="11"/>
        <v>#REF!</v>
      </c>
      <c r="AB770" s="234" t="str">
        <f t="shared" ca="1" si="12"/>
        <v>#REF!</v>
      </c>
      <c r="AC770" s="234" t="str">
        <f t="shared" ca="1" si="13"/>
        <v>#REF!</v>
      </c>
      <c r="AD770" s="101" t="str">
        <f t="shared" ca="1" si="14"/>
        <v>#REF!</v>
      </c>
      <c r="AE770" s="101" t="str">
        <f t="shared" ca="1" si="15"/>
        <v>#REF!</v>
      </c>
      <c r="AF770" s="235" t="str">
        <f t="shared" ref="AF770:AG770" ca="1" si="847">AD770/U770</f>
        <v>#REF!</v>
      </c>
      <c r="AG770" s="235" t="str">
        <f t="shared" ca="1" si="847"/>
        <v>#REF!</v>
      </c>
      <c r="AH770" s="212"/>
      <c r="AI770" s="213"/>
      <c r="AJ770" s="4"/>
      <c r="AK770" s="4"/>
      <c r="AL770" s="4"/>
      <c r="AM770" s="4"/>
      <c r="AN770" s="4"/>
      <c r="AO770" s="4"/>
      <c r="AP770" s="4"/>
      <c r="AQ770" s="4"/>
      <c r="AR770" s="4"/>
      <c r="AS770" s="4"/>
      <c r="AT770" s="4"/>
      <c r="AU770" s="4"/>
    </row>
    <row r="771" spans="1:47" ht="13.2">
      <c r="A771" s="120"/>
      <c r="B771" s="113"/>
      <c r="C771" s="117"/>
      <c r="D771" s="117"/>
      <c r="E771" s="117"/>
      <c r="F771" s="123"/>
      <c r="G771" s="93" t="s">
        <v>145</v>
      </c>
      <c r="H771" s="125"/>
      <c r="I771" s="125"/>
      <c r="J771" s="82" t="str">
        <f t="shared" ca="1" si="147"/>
        <v>#REF!</v>
      </c>
      <c r="K771" s="82" t="str">
        <f t="shared" ca="1" si="256"/>
        <v>#REF!</v>
      </c>
      <c r="L771" s="82" t="str">
        <f t="shared" ca="1" si="199"/>
        <v>#REF!</v>
      </c>
      <c r="M771" s="125"/>
      <c r="N771" s="125"/>
      <c r="O771" s="230">
        <f t="shared" si="2"/>
        <v>0</v>
      </c>
      <c r="P771" s="231">
        <f t="shared" si="3"/>
        <v>0</v>
      </c>
      <c r="Q771" s="232" t="str">
        <f ca="1">ROUNDUP(HLOOKUP(IF(CEILING(L771,0.5)&lt;1,1,CEILING(L771,0.5)),'배송비 조회'!A$32:AY$36,2,0),-2)</f>
        <v>#REF!</v>
      </c>
      <c r="R771" s="232">
        <v>0</v>
      </c>
      <c r="S771" s="231" t="str">
        <f t="shared" ca="1" si="250"/>
        <v>#REF!</v>
      </c>
      <c r="T771" s="231" t="str">
        <f t="shared" ca="1" si="200"/>
        <v>#REF!</v>
      </c>
      <c r="U771" s="233" t="str">
        <f t="shared" ca="1" si="142"/>
        <v>#REF!</v>
      </c>
      <c r="V771" s="233" t="str">
        <f t="shared" ca="1" si="7"/>
        <v>#REF!</v>
      </c>
      <c r="W771" s="234">
        <v>0</v>
      </c>
      <c r="X771" s="234" t="str">
        <f t="shared" ca="1" si="8"/>
        <v>#REF!</v>
      </c>
      <c r="Y771" s="234" t="str">
        <f t="shared" ca="1" si="9"/>
        <v>#REF!</v>
      </c>
      <c r="Z771" s="234" t="str">
        <f t="shared" ca="1" si="10"/>
        <v>#REF!</v>
      </c>
      <c r="AA771" s="234" t="str">
        <f t="shared" ca="1" si="11"/>
        <v>#REF!</v>
      </c>
      <c r="AB771" s="234" t="str">
        <f t="shared" ca="1" si="12"/>
        <v>#REF!</v>
      </c>
      <c r="AC771" s="234" t="str">
        <f t="shared" ca="1" si="13"/>
        <v>#REF!</v>
      </c>
      <c r="AD771" s="101" t="str">
        <f t="shared" ca="1" si="14"/>
        <v>#REF!</v>
      </c>
      <c r="AE771" s="101" t="str">
        <f t="shared" ca="1" si="15"/>
        <v>#REF!</v>
      </c>
      <c r="AF771" s="235" t="str">
        <f t="shared" ref="AF771:AG771" ca="1" si="848">AD771/U771</f>
        <v>#REF!</v>
      </c>
      <c r="AG771" s="235" t="str">
        <f t="shared" ca="1" si="848"/>
        <v>#REF!</v>
      </c>
      <c r="AH771" s="212"/>
      <c r="AI771" s="213"/>
      <c r="AJ771" s="4"/>
      <c r="AK771" s="4"/>
      <c r="AL771" s="4"/>
      <c r="AM771" s="4"/>
      <c r="AN771" s="4"/>
      <c r="AO771" s="4"/>
      <c r="AP771" s="4"/>
      <c r="AQ771" s="4"/>
      <c r="AR771" s="4"/>
      <c r="AS771" s="4"/>
      <c r="AT771" s="4"/>
      <c r="AU771" s="4"/>
    </row>
    <row r="772" spans="1:47" ht="13.2">
      <c r="A772" s="120"/>
      <c r="B772" s="113"/>
      <c r="C772" s="117"/>
      <c r="D772" s="117"/>
      <c r="E772" s="117"/>
      <c r="F772" s="123"/>
      <c r="G772" s="93" t="s">
        <v>145</v>
      </c>
      <c r="H772" s="125"/>
      <c r="I772" s="125"/>
      <c r="J772" s="82" t="str">
        <f t="shared" ca="1" si="147"/>
        <v>#REF!</v>
      </c>
      <c r="K772" s="82" t="str">
        <f t="shared" ca="1" si="256"/>
        <v>#REF!</v>
      </c>
      <c r="L772" s="82" t="str">
        <f t="shared" ca="1" si="199"/>
        <v>#REF!</v>
      </c>
      <c r="M772" s="125"/>
      <c r="N772" s="125"/>
      <c r="O772" s="230">
        <f t="shared" si="2"/>
        <v>0</v>
      </c>
      <c r="P772" s="231">
        <f t="shared" si="3"/>
        <v>0</v>
      </c>
      <c r="Q772" s="232" t="str">
        <f ca="1">ROUNDUP(HLOOKUP(IF(CEILING(L772,0.5)&lt;1,1,CEILING(L772,0.5)),'배송비 조회'!A$32:AY$36,2,0),-2)</f>
        <v>#REF!</v>
      </c>
      <c r="R772" s="232">
        <v>0</v>
      </c>
      <c r="S772" s="231" t="str">
        <f t="shared" ca="1" si="250"/>
        <v>#REF!</v>
      </c>
      <c r="T772" s="231" t="str">
        <f t="shared" ca="1" si="200"/>
        <v>#REF!</v>
      </c>
      <c r="U772" s="233" t="str">
        <f t="shared" ca="1" si="142"/>
        <v>#REF!</v>
      </c>
      <c r="V772" s="233" t="str">
        <f t="shared" ca="1" si="7"/>
        <v>#REF!</v>
      </c>
      <c r="W772" s="234">
        <v>0</v>
      </c>
      <c r="X772" s="234" t="str">
        <f t="shared" ca="1" si="8"/>
        <v>#REF!</v>
      </c>
      <c r="Y772" s="234" t="str">
        <f t="shared" ca="1" si="9"/>
        <v>#REF!</v>
      </c>
      <c r="Z772" s="234" t="str">
        <f t="shared" ca="1" si="10"/>
        <v>#REF!</v>
      </c>
      <c r="AA772" s="234" t="str">
        <f t="shared" ca="1" si="11"/>
        <v>#REF!</v>
      </c>
      <c r="AB772" s="234" t="str">
        <f t="shared" ca="1" si="12"/>
        <v>#REF!</v>
      </c>
      <c r="AC772" s="234" t="str">
        <f t="shared" ca="1" si="13"/>
        <v>#REF!</v>
      </c>
      <c r="AD772" s="101" t="str">
        <f t="shared" ca="1" si="14"/>
        <v>#REF!</v>
      </c>
      <c r="AE772" s="101" t="str">
        <f t="shared" ca="1" si="15"/>
        <v>#REF!</v>
      </c>
      <c r="AF772" s="235" t="str">
        <f t="shared" ref="AF772:AG772" ca="1" si="849">AD772/U772</f>
        <v>#REF!</v>
      </c>
      <c r="AG772" s="235" t="str">
        <f t="shared" ca="1" si="849"/>
        <v>#REF!</v>
      </c>
      <c r="AH772" s="212"/>
      <c r="AI772" s="213"/>
      <c r="AJ772" s="4"/>
      <c r="AK772" s="4"/>
      <c r="AL772" s="4"/>
      <c r="AM772" s="4"/>
      <c r="AN772" s="4"/>
      <c r="AO772" s="4"/>
      <c r="AP772" s="4"/>
      <c r="AQ772" s="4"/>
      <c r="AR772" s="4"/>
      <c r="AS772" s="4"/>
      <c r="AT772" s="4"/>
      <c r="AU772" s="4"/>
    </row>
    <row r="773" spans="1:47" ht="13.2">
      <c r="A773" s="120"/>
      <c r="B773" s="113"/>
      <c r="C773" s="117"/>
      <c r="D773" s="117"/>
      <c r="E773" s="117"/>
      <c r="F773" s="123"/>
      <c r="G773" s="93" t="s">
        <v>145</v>
      </c>
      <c r="H773" s="125"/>
      <c r="I773" s="125"/>
      <c r="J773" s="82" t="str">
        <f t="shared" ca="1" si="147"/>
        <v>#REF!</v>
      </c>
      <c r="K773" s="82" t="str">
        <f t="shared" ca="1" si="256"/>
        <v>#REF!</v>
      </c>
      <c r="L773" s="82" t="str">
        <f t="shared" ca="1" si="199"/>
        <v>#REF!</v>
      </c>
      <c r="M773" s="125"/>
      <c r="N773" s="125"/>
      <c r="O773" s="230">
        <f t="shared" si="2"/>
        <v>0</v>
      </c>
      <c r="P773" s="231">
        <f t="shared" si="3"/>
        <v>0</v>
      </c>
      <c r="Q773" s="232" t="str">
        <f ca="1">ROUNDUP(HLOOKUP(IF(CEILING(L773,0.5)&lt;1,1,CEILING(L773,0.5)),'배송비 조회'!A$32:AY$36,2,0),-2)</f>
        <v>#REF!</v>
      </c>
      <c r="R773" s="232">
        <v>0</v>
      </c>
      <c r="S773" s="231" t="str">
        <f t="shared" ca="1" si="250"/>
        <v>#REF!</v>
      </c>
      <c r="T773" s="231" t="str">
        <f t="shared" ca="1" si="200"/>
        <v>#REF!</v>
      </c>
      <c r="U773" s="233" t="str">
        <f t="shared" ca="1" si="142"/>
        <v>#REF!</v>
      </c>
      <c r="V773" s="233" t="str">
        <f t="shared" ca="1" si="7"/>
        <v>#REF!</v>
      </c>
      <c r="W773" s="234">
        <v>0</v>
      </c>
      <c r="X773" s="234" t="str">
        <f t="shared" ca="1" si="8"/>
        <v>#REF!</v>
      </c>
      <c r="Y773" s="234" t="str">
        <f t="shared" ca="1" si="9"/>
        <v>#REF!</v>
      </c>
      <c r="Z773" s="234" t="str">
        <f t="shared" ca="1" si="10"/>
        <v>#REF!</v>
      </c>
      <c r="AA773" s="234" t="str">
        <f t="shared" ca="1" si="11"/>
        <v>#REF!</v>
      </c>
      <c r="AB773" s="234" t="str">
        <f t="shared" ca="1" si="12"/>
        <v>#REF!</v>
      </c>
      <c r="AC773" s="234" t="str">
        <f t="shared" ca="1" si="13"/>
        <v>#REF!</v>
      </c>
      <c r="AD773" s="101" t="str">
        <f t="shared" ca="1" si="14"/>
        <v>#REF!</v>
      </c>
      <c r="AE773" s="101" t="str">
        <f t="shared" ca="1" si="15"/>
        <v>#REF!</v>
      </c>
      <c r="AF773" s="235" t="str">
        <f t="shared" ref="AF773:AG773" ca="1" si="850">AD773/U773</f>
        <v>#REF!</v>
      </c>
      <c r="AG773" s="235" t="str">
        <f t="shared" ca="1" si="850"/>
        <v>#REF!</v>
      </c>
      <c r="AH773" s="212"/>
      <c r="AI773" s="213"/>
      <c r="AJ773" s="4"/>
      <c r="AK773" s="4"/>
      <c r="AL773" s="4"/>
      <c r="AM773" s="4"/>
      <c r="AN773" s="4"/>
      <c r="AO773" s="4"/>
      <c r="AP773" s="4"/>
      <c r="AQ773" s="4"/>
      <c r="AR773" s="4"/>
      <c r="AS773" s="4"/>
      <c r="AT773" s="4"/>
      <c r="AU773" s="4"/>
    </row>
    <row r="774" spans="1:47" ht="13.2">
      <c r="A774" s="120"/>
      <c r="B774" s="113"/>
      <c r="C774" s="117"/>
      <c r="D774" s="117"/>
      <c r="E774" s="117"/>
      <c r="F774" s="123"/>
      <c r="G774" s="93" t="s">
        <v>145</v>
      </c>
      <c r="H774" s="125"/>
      <c r="I774" s="125"/>
      <c r="J774" s="82" t="str">
        <f t="shared" ca="1" si="147"/>
        <v>#REF!</v>
      </c>
      <c r="K774" s="82" t="str">
        <f t="shared" ca="1" si="256"/>
        <v>#REF!</v>
      </c>
      <c r="L774" s="82" t="str">
        <f t="shared" ca="1" si="199"/>
        <v>#REF!</v>
      </c>
      <c r="M774" s="125"/>
      <c r="N774" s="125"/>
      <c r="O774" s="230">
        <f t="shared" si="2"/>
        <v>0</v>
      </c>
      <c r="P774" s="231">
        <f t="shared" si="3"/>
        <v>0</v>
      </c>
      <c r="Q774" s="232" t="str">
        <f ca="1">ROUNDUP(HLOOKUP(IF(CEILING(L774,0.5)&lt;1,1,CEILING(L774,0.5)),'배송비 조회'!A$32:AY$36,2,0),-2)</f>
        <v>#REF!</v>
      </c>
      <c r="R774" s="232">
        <v>0</v>
      </c>
      <c r="S774" s="231" t="str">
        <f t="shared" ca="1" si="250"/>
        <v>#REF!</v>
      </c>
      <c r="T774" s="231" t="str">
        <f t="shared" ca="1" si="200"/>
        <v>#REF!</v>
      </c>
      <c r="U774" s="233" t="str">
        <f t="shared" ca="1" si="142"/>
        <v>#REF!</v>
      </c>
      <c r="V774" s="233" t="str">
        <f t="shared" ca="1" si="7"/>
        <v>#REF!</v>
      </c>
      <c r="W774" s="234">
        <v>0</v>
      </c>
      <c r="X774" s="234" t="str">
        <f t="shared" ca="1" si="8"/>
        <v>#REF!</v>
      </c>
      <c r="Y774" s="234" t="str">
        <f t="shared" ca="1" si="9"/>
        <v>#REF!</v>
      </c>
      <c r="Z774" s="234" t="str">
        <f t="shared" ca="1" si="10"/>
        <v>#REF!</v>
      </c>
      <c r="AA774" s="234" t="str">
        <f t="shared" ca="1" si="11"/>
        <v>#REF!</v>
      </c>
      <c r="AB774" s="234" t="str">
        <f t="shared" ca="1" si="12"/>
        <v>#REF!</v>
      </c>
      <c r="AC774" s="234" t="str">
        <f t="shared" ca="1" si="13"/>
        <v>#REF!</v>
      </c>
      <c r="AD774" s="101" t="str">
        <f t="shared" ca="1" si="14"/>
        <v>#REF!</v>
      </c>
      <c r="AE774" s="101" t="str">
        <f t="shared" ca="1" si="15"/>
        <v>#REF!</v>
      </c>
      <c r="AF774" s="235" t="str">
        <f t="shared" ref="AF774:AG774" ca="1" si="851">AD774/U774</f>
        <v>#REF!</v>
      </c>
      <c r="AG774" s="235" t="str">
        <f t="shared" ca="1" si="851"/>
        <v>#REF!</v>
      </c>
      <c r="AH774" s="212"/>
      <c r="AI774" s="213"/>
      <c r="AJ774" s="4"/>
      <c r="AK774" s="4"/>
      <c r="AL774" s="4"/>
      <c r="AM774" s="4"/>
      <c r="AN774" s="4"/>
      <c r="AO774" s="4"/>
      <c r="AP774" s="4"/>
      <c r="AQ774" s="4"/>
      <c r="AR774" s="4"/>
      <c r="AS774" s="4"/>
      <c r="AT774" s="4"/>
      <c r="AU774" s="4"/>
    </row>
    <row r="775" spans="1:47" ht="13.2">
      <c r="A775" s="120"/>
      <c r="B775" s="113"/>
      <c r="C775" s="117"/>
      <c r="D775" s="117"/>
      <c r="E775" s="117"/>
      <c r="F775" s="123"/>
      <c r="G775" s="93" t="s">
        <v>145</v>
      </c>
      <c r="H775" s="125"/>
      <c r="I775" s="125"/>
      <c r="J775" s="82" t="str">
        <f t="shared" ca="1" si="147"/>
        <v>#REF!</v>
      </c>
      <c r="K775" s="82" t="str">
        <f t="shared" ca="1" si="256"/>
        <v>#REF!</v>
      </c>
      <c r="L775" s="82" t="str">
        <f t="shared" ca="1" si="199"/>
        <v>#REF!</v>
      </c>
      <c r="M775" s="125"/>
      <c r="N775" s="125"/>
      <c r="O775" s="230">
        <f t="shared" si="2"/>
        <v>0</v>
      </c>
      <c r="P775" s="231">
        <f t="shared" si="3"/>
        <v>0</v>
      </c>
      <c r="Q775" s="232" t="str">
        <f ca="1">ROUNDUP(HLOOKUP(IF(CEILING(L775,0.5)&lt;1,1,CEILING(L775,0.5)),'배송비 조회'!A$32:AY$36,2,0),-2)</f>
        <v>#REF!</v>
      </c>
      <c r="R775" s="232">
        <v>0</v>
      </c>
      <c r="S775" s="231" t="str">
        <f t="shared" ca="1" si="250"/>
        <v>#REF!</v>
      </c>
      <c r="T775" s="231" t="str">
        <f t="shared" ca="1" si="200"/>
        <v>#REF!</v>
      </c>
      <c r="U775" s="233" t="str">
        <f t="shared" ca="1" si="142"/>
        <v>#REF!</v>
      </c>
      <c r="V775" s="233" t="str">
        <f t="shared" ca="1" si="7"/>
        <v>#REF!</v>
      </c>
      <c r="W775" s="234">
        <v>0</v>
      </c>
      <c r="X775" s="234" t="str">
        <f t="shared" ca="1" si="8"/>
        <v>#REF!</v>
      </c>
      <c r="Y775" s="234" t="str">
        <f t="shared" ca="1" si="9"/>
        <v>#REF!</v>
      </c>
      <c r="Z775" s="234" t="str">
        <f t="shared" ca="1" si="10"/>
        <v>#REF!</v>
      </c>
      <c r="AA775" s="234" t="str">
        <f t="shared" ca="1" si="11"/>
        <v>#REF!</v>
      </c>
      <c r="AB775" s="234" t="str">
        <f t="shared" ca="1" si="12"/>
        <v>#REF!</v>
      </c>
      <c r="AC775" s="234" t="str">
        <f t="shared" ca="1" si="13"/>
        <v>#REF!</v>
      </c>
      <c r="AD775" s="101" t="str">
        <f t="shared" ca="1" si="14"/>
        <v>#REF!</v>
      </c>
      <c r="AE775" s="101" t="str">
        <f t="shared" ca="1" si="15"/>
        <v>#REF!</v>
      </c>
      <c r="AF775" s="235" t="str">
        <f t="shared" ref="AF775:AG775" ca="1" si="852">AD775/U775</f>
        <v>#REF!</v>
      </c>
      <c r="AG775" s="235" t="str">
        <f t="shared" ca="1" si="852"/>
        <v>#REF!</v>
      </c>
      <c r="AH775" s="212"/>
      <c r="AI775" s="213"/>
      <c r="AJ775" s="4"/>
      <c r="AK775" s="4"/>
      <c r="AL775" s="4"/>
      <c r="AM775" s="4"/>
      <c r="AN775" s="4"/>
      <c r="AO775" s="4"/>
      <c r="AP775" s="4"/>
      <c r="AQ775" s="4"/>
      <c r="AR775" s="4"/>
      <c r="AS775" s="4"/>
      <c r="AT775" s="4"/>
      <c r="AU775" s="4"/>
    </row>
    <row r="776" spans="1:47" ht="13.2">
      <c r="A776" s="120"/>
      <c r="B776" s="113"/>
      <c r="C776" s="117"/>
      <c r="D776" s="117"/>
      <c r="E776" s="117"/>
      <c r="F776" s="123"/>
      <c r="G776" s="93" t="s">
        <v>145</v>
      </c>
      <c r="H776" s="125"/>
      <c r="I776" s="125"/>
      <c r="J776" s="82" t="str">
        <f t="shared" ca="1" si="147"/>
        <v>#REF!</v>
      </c>
      <c r="K776" s="82" t="str">
        <f t="shared" ca="1" si="256"/>
        <v>#REF!</v>
      </c>
      <c r="L776" s="82" t="str">
        <f t="shared" ca="1" si="199"/>
        <v>#REF!</v>
      </c>
      <c r="M776" s="125"/>
      <c r="N776" s="125"/>
      <c r="O776" s="230">
        <f t="shared" si="2"/>
        <v>0</v>
      </c>
      <c r="P776" s="231">
        <f t="shared" si="3"/>
        <v>0</v>
      </c>
      <c r="Q776" s="232" t="str">
        <f ca="1">ROUNDUP(HLOOKUP(IF(CEILING(L776,0.5)&lt;1,1,CEILING(L776,0.5)),'배송비 조회'!A$32:AY$36,2,0),-2)</f>
        <v>#REF!</v>
      </c>
      <c r="R776" s="232">
        <v>0</v>
      </c>
      <c r="S776" s="231" t="str">
        <f t="shared" ca="1" si="250"/>
        <v>#REF!</v>
      </c>
      <c r="T776" s="231" t="str">
        <f t="shared" ca="1" si="200"/>
        <v>#REF!</v>
      </c>
      <c r="U776" s="233" t="str">
        <f t="shared" ca="1" si="142"/>
        <v>#REF!</v>
      </c>
      <c r="V776" s="233" t="str">
        <f t="shared" ca="1" si="7"/>
        <v>#REF!</v>
      </c>
      <c r="W776" s="234">
        <v>0</v>
      </c>
      <c r="X776" s="234" t="str">
        <f t="shared" ca="1" si="8"/>
        <v>#REF!</v>
      </c>
      <c r="Y776" s="234" t="str">
        <f t="shared" ca="1" si="9"/>
        <v>#REF!</v>
      </c>
      <c r="Z776" s="234" t="str">
        <f t="shared" ca="1" si="10"/>
        <v>#REF!</v>
      </c>
      <c r="AA776" s="234" t="str">
        <f t="shared" ca="1" si="11"/>
        <v>#REF!</v>
      </c>
      <c r="AB776" s="234" t="str">
        <f t="shared" ca="1" si="12"/>
        <v>#REF!</v>
      </c>
      <c r="AC776" s="234" t="str">
        <f t="shared" ca="1" si="13"/>
        <v>#REF!</v>
      </c>
      <c r="AD776" s="101" t="str">
        <f t="shared" ca="1" si="14"/>
        <v>#REF!</v>
      </c>
      <c r="AE776" s="101" t="str">
        <f t="shared" ca="1" si="15"/>
        <v>#REF!</v>
      </c>
      <c r="AF776" s="235" t="str">
        <f t="shared" ref="AF776:AG776" ca="1" si="853">AD776/U776</f>
        <v>#REF!</v>
      </c>
      <c r="AG776" s="235" t="str">
        <f t="shared" ca="1" si="853"/>
        <v>#REF!</v>
      </c>
      <c r="AH776" s="212"/>
      <c r="AI776" s="213"/>
      <c r="AJ776" s="4"/>
      <c r="AK776" s="4"/>
      <c r="AL776" s="4"/>
      <c r="AM776" s="4"/>
      <c r="AN776" s="4"/>
      <c r="AO776" s="4"/>
      <c r="AP776" s="4"/>
      <c r="AQ776" s="4"/>
      <c r="AR776" s="4"/>
      <c r="AS776" s="4"/>
      <c r="AT776" s="4"/>
      <c r="AU776" s="4"/>
    </row>
    <row r="777" spans="1:47" ht="13.2">
      <c r="A777" s="120"/>
      <c r="B777" s="113"/>
      <c r="C777" s="117"/>
      <c r="D777" s="117"/>
      <c r="E777" s="117"/>
      <c r="F777" s="123"/>
      <c r="G777" s="93" t="s">
        <v>145</v>
      </c>
      <c r="H777" s="125"/>
      <c r="I777" s="125"/>
      <c r="J777" s="82" t="str">
        <f t="shared" ca="1" si="147"/>
        <v>#REF!</v>
      </c>
      <c r="K777" s="82" t="str">
        <f t="shared" ca="1" si="256"/>
        <v>#REF!</v>
      </c>
      <c r="L777" s="82" t="str">
        <f t="shared" ca="1" si="199"/>
        <v>#REF!</v>
      </c>
      <c r="M777" s="125"/>
      <c r="N777" s="125"/>
      <c r="O777" s="230">
        <f t="shared" si="2"/>
        <v>0</v>
      </c>
      <c r="P777" s="231">
        <f t="shared" si="3"/>
        <v>0</v>
      </c>
      <c r="Q777" s="232" t="str">
        <f ca="1">ROUNDUP(HLOOKUP(IF(CEILING(L777,0.5)&lt;1,1,CEILING(L777,0.5)),'배송비 조회'!A$32:AY$36,2,0),-2)</f>
        <v>#REF!</v>
      </c>
      <c r="R777" s="232">
        <v>0</v>
      </c>
      <c r="S777" s="231" t="str">
        <f t="shared" ca="1" si="250"/>
        <v>#REF!</v>
      </c>
      <c r="T777" s="231" t="str">
        <f t="shared" ca="1" si="200"/>
        <v>#REF!</v>
      </c>
      <c r="U777" s="233" t="str">
        <f t="shared" ca="1" si="142"/>
        <v>#REF!</v>
      </c>
      <c r="V777" s="233" t="str">
        <f t="shared" ca="1" si="7"/>
        <v>#REF!</v>
      </c>
      <c r="W777" s="234">
        <v>0</v>
      </c>
      <c r="X777" s="234" t="str">
        <f t="shared" ca="1" si="8"/>
        <v>#REF!</v>
      </c>
      <c r="Y777" s="234" t="str">
        <f t="shared" ca="1" si="9"/>
        <v>#REF!</v>
      </c>
      <c r="Z777" s="234" t="str">
        <f t="shared" ca="1" si="10"/>
        <v>#REF!</v>
      </c>
      <c r="AA777" s="234" t="str">
        <f t="shared" ca="1" si="11"/>
        <v>#REF!</v>
      </c>
      <c r="AB777" s="234" t="str">
        <f t="shared" ca="1" si="12"/>
        <v>#REF!</v>
      </c>
      <c r="AC777" s="234" t="str">
        <f t="shared" ca="1" si="13"/>
        <v>#REF!</v>
      </c>
      <c r="AD777" s="101" t="str">
        <f t="shared" ca="1" si="14"/>
        <v>#REF!</v>
      </c>
      <c r="AE777" s="101" t="str">
        <f t="shared" ca="1" si="15"/>
        <v>#REF!</v>
      </c>
      <c r="AF777" s="235" t="str">
        <f t="shared" ref="AF777:AG777" ca="1" si="854">AD777/U777</f>
        <v>#REF!</v>
      </c>
      <c r="AG777" s="235" t="str">
        <f t="shared" ca="1" si="854"/>
        <v>#REF!</v>
      </c>
      <c r="AH777" s="212"/>
      <c r="AI777" s="213"/>
      <c r="AJ777" s="4"/>
      <c r="AK777" s="4"/>
      <c r="AL777" s="4"/>
      <c r="AM777" s="4"/>
      <c r="AN777" s="4"/>
      <c r="AO777" s="4"/>
      <c r="AP777" s="4"/>
      <c r="AQ777" s="4"/>
      <c r="AR777" s="4"/>
      <c r="AS777" s="4"/>
      <c r="AT777" s="4"/>
      <c r="AU777" s="4"/>
    </row>
    <row r="778" spans="1:47" ht="13.2">
      <c r="A778" s="120"/>
      <c r="B778" s="113"/>
      <c r="C778" s="117"/>
      <c r="D778" s="117"/>
      <c r="E778" s="117"/>
      <c r="F778" s="123"/>
      <c r="G778" s="93" t="s">
        <v>145</v>
      </c>
      <c r="H778" s="125"/>
      <c r="I778" s="125"/>
      <c r="J778" s="82" t="str">
        <f t="shared" ca="1" si="147"/>
        <v>#REF!</v>
      </c>
      <c r="K778" s="82" t="str">
        <f t="shared" ca="1" si="256"/>
        <v>#REF!</v>
      </c>
      <c r="L778" s="82" t="str">
        <f t="shared" ca="1" si="199"/>
        <v>#REF!</v>
      </c>
      <c r="M778" s="125"/>
      <c r="N778" s="125"/>
      <c r="O778" s="230">
        <f t="shared" si="2"/>
        <v>0</v>
      </c>
      <c r="P778" s="231">
        <f t="shared" si="3"/>
        <v>0</v>
      </c>
      <c r="Q778" s="232" t="str">
        <f ca="1">ROUNDUP(HLOOKUP(IF(CEILING(L778,0.5)&lt;1,1,CEILING(L778,0.5)),'배송비 조회'!A$32:AY$36,2,0),-2)</f>
        <v>#REF!</v>
      </c>
      <c r="R778" s="232">
        <v>0</v>
      </c>
      <c r="S778" s="231" t="str">
        <f t="shared" ca="1" si="250"/>
        <v>#REF!</v>
      </c>
      <c r="T778" s="231" t="str">
        <f t="shared" ca="1" si="200"/>
        <v>#REF!</v>
      </c>
      <c r="U778" s="233" t="str">
        <f t="shared" ca="1" si="142"/>
        <v>#REF!</v>
      </c>
      <c r="V778" s="233" t="str">
        <f t="shared" ca="1" si="7"/>
        <v>#REF!</v>
      </c>
      <c r="W778" s="234">
        <v>0</v>
      </c>
      <c r="X778" s="234" t="str">
        <f t="shared" ca="1" si="8"/>
        <v>#REF!</v>
      </c>
      <c r="Y778" s="234" t="str">
        <f t="shared" ca="1" si="9"/>
        <v>#REF!</v>
      </c>
      <c r="Z778" s="234" t="str">
        <f t="shared" ca="1" si="10"/>
        <v>#REF!</v>
      </c>
      <c r="AA778" s="234" t="str">
        <f t="shared" ca="1" si="11"/>
        <v>#REF!</v>
      </c>
      <c r="AB778" s="234" t="str">
        <f t="shared" ca="1" si="12"/>
        <v>#REF!</v>
      </c>
      <c r="AC778" s="234" t="str">
        <f t="shared" ca="1" si="13"/>
        <v>#REF!</v>
      </c>
      <c r="AD778" s="101" t="str">
        <f t="shared" ca="1" si="14"/>
        <v>#REF!</v>
      </c>
      <c r="AE778" s="101" t="str">
        <f t="shared" ca="1" si="15"/>
        <v>#REF!</v>
      </c>
      <c r="AF778" s="235" t="str">
        <f t="shared" ref="AF778:AG778" ca="1" si="855">AD778/U778</f>
        <v>#REF!</v>
      </c>
      <c r="AG778" s="235" t="str">
        <f t="shared" ca="1" si="855"/>
        <v>#REF!</v>
      </c>
      <c r="AH778" s="212"/>
      <c r="AI778" s="213"/>
      <c r="AJ778" s="4"/>
      <c r="AK778" s="4"/>
      <c r="AL778" s="4"/>
      <c r="AM778" s="4"/>
      <c r="AN778" s="4"/>
      <c r="AO778" s="4"/>
      <c r="AP778" s="4"/>
      <c r="AQ778" s="4"/>
      <c r="AR778" s="4"/>
      <c r="AS778" s="4"/>
      <c r="AT778" s="4"/>
      <c r="AU778" s="4"/>
    </row>
    <row r="779" spans="1:47" ht="13.2">
      <c r="A779" s="120"/>
      <c r="B779" s="113"/>
      <c r="C779" s="117"/>
      <c r="D779" s="117"/>
      <c r="E779" s="117"/>
      <c r="F779" s="123"/>
      <c r="G779" s="93" t="s">
        <v>145</v>
      </c>
      <c r="H779" s="125"/>
      <c r="I779" s="125"/>
      <c r="J779" s="82" t="str">
        <f t="shared" ca="1" si="147"/>
        <v>#REF!</v>
      </c>
      <c r="K779" s="82" t="str">
        <f t="shared" ca="1" si="256"/>
        <v>#REF!</v>
      </c>
      <c r="L779" s="82" t="str">
        <f t="shared" ca="1" si="199"/>
        <v>#REF!</v>
      </c>
      <c r="M779" s="125"/>
      <c r="N779" s="125"/>
      <c r="O779" s="230">
        <f t="shared" si="2"/>
        <v>0</v>
      </c>
      <c r="P779" s="231">
        <f t="shared" si="3"/>
        <v>0</v>
      </c>
      <c r="Q779" s="232" t="str">
        <f ca="1">ROUNDUP(HLOOKUP(IF(CEILING(L779,0.5)&lt;1,1,CEILING(L779,0.5)),'배송비 조회'!A$32:AY$36,2,0),-2)</f>
        <v>#REF!</v>
      </c>
      <c r="R779" s="232">
        <v>0</v>
      </c>
      <c r="S779" s="231" t="str">
        <f t="shared" ca="1" si="250"/>
        <v>#REF!</v>
      </c>
      <c r="T779" s="231" t="str">
        <f t="shared" ca="1" si="200"/>
        <v>#REF!</v>
      </c>
      <c r="U779" s="233" t="str">
        <f t="shared" ca="1" si="142"/>
        <v>#REF!</v>
      </c>
      <c r="V779" s="233" t="str">
        <f t="shared" ca="1" si="7"/>
        <v>#REF!</v>
      </c>
      <c r="W779" s="234">
        <v>0</v>
      </c>
      <c r="X779" s="234" t="str">
        <f t="shared" ca="1" si="8"/>
        <v>#REF!</v>
      </c>
      <c r="Y779" s="234" t="str">
        <f t="shared" ca="1" si="9"/>
        <v>#REF!</v>
      </c>
      <c r="Z779" s="234" t="str">
        <f t="shared" ca="1" si="10"/>
        <v>#REF!</v>
      </c>
      <c r="AA779" s="234" t="str">
        <f t="shared" ca="1" si="11"/>
        <v>#REF!</v>
      </c>
      <c r="AB779" s="234" t="str">
        <f t="shared" ca="1" si="12"/>
        <v>#REF!</v>
      </c>
      <c r="AC779" s="234" t="str">
        <f t="shared" ca="1" si="13"/>
        <v>#REF!</v>
      </c>
      <c r="AD779" s="101" t="str">
        <f t="shared" ca="1" si="14"/>
        <v>#REF!</v>
      </c>
      <c r="AE779" s="101" t="str">
        <f t="shared" ca="1" si="15"/>
        <v>#REF!</v>
      </c>
      <c r="AF779" s="235" t="str">
        <f t="shared" ref="AF779:AG779" ca="1" si="856">AD779/U779</f>
        <v>#REF!</v>
      </c>
      <c r="AG779" s="235" t="str">
        <f t="shared" ca="1" si="856"/>
        <v>#REF!</v>
      </c>
      <c r="AH779" s="212"/>
      <c r="AI779" s="213"/>
      <c r="AJ779" s="4"/>
      <c r="AK779" s="4"/>
      <c r="AL779" s="4"/>
      <c r="AM779" s="4"/>
      <c r="AN779" s="4"/>
      <c r="AO779" s="4"/>
      <c r="AP779" s="4"/>
      <c r="AQ779" s="4"/>
      <c r="AR779" s="4"/>
      <c r="AS779" s="4"/>
      <c r="AT779" s="4"/>
      <c r="AU779" s="4"/>
    </row>
    <row r="780" spans="1:47" ht="13.2">
      <c r="A780" s="120"/>
      <c r="B780" s="113"/>
      <c r="C780" s="117"/>
      <c r="D780" s="117"/>
      <c r="E780" s="117"/>
      <c r="F780" s="123"/>
      <c r="G780" s="93" t="s">
        <v>145</v>
      </c>
      <c r="H780" s="125"/>
      <c r="I780" s="125"/>
      <c r="J780" s="82" t="str">
        <f t="shared" ca="1" si="147"/>
        <v>#REF!</v>
      </c>
      <c r="K780" s="82" t="str">
        <f t="shared" ca="1" si="256"/>
        <v>#REF!</v>
      </c>
      <c r="L780" s="82" t="str">
        <f t="shared" ca="1" si="199"/>
        <v>#REF!</v>
      </c>
      <c r="M780" s="125"/>
      <c r="N780" s="125"/>
      <c r="O780" s="230">
        <f t="shared" si="2"/>
        <v>0</v>
      </c>
      <c r="P780" s="231">
        <f t="shared" si="3"/>
        <v>0</v>
      </c>
      <c r="Q780" s="232" t="str">
        <f ca="1">ROUNDUP(HLOOKUP(IF(CEILING(L780,0.5)&lt;1,1,CEILING(L780,0.5)),'배송비 조회'!A$32:AY$36,2,0),-2)</f>
        <v>#REF!</v>
      </c>
      <c r="R780" s="232">
        <v>0</v>
      </c>
      <c r="S780" s="231" t="str">
        <f t="shared" ca="1" si="250"/>
        <v>#REF!</v>
      </c>
      <c r="T780" s="231" t="str">
        <f t="shared" ca="1" si="200"/>
        <v>#REF!</v>
      </c>
      <c r="U780" s="233" t="str">
        <f t="shared" ca="1" si="142"/>
        <v>#REF!</v>
      </c>
      <c r="V780" s="233" t="str">
        <f t="shared" ca="1" si="7"/>
        <v>#REF!</v>
      </c>
      <c r="W780" s="234">
        <v>0</v>
      </c>
      <c r="X780" s="234" t="str">
        <f t="shared" ca="1" si="8"/>
        <v>#REF!</v>
      </c>
      <c r="Y780" s="234" t="str">
        <f t="shared" ca="1" si="9"/>
        <v>#REF!</v>
      </c>
      <c r="Z780" s="234" t="str">
        <f t="shared" ca="1" si="10"/>
        <v>#REF!</v>
      </c>
      <c r="AA780" s="234" t="str">
        <f t="shared" ca="1" si="11"/>
        <v>#REF!</v>
      </c>
      <c r="AB780" s="234" t="str">
        <f t="shared" ca="1" si="12"/>
        <v>#REF!</v>
      </c>
      <c r="AC780" s="234" t="str">
        <f t="shared" ca="1" si="13"/>
        <v>#REF!</v>
      </c>
      <c r="AD780" s="101" t="str">
        <f t="shared" ca="1" si="14"/>
        <v>#REF!</v>
      </c>
      <c r="AE780" s="101" t="str">
        <f t="shared" ca="1" si="15"/>
        <v>#REF!</v>
      </c>
      <c r="AF780" s="235" t="str">
        <f t="shared" ref="AF780:AG780" ca="1" si="857">AD780/U780</f>
        <v>#REF!</v>
      </c>
      <c r="AG780" s="235" t="str">
        <f t="shared" ca="1" si="857"/>
        <v>#REF!</v>
      </c>
      <c r="AH780" s="212"/>
      <c r="AI780" s="213"/>
      <c r="AJ780" s="4"/>
      <c r="AK780" s="4"/>
      <c r="AL780" s="4"/>
      <c r="AM780" s="4"/>
      <c r="AN780" s="4"/>
      <c r="AO780" s="4"/>
      <c r="AP780" s="4"/>
      <c r="AQ780" s="4"/>
      <c r="AR780" s="4"/>
      <c r="AS780" s="4"/>
      <c r="AT780" s="4"/>
      <c r="AU780" s="4"/>
    </row>
    <row r="781" spans="1:47" ht="13.2">
      <c r="A781" s="120"/>
      <c r="B781" s="113"/>
      <c r="C781" s="117"/>
      <c r="D781" s="117"/>
      <c r="E781" s="117"/>
      <c r="F781" s="123"/>
      <c r="G781" s="93" t="s">
        <v>145</v>
      </c>
      <c r="H781" s="125"/>
      <c r="I781" s="125"/>
      <c r="J781" s="82" t="str">
        <f t="shared" ca="1" si="147"/>
        <v>#REF!</v>
      </c>
      <c r="K781" s="82" t="str">
        <f t="shared" ca="1" si="256"/>
        <v>#REF!</v>
      </c>
      <c r="L781" s="82" t="str">
        <f t="shared" ca="1" si="199"/>
        <v>#REF!</v>
      </c>
      <c r="M781" s="125"/>
      <c r="N781" s="125"/>
      <c r="O781" s="230">
        <f t="shared" si="2"/>
        <v>0</v>
      </c>
      <c r="P781" s="231">
        <f t="shared" si="3"/>
        <v>0</v>
      </c>
      <c r="Q781" s="232" t="str">
        <f ca="1">ROUNDUP(HLOOKUP(IF(CEILING(L781,0.5)&lt;1,1,CEILING(L781,0.5)),'배송비 조회'!A$32:AY$36,2,0),-2)</f>
        <v>#REF!</v>
      </c>
      <c r="R781" s="232">
        <v>0</v>
      </c>
      <c r="S781" s="231" t="str">
        <f t="shared" ca="1" si="250"/>
        <v>#REF!</v>
      </c>
      <c r="T781" s="231" t="str">
        <f t="shared" ca="1" si="200"/>
        <v>#REF!</v>
      </c>
      <c r="U781" s="233" t="str">
        <f t="shared" ca="1" si="142"/>
        <v>#REF!</v>
      </c>
      <c r="V781" s="233" t="str">
        <f t="shared" ca="1" si="7"/>
        <v>#REF!</v>
      </c>
      <c r="W781" s="234">
        <v>0</v>
      </c>
      <c r="X781" s="234" t="str">
        <f t="shared" ca="1" si="8"/>
        <v>#REF!</v>
      </c>
      <c r="Y781" s="234" t="str">
        <f t="shared" ca="1" si="9"/>
        <v>#REF!</v>
      </c>
      <c r="Z781" s="234" t="str">
        <f t="shared" ca="1" si="10"/>
        <v>#REF!</v>
      </c>
      <c r="AA781" s="234" t="str">
        <f t="shared" ca="1" si="11"/>
        <v>#REF!</v>
      </c>
      <c r="AB781" s="234" t="str">
        <f t="shared" ca="1" si="12"/>
        <v>#REF!</v>
      </c>
      <c r="AC781" s="234" t="str">
        <f t="shared" ca="1" si="13"/>
        <v>#REF!</v>
      </c>
      <c r="AD781" s="101" t="str">
        <f t="shared" ca="1" si="14"/>
        <v>#REF!</v>
      </c>
      <c r="AE781" s="101" t="str">
        <f t="shared" ca="1" si="15"/>
        <v>#REF!</v>
      </c>
      <c r="AF781" s="235" t="str">
        <f t="shared" ref="AF781:AG781" ca="1" si="858">AD781/U781</f>
        <v>#REF!</v>
      </c>
      <c r="AG781" s="235" t="str">
        <f t="shared" ca="1" si="858"/>
        <v>#REF!</v>
      </c>
      <c r="AH781" s="212"/>
      <c r="AI781" s="213"/>
      <c r="AJ781" s="4"/>
      <c r="AK781" s="4"/>
      <c r="AL781" s="4"/>
      <c r="AM781" s="4"/>
      <c r="AN781" s="4"/>
      <c r="AO781" s="4"/>
      <c r="AP781" s="4"/>
      <c r="AQ781" s="4"/>
      <c r="AR781" s="4"/>
      <c r="AS781" s="4"/>
      <c r="AT781" s="4"/>
      <c r="AU781" s="4"/>
    </row>
    <row r="782" spans="1:47" ht="13.2">
      <c r="A782" s="120"/>
      <c r="B782" s="113"/>
      <c r="C782" s="117"/>
      <c r="D782" s="117"/>
      <c r="E782" s="117"/>
      <c r="F782" s="123"/>
      <c r="G782" s="93" t="s">
        <v>145</v>
      </c>
      <c r="H782" s="125"/>
      <c r="I782" s="125"/>
      <c r="J782" s="82" t="str">
        <f t="shared" ca="1" si="147"/>
        <v>#REF!</v>
      </c>
      <c r="K782" s="82" t="str">
        <f t="shared" ca="1" si="256"/>
        <v>#REF!</v>
      </c>
      <c r="L782" s="82" t="str">
        <f t="shared" ca="1" si="199"/>
        <v>#REF!</v>
      </c>
      <c r="M782" s="125"/>
      <c r="N782" s="125"/>
      <c r="O782" s="230">
        <f t="shared" si="2"/>
        <v>0</v>
      </c>
      <c r="P782" s="231">
        <f t="shared" si="3"/>
        <v>0</v>
      </c>
      <c r="Q782" s="232" t="str">
        <f ca="1">ROUNDUP(HLOOKUP(IF(CEILING(L782,0.5)&lt;1,1,CEILING(L782,0.5)),'배송비 조회'!A$32:AY$36,2,0),-2)</f>
        <v>#REF!</v>
      </c>
      <c r="R782" s="232">
        <v>0</v>
      </c>
      <c r="S782" s="231" t="str">
        <f t="shared" ca="1" si="250"/>
        <v>#REF!</v>
      </c>
      <c r="T782" s="231" t="str">
        <f t="shared" ca="1" si="200"/>
        <v>#REF!</v>
      </c>
      <c r="U782" s="233" t="str">
        <f t="shared" ca="1" si="142"/>
        <v>#REF!</v>
      </c>
      <c r="V782" s="233" t="str">
        <f t="shared" ca="1" si="7"/>
        <v>#REF!</v>
      </c>
      <c r="W782" s="234">
        <v>0</v>
      </c>
      <c r="X782" s="234" t="str">
        <f t="shared" ca="1" si="8"/>
        <v>#REF!</v>
      </c>
      <c r="Y782" s="234" t="str">
        <f t="shared" ca="1" si="9"/>
        <v>#REF!</v>
      </c>
      <c r="Z782" s="234" t="str">
        <f t="shared" ca="1" si="10"/>
        <v>#REF!</v>
      </c>
      <c r="AA782" s="234" t="str">
        <f t="shared" ca="1" si="11"/>
        <v>#REF!</v>
      </c>
      <c r="AB782" s="234" t="str">
        <f t="shared" ca="1" si="12"/>
        <v>#REF!</v>
      </c>
      <c r="AC782" s="234" t="str">
        <f t="shared" ca="1" si="13"/>
        <v>#REF!</v>
      </c>
      <c r="AD782" s="101" t="str">
        <f t="shared" ca="1" si="14"/>
        <v>#REF!</v>
      </c>
      <c r="AE782" s="101" t="str">
        <f t="shared" ca="1" si="15"/>
        <v>#REF!</v>
      </c>
      <c r="AF782" s="235" t="str">
        <f t="shared" ref="AF782:AG782" ca="1" si="859">AD782/U782</f>
        <v>#REF!</v>
      </c>
      <c r="AG782" s="235" t="str">
        <f t="shared" ca="1" si="859"/>
        <v>#REF!</v>
      </c>
      <c r="AH782" s="212"/>
      <c r="AI782" s="213"/>
      <c r="AJ782" s="4"/>
      <c r="AK782" s="4"/>
      <c r="AL782" s="4"/>
      <c r="AM782" s="4"/>
      <c r="AN782" s="4"/>
      <c r="AO782" s="4"/>
      <c r="AP782" s="4"/>
      <c r="AQ782" s="4"/>
      <c r="AR782" s="4"/>
      <c r="AS782" s="4"/>
      <c r="AT782" s="4"/>
      <c r="AU782" s="4"/>
    </row>
    <row r="783" spans="1:47" ht="13.2">
      <c r="A783" s="120"/>
      <c r="B783" s="113"/>
      <c r="C783" s="117"/>
      <c r="D783" s="117"/>
      <c r="E783" s="117"/>
      <c r="F783" s="123"/>
      <c r="G783" s="93" t="s">
        <v>145</v>
      </c>
      <c r="H783" s="125"/>
      <c r="I783" s="125"/>
      <c r="J783" s="82" t="str">
        <f t="shared" ca="1" si="147"/>
        <v>#REF!</v>
      </c>
      <c r="K783" s="82" t="str">
        <f t="shared" ca="1" si="256"/>
        <v>#REF!</v>
      </c>
      <c r="L783" s="82" t="str">
        <f t="shared" ca="1" si="199"/>
        <v>#REF!</v>
      </c>
      <c r="M783" s="125"/>
      <c r="N783" s="125"/>
      <c r="O783" s="230">
        <f t="shared" si="2"/>
        <v>0</v>
      </c>
      <c r="P783" s="231">
        <f t="shared" si="3"/>
        <v>0</v>
      </c>
      <c r="Q783" s="232" t="str">
        <f ca="1">ROUNDUP(HLOOKUP(IF(CEILING(L783,0.5)&lt;1,1,CEILING(L783,0.5)),'배송비 조회'!A$32:AY$36,2,0),-2)</f>
        <v>#REF!</v>
      </c>
      <c r="R783" s="232">
        <v>0</v>
      </c>
      <c r="S783" s="231" t="str">
        <f t="shared" ca="1" si="250"/>
        <v>#REF!</v>
      </c>
      <c r="T783" s="231" t="str">
        <f t="shared" ca="1" si="200"/>
        <v>#REF!</v>
      </c>
      <c r="U783" s="233" t="str">
        <f t="shared" ca="1" si="142"/>
        <v>#REF!</v>
      </c>
      <c r="V783" s="233" t="str">
        <f t="shared" ca="1" si="7"/>
        <v>#REF!</v>
      </c>
      <c r="W783" s="234">
        <v>0</v>
      </c>
      <c r="X783" s="234" t="str">
        <f t="shared" ca="1" si="8"/>
        <v>#REF!</v>
      </c>
      <c r="Y783" s="234" t="str">
        <f t="shared" ca="1" si="9"/>
        <v>#REF!</v>
      </c>
      <c r="Z783" s="234" t="str">
        <f t="shared" ca="1" si="10"/>
        <v>#REF!</v>
      </c>
      <c r="AA783" s="234" t="str">
        <f t="shared" ca="1" si="11"/>
        <v>#REF!</v>
      </c>
      <c r="AB783" s="234" t="str">
        <f t="shared" ca="1" si="12"/>
        <v>#REF!</v>
      </c>
      <c r="AC783" s="234" t="str">
        <f t="shared" ca="1" si="13"/>
        <v>#REF!</v>
      </c>
      <c r="AD783" s="101" t="str">
        <f t="shared" ca="1" si="14"/>
        <v>#REF!</v>
      </c>
      <c r="AE783" s="101" t="str">
        <f t="shared" ca="1" si="15"/>
        <v>#REF!</v>
      </c>
      <c r="AF783" s="235" t="str">
        <f t="shared" ref="AF783:AG783" ca="1" si="860">AD783/U783</f>
        <v>#REF!</v>
      </c>
      <c r="AG783" s="235" t="str">
        <f t="shared" ca="1" si="860"/>
        <v>#REF!</v>
      </c>
      <c r="AH783" s="212"/>
      <c r="AI783" s="213"/>
      <c r="AJ783" s="4"/>
      <c r="AK783" s="4"/>
      <c r="AL783" s="4"/>
      <c r="AM783" s="4"/>
      <c r="AN783" s="4"/>
      <c r="AO783" s="4"/>
      <c r="AP783" s="4"/>
      <c r="AQ783" s="4"/>
      <c r="AR783" s="4"/>
      <c r="AS783" s="4"/>
      <c r="AT783" s="4"/>
      <c r="AU783" s="4"/>
    </row>
    <row r="784" spans="1:47" ht="13.2">
      <c r="A784" s="120"/>
      <c r="B784" s="113"/>
      <c r="C784" s="117"/>
      <c r="D784" s="117"/>
      <c r="E784" s="117"/>
      <c r="F784" s="123"/>
      <c r="G784" s="93" t="s">
        <v>145</v>
      </c>
      <c r="H784" s="125"/>
      <c r="I784" s="125"/>
      <c r="J784" s="82" t="str">
        <f t="shared" ca="1" si="147"/>
        <v>#REF!</v>
      </c>
      <c r="K784" s="82" t="str">
        <f t="shared" ca="1" si="256"/>
        <v>#REF!</v>
      </c>
      <c r="L784" s="82" t="str">
        <f t="shared" ca="1" si="199"/>
        <v>#REF!</v>
      </c>
      <c r="M784" s="125"/>
      <c r="N784" s="125"/>
      <c r="O784" s="230">
        <f t="shared" si="2"/>
        <v>0</v>
      </c>
      <c r="P784" s="231">
        <f t="shared" si="3"/>
        <v>0</v>
      </c>
      <c r="Q784" s="232" t="str">
        <f ca="1">ROUNDUP(HLOOKUP(IF(CEILING(L784,0.5)&lt;1,1,CEILING(L784,0.5)),'배송비 조회'!A$32:AY$36,2,0),-2)</f>
        <v>#REF!</v>
      </c>
      <c r="R784" s="232">
        <v>0</v>
      </c>
      <c r="S784" s="231" t="str">
        <f t="shared" ca="1" si="250"/>
        <v>#REF!</v>
      </c>
      <c r="T784" s="231" t="str">
        <f t="shared" ca="1" si="200"/>
        <v>#REF!</v>
      </c>
      <c r="U784" s="233" t="str">
        <f t="shared" ca="1" si="142"/>
        <v>#REF!</v>
      </c>
      <c r="V784" s="233" t="str">
        <f t="shared" ca="1" si="7"/>
        <v>#REF!</v>
      </c>
      <c r="W784" s="234">
        <v>0</v>
      </c>
      <c r="X784" s="234" t="str">
        <f t="shared" ca="1" si="8"/>
        <v>#REF!</v>
      </c>
      <c r="Y784" s="234" t="str">
        <f t="shared" ca="1" si="9"/>
        <v>#REF!</v>
      </c>
      <c r="Z784" s="234" t="str">
        <f t="shared" ca="1" si="10"/>
        <v>#REF!</v>
      </c>
      <c r="AA784" s="234" t="str">
        <f t="shared" ca="1" si="11"/>
        <v>#REF!</v>
      </c>
      <c r="AB784" s="234" t="str">
        <f t="shared" ca="1" si="12"/>
        <v>#REF!</v>
      </c>
      <c r="AC784" s="234" t="str">
        <f t="shared" ca="1" si="13"/>
        <v>#REF!</v>
      </c>
      <c r="AD784" s="101" t="str">
        <f t="shared" ca="1" si="14"/>
        <v>#REF!</v>
      </c>
      <c r="AE784" s="101" t="str">
        <f t="shared" ca="1" si="15"/>
        <v>#REF!</v>
      </c>
      <c r="AF784" s="235" t="str">
        <f t="shared" ref="AF784:AG784" ca="1" si="861">AD784/U784</f>
        <v>#REF!</v>
      </c>
      <c r="AG784" s="235" t="str">
        <f t="shared" ca="1" si="861"/>
        <v>#REF!</v>
      </c>
      <c r="AH784" s="212"/>
      <c r="AI784" s="213"/>
      <c r="AJ784" s="4"/>
      <c r="AK784" s="4"/>
      <c r="AL784" s="4"/>
      <c r="AM784" s="4"/>
      <c r="AN784" s="4"/>
      <c r="AO784" s="4"/>
      <c r="AP784" s="4"/>
      <c r="AQ784" s="4"/>
      <c r="AR784" s="4"/>
      <c r="AS784" s="4"/>
      <c r="AT784" s="4"/>
      <c r="AU784" s="4"/>
    </row>
    <row r="785" spans="1:47" ht="13.2">
      <c r="A785" s="120"/>
      <c r="B785" s="113"/>
      <c r="C785" s="117"/>
      <c r="D785" s="117"/>
      <c r="E785" s="117"/>
      <c r="F785" s="123"/>
      <c r="G785" s="93" t="s">
        <v>145</v>
      </c>
      <c r="H785" s="125"/>
      <c r="I785" s="125"/>
      <c r="J785" s="82" t="str">
        <f t="shared" ca="1" si="147"/>
        <v>#REF!</v>
      </c>
      <c r="K785" s="82" t="str">
        <f t="shared" ca="1" si="256"/>
        <v>#REF!</v>
      </c>
      <c r="L785" s="82" t="str">
        <f t="shared" ca="1" si="199"/>
        <v>#REF!</v>
      </c>
      <c r="M785" s="125"/>
      <c r="N785" s="125"/>
      <c r="O785" s="230">
        <f t="shared" si="2"/>
        <v>0</v>
      </c>
      <c r="P785" s="231">
        <f t="shared" si="3"/>
        <v>0</v>
      </c>
      <c r="Q785" s="232" t="str">
        <f ca="1">ROUNDUP(HLOOKUP(IF(CEILING(L785,0.5)&lt;1,1,CEILING(L785,0.5)),'배송비 조회'!A$32:AY$36,2,0),-2)</f>
        <v>#REF!</v>
      </c>
      <c r="R785" s="232">
        <v>0</v>
      </c>
      <c r="S785" s="231" t="str">
        <f t="shared" ca="1" si="250"/>
        <v>#REF!</v>
      </c>
      <c r="T785" s="231" t="str">
        <f t="shared" ca="1" si="200"/>
        <v>#REF!</v>
      </c>
      <c r="U785" s="233" t="str">
        <f t="shared" ca="1" si="142"/>
        <v>#REF!</v>
      </c>
      <c r="V785" s="233" t="str">
        <f t="shared" ca="1" si="7"/>
        <v>#REF!</v>
      </c>
      <c r="W785" s="234">
        <v>0</v>
      </c>
      <c r="X785" s="234" t="str">
        <f t="shared" ca="1" si="8"/>
        <v>#REF!</v>
      </c>
      <c r="Y785" s="234" t="str">
        <f t="shared" ca="1" si="9"/>
        <v>#REF!</v>
      </c>
      <c r="Z785" s="234" t="str">
        <f t="shared" ca="1" si="10"/>
        <v>#REF!</v>
      </c>
      <c r="AA785" s="234" t="str">
        <f t="shared" ca="1" si="11"/>
        <v>#REF!</v>
      </c>
      <c r="AB785" s="234" t="str">
        <f t="shared" ca="1" si="12"/>
        <v>#REF!</v>
      </c>
      <c r="AC785" s="234" t="str">
        <f t="shared" ca="1" si="13"/>
        <v>#REF!</v>
      </c>
      <c r="AD785" s="101" t="str">
        <f t="shared" ca="1" si="14"/>
        <v>#REF!</v>
      </c>
      <c r="AE785" s="101" t="str">
        <f t="shared" ca="1" si="15"/>
        <v>#REF!</v>
      </c>
      <c r="AF785" s="235" t="str">
        <f t="shared" ref="AF785:AG785" ca="1" si="862">AD785/U785</f>
        <v>#REF!</v>
      </c>
      <c r="AG785" s="235" t="str">
        <f t="shared" ca="1" si="862"/>
        <v>#REF!</v>
      </c>
      <c r="AH785" s="212"/>
      <c r="AI785" s="213"/>
      <c r="AJ785" s="4"/>
      <c r="AK785" s="4"/>
      <c r="AL785" s="4"/>
      <c r="AM785" s="4"/>
      <c r="AN785" s="4"/>
      <c r="AO785" s="4"/>
      <c r="AP785" s="4"/>
      <c r="AQ785" s="4"/>
      <c r="AR785" s="4"/>
      <c r="AS785" s="4"/>
      <c r="AT785" s="4"/>
      <c r="AU785" s="4"/>
    </row>
    <row r="786" spans="1:47" ht="13.2">
      <c r="A786" s="120"/>
      <c r="B786" s="113"/>
      <c r="C786" s="117"/>
      <c r="D786" s="117"/>
      <c r="E786" s="117"/>
      <c r="F786" s="123"/>
      <c r="G786" s="93" t="s">
        <v>145</v>
      </c>
      <c r="H786" s="125"/>
      <c r="I786" s="125"/>
      <c r="J786" s="82" t="str">
        <f t="shared" ca="1" si="147"/>
        <v>#REF!</v>
      </c>
      <c r="K786" s="82" t="str">
        <f t="shared" ca="1" si="256"/>
        <v>#REF!</v>
      </c>
      <c r="L786" s="82" t="str">
        <f t="shared" ca="1" si="199"/>
        <v>#REF!</v>
      </c>
      <c r="M786" s="125"/>
      <c r="N786" s="125"/>
      <c r="O786" s="230">
        <f t="shared" si="2"/>
        <v>0</v>
      </c>
      <c r="P786" s="231">
        <f t="shared" si="3"/>
        <v>0</v>
      </c>
      <c r="Q786" s="232" t="str">
        <f ca="1">ROUNDUP(HLOOKUP(IF(CEILING(L786,0.5)&lt;1,1,CEILING(L786,0.5)),'배송비 조회'!A$32:AY$36,2,0),-2)</f>
        <v>#REF!</v>
      </c>
      <c r="R786" s="232">
        <v>0</v>
      </c>
      <c r="S786" s="231" t="str">
        <f t="shared" ca="1" si="250"/>
        <v>#REF!</v>
      </c>
      <c r="T786" s="231" t="str">
        <f t="shared" ca="1" si="200"/>
        <v>#REF!</v>
      </c>
      <c r="U786" s="233" t="str">
        <f t="shared" ca="1" si="142"/>
        <v>#REF!</v>
      </c>
      <c r="V786" s="233" t="str">
        <f t="shared" ca="1" si="7"/>
        <v>#REF!</v>
      </c>
      <c r="W786" s="234">
        <v>0</v>
      </c>
      <c r="X786" s="234" t="str">
        <f t="shared" ca="1" si="8"/>
        <v>#REF!</v>
      </c>
      <c r="Y786" s="234" t="str">
        <f t="shared" ca="1" si="9"/>
        <v>#REF!</v>
      </c>
      <c r="Z786" s="234" t="str">
        <f t="shared" ca="1" si="10"/>
        <v>#REF!</v>
      </c>
      <c r="AA786" s="234" t="str">
        <f t="shared" ca="1" si="11"/>
        <v>#REF!</v>
      </c>
      <c r="AB786" s="234" t="str">
        <f t="shared" ca="1" si="12"/>
        <v>#REF!</v>
      </c>
      <c r="AC786" s="234" t="str">
        <f t="shared" ca="1" si="13"/>
        <v>#REF!</v>
      </c>
      <c r="AD786" s="101" t="str">
        <f t="shared" ca="1" si="14"/>
        <v>#REF!</v>
      </c>
      <c r="AE786" s="101" t="str">
        <f t="shared" ca="1" si="15"/>
        <v>#REF!</v>
      </c>
      <c r="AF786" s="235" t="str">
        <f t="shared" ref="AF786:AG786" ca="1" si="863">AD786/U786</f>
        <v>#REF!</v>
      </c>
      <c r="AG786" s="235" t="str">
        <f t="shared" ca="1" si="863"/>
        <v>#REF!</v>
      </c>
      <c r="AH786" s="212"/>
      <c r="AI786" s="213"/>
      <c r="AJ786" s="4"/>
      <c r="AK786" s="4"/>
      <c r="AL786" s="4"/>
      <c r="AM786" s="4"/>
      <c r="AN786" s="4"/>
      <c r="AO786" s="4"/>
      <c r="AP786" s="4"/>
      <c r="AQ786" s="4"/>
      <c r="AR786" s="4"/>
      <c r="AS786" s="4"/>
      <c r="AT786" s="4"/>
      <c r="AU786" s="4"/>
    </row>
    <row r="787" spans="1:47" ht="13.2">
      <c r="A787" s="120"/>
      <c r="B787" s="113"/>
      <c r="C787" s="117"/>
      <c r="D787" s="117"/>
      <c r="E787" s="117"/>
      <c r="F787" s="123"/>
      <c r="G787" s="93" t="s">
        <v>145</v>
      </c>
      <c r="H787" s="125"/>
      <c r="I787" s="125"/>
      <c r="J787" s="82" t="str">
        <f t="shared" ca="1" si="147"/>
        <v>#REF!</v>
      </c>
      <c r="K787" s="82" t="str">
        <f t="shared" ca="1" si="256"/>
        <v>#REF!</v>
      </c>
      <c r="L787" s="82" t="str">
        <f t="shared" ca="1" si="199"/>
        <v>#REF!</v>
      </c>
      <c r="M787" s="125"/>
      <c r="N787" s="125"/>
      <c r="O787" s="230">
        <f t="shared" si="2"/>
        <v>0</v>
      </c>
      <c r="P787" s="231">
        <f t="shared" si="3"/>
        <v>0</v>
      </c>
      <c r="Q787" s="232" t="str">
        <f ca="1">ROUNDUP(HLOOKUP(IF(CEILING(L787,0.5)&lt;1,1,CEILING(L787,0.5)),'배송비 조회'!A$32:AY$36,2,0),-2)</f>
        <v>#REF!</v>
      </c>
      <c r="R787" s="232">
        <v>0</v>
      </c>
      <c r="S787" s="231" t="str">
        <f t="shared" ca="1" si="250"/>
        <v>#REF!</v>
      </c>
      <c r="T787" s="231" t="str">
        <f t="shared" ca="1" si="200"/>
        <v>#REF!</v>
      </c>
      <c r="U787" s="233" t="str">
        <f t="shared" ca="1" si="142"/>
        <v>#REF!</v>
      </c>
      <c r="V787" s="233" t="str">
        <f t="shared" ca="1" si="7"/>
        <v>#REF!</v>
      </c>
      <c r="W787" s="234">
        <v>0</v>
      </c>
      <c r="X787" s="234" t="str">
        <f t="shared" ca="1" si="8"/>
        <v>#REF!</v>
      </c>
      <c r="Y787" s="234" t="str">
        <f t="shared" ca="1" si="9"/>
        <v>#REF!</v>
      </c>
      <c r="Z787" s="234" t="str">
        <f t="shared" ca="1" si="10"/>
        <v>#REF!</v>
      </c>
      <c r="AA787" s="234" t="str">
        <f t="shared" ca="1" si="11"/>
        <v>#REF!</v>
      </c>
      <c r="AB787" s="234" t="str">
        <f t="shared" ca="1" si="12"/>
        <v>#REF!</v>
      </c>
      <c r="AC787" s="234" t="str">
        <f t="shared" ca="1" si="13"/>
        <v>#REF!</v>
      </c>
      <c r="AD787" s="101" t="str">
        <f t="shared" ca="1" si="14"/>
        <v>#REF!</v>
      </c>
      <c r="AE787" s="101" t="str">
        <f t="shared" ca="1" si="15"/>
        <v>#REF!</v>
      </c>
      <c r="AF787" s="235" t="str">
        <f t="shared" ref="AF787:AG787" ca="1" si="864">AD787/U787</f>
        <v>#REF!</v>
      </c>
      <c r="AG787" s="235" t="str">
        <f t="shared" ca="1" si="864"/>
        <v>#REF!</v>
      </c>
      <c r="AH787" s="212"/>
      <c r="AI787" s="213"/>
      <c r="AJ787" s="4"/>
      <c r="AK787" s="4"/>
      <c r="AL787" s="4"/>
      <c r="AM787" s="4"/>
      <c r="AN787" s="4"/>
      <c r="AO787" s="4"/>
      <c r="AP787" s="4"/>
      <c r="AQ787" s="4"/>
      <c r="AR787" s="4"/>
      <c r="AS787" s="4"/>
      <c r="AT787" s="4"/>
      <c r="AU787" s="4"/>
    </row>
    <row r="788" spans="1:47" ht="13.2">
      <c r="A788" s="120"/>
      <c r="B788" s="113"/>
      <c r="C788" s="117"/>
      <c r="D788" s="117"/>
      <c r="E788" s="117"/>
      <c r="F788" s="123"/>
      <c r="G788" s="93" t="s">
        <v>145</v>
      </c>
      <c r="H788" s="125"/>
      <c r="I788" s="125"/>
      <c r="J788" s="82" t="str">
        <f t="shared" ca="1" si="147"/>
        <v>#REF!</v>
      </c>
      <c r="K788" s="82" t="str">
        <f t="shared" ca="1" si="256"/>
        <v>#REF!</v>
      </c>
      <c r="L788" s="82" t="str">
        <f t="shared" ca="1" si="199"/>
        <v>#REF!</v>
      </c>
      <c r="M788" s="125"/>
      <c r="N788" s="125"/>
      <c r="O788" s="230">
        <f t="shared" si="2"/>
        <v>0</v>
      </c>
      <c r="P788" s="231">
        <f t="shared" si="3"/>
        <v>0</v>
      </c>
      <c r="Q788" s="232" t="str">
        <f ca="1">ROUNDUP(HLOOKUP(IF(CEILING(L788,0.5)&lt;1,1,CEILING(L788,0.5)),'배송비 조회'!A$32:AY$36,2,0),-2)</f>
        <v>#REF!</v>
      </c>
      <c r="R788" s="232">
        <v>0</v>
      </c>
      <c r="S788" s="231" t="str">
        <f t="shared" ca="1" si="250"/>
        <v>#REF!</v>
      </c>
      <c r="T788" s="231" t="str">
        <f t="shared" ca="1" si="200"/>
        <v>#REF!</v>
      </c>
      <c r="U788" s="233" t="str">
        <f t="shared" ca="1" si="142"/>
        <v>#REF!</v>
      </c>
      <c r="V788" s="233" t="str">
        <f t="shared" ca="1" si="7"/>
        <v>#REF!</v>
      </c>
      <c r="W788" s="234">
        <v>0</v>
      </c>
      <c r="X788" s="234" t="str">
        <f t="shared" ca="1" si="8"/>
        <v>#REF!</v>
      </c>
      <c r="Y788" s="234" t="str">
        <f t="shared" ca="1" si="9"/>
        <v>#REF!</v>
      </c>
      <c r="Z788" s="234" t="str">
        <f t="shared" ca="1" si="10"/>
        <v>#REF!</v>
      </c>
      <c r="AA788" s="234" t="str">
        <f t="shared" ca="1" si="11"/>
        <v>#REF!</v>
      </c>
      <c r="AB788" s="234" t="str">
        <f t="shared" ca="1" si="12"/>
        <v>#REF!</v>
      </c>
      <c r="AC788" s="234" t="str">
        <f t="shared" ca="1" si="13"/>
        <v>#REF!</v>
      </c>
      <c r="AD788" s="101" t="str">
        <f t="shared" ca="1" si="14"/>
        <v>#REF!</v>
      </c>
      <c r="AE788" s="101" t="str">
        <f t="shared" ca="1" si="15"/>
        <v>#REF!</v>
      </c>
      <c r="AF788" s="235" t="str">
        <f t="shared" ref="AF788:AG788" ca="1" si="865">AD788/U788</f>
        <v>#REF!</v>
      </c>
      <c r="AG788" s="235" t="str">
        <f t="shared" ca="1" si="865"/>
        <v>#REF!</v>
      </c>
      <c r="AH788" s="212"/>
      <c r="AI788" s="213"/>
      <c r="AJ788" s="4"/>
      <c r="AK788" s="4"/>
      <c r="AL788" s="4"/>
      <c r="AM788" s="4"/>
      <c r="AN788" s="4"/>
      <c r="AO788" s="4"/>
      <c r="AP788" s="4"/>
      <c r="AQ788" s="4"/>
      <c r="AR788" s="4"/>
      <c r="AS788" s="4"/>
      <c r="AT788" s="4"/>
      <c r="AU788" s="4"/>
    </row>
    <row r="789" spans="1:47" ht="13.2">
      <c r="A789" s="120"/>
      <c r="B789" s="113"/>
      <c r="C789" s="117"/>
      <c r="D789" s="117"/>
      <c r="E789" s="117"/>
      <c r="F789" s="123"/>
      <c r="G789" s="93" t="s">
        <v>145</v>
      </c>
      <c r="H789" s="125"/>
      <c r="I789" s="125"/>
      <c r="J789" s="82" t="str">
        <f t="shared" ca="1" si="147"/>
        <v>#REF!</v>
      </c>
      <c r="K789" s="82" t="str">
        <f t="shared" ca="1" si="256"/>
        <v>#REF!</v>
      </c>
      <c r="L789" s="82" t="str">
        <f t="shared" ca="1" si="199"/>
        <v>#REF!</v>
      </c>
      <c r="M789" s="125"/>
      <c r="N789" s="125"/>
      <c r="O789" s="230">
        <f t="shared" si="2"/>
        <v>0</v>
      </c>
      <c r="P789" s="231">
        <f t="shared" si="3"/>
        <v>0</v>
      </c>
      <c r="Q789" s="232" t="str">
        <f ca="1">ROUNDUP(HLOOKUP(IF(CEILING(L789,0.5)&lt;1,1,CEILING(L789,0.5)),'배송비 조회'!A$32:AY$36,2,0),-2)</f>
        <v>#REF!</v>
      </c>
      <c r="R789" s="232">
        <v>0</v>
      </c>
      <c r="S789" s="231" t="str">
        <f t="shared" ca="1" si="250"/>
        <v>#REF!</v>
      </c>
      <c r="T789" s="231" t="str">
        <f t="shared" ca="1" si="200"/>
        <v>#REF!</v>
      </c>
      <c r="U789" s="233" t="str">
        <f t="shared" ca="1" si="142"/>
        <v>#REF!</v>
      </c>
      <c r="V789" s="233" t="str">
        <f t="shared" ca="1" si="7"/>
        <v>#REF!</v>
      </c>
      <c r="W789" s="234">
        <v>0</v>
      </c>
      <c r="X789" s="234" t="str">
        <f t="shared" ca="1" si="8"/>
        <v>#REF!</v>
      </c>
      <c r="Y789" s="234" t="str">
        <f t="shared" ca="1" si="9"/>
        <v>#REF!</v>
      </c>
      <c r="Z789" s="234" t="str">
        <f t="shared" ca="1" si="10"/>
        <v>#REF!</v>
      </c>
      <c r="AA789" s="234" t="str">
        <f t="shared" ca="1" si="11"/>
        <v>#REF!</v>
      </c>
      <c r="AB789" s="234" t="str">
        <f t="shared" ca="1" si="12"/>
        <v>#REF!</v>
      </c>
      <c r="AC789" s="234" t="str">
        <f t="shared" ca="1" si="13"/>
        <v>#REF!</v>
      </c>
      <c r="AD789" s="101" t="str">
        <f t="shared" ca="1" si="14"/>
        <v>#REF!</v>
      </c>
      <c r="AE789" s="101" t="str">
        <f t="shared" ca="1" si="15"/>
        <v>#REF!</v>
      </c>
      <c r="AF789" s="235" t="str">
        <f t="shared" ref="AF789:AG789" ca="1" si="866">AD789/U789</f>
        <v>#REF!</v>
      </c>
      <c r="AG789" s="235" t="str">
        <f t="shared" ca="1" si="866"/>
        <v>#REF!</v>
      </c>
      <c r="AH789" s="212"/>
      <c r="AI789" s="213"/>
      <c r="AJ789" s="4"/>
      <c r="AK789" s="4"/>
      <c r="AL789" s="4"/>
      <c r="AM789" s="4"/>
      <c r="AN789" s="4"/>
      <c r="AO789" s="4"/>
      <c r="AP789" s="4"/>
      <c r="AQ789" s="4"/>
      <c r="AR789" s="4"/>
      <c r="AS789" s="4"/>
      <c r="AT789" s="4"/>
      <c r="AU789" s="4"/>
    </row>
    <row r="790" spans="1:47" ht="13.2">
      <c r="A790" s="120"/>
      <c r="B790" s="113"/>
      <c r="C790" s="117"/>
      <c r="D790" s="117"/>
      <c r="E790" s="117"/>
      <c r="F790" s="123"/>
      <c r="G790" s="93" t="s">
        <v>145</v>
      </c>
      <c r="H790" s="125"/>
      <c r="I790" s="125"/>
      <c r="J790" s="82" t="str">
        <f t="shared" ca="1" si="147"/>
        <v>#REF!</v>
      </c>
      <c r="K790" s="82" t="str">
        <f t="shared" ca="1" si="256"/>
        <v>#REF!</v>
      </c>
      <c r="L790" s="82" t="str">
        <f t="shared" ca="1" si="199"/>
        <v>#REF!</v>
      </c>
      <c r="M790" s="125"/>
      <c r="N790" s="125"/>
      <c r="O790" s="230">
        <f t="shared" si="2"/>
        <v>0</v>
      </c>
      <c r="P790" s="231">
        <f t="shared" si="3"/>
        <v>0</v>
      </c>
      <c r="Q790" s="232" t="str">
        <f ca="1">ROUNDUP(HLOOKUP(IF(CEILING(L790,0.5)&lt;1,1,CEILING(L790,0.5)),'배송비 조회'!A$32:AY$36,2,0),-2)</f>
        <v>#REF!</v>
      </c>
      <c r="R790" s="232">
        <v>0</v>
      </c>
      <c r="S790" s="231" t="str">
        <f t="shared" ca="1" si="250"/>
        <v>#REF!</v>
      </c>
      <c r="T790" s="231" t="str">
        <f t="shared" ca="1" si="200"/>
        <v>#REF!</v>
      </c>
      <c r="U790" s="233" t="str">
        <f t="shared" ca="1" si="142"/>
        <v>#REF!</v>
      </c>
      <c r="V790" s="233" t="str">
        <f t="shared" ca="1" si="7"/>
        <v>#REF!</v>
      </c>
      <c r="W790" s="234">
        <v>0</v>
      </c>
      <c r="X790" s="234" t="str">
        <f t="shared" ca="1" si="8"/>
        <v>#REF!</v>
      </c>
      <c r="Y790" s="234" t="str">
        <f t="shared" ca="1" si="9"/>
        <v>#REF!</v>
      </c>
      <c r="Z790" s="234" t="str">
        <f t="shared" ca="1" si="10"/>
        <v>#REF!</v>
      </c>
      <c r="AA790" s="234" t="str">
        <f t="shared" ca="1" si="11"/>
        <v>#REF!</v>
      </c>
      <c r="AB790" s="234" t="str">
        <f t="shared" ca="1" si="12"/>
        <v>#REF!</v>
      </c>
      <c r="AC790" s="234" t="str">
        <f t="shared" ca="1" si="13"/>
        <v>#REF!</v>
      </c>
      <c r="AD790" s="101" t="str">
        <f t="shared" ca="1" si="14"/>
        <v>#REF!</v>
      </c>
      <c r="AE790" s="101" t="str">
        <f t="shared" ca="1" si="15"/>
        <v>#REF!</v>
      </c>
      <c r="AF790" s="235" t="str">
        <f t="shared" ref="AF790:AG790" ca="1" si="867">AD790/U790</f>
        <v>#REF!</v>
      </c>
      <c r="AG790" s="235" t="str">
        <f t="shared" ca="1" si="867"/>
        <v>#REF!</v>
      </c>
      <c r="AH790" s="212"/>
      <c r="AI790" s="213"/>
      <c r="AJ790" s="4"/>
      <c r="AK790" s="4"/>
      <c r="AL790" s="4"/>
      <c r="AM790" s="4"/>
      <c r="AN790" s="4"/>
      <c r="AO790" s="4"/>
      <c r="AP790" s="4"/>
      <c r="AQ790" s="4"/>
      <c r="AR790" s="4"/>
      <c r="AS790" s="4"/>
      <c r="AT790" s="4"/>
      <c r="AU790" s="4"/>
    </row>
    <row r="791" spans="1:47" ht="13.2">
      <c r="A791" s="120"/>
      <c r="B791" s="113"/>
      <c r="C791" s="117"/>
      <c r="D791" s="117"/>
      <c r="E791" s="117"/>
      <c r="F791" s="123"/>
      <c r="G791" s="93" t="s">
        <v>145</v>
      </c>
      <c r="H791" s="125"/>
      <c r="I791" s="125"/>
      <c r="J791" s="82" t="str">
        <f t="shared" ca="1" si="147"/>
        <v>#REF!</v>
      </c>
      <c r="K791" s="82" t="str">
        <f t="shared" ca="1" si="256"/>
        <v>#REF!</v>
      </c>
      <c r="L791" s="82" t="str">
        <f t="shared" ca="1" si="199"/>
        <v>#REF!</v>
      </c>
      <c r="M791" s="125"/>
      <c r="N791" s="125"/>
      <c r="O791" s="230">
        <f t="shared" si="2"/>
        <v>0</v>
      </c>
      <c r="P791" s="231">
        <f t="shared" si="3"/>
        <v>0</v>
      </c>
      <c r="Q791" s="232" t="str">
        <f ca="1">ROUNDUP(HLOOKUP(IF(CEILING(L791,0.5)&lt;1,1,CEILING(L791,0.5)),'배송비 조회'!A$32:AY$36,2,0),-2)</f>
        <v>#REF!</v>
      </c>
      <c r="R791" s="232">
        <v>0</v>
      </c>
      <c r="S791" s="231" t="str">
        <f t="shared" ca="1" si="250"/>
        <v>#REF!</v>
      </c>
      <c r="T791" s="231" t="str">
        <f t="shared" ca="1" si="200"/>
        <v>#REF!</v>
      </c>
      <c r="U791" s="233" t="str">
        <f t="shared" ca="1" si="142"/>
        <v>#REF!</v>
      </c>
      <c r="V791" s="233" t="str">
        <f t="shared" ca="1" si="7"/>
        <v>#REF!</v>
      </c>
      <c r="W791" s="234">
        <v>0</v>
      </c>
      <c r="X791" s="234" t="str">
        <f t="shared" ca="1" si="8"/>
        <v>#REF!</v>
      </c>
      <c r="Y791" s="234" t="str">
        <f t="shared" ca="1" si="9"/>
        <v>#REF!</v>
      </c>
      <c r="Z791" s="234" t="str">
        <f t="shared" ca="1" si="10"/>
        <v>#REF!</v>
      </c>
      <c r="AA791" s="234" t="str">
        <f t="shared" ca="1" si="11"/>
        <v>#REF!</v>
      </c>
      <c r="AB791" s="234" t="str">
        <f t="shared" ca="1" si="12"/>
        <v>#REF!</v>
      </c>
      <c r="AC791" s="234" t="str">
        <f t="shared" ca="1" si="13"/>
        <v>#REF!</v>
      </c>
      <c r="AD791" s="101" t="str">
        <f t="shared" ca="1" si="14"/>
        <v>#REF!</v>
      </c>
      <c r="AE791" s="101" t="str">
        <f t="shared" ca="1" si="15"/>
        <v>#REF!</v>
      </c>
      <c r="AF791" s="235" t="str">
        <f t="shared" ref="AF791:AG791" ca="1" si="868">AD791/U791</f>
        <v>#REF!</v>
      </c>
      <c r="AG791" s="235" t="str">
        <f t="shared" ca="1" si="868"/>
        <v>#REF!</v>
      </c>
      <c r="AH791" s="212"/>
      <c r="AI791" s="213"/>
      <c r="AJ791" s="4"/>
      <c r="AK791" s="4"/>
      <c r="AL791" s="4"/>
      <c r="AM791" s="4"/>
      <c r="AN791" s="4"/>
      <c r="AO791" s="4"/>
      <c r="AP791" s="4"/>
      <c r="AQ791" s="4"/>
      <c r="AR791" s="4"/>
      <c r="AS791" s="4"/>
      <c r="AT791" s="4"/>
      <c r="AU791" s="4"/>
    </row>
    <row r="792" spans="1:47" ht="13.2">
      <c r="A792" s="120"/>
      <c r="B792" s="113"/>
      <c r="C792" s="117"/>
      <c r="D792" s="117"/>
      <c r="E792" s="117"/>
      <c r="F792" s="123"/>
      <c r="G792" s="93" t="s">
        <v>145</v>
      </c>
      <c r="H792" s="125"/>
      <c r="I792" s="125"/>
      <c r="J792" s="82" t="str">
        <f t="shared" ca="1" si="147"/>
        <v>#REF!</v>
      </c>
      <c r="K792" s="82" t="str">
        <f t="shared" ca="1" si="256"/>
        <v>#REF!</v>
      </c>
      <c r="L792" s="82" t="str">
        <f t="shared" ca="1" si="199"/>
        <v>#REF!</v>
      </c>
      <c r="M792" s="125"/>
      <c r="N792" s="125"/>
      <c r="O792" s="230">
        <f t="shared" si="2"/>
        <v>0</v>
      </c>
      <c r="P792" s="231">
        <f t="shared" si="3"/>
        <v>0</v>
      </c>
      <c r="Q792" s="232" t="str">
        <f ca="1">ROUNDUP(HLOOKUP(IF(CEILING(L792,0.5)&lt;1,1,CEILING(L792,0.5)),'배송비 조회'!A$32:AY$36,2,0),-2)</f>
        <v>#REF!</v>
      </c>
      <c r="R792" s="232">
        <v>0</v>
      </c>
      <c r="S792" s="231" t="str">
        <f t="shared" ca="1" si="250"/>
        <v>#REF!</v>
      </c>
      <c r="T792" s="231" t="str">
        <f t="shared" ca="1" si="200"/>
        <v>#REF!</v>
      </c>
      <c r="U792" s="233" t="str">
        <f t="shared" ca="1" si="142"/>
        <v>#REF!</v>
      </c>
      <c r="V792" s="233" t="str">
        <f t="shared" ca="1" si="7"/>
        <v>#REF!</v>
      </c>
      <c r="W792" s="234">
        <v>0</v>
      </c>
      <c r="X792" s="234" t="str">
        <f t="shared" ca="1" si="8"/>
        <v>#REF!</v>
      </c>
      <c r="Y792" s="234" t="str">
        <f t="shared" ca="1" si="9"/>
        <v>#REF!</v>
      </c>
      <c r="Z792" s="234" t="str">
        <f t="shared" ca="1" si="10"/>
        <v>#REF!</v>
      </c>
      <c r="AA792" s="234" t="str">
        <f t="shared" ca="1" si="11"/>
        <v>#REF!</v>
      </c>
      <c r="AB792" s="234" t="str">
        <f t="shared" ca="1" si="12"/>
        <v>#REF!</v>
      </c>
      <c r="AC792" s="234" t="str">
        <f t="shared" ca="1" si="13"/>
        <v>#REF!</v>
      </c>
      <c r="AD792" s="101" t="str">
        <f t="shared" ca="1" si="14"/>
        <v>#REF!</v>
      </c>
      <c r="AE792" s="101" t="str">
        <f t="shared" ca="1" si="15"/>
        <v>#REF!</v>
      </c>
      <c r="AF792" s="235" t="str">
        <f t="shared" ref="AF792:AG792" ca="1" si="869">AD792/U792</f>
        <v>#REF!</v>
      </c>
      <c r="AG792" s="235" t="str">
        <f t="shared" ca="1" si="869"/>
        <v>#REF!</v>
      </c>
      <c r="AH792" s="212"/>
      <c r="AI792" s="213"/>
      <c r="AJ792" s="4"/>
      <c r="AK792" s="4"/>
      <c r="AL792" s="4"/>
      <c r="AM792" s="4"/>
      <c r="AN792" s="4"/>
      <c r="AO792" s="4"/>
      <c r="AP792" s="4"/>
      <c r="AQ792" s="4"/>
      <c r="AR792" s="4"/>
      <c r="AS792" s="4"/>
      <c r="AT792" s="4"/>
      <c r="AU792" s="4"/>
    </row>
    <row r="793" spans="1:47" ht="13.2">
      <c r="A793" s="120"/>
      <c r="B793" s="113"/>
      <c r="C793" s="117"/>
      <c r="D793" s="117"/>
      <c r="E793" s="117"/>
      <c r="F793" s="123"/>
      <c r="G793" s="93" t="s">
        <v>145</v>
      </c>
      <c r="H793" s="125"/>
      <c r="I793" s="125"/>
      <c r="J793" s="82" t="str">
        <f t="shared" ca="1" si="147"/>
        <v>#REF!</v>
      </c>
      <c r="K793" s="82" t="str">
        <f t="shared" ca="1" si="256"/>
        <v>#REF!</v>
      </c>
      <c r="L793" s="82" t="str">
        <f t="shared" ca="1" si="199"/>
        <v>#REF!</v>
      </c>
      <c r="M793" s="125"/>
      <c r="N793" s="125"/>
      <c r="O793" s="230">
        <f t="shared" si="2"/>
        <v>0</v>
      </c>
      <c r="P793" s="231">
        <f t="shared" si="3"/>
        <v>0</v>
      </c>
      <c r="Q793" s="232" t="str">
        <f ca="1">ROUNDUP(HLOOKUP(IF(CEILING(L793,0.5)&lt;1,1,CEILING(L793,0.5)),'배송비 조회'!A$32:AY$36,2,0),-2)</f>
        <v>#REF!</v>
      </c>
      <c r="R793" s="232">
        <v>0</v>
      </c>
      <c r="S793" s="231" t="str">
        <f t="shared" ca="1" si="250"/>
        <v>#REF!</v>
      </c>
      <c r="T793" s="231" t="str">
        <f t="shared" ca="1" si="200"/>
        <v>#REF!</v>
      </c>
      <c r="U793" s="233" t="str">
        <f t="shared" ca="1" si="142"/>
        <v>#REF!</v>
      </c>
      <c r="V793" s="233" t="str">
        <f t="shared" ca="1" si="7"/>
        <v>#REF!</v>
      </c>
      <c r="W793" s="234">
        <v>0</v>
      </c>
      <c r="X793" s="234" t="str">
        <f t="shared" ca="1" si="8"/>
        <v>#REF!</v>
      </c>
      <c r="Y793" s="234" t="str">
        <f t="shared" ca="1" si="9"/>
        <v>#REF!</v>
      </c>
      <c r="Z793" s="234" t="str">
        <f t="shared" ca="1" si="10"/>
        <v>#REF!</v>
      </c>
      <c r="AA793" s="234" t="str">
        <f t="shared" ca="1" si="11"/>
        <v>#REF!</v>
      </c>
      <c r="AB793" s="234" t="str">
        <f t="shared" ca="1" si="12"/>
        <v>#REF!</v>
      </c>
      <c r="AC793" s="234" t="str">
        <f t="shared" ca="1" si="13"/>
        <v>#REF!</v>
      </c>
      <c r="AD793" s="101" t="str">
        <f t="shared" ca="1" si="14"/>
        <v>#REF!</v>
      </c>
      <c r="AE793" s="101" t="str">
        <f t="shared" ca="1" si="15"/>
        <v>#REF!</v>
      </c>
      <c r="AF793" s="235" t="str">
        <f t="shared" ref="AF793:AG793" ca="1" si="870">AD793/U793</f>
        <v>#REF!</v>
      </c>
      <c r="AG793" s="235" t="str">
        <f t="shared" ca="1" si="870"/>
        <v>#REF!</v>
      </c>
      <c r="AH793" s="212"/>
      <c r="AI793" s="213"/>
      <c r="AJ793" s="4"/>
      <c r="AK793" s="4"/>
      <c r="AL793" s="4"/>
      <c r="AM793" s="4"/>
      <c r="AN793" s="4"/>
      <c r="AO793" s="4"/>
      <c r="AP793" s="4"/>
      <c r="AQ793" s="4"/>
      <c r="AR793" s="4"/>
      <c r="AS793" s="4"/>
      <c r="AT793" s="4"/>
      <c r="AU793" s="4"/>
    </row>
    <row r="794" spans="1:47" ht="13.2">
      <c r="A794" s="120"/>
      <c r="B794" s="113"/>
      <c r="C794" s="117"/>
      <c r="D794" s="117"/>
      <c r="E794" s="117"/>
      <c r="F794" s="123"/>
      <c r="G794" s="93" t="s">
        <v>145</v>
      </c>
      <c r="H794" s="125"/>
      <c r="I794" s="125"/>
      <c r="J794" s="82" t="str">
        <f t="shared" ca="1" si="147"/>
        <v>#REF!</v>
      </c>
      <c r="K794" s="82" t="str">
        <f t="shared" ca="1" si="256"/>
        <v>#REF!</v>
      </c>
      <c r="L794" s="82" t="str">
        <f t="shared" ca="1" si="199"/>
        <v>#REF!</v>
      </c>
      <c r="M794" s="125"/>
      <c r="N794" s="125"/>
      <c r="O794" s="230">
        <f t="shared" si="2"/>
        <v>0</v>
      </c>
      <c r="P794" s="231">
        <f t="shared" si="3"/>
        <v>0</v>
      </c>
      <c r="Q794" s="232" t="str">
        <f ca="1">ROUNDUP(HLOOKUP(IF(CEILING(L794,0.5)&lt;1,1,CEILING(L794,0.5)),'배송비 조회'!A$32:AY$36,2,0),-2)</f>
        <v>#REF!</v>
      </c>
      <c r="R794" s="232">
        <v>0</v>
      </c>
      <c r="S794" s="231" t="str">
        <f t="shared" ca="1" si="250"/>
        <v>#REF!</v>
      </c>
      <c r="T794" s="231" t="str">
        <f t="shared" ca="1" si="200"/>
        <v>#REF!</v>
      </c>
      <c r="U794" s="233" t="str">
        <f t="shared" ca="1" si="142"/>
        <v>#REF!</v>
      </c>
      <c r="V794" s="233" t="str">
        <f t="shared" ca="1" si="7"/>
        <v>#REF!</v>
      </c>
      <c r="W794" s="234">
        <v>0</v>
      </c>
      <c r="X794" s="234" t="str">
        <f t="shared" ca="1" si="8"/>
        <v>#REF!</v>
      </c>
      <c r="Y794" s="234" t="str">
        <f t="shared" ca="1" si="9"/>
        <v>#REF!</v>
      </c>
      <c r="Z794" s="234" t="str">
        <f t="shared" ca="1" si="10"/>
        <v>#REF!</v>
      </c>
      <c r="AA794" s="234" t="str">
        <f t="shared" ca="1" si="11"/>
        <v>#REF!</v>
      </c>
      <c r="AB794" s="234" t="str">
        <f t="shared" ca="1" si="12"/>
        <v>#REF!</v>
      </c>
      <c r="AC794" s="234" t="str">
        <f t="shared" ca="1" si="13"/>
        <v>#REF!</v>
      </c>
      <c r="AD794" s="101" t="str">
        <f t="shared" ca="1" si="14"/>
        <v>#REF!</v>
      </c>
      <c r="AE794" s="101" t="str">
        <f t="shared" ca="1" si="15"/>
        <v>#REF!</v>
      </c>
      <c r="AF794" s="235" t="str">
        <f t="shared" ref="AF794:AG794" ca="1" si="871">AD794/U794</f>
        <v>#REF!</v>
      </c>
      <c r="AG794" s="235" t="str">
        <f t="shared" ca="1" si="871"/>
        <v>#REF!</v>
      </c>
      <c r="AH794" s="212"/>
      <c r="AI794" s="213"/>
      <c r="AJ794" s="4"/>
      <c r="AK794" s="4"/>
      <c r="AL794" s="4"/>
      <c r="AM794" s="4"/>
      <c r="AN794" s="4"/>
      <c r="AO794" s="4"/>
      <c r="AP794" s="4"/>
      <c r="AQ794" s="4"/>
      <c r="AR794" s="4"/>
      <c r="AS794" s="4"/>
      <c r="AT794" s="4"/>
      <c r="AU794" s="4"/>
    </row>
    <row r="795" spans="1:47" ht="13.2">
      <c r="A795" s="120"/>
      <c r="B795" s="113"/>
      <c r="C795" s="117"/>
      <c r="D795" s="117"/>
      <c r="E795" s="117"/>
      <c r="F795" s="123"/>
      <c r="G795" s="93" t="s">
        <v>145</v>
      </c>
      <c r="H795" s="125"/>
      <c r="I795" s="125"/>
      <c r="J795" s="82" t="str">
        <f t="shared" ca="1" si="147"/>
        <v>#REF!</v>
      </c>
      <c r="K795" s="82" t="str">
        <f t="shared" ca="1" si="256"/>
        <v>#REF!</v>
      </c>
      <c r="L795" s="82" t="str">
        <f t="shared" ca="1" si="199"/>
        <v>#REF!</v>
      </c>
      <c r="M795" s="125"/>
      <c r="N795" s="125"/>
      <c r="O795" s="230">
        <f t="shared" si="2"/>
        <v>0</v>
      </c>
      <c r="P795" s="231">
        <f t="shared" si="3"/>
        <v>0</v>
      </c>
      <c r="Q795" s="232" t="str">
        <f ca="1">ROUNDUP(HLOOKUP(IF(CEILING(L795,0.5)&lt;1,1,CEILING(L795,0.5)),'배송비 조회'!A$32:AY$36,2,0),-2)</f>
        <v>#REF!</v>
      </c>
      <c r="R795" s="232">
        <v>0</v>
      </c>
      <c r="S795" s="231" t="str">
        <f t="shared" ca="1" si="250"/>
        <v>#REF!</v>
      </c>
      <c r="T795" s="231" t="str">
        <f t="shared" ca="1" si="200"/>
        <v>#REF!</v>
      </c>
      <c r="U795" s="233" t="str">
        <f t="shared" ca="1" si="142"/>
        <v>#REF!</v>
      </c>
      <c r="V795" s="233" t="str">
        <f t="shared" ca="1" si="7"/>
        <v>#REF!</v>
      </c>
      <c r="W795" s="234">
        <v>0</v>
      </c>
      <c r="X795" s="234" t="str">
        <f t="shared" ca="1" si="8"/>
        <v>#REF!</v>
      </c>
      <c r="Y795" s="234" t="str">
        <f t="shared" ca="1" si="9"/>
        <v>#REF!</v>
      </c>
      <c r="Z795" s="234" t="str">
        <f t="shared" ca="1" si="10"/>
        <v>#REF!</v>
      </c>
      <c r="AA795" s="234" t="str">
        <f t="shared" ca="1" si="11"/>
        <v>#REF!</v>
      </c>
      <c r="AB795" s="234" t="str">
        <f t="shared" ca="1" si="12"/>
        <v>#REF!</v>
      </c>
      <c r="AC795" s="234" t="str">
        <f t="shared" ca="1" si="13"/>
        <v>#REF!</v>
      </c>
      <c r="AD795" s="101" t="str">
        <f t="shared" ca="1" si="14"/>
        <v>#REF!</v>
      </c>
      <c r="AE795" s="101" t="str">
        <f t="shared" ca="1" si="15"/>
        <v>#REF!</v>
      </c>
      <c r="AF795" s="235" t="str">
        <f t="shared" ref="AF795:AG795" ca="1" si="872">AD795/U795</f>
        <v>#REF!</v>
      </c>
      <c r="AG795" s="235" t="str">
        <f t="shared" ca="1" si="872"/>
        <v>#REF!</v>
      </c>
      <c r="AH795" s="212"/>
      <c r="AI795" s="213"/>
      <c r="AJ795" s="4"/>
      <c r="AK795" s="4"/>
      <c r="AL795" s="4"/>
      <c r="AM795" s="4"/>
      <c r="AN795" s="4"/>
      <c r="AO795" s="4"/>
      <c r="AP795" s="4"/>
      <c r="AQ795" s="4"/>
      <c r="AR795" s="4"/>
      <c r="AS795" s="4"/>
      <c r="AT795" s="4"/>
      <c r="AU795" s="4"/>
    </row>
    <row r="796" spans="1:47" ht="13.2">
      <c r="A796" s="120"/>
      <c r="B796" s="113"/>
      <c r="C796" s="117"/>
      <c r="D796" s="117"/>
      <c r="E796" s="117"/>
      <c r="F796" s="123"/>
      <c r="G796" s="93" t="s">
        <v>145</v>
      </c>
      <c r="H796" s="125"/>
      <c r="I796" s="125"/>
      <c r="J796" s="82" t="str">
        <f t="shared" ca="1" si="147"/>
        <v>#REF!</v>
      </c>
      <c r="K796" s="82" t="str">
        <f t="shared" ca="1" si="256"/>
        <v>#REF!</v>
      </c>
      <c r="L796" s="82" t="str">
        <f t="shared" ca="1" si="199"/>
        <v>#REF!</v>
      </c>
      <c r="M796" s="125"/>
      <c r="N796" s="125"/>
      <c r="O796" s="230">
        <f t="shared" si="2"/>
        <v>0</v>
      </c>
      <c r="P796" s="231">
        <f t="shared" si="3"/>
        <v>0</v>
      </c>
      <c r="Q796" s="232" t="str">
        <f ca="1">ROUNDUP(HLOOKUP(IF(CEILING(L796,0.5)&lt;1,1,CEILING(L796,0.5)),'배송비 조회'!A$32:AY$36,2,0),-2)</f>
        <v>#REF!</v>
      </c>
      <c r="R796" s="232">
        <v>0</v>
      </c>
      <c r="S796" s="231" t="str">
        <f t="shared" ca="1" si="250"/>
        <v>#REF!</v>
      </c>
      <c r="T796" s="231" t="str">
        <f t="shared" ca="1" si="200"/>
        <v>#REF!</v>
      </c>
      <c r="U796" s="233" t="str">
        <f t="shared" ca="1" si="142"/>
        <v>#REF!</v>
      </c>
      <c r="V796" s="233" t="str">
        <f t="shared" ca="1" si="7"/>
        <v>#REF!</v>
      </c>
      <c r="W796" s="234">
        <v>0</v>
      </c>
      <c r="X796" s="234" t="str">
        <f t="shared" ca="1" si="8"/>
        <v>#REF!</v>
      </c>
      <c r="Y796" s="234" t="str">
        <f t="shared" ca="1" si="9"/>
        <v>#REF!</v>
      </c>
      <c r="Z796" s="234" t="str">
        <f t="shared" ca="1" si="10"/>
        <v>#REF!</v>
      </c>
      <c r="AA796" s="234" t="str">
        <f t="shared" ca="1" si="11"/>
        <v>#REF!</v>
      </c>
      <c r="AB796" s="234" t="str">
        <f t="shared" ca="1" si="12"/>
        <v>#REF!</v>
      </c>
      <c r="AC796" s="234" t="str">
        <f t="shared" ca="1" si="13"/>
        <v>#REF!</v>
      </c>
      <c r="AD796" s="101" t="str">
        <f t="shared" ca="1" si="14"/>
        <v>#REF!</v>
      </c>
      <c r="AE796" s="101" t="str">
        <f t="shared" ca="1" si="15"/>
        <v>#REF!</v>
      </c>
      <c r="AF796" s="235" t="str">
        <f t="shared" ref="AF796:AG796" ca="1" si="873">AD796/U796</f>
        <v>#REF!</v>
      </c>
      <c r="AG796" s="235" t="str">
        <f t="shared" ca="1" si="873"/>
        <v>#REF!</v>
      </c>
      <c r="AH796" s="212"/>
      <c r="AI796" s="213"/>
      <c r="AJ796" s="4"/>
      <c r="AK796" s="4"/>
      <c r="AL796" s="4"/>
      <c r="AM796" s="4"/>
      <c r="AN796" s="4"/>
      <c r="AO796" s="4"/>
      <c r="AP796" s="4"/>
      <c r="AQ796" s="4"/>
      <c r="AR796" s="4"/>
      <c r="AS796" s="4"/>
      <c r="AT796" s="4"/>
      <c r="AU796" s="4"/>
    </row>
    <row r="797" spans="1:47" ht="13.2">
      <c r="A797" s="120"/>
      <c r="B797" s="113"/>
      <c r="C797" s="117"/>
      <c r="D797" s="117"/>
      <c r="E797" s="117"/>
      <c r="F797" s="123"/>
      <c r="G797" s="93" t="s">
        <v>145</v>
      </c>
      <c r="H797" s="125"/>
      <c r="I797" s="125"/>
      <c r="J797" s="82" t="str">
        <f t="shared" ca="1" si="147"/>
        <v>#REF!</v>
      </c>
      <c r="K797" s="82" t="str">
        <f t="shared" ca="1" si="256"/>
        <v>#REF!</v>
      </c>
      <c r="L797" s="82" t="str">
        <f t="shared" ca="1" si="199"/>
        <v>#REF!</v>
      </c>
      <c r="M797" s="125"/>
      <c r="N797" s="125"/>
      <c r="O797" s="230">
        <f t="shared" si="2"/>
        <v>0</v>
      </c>
      <c r="P797" s="231">
        <f t="shared" si="3"/>
        <v>0</v>
      </c>
      <c r="Q797" s="232" t="str">
        <f ca="1">ROUNDUP(HLOOKUP(IF(CEILING(L797,0.5)&lt;1,1,CEILING(L797,0.5)),'배송비 조회'!A$32:AY$36,2,0),-2)</f>
        <v>#REF!</v>
      </c>
      <c r="R797" s="232">
        <v>0</v>
      </c>
      <c r="S797" s="231" t="str">
        <f t="shared" ca="1" si="250"/>
        <v>#REF!</v>
      </c>
      <c r="T797" s="231" t="str">
        <f t="shared" ca="1" si="200"/>
        <v>#REF!</v>
      </c>
      <c r="U797" s="233" t="str">
        <f t="shared" ca="1" si="142"/>
        <v>#REF!</v>
      </c>
      <c r="V797" s="233" t="str">
        <f t="shared" ca="1" si="7"/>
        <v>#REF!</v>
      </c>
      <c r="W797" s="234">
        <v>0</v>
      </c>
      <c r="X797" s="234" t="str">
        <f t="shared" ca="1" si="8"/>
        <v>#REF!</v>
      </c>
      <c r="Y797" s="234" t="str">
        <f t="shared" ca="1" si="9"/>
        <v>#REF!</v>
      </c>
      <c r="Z797" s="234" t="str">
        <f t="shared" ca="1" si="10"/>
        <v>#REF!</v>
      </c>
      <c r="AA797" s="234" t="str">
        <f t="shared" ca="1" si="11"/>
        <v>#REF!</v>
      </c>
      <c r="AB797" s="234" t="str">
        <f t="shared" ca="1" si="12"/>
        <v>#REF!</v>
      </c>
      <c r="AC797" s="234" t="str">
        <f t="shared" ca="1" si="13"/>
        <v>#REF!</v>
      </c>
      <c r="AD797" s="101" t="str">
        <f t="shared" ca="1" si="14"/>
        <v>#REF!</v>
      </c>
      <c r="AE797" s="101" t="str">
        <f t="shared" ca="1" si="15"/>
        <v>#REF!</v>
      </c>
      <c r="AF797" s="235" t="str">
        <f t="shared" ref="AF797:AG797" ca="1" si="874">AD797/U797</f>
        <v>#REF!</v>
      </c>
      <c r="AG797" s="235" t="str">
        <f t="shared" ca="1" si="874"/>
        <v>#REF!</v>
      </c>
      <c r="AH797" s="212"/>
      <c r="AI797" s="213"/>
      <c r="AJ797" s="4"/>
      <c r="AK797" s="4"/>
      <c r="AL797" s="4"/>
      <c r="AM797" s="4"/>
      <c r="AN797" s="4"/>
      <c r="AO797" s="4"/>
      <c r="AP797" s="4"/>
      <c r="AQ797" s="4"/>
      <c r="AR797" s="4"/>
      <c r="AS797" s="4"/>
      <c r="AT797" s="4"/>
      <c r="AU797" s="4"/>
    </row>
    <row r="798" spans="1:47" ht="13.2">
      <c r="A798" s="120"/>
      <c r="B798" s="113"/>
      <c r="C798" s="117"/>
      <c r="D798" s="117"/>
      <c r="E798" s="117"/>
      <c r="F798" s="123"/>
      <c r="G798" s="93" t="s">
        <v>145</v>
      </c>
      <c r="H798" s="125"/>
      <c r="I798" s="125"/>
      <c r="J798" s="82" t="str">
        <f t="shared" ca="1" si="147"/>
        <v>#REF!</v>
      </c>
      <c r="K798" s="82" t="str">
        <f t="shared" ca="1" si="256"/>
        <v>#REF!</v>
      </c>
      <c r="L798" s="82" t="str">
        <f t="shared" ca="1" si="199"/>
        <v>#REF!</v>
      </c>
      <c r="M798" s="125"/>
      <c r="N798" s="125"/>
      <c r="O798" s="230">
        <f t="shared" si="2"/>
        <v>0</v>
      </c>
      <c r="P798" s="231">
        <f t="shared" si="3"/>
        <v>0</v>
      </c>
      <c r="Q798" s="232" t="str">
        <f ca="1">ROUNDUP(HLOOKUP(IF(CEILING(L798,0.5)&lt;1,1,CEILING(L798,0.5)),'배송비 조회'!A$32:AY$36,2,0),-2)</f>
        <v>#REF!</v>
      </c>
      <c r="R798" s="232">
        <v>0</v>
      </c>
      <c r="S798" s="231" t="str">
        <f t="shared" ca="1" si="250"/>
        <v>#REF!</v>
      </c>
      <c r="T798" s="231" t="str">
        <f t="shared" ca="1" si="200"/>
        <v>#REF!</v>
      </c>
      <c r="U798" s="233" t="str">
        <f t="shared" ca="1" si="142"/>
        <v>#REF!</v>
      </c>
      <c r="V798" s="233" t="str">
        <f t="shared" ca="1" si="7"/>
        <v>#REF!</v>
      </c>
      <c r="W798" s="234">
        <v>0</v>
      </c>
      <c r="X798" s="234" t="str">
        <f t="shared" ca="1" si="8"/>
        <v>#REF!</v>
      </c>
      <c r="Y798" s="234" t="str">
        <f t="shared" ca="1" si="9"/>
        <v>#REF!</v>
      </c>
      <c r="Z798" s="234" t="str">
        <f t="shared" ca="1" si="10"/>
        <v>#REF!</v>
      </c>
      <c r="AA798" s="234" t="str">
        <f t="shared" ca="1" si="11"/>
        <v>#REF!</v>
      </c>
      <c r="AB798" s="234" t="str">
        <f t="shared" ca="1" si="12"/>
        <v>#REF!</v>
      </c>
      <c r="AC798" s="234" t="str">
        <f t="shared" ca="1" si="13"/>
        <v>#REF!</v>
      </c>
      <c r="AD798" s="101" t="str">
        <f t="shared" ca="1" si="14"/>
        <v>#REF!</v>
      </c>
      <c r="AE798" s="101" t="str">
        <f t="shared" ca="1" si="15"/>
        <v>#REF!</v>
      </c>
      <c r="AF798" s="235" t="str">
        <f t="shared" ref="AF798:AG798" ca="1" si="875">AD798/U798</f>
        <v>#REF!</v>
      </c>
      <c r="AG798" s="235" t="str">
        <f t="shared" ca="1" si="875"/>
        <v>#REF!</v>
      </c>
      <c r="AH798" s="212"/>
      <c r="AI798" s="213"/>
      <c r="AJ798" s="4"/>
      <c r="AK798" s="4"/>
      <c r="AL798" s="4"/>
      <c r="AM798" s="4"/>
      <c r="AN798" s="4"/>
      <c r="AO798" s="4"/>
      <c r="AP798" s="4"/>
      <c r="AQ798" s="4"/>
      <c r="AR798" s="4"/>
      <c r="AS798" s="4"/>
      <c r="AT798" s="4"/>
      <c r="AU798" s="4"/>
    </row>
    <row r="799" spans="1:47" ht="13.2">
      <c r="A799" s="120"/>
      <c r="B799" s="113"/>
      <c r="C799" s="117"/>
      <c r="D799" s="117"/>
      <c r="E799" s="117"/>
      <c r="F799" s="123"/>
      <c r="G799" s="93" t="s">
        <v>145</v>
      </c>
      <c r="H799" s="125"/>
      <c r="I799" s="125"/>
      <c r="J799" s="82" t="str">
        <f t="shared" ca="1" si="147"/>
        <v>#REF!</v>
      </c>
      <c r="K799" s="82" t="str">
        <f t="shared" ca="1" si="256"/>
        <v>#REF!</v>
      </c>
      <c r="L799" s="82" t="str">
        <f t="shared" ca="1" si="199"/>
        <v>#REF!</v>
      </c>
      <c r="M799" s="125"/>
      <c r="N799" s="125"/>
      <c r="O799" s="230">
        <f t="shared" si="2"/>
        <v>0</v>
      </c>
      <c r="P799" s="231">
        <f t="shared" si="3"/>
        <v>0</v>
      </c>
      <c r="Q799" s="232" t="str">
        <f ca="1">ROUNDUP(HLOOKUP(IF(CEILING(L799,0.5)&lt;1,1,CEILING(L799,0.5)),'배송비 조회'!A$32:AY$36,2,0),-2)</f>
        <v>#REF!</v>
      </c>
      <c r="R799" s="232">
        <v>0</v>
      </c>
      <c r="S799" s="231" t="str">
        <f t="shared" ca="1" si="250"/>
        <v>#REF!</v>
      </c>
      <c r="T799" s="231" t="str">
        <f t="shared" ca="1" si="200"/>
        <v>#REF!</v>
      </c>
      <c r="U799" s="233" t="str">
        <f t="shared" ca="1" si="142"/>
        <v>#REF!</v>
      </c>
      <c r="V799" s="233" t="str">
        <f t="shared" ca="1" si="7"/>
        <v>#REF!</v>
      </c>
      <c r="W799" s="234">
        <v>0</v>
      </c>
      <c r="X799" s="234" t="str">
        <f t="shared" ca="1" si="8"/>
        <v>#REF!</v>
      </c>
      <c r="Y799" s="234" t="str">
        <f t="shared" ca="1" si="9"/>
        <v>#REF!</v>
      </c>
      <c r="Z799" s="234" t="str">
        <f t="shared" ca="1" si="10"/>
        <v>#REF!</v>
      </c>
      <c r="AA799" s="234" t="str">
        <f t="shared" ca="1" si="11"/>
        <v>#REF!</v>
      </c>
      <c r="AB799" s="234" t="str">
        <f t="shared" ca="1" si="12"/>
        <v>#REF!</v>
      </c>
      <c r="AC799" s="234" t="str">
        <f t="shared" ca="1" si="13"/>
        <v>#REF!</v>
      </c>
      <c r="AD799" s="101" t="str">
        <f t="shared" ca="1" si="14"/>
        <v>#REF!</v>
      </c>
      <c r="AE799" s="101" t="str">
        <f t="shared" ca="1" si="15"/>
        <v>#REF!</v>
      </c>
      <c r="AF799" s="235" t="str">
        <f t="shared" ref="AF799:AG799" ca="1" si="876">AD799/U799</f>
        <v>#REF!</v>
      </c>
      <c r="AG799" s="235" t="str">
        <f t="shared" ca="1" si="876"/>
        <v>#REF!</v>
      </c>
      <c r="AH799" s="212"/>
      <c r="AI799" s="213"/>
      <c r="AJ799" s="4"/>
      <c r="AK799" s="4"/>
      <c r="AL799" s="4"/>
      <c r="AM799" s="4"/>
      <c r="AN799" s="4"/>
      <c r="AO799" s="4"/>
      <c r="AP799" s="4"/>
      <c r="AQ799" s="4"/>
      <c r="AR799" s="4"/>
      <c r="AS799" s="4"/>
      <c r="AT799" s="4"/>
      <c r="AU799" s="4"/>
    </row>
    <row r="800" spans="1:47" ht="13.2">
      <c r="A800" s="120"/>
      <c r="B800" s="113"/>
      <c r="C800" s="117"/>
      <c r="D800" s="117"/>
      <c r="E800" s="117"/>
      <c r="F800" s="123"/>
      <c r="G800" s="93" t="s">
        <v>145</v>
      </c>
      <c r="H800" s="125"/>
      <c r="I800" s="125"/>
      <c r="J800" s="82" t="str">
        <f t="shared" ca="1" si="147"/>
        <v>#REF!</v>
      </c>
      <c r="K800" s="82" t="str">
        <f t="shared" ca="1" si="256"/>
        <v>#REF!</v>
      </c>
      <c r="L800" s="82" t="str">
        <f t="shared" ca="1" si="199"/>
        <v>#REF!</v>
      </c>
      <c r="M800" s="125"/>
      <c r="N800" s="125"/>
      <c r="O800" s="230">
        <f t="shared" si="2"/>
        <v>0</v>
      </c>
      <c r="P800" s="231">
        <f t="shared" si="3"/>
        <v>0</v>
      </c>
      <c r="Q800" s="232" t="str">
        <f ca="1">ROUNDUP(HLOOKUP(IF(CEILING(L800,0.5)&lt;1,1,CEILING(L800,0.5)),'배송비 조회'!A$32:AY$36,2,0),-2)</f>
        <v>#REF!</v>
      </c>
      <c r="R800" s="232">
        <v>0</v>
      </c>
      <c r="S800" s="231" t="str">
        <f t="shared" ca="1" si="250"/>
        <v>#REF!</v>
      </c>
      <c r="T800" s="231" t="str">
        <f t="shared" ca="1" si="200"/>
        <v>#REF!</v>
      </c>
      <c r="U800" s="233" t="str">
        <f t="shared" ca="1" si="142"/>
        <v>#REF!</v>
      </c>
      <c r="V800" s="233" t="str">
        <f t="shared" ca="1" si="7"/>
        <v>#REF!</v>
      </c>
      <c r="W800" s="234">
        <v>0</v>
      </c>
      <c r="X800" s="234" t="str">
        <f t="shared" ca="1" si="8"/>
        <v>#REF!</v>
      </c>
      <c r="Y800" s="234" t="str">
        <f t="shared" ca="1" si="9"/>
        <v>#REF!</v>
      </c>
      <c r="Z800" s="234" t="str">
        <f t="shared" ca="1" si="10"/>
        <v>#REF!</v>
      </c>
      <c r="AA800" s="234" t="str">
        <f t="shared" ca="1" si="11"/>
        <v>#REF!</v>
      </c>
      <c r="AB800" s="234" t="str">
        <f t="shared" ca="1" si="12"/>
        <v>#REF!</v>
      </c>
      <c r="AC800" s="234" t="str">
        <f t="shared" ca="1" si="13"/>
        <v>#REF!</v>
      </c>
      <c r="AD800" s="101" t="str">
        <f t="shared" ca="1" si="14"/>
        <v>#REF!</v>
      </c>
      <c r="AE800" s="101" t="str">
        <f t="shared" ca="1" si="15"/>
        <v>#REF!</v>
      </c>
      <c r="AF800" s="235" t="str">
        <f t="shared" ref="AF800:AG800" ca="1" si="877">AD800/U800</f>
        <v>#REF!</v>
      </c>
      <c r="AG800" s="235" t="str">
        <f t="shared" ca="1" si="877"/>
        <v>#REF!</v>
      </c>
      <c r="AH800" s="212"/>
      <c r="AI800" s="213"/>
      <c r="AJ800" s="4"/>
      <c r="AK800" s="4"/>
      <c r="AL800" s="4"/>
      <c r="AM800" s="4"/>
      <c r="AN800" s="4"/>
      <c r="AO800" s="4"/>
      <c r="AP800" s="4"/>
      <c r="AQ800" s="4"/>
      <c r="AR800" s="4"/>
      <c r="AS800" s="4"/>
      <c r="AT800" s="4"/>
      <c r="AU800" s="4"/>
    </row>
    <row r="801" spans="1:47" ht="13.2">
      <c r="A801" s="120"/>
      <c r="B801" s="113"/>
      <c r="C801" s="117"/>
      <c r="D801" s="117"/>
      <c r="E801" s="117"/>
      <c r="F801" s="123"/>
      <c r="G801" s="93" t="s">
        <v>145</v>
      </c>
      <c r="H801" s="125"/>
      <c r="I801" s="125"/>
      <c r="J801" s="82" t="str">
        <f t="shared" ca="1" si="147"/>
        <v>#REF!</v>
      </c>
      <c r="K801" s="82" t="str">
        <f t="shared" ca="1" si="256"/>
        <v>#REF!</v>
      </c>
      <c r="L801" s="82" t="str">
        <f t="shared" ca="1" si="199"/>
        <v>#REF!</v>
      </c>
      <c r="M801" s="125"/>
      <c r="N801" s="125"/>
      <c r="O801" s="230">
        <f t="shared" si="2"/>
        <v>0</v>
      </c>
      <c r="P801" s="231">
        <f t="shared" si="3"/>
        <v>0</v>
      </c>
      <c r="Q801" s="232" t="str">
        <f ca="1">ROUNDUP(HLOOKUP(IF(CEILING(L801,0.5)&lt;1,1,CEILING(L801,0.5)),'배송비 조회'!A$32:AY$36,2,0),-2)</f>
        <v>#REF!</v>
      </c>
      <c r="R801" s="232">
        <v>0</v>
      </c>
      <c r="S801" s="231" t="str">
        <f t="shared" ca="1" si="250"/>
        <v>#REF!</v>
      </c>
      <c r="T801" s="231" t="str">
        <f t="shared" ca="1" si="200"/>
        <v>#REF!</v>
      </c>
      <c r="U801" s="233" t="str">
        <f t="shared" ca="1" si="142"/>
        <v>#REF!</v>
      </c>
      <c r="V801" s="233" t="str">
        <f t="shared" ca="1" si="7"/>
        <v>#REF!</v>
      </c>
      <c r="W801" s="234">
        <v>0</v>
      </c>
      <c r="X801" s="234" t="str">
        <f t="shared" ca="1" si="8"/>
        <v>#REF!</v>
      </c>
      <c r="Y801" s="234" t="str">
        <f t="shared" ca="1" si="9"/>
        <v>#REF!</v>
      </c>
      <c r="Z801" s="234" t="str">
        <f t="shared" ca="1" si="10"/>
        <v>#REF!</v>
      </c>
      <c r="AA801" s="234" t="str">
        <f t="shared" ca="1" si="11"/>
        <v>#REF!</v>
      </c>
      <c r="AB801" s="234" t="str">
        <f t="shared" ca="1" si="12"/>
        <v>#REF!</v>
      </c>
      <c r="AC801" s="234" t="str">
        <f t="shared" ca="1" si="13"/>
        <v>#REF!</v>
      </c>
      <c r="AD801" s="101" t="str">
        <f t="shared" ca="1" si="14"/>
        <v>#REF!</v>
      </c>
      <c r="AE801" s="101" t="str">
        <f t="shared" ca="1" si="15"/>
        <v>#REF!</v>
      </c>
      <c r="AF801" s="235" t="str">
        <f t="shared" ref="AF801:AG801" ca="1" si="878">AD801/U801</f>
        <v>#REF!</v>
      </c>
      <c r="AG801" s="235" t="str">
        <f t="shared" ca="1" si="878"/>
        <v>#REF!</v>
      </c>
      <c r="AH801" s="212"/>
      <c r="AI801" s="213"/>
      <c r="AJ801" s="4"/>
      <c r="AK801" s="4"/>
      <c r="AL801" s="4"/>
      <c r="AM801" s="4"/>
      <c r="AN801" s="4"/>
      <c r="AO801" s="4"/>
      <c r="AP801" s="4"/>
      <c r="AQ801" s="4"/>
      <c r="AR801" s="4"/>
      <c r="AS801" s="4"/>
      <c r="AT801" s="4"/>
      <c r="AU801" s="4"/>
    </row>
    <row r="802" spans="1:47" ht="13.2">
      <c r="A802" s="120"/>
      <c r="B802" s="113"/>
      <c r="C802" s="117"/>
      <c r="D802" s="117"/>
      <c r="E802" s="117"/>
      <c r="F802" s="123"/>
      <c r="G802" s="93" t="s">
        <v>145</v>
      </c>
      <c r="H802" s="125"/>
      <c r="I802" s="125"/>
      <c r="J802" s="82" t="str">
        <f t="shared" ca="1" si="147"/>
        <v>#REF!</v>
      </c>
      <c r="K802" s="82" t="str">
        <f t="shared" ca="1" si="256"/>
        <v>#REF!</v>
      </c>
      <c r="L802" s="82" t="str">
        <f t="shared" ca="1" si="199"/>
        <v>#REF!</v>
      </c>
      <c r="M802" s="125"/>
      <c r="N802" s="125"/>
      <c r="O802" s="230">
        <f t="shared" si="2"/>
        <v>0</v>
      </c>
      <c r="P802" s="231">
        <f t="shared" si="3"/>
        <v>0</v>
      </c>
      <c r="Q802" s="232" t="str">
        <f ca="1">ROUNDUP(HLOOKUP(IF(CEILING(L802,0.5)&lt;1,1,CEILING(L802,0.5)),'배송비 조회'!A$32:AY$36,2,0),-2)</f>
        <v>#REF!</v>
      </c>
      <c r="R802" s="232">
        <v>0</v>
      </c>
      <c r="S802" s="231" t="str">
        <f t="shared" ca="1" si="250"/>
        <v>#REF!</v>
      </c>
      <c r="T802" s="231" t="str">
        <f t="shared" ca="1" si="200"/>
        <v>#REF!</v>
      </c>
      <c r="U802" s="233" t="str">
        <f t="shared" ca="1" si="142"/>
        <v>#REF!</v>
      </c>
      <c r="V802" s="233" t="str">
        <f t="shared" ca="1" si="7"/>
        <v>#REF!</v>
      </c>
      <c r="W802" s="234">
        <v>0</v>
      </c>
      <c r="X802" s="234" t="str">
        <f t="shared" ca="1" si="8"/>
        <v>#REF!</v>
      </c>
      <c r="Y802" s="234" t="str">
        <f t="shared" ca="1" si="9"/>
        <v>#REF!</v>
      </c>
      <c r="Z802" s="234" t="str">
        <f t="shared" ca="1" si="10"/>
        <v>#REF!</v>
      </c>
      <c r="AA802" s="234" t="str">
        <f t="shared" ca="1" si="11"/>
        <v>#REF!</v>
      </c>
      <c r="AB802" s="234" t="str">
        <f t="shared" ca="1" si="12"/>
        <v>#REF!</v>
      </c>
      <c r="AC802" s="234" t="str">
        <f t="shared" ca="1" si="13"/>
        <v>#REF!</v>
      </c>
      <c r="AD802" s="101" t="str">
        <f t="shared" ca="1" si="14"/>
        <v>#REF!</v>
      </c>
      <c r="AE802" s="101" t="str">
        <f t="shared" ca="1" si="15"/>
        <v>#REF!</v>
      </c>
      <c r="AF802" s="235" t="str">
        <f t="shared" ref="AF802:AG802" ca="1" si="879">AD802/U802</f>
        <v>#REF!</v>
      </c>
      <c r="AG802" s="235" t="str">
        <f t="shared" ca="1" si="879"/>
        <v>#REF!</v>
      </c>
      <c r="AH802" s="212"/>
      <c r="AI802" s="213"/>
      <c r="AJ802" s="4"/>
      <c r="AK802" s="4"/>
      <c r="AL802" s="4"/>
      <c r="AM802" s="4"/>
      <c r="AN802" s="4"/>
      <c r="AO802" s="4"/>
      <c r="AP802" s="4"/>
      <c r="AQ802" s="4"/>
      <c r="AR802" s="4"/>
      <c r="AS802" s="4"/>
      <c r="AT802" s="4"/>
      <c r="AU802" s="4"/>
    </row>
    <row r="803" spans="1:47" ht="13.2">
      <c r="A803" s="120"/>
      <c r="B803" s="113"/>
      <c r="C803" s="117"/>
      <c r="D803" s="117"/>
      <c r="E803" s="117"/>
      <c r="F803" s="123"/>
      <c r="G803" s="93" t="s">
        <v>145</v>
      </c>
      <c r="H803" s="125"/>
      <c r="I803" s="125"/>
      <c r="J803" s="82" t="str">
        <f t="shared" ca="1" si="147"/>
        <v>#REF!</v>
      </c>
      <c r="K803" s="82" t="str">
        <f t="shared" ca="1" si="256"/>
        <v>#REF!</v>
      </c>
      <c r="L803" s="82" t="str">
        <f t="shared" ca="1" si="199"/>
        <v>#REF!</v>
      </c>
      <c r="M803" s="125"/>
      <c r="N803" s="125"/>
      <c r="O803" s="230">
        <f t="shared" si="2"/>
        <v>0</v>
      </c>
      <c r="P803" s="231">
        <f t="shared" si="3"/>
        <v>0</v>
      </c>
      <c r="Q803" s="232" t="str">
        <f ca="1">ROUNDUP(HLOOKUP(IF(CEILING(L803,0.5)&lt;1,1,CEILING(L803,0.5)),'배송비 조회'!A$32:AY$36,2,0),-2)</f>
        <v>#REF!</v>
      </c>
      <c r="R803" s="232">
        <v>0</v>
      </c>
      <c r="S803" s="231" t="str">
        <f t="shared" ca="1" si="250"/>
        <v>#REF!</v>
      </c>
      <c r="T803" s="231" t="str">
        <f t="shared" ca="1" si="200"/>
        <v>#REF!</v>
      </c>
      <c r="U803" s="233" t="str">
        <f t="shared" ca="1" si="142"/>
        <v>#REF!</v>
      </c>
      <c r="V803" s="233" t="str">
        <f t="shared" ca="1" si="7"/>
        <v>#REF!</v>
      </c>
      <c r="W803" s="234">
        <v>0</v>
      </c>
      <c r="X803" s="234" t="str">
        <f t="shared" ca="1" si="8"/>
        <v>#REF!</v>
      </c>
      <c r="Y803" s="234" t="str">
        <f t="shared" ca="1" si="9"/>
        <v>#REF!</v>
      </c>
      <c r="Z803" s="234" t="str">
        <f t="shared" ca="1" si="10"/>
        <v>#REF!</v>
      </c>
      <c r="AA803" s="234" t="str">
        <f t="shared" ca="1" si="11"/>
        <v>#REF!</v>
      </c>
      <c r="AB803" s="234" t="str">
        <f t="shared" ca="1" si="12"/>
        <v>#REF!</v>
      </c>
      <c r="AC803" s="234" t="str">
        <f t="shared" ca="1" si="13"/>
        <v>#REF!</v>
      </c>
      <c r="AD803" s="101" t="str">
        <f t="shared" ca="1" si="14"/>
        <v>#REF!</v>
      </c>
      <c r="AE803" s="101" t="str">
        <f t="shared" ca="1" si="15"/>
        <v>#REF!</v>
      </c>
      <c r="AF803" s="235" t="str">
        <f t="shared" ref="AF803:AG803" ca="1" si="880">AD803/U803</f>
        <v>#REF!</v>
      </c>
      <c r="AG803" s="235" t="str">
        <f t="shared" ca="1" si="880"/>
        <v>#REF!</v>
      </c>
      <c r="AH803" s="212"/>
      <c r="AI803" s="213"/>
      <c r="AJ803" s="4"/>
      <c r="AK803" s="4"/>
      <c r="AL803" s="4"/>
      <c r="AM803" s="4"/>
      <c r="AN803" s="4"/>
      <c r="AO803" s="4"/>
      <c r="AP803" s="4"/>
      <c r="AQ803" s="4"/>
      <c r="AR803" s="4"/>
      <c r="AS803" s="4"/>
      <c r="AT803" s="4"/>
      <c r="AU803" s="4"/>
    </row>
    <row r="804" spans="1:47" ht="13.2">
      <c r="A804" s="120"/>
      <c r="B804" s="113"/>
      <c r="C804" s="117"/>
      <c r="D804" s="117"/>
      <c r="E804" s="117"/>
      <c r="F804" s="123"/>
      <c r="G804" s="93" t="s">
        <v>145</v>
      </c>
      <c r="H804" s="125"/>
      <c r="I804" s="125"/>
      <c r="J804" s="82" t="str">
        <f t="shared" ca="1" si="147"/>
        <v>#REF!</v>
      </c>
      <c r="K804" s="82" t="str">
        <f t="shared" ca="1" si="256"/>
        <v>#REF!</v>
      </c>
      <c r="L804" s="82" t="str">
        <f t="shared" ca="1" si="199"/>
        <v>#REF!</v>
      </c>
      <c r="M804" s="125"/>
      <c r="N804" s="125"/>
      <c r="O804" s="230">
        <f t="shared" si="2"/>
        <v>0</v>
      </c>
      <c r="P804" s="231">
        <f t="shared" si="3"/>
        <v>0</v>
      </c>
      <c r="Q804" s="232" t="str">
        <f ca="1">ROUNDUP(HLOOKUP(IF(CEILING(L804,0.5)&lt;1,1,CEILING(L804,0.5)),'배송비 조회'!A$32:AY$36,2,0),-2)</f>
        <v>#REF!</v>
      </c>
      <c r="R804" s="232">
        <v>0</v>
      </c>
      <c r="S804" s="231" t="str">
        <f t="shared" ca="1" si="250"/>
        <v>#REF!</v>
      </c>
      <c r="T804" s="231" t="str">
        <f t="shared" ca="1" si="200"/>
        <v>#REF!</v>
      </c>
      <c r="U804" s="233" t="str">
        <f t="shared" ca="1" si="142"/>
        <v>#REF!</v>
      </c>
      <c r="V804" s="233" t="str">
        <f t="shared" ca="1" si="7"/>
        <v>#REF!</v>
      </c>
      <c r="W804" s="234">
        <v>0</v>
      </c>
      <c r="X804" s="234" t="str">
        <f t="shared" ca="1" si="8"/>
        <v>#REF!</v>
      </c>
      <c r="Y804" s="234" t="str">
        <f t="shared" ca="1" si="9"/>
        <v>#REF!</v>
      </c>
      <c r="Z804" s="234" t="str">
        <f t="shared" ca="1" si="10"/>
        <v>#REF!</v>
      </c>
      <c r="AA804" s="234" t="str">
        <f t="shared" ca="1" si="11"/>
        <v>#REF!</v>
      </c>
      <c r="AB804" s="234" t="str">
        <f t="shared" ca="1" si="12"/>
        <v>#REF!</v>
      </c>
      <c r="AC804" s="234" t="str">
        <f t="shared" ca="1" si="13"/>
        <v>#REF!</v>
      </c>
      <c r="AD804" s="101" t="str">
        <f t="shared" ca="1" si="14"/>
        <v>#REF!</v>
      </c>
      <c r="AE804" s="101" t="str">
        <f t="shared" ca="1" si="15"/>
        <v>#REF!</v>
      </c>
      <c r="AF804" s="235" t="str">
        <f t="shared" ref="AF804:AG804" ca="1" si="881">AD804/U804</f>
        <v>#REF!</v>
      </c>
      <c r="AG804" s="235" t="str">
        <f t="shared" ca="1" si="881"/>
        <v>#REF!</v>
      </c>
      <c r="AH804" s="212"/>
      <c r="AI804" s="213"/>
      <c r="AJ804" s="4"/>
      <c r="AK804" s="4"/>
      <c r="AL804" s="4"/>
      <c r="AM804" s="4"/>
      <c r="AN804" s="4"/>
      <c r="AO804" s="4"/>
      <c r="AP804" s="4"/>
      <c r="AQ804" s="4"/>
      <c r="AR804" s="4"/>
      <c r="AS804" s="4"/>
      <c r="AT804" s="4"/>
      <c r="AU804" s="4"/>
    </row>
    <row r="805" spans="1:47" ht="13.2">
      <c r="A805" s="120"/>
      <c r="B805" s="113"/>
      <c r="C805" s="117"/>
      <c r="D805" s="117"/>
      <c r="E805" s="117"/>
      <c r="F805" s="123"/>
      <c r="G805" s="93" t="s">
        <v>145</v>
      </c>
      <c r="H805" s="125"/>
      <c r="I805" s="125"/>
      <c r="J805" s="82" t="str">
        <f t="shared" ca="1" si="147"/>
        <v>#REF!</v>
      </c>
      <c r="K805" s="82" t="str">
        <f t="shared" ca="1" si="256"/>
        <v>#REF!</v>
      </c>
      <c r="L805" s="82" t="str">
        <f t="shared" ca="1" si="199"/>
        <v>#REF!</v>
      </c>
      <c r="M805" s="125"/>
      <c r="N805" s="125"/>
      <c r="O805" s="230">
        <f t="shared" si="2"/>
        <v>0</v>
      </c>
      <c r="P805" s="231">
        <f t="shared" si="3"/>
        <v>0</v>
      </c>
      <c r="Q805" s="232" t="str">
        <f ca="1">ROUNDUP(HLOOKUP(IF(CEILING(L805,0.5)&lt;1,1,CEILING(L805,0.5)),'배송비 조회'!A$32:AY$36,2,0),-2)</f>
        <v>#REF!</v>
      </c>
      <c r="R805" s="232">
        <v>0</v>
      </c>
      <c r="S805" s="231" t="str">
        <f t="shared" ca="1" si="250"/>
        <v>#REF!</v>
      </c>
      <c r="T805" s="231" t="str">
        <f t="shared" ca="1" si="200"/>
        <v>#REF!</v>
      </c>
      <c r="U805" s="233" t="str">
        <f t="shared" ca="1" si="142"/>
        <v>#REF!</v>
      </c>
      <c r="V805" s="233" t="str">
        <f t="shared" ca="1" si="7"/>
        <v>#REF!</v>
      </c>
      <c r="W805" s="234">
        <v>0</v>
      </c>
      <c r="X805" s="234" t="str">
        <f t="shared" ca="1" si="8"/>
        <v>#REF!</v>
      </c>
      <c r="Y805" s="234" t="str">
        <f t="shared" ca="1" si="9"/>
        <v>#REF!</v>
      </c>
      <c r="Z805" s="234" t="str">
        <f t="shared" ca="1" si="10"/>
        <v>#REF!</v>
      </c>
      <c r="AA805" s="234" t="str">
        <f t="shared" ca="1" si="11"/>
        <v>#REF!</v>
      </c>
      <c r="AB805" s="234" t="str">
        <f t="shared" ca="1" si="12"/>
        <v>#REF!</v>
      </c>
      <c r="AC805" s="234" t="str">
        <f t="shared" ca="1" si="13"/>
        <v>#REF!</v>
      </c>
      <c r="AD805" s="101" t="str">
        <f t="shared" ca="1" si="14"/>
        <v>#REF!</v>
      </c>
      <c r="AE805" s="101" t="str">
        <f t="shared" ca="1" si="15"/>
        <v>#REF!</v>
      </c>
      <c r="AF805" s="235" t="str">
        <f t="shared" ref="AF805:AG805" ca="1" si="882">AD805/U805</f>
        <v>#REF!</v>
      </c>
      <c r="AG805" s="235" t="str">
        <f t="shared" ca="1" si="882"/>
        <v>#REF!</v>
      </c>
      <c r="AH805" s="212"/>
      <c r="AI805" s="213"/>
      <c r="AJ805" s="4"/>
      <c r="AK805" s="4"/>
      <c r="AL805" s="4"/>
      <c r="AM805" s="4"/>
      <c r="AN805" s="4"/>
      <c r="AO805" s="4"/>
      <c r="AP805" s="4"/>
      <c r="AQ805" s="4"/>
      <c r="AR805" s="4"/>
      <c r="AS805" s="4"/>
      <c r="AT805" s="4"/>
      <c r="AU805" s="4"/>
    </row>
    <row r="806" spans="1:47" ht="13.2">
      <c r="A806" s="120"/>
      <c r="B806" s="113"/>
      <c r="C806" s="117"/>
      <c r="D806" s="117"/>
      <c r="E806" s="117"/>
      <c r="F806" s="123"/>
      <c r="G806" s="93" t="s">
        <v>145</v>
      </c>
      <c r="H806" s="125"/>
      <c r="I806" s="125"/>
      <c r="J806" s="82" t="str">
        <f t="shared" ca="1" si="147"/>
        <v>#REF!</v>
      </c>
      <c r="K806" s="82" t="str">
        <f t="shared" ca="1" si="256"/>
        <v>#REF!</v>
      </c>
      <c r="L806" s="82" t="str">
        <f t="shared" ca="1" si="199"/>
        <v>#REF!</v>
      </c>
      <c r="M806" s="125"/>
      <c r="N806" s="125"/>
      <c r="O806" s="230">
        <f t="shared" si="2"/>
        <v>0</v>
      </c>
      <c r="P806" s="231">
        <f t="shared" si="3"/>
        <v>0</v>
      </c>
      <c r="Q806" s="232" t="str">
        <f ca="1">ROUNDUP(HLOOKUP(IF(CEILING(L806,0.5)&lt;1,1,CEILING(L806,0.5)),'배송비 조회'!A$32:AY$36,2,0),-2)</f>
        <v>#REF!</v>
      </c>
      <c r="R806" s="232">
        <v>0</v>
      </c>
      <c r="S806" s="231" t="str">
        <f t="shared" ca="1" si="250"/>
        <v>#REF!</v>
      </c>
      <c r="T806" s="231" t="str">
        <f t="shared" ca="1" si="200"/>
        <v>#REF!</v>
      </c>
      <c r="U806" s="233" t="str">
        <f t="shared" ca="1" si="142"/>
        <v>#REF!</v>
      </c>
      <c r="V806" s="233" t="str">
        <f t="shared" ca="1" si="7"/>
        <v>#REF!</v>
      </c>
      <c r="W806" s="234">
        <v>0</v>
      </c>
      <c r="X806" s="234" t="str">
        <f t="shared" ca="1" si="8"/>
        <v>#REF!</v>
      </c>
      <c r="Y806" s="234" t="str">
        <f t="shared" ca="1" si="9"/>
        <v>#REF!</v>
      </c>
      <c r="Z806" s="234" t="str">
        <f t="shared" ca="1" si="10"/>
        <v>#REF!</v>
      </c>
      <c r="AA806" s="234" t="str">
        <f t="shared" ca="1" si="11"/>
        <v>#REF!</v>
      </c>
      <c r="AB806" s="234" t="str">
        <f t="shared" ca="1" si="12"/>
        <v>#REF!</v>
      </c>
      <c r="AC806" s="234" t="str">
        <f t="shared" ca="1" si="13"/>
        <v>#REF!</v>
      </c>
      <c r="AD806" s="101" t="str">
        <f t="shared" ca="1" si="14"/>
        <v>#REF!</v>
      </c>
      <c r="AE806" s="101" t="str">
        <f t="shared" ca="1" si="15"/>
        <v>#REF!</v>
      </c>
      <c r="AF806" s="235" t="str">
        <f t="shared" ref="AF806:AG806" ca="1" si="883">AD806/U806</f>
        <v>#REF!</v>
      </c>
      <c r="AG806" s="235" t="str">
        <f t="shared" ca="1" si="883"/>
        <v>#REF!</v>
      </c>
      <c r="AH806" s="212"/>
      <c r="AI806" s="213"/>
      <c r="AJ806" s="4"/>
      <c r="AK806" s="4"/>
      <c r="AL806" s="4"/>
      <c r="AM806" s="4"/>
      <c r="AN806" s="4"/>
      <c r="AO806" s="4"/>
      <c r="AP806" s="4"/>
      <c r="AQ806" s="4"/>
      <c r="AR806" s="4"/>
      <c r="AS806" s="4"/>
      <c r="AT806" s="4"/>
      <c r="AU806" s="4"/>
    </row>
    <row r="807" spans="1:47" ht="13.2">
      <c r="A807" s="120"/>
      <c r="B807" s="113"/>
      <c r="C807" s="117"/>
      <c r="D807" s="117"/>
      <c r="E807" s="117"/>
      <c r="F807" s="123"/>
      <c r="G807" s="93" t="s">
        <v>145</v>
      </c>
      <c r="H807" s="125"/>
      <c r="I807" s="125"/>
      <c r="J807" s="82" t="str">
        <f t="shared" ca="1" si="147"/>
        <v>#REF!</v>
      </c>
      <c r="K807" s="82" t="str">
        <f t="shared" ca="1" si="256"/>
        <v>#REF!</v>
      </c>
      <c r="L807" s="82" t="str">
        <f t="shared" ca="1" si="199"/>
        <v>#REF!</v>
      </c>
      <c r="M807" s="125"/>
      <c r="N807" s="125"/>
      <c r="O807" s="230">
        <f t="shared" si="2"/>
        <v>0</v>
      </c>
      <c r="P807" s="231">
        <f t="shared" si="3"/>
        <v>0</v>
      </c>
      <c r="Q807" s="232" t="str">
        <f ca="1">ROUNDUP(HLOOKUP(IF(CEILING(L807,0.5)&lt;1,1,CEILING(L807,0.5)),'배송비 조회'!A$32:AY$36,2,0),-2)</f>
        <v>#REF!</v>
      </c>
      <c r="R807" s="232">
        <v>0</v>
      </c>
      <c r="S807" s="231" t="str">
        <f t="shared" ca="1" si="250"/>
        <v>#REF!</v>
      </c>
      <c r="T807" s="231" t="str">
        <f t="shared" ca="1" si="200"/>
        <v>#REF!</v>
      </c>
      <c r="U807" s="233" t="str">
        <f t="shared" ca="1" si="142"/>
        <v>#REF!</v>
      </c>
      <c r="V807" s="233" t="str">
        <f t="shared" ca="1" si="7"/>
        <v>#REF!</v>
      </c>
      <c r="W807" s="234">
        <v>0</v>
      </c>
      <c r="X807" s="234" t="str">
        <f t="shared" ca="1" si="8"/>
        <v>#REF!</v>
      </c>
      <c r="Y807" s="234" t="str">
        <f t="shared" ca="1" si="9"/>
        <v>#REF!</v>
      </c>
      <c r="Z807" s="234" t="str">
        <f t="shared" ca="1" si="10"/>
        <v>#REF!</v>
      </c>
      <c r="AA807" s="234" t="str">
        <f t="shared" ca="1" si="11"/>
        <v>#REF!</v>
      </c>
      <c r="AB807" s="234" t="str">
        <f t="shared" ca="1" si="12"/>
        <v>#REF!</v>
      </c>
      <c r="AC807" s="234" t="str">
        <f t="shared" ca="1" si="13"/>
        <v>#REF!</v>
      </c>
      <c r="AD807" s="101" t="str">
        <f t="shared" ca="1" si="14"/>
        <v>#REF!</v>
      </c>
      <c r="AE807" s="101" t="str">
        <f t="shared" ca="1" si="15"/>
        <v>#REF!</v>
      </c>
      <c r="AF807" s="235" t="str">
        <f t="shared" ref="AF807:AG807" ca="1" si="884">AD807/U807</f>
        <v>#REF!</v>
      </c>
      <c r="AG807" s="235" t="str">
        <f t="shared" ca="1" si="884"/>
        <v>#REF!</v>
      </c>
      <c r="AH807" s="212"/>
      <c r="AI807" s="213"/>
      <c r="AJ807" s="4"/>
      <c r="AK807" s="4"/>
      <c r="AL807" s="4"/>
      <c r="AM807" s="4"/>
      <c r="AN807" s="4"/>
      <c r="AO807" s="4"/>
      <c r="AP807" s="4"/>
      <c r="AQ807" s="4"/>
      <c r="AR807" s="4"/>
      <c r="AS807" s="4"/>
      <c r="AT807" s="4"/>
      <c r="AU807" s="4"/>
    </row>
    <row r="808" spans="1:47" ht="13.2">
      <c r="A808" s="120"/>
      <c r="B808" s="113"/>
      <c r="C808" s="117"/>
      <c r="D808" s="117"/>
      <c r="E808" s="117"/>
      <c r="F808" s="123"/>
      <c r="G808" s="93" t="s">
        <v>145</v>
      </c>
      <c r="H808" s="125"/>
      <c r="I808" s="125"/>
      <c r="J808" s="82" t="str">
        <f t="shared" ca="1" si="147"/>
        <v>#REF!</v>
      </c>
      <c r="K808" s="82" t="str">
        <f t="shared" ca="1" si="256"/>
        <v>#REF!</v>
      </c>
      <c r="L808" s="82" t="str">
        <f t="shared" ca="1" si="199"/>
        <v>#REF!</v>
      </c>
      <c r="M808" s="125"/>
      <c r="N808" s="125"/>
      <c r="O808" s="230">
        <f t="shared" si="2"/>
        <v>0</v>
      </c>
      <c r="P808" s="231">
        <f t="shared" si="3"/>
        <v>0</v>
      </c>
      <c r="Q808" s="232" t="str">
        <f ca="1">ROUNDUP(HLOOKUP(IF(CEILING(L808,0.5)&lt;1,1,CEILING(L808,0.5)),'배송비 조회'!A$32:AY$36,2,0),-2)</f>
        <v>#REF!</v>
      </c>
      <c r="R808" s="232">
        <v>0</v>
      </c>
      <c r="S808" s="231" t="str">
        <f t="shared" ca="1" si="250"/>
        <v>#REF!</v>
      </c>
      <c r="T808" s="231" t="str">
        <f t="shared" ca="1" si="200"/>
        <v>#REF!</v>
      </c>
      <c r="U808" s="233" t="str">
        <f t="shared" ca="1" si="142"/>
        <v>#REF!</v>
      </c>
      <c r="V808" s="233" t="str">
        <f t="shared" ca="1" si="7"/>
        <v>#REF!</v>
      </c>
      <c r="W808" s="234">
        <v>0</v>
      </c>
      <c r="X808" s="234" t="str">
        <f t="shared" ca="1" si="8"/>
        <v>#REF!</v>
      </c>
      <c r="Y808" s="234" t="str">
        <f t="shared" ca="1" si="9"/>
        <v>#REF!</v>
      </c>
      <c r="Z808" s="234" t="str">
        <f t="shared" ca="1" si="10"/>
        <v>#REF!</v>
      </c>
      <c r="AA808" s="234" t="str">
        <f t="shared" ca="1" si="11"/>
        <v>#REF!</v>
      </c>
      <c r="AB808" s="234" t="str">
        <f t="shared" ca="1" si="12"/>
        <v>#REF!</v>
      </c>
      <c r="AC808" s="234" t="str">
        <f t="shared" ca="1" si="13"/>
        <v>#REF!</v>
      </c>
      <c r="AD808" s="101" t="str">
        <f t="shared" ca="1" si="14"/>
        <v>#REF!</v>
      </c>
      <c r="AE808" s="101" t="str">
        <f t="shared" ca="1" si="15"/>
        <v>#REF!</v>
      </c>
      <c r="AF808" s="235" t="str">
        <f t="shared" ref="AF808:AG808" ca="1" si="885">AD808/U808</f>
        <v>#REF!</v>
      </c>
      <c r="AG808" s="235" t="str">
        <f t="shared" ca="1" si="885"/>
        <v>#REF!</v>
      </c>
      <c r="AH808" s="212"/>
      <c r="AI808" s="213"/>
      <c r="AJ808" s="4"/>
      <c r="AK808" s="4"/>
      <c r="AL808" s="4"/>
      <c r="AM808" s="4"/>
      <c r="AN808" s="4"/>
      <c r="AO808" s="4"/>
      <c r="AP808" s="4"/>
      <c r="AQ808" s="4"/>
      <c r="AR808" s="4"/>
      <c r="AS808" s="4"/>
      <c r="AT808" s="4"/>
      <c r="AU808" s="4"/>
    </row>
    <row r="809" spans="1:47" ht="13.2">
      <c r="A809" s="120"/>
      <c r="B809" s="113"/>
      <c r="C809" s="117"/>
      <c r="D809" s="117"/>
      <c r="E809" s="117"/>
      <c r="F809" s="123"/>
      <c r="G809" s="93" t="s">
        <v>145</v>
      </c>
      <c r="H809" s="125"/>
      <c r="I809" s="125"/>
      <c r="J809" s="82" t="str">
        <f t="shared" ca="1" si="147"/>
        <v>#REF!</v>
      </c>
      <c r="K809" s="82" t="str">
        <f t="shared" ca="1" si="256"/>
        <v>#REF!</v>
      </c>
      <c r="L809" s="82" t="str">
        <f t="shared" ca="1" si="199"/>
        <v>#REF!</v>
      </c>
      <c r="M809" s="125"/>
      <c r="N809" s="125"/>
      <c r="O809" s="230">
        <f t="shared" si="2"/>
        <v>0</v>
      </c>
      <c r="P809" s="231">
        <f t="shared" si="3"/>
        <v>0</v>
      </c>
      <c r="Q809" s="232" t="str">
        <f ca="1">ROUNDUP(HLOOKUP(IF(CEILING(L809,0.5)&lt;1,1,CEILING(L809,0.5)),'배송비 조회'!A$32:AY$36,2,0),-2)</f>
        <v>#REF!</v>
      </c>
      <c r="R809" s="232">
        <v>0</v>
      </c>
      <c r="S809" s="231" t="str">
        <f t="shared" ca="1" si="250"/>
        <v>#REF!</v>
      </c>
      <c r="T809" s="231" t="str">
        <f t="shared" ca="1" si="200"/>
        <v>#REF!</v>
      </c>
      <c r="U809" s="233" t="str">
        <f t="shared" ca="1" si="142"/>
        <v>#REF!</v>
      </c>
      <c r="V809" s="233" t="str">
        <f t="shared" ca="1" si="7"/>
        <v>#REF!</v>
      </c>
      <c r="W809" s="234">
        <v>0</v>
      </c>
      <c r="X809" s="234" t="str">
        <f t="shared" ca="1" si="8"/>
        <v>#REF!</v>
      </c>
      <c r="Y809" s="234" t="str">
        <f t="shared" ca="1" si="9"/>
        <v>#REF!</v>
      </c>
      <c r="Z809" s="234" t="str">
        <f t="shared" ca="1" si="10"/>
        <v>#REF!</v>
      </c>
      <c r="AA809" s="234" t="str">
        <f t="shared" ca="1" si="11"/>
        <v>#REF!</v>
      </c>
      <c r="AB809" s="234" t="str">
        <f t="shared" ca="1" si="12"/>
        <v>#REF!</v>
      </c>
      <c r="AC809" s="234" t="str">
        <f t="shared" ca="1" si="13"/>
        <v>#REF!</v>
      </c>
      <c r="AD809" s="101" t="str">
        <f t="shared" ca="1" si="14"/>
        <v>#REF!</v>
      </c>
      <c r="AE809" s="101" t="str">
        <f t="shared" ca="1" si="15"/>
        <v>#REF!</v>
      </c>
      <c r="AF809" s="235" t="str">
        <f t="shared" ref="AF809:AG809" ca="1" si="886">AD809/U809</f>
        <v>#REF!</v>
      </c>
      <c r="AG809" s="235" t="str">
        <f t="shared" ca="1" si="886"/>
        <v>#REF!</v>
      </c>
      <c r="AH809" s="212"/>
      <c r="AI809" s="213"/>
      <c r="AJ809" s="4"/>
      <c r="AK809" s="4"/>
      <c r="AL809" s="4"/>
      <c r="AM809" s="4"/>
      <c r="AN809" s="4"/>
      <c r="AO809" s="4"/>
      <c r="AP809" s="4"/>
      <c r="AQ809" s="4"/>
      <c r="AR809" s="4"/>
      <c r="AS809" s="4"/>
      <c r="AT809" s="4"/>
      <c r="AU809" s="4"/>
    </row>
    <row r="810" spans="1:47" ht="13.2">
      <c r="A810" s="120"/>
      <c r="B810" s="113"/>
      <c r="C810" s="117"/>
      <c r="D810" s="117"/>
      <c r="E810" s="117"/>
      <c r="F810" s="123"/>
      <c r="G810" s="93" t="s">
        <v>145</v>
      </c>
      <c r="H810" s="125"/>
      <c r="I810" s="125"/>
      <c r="J810" s="82" t="str">
        <f t="shared" ca="1" si="147"/>
        <v>#REF!</v>
      </c>
      <c r="K810" s="82" t="str">
        <f t="shared" ca="1" si="256"/>
        <v>#REF!</v>
      </c>
      <c r="L810" s="82" t="str">
        <f t="shared" ca="1" si="199"/>
        <v>#REF!</v>
      </c>
      <c r="M810" s="125"/>
      <c r="N810" s="125"/>
      <c r="O810" s="230">
        <f t="shared" si="2"/>
        <v>0</v>
      </c>
      <c r="P810" s="231">
        <f t="shared" si="3"/>
        <v>0</v>
      </c>
      <c r="Q810" s="232" t="str">
        <f ca="1">ROUNDUP(HLOOKUP(IF(CEILING(L810,0.5)&lt;1,1,CEILING(L810,0.5)),'배송비 조회'!A$32:AY$36,2,0),-2)</f>
        <v>#REF!</v>
      </c>
      <c r="R810" s="232">
        <v>0</v>
      </c>
      <c r="S810" s="231" t="str">
        <f t="shared" ca="1" si="250"/>
        <v>#REF!</v>
      </c>
      <c r="T810" s="231" t="str">
        <f t="shared" ca="1" si="200"/>
        <v>#REF!</v>
      </c>
      <c r="U810" s="233" t="str">
        <f t="shared" ca="1" si="142"/>
        <v>#REF!</v>
      </c>
      <c r="V810" s="233" t="str">
        <f t="shared" ca="1" si="7"/>
        <v>#REF!</v>
      </c>
      <c r="W810" s="234">
        <v>0</v>
      </c>
      <c r="X810" s="234" t="str">
        <f t="shared" ca="1" si="8"/>
        <v>#REF!</v>
      </c>
      <c r="Y810" s="234" t="str">
        <f t="shared" ca="1" si="9"/>
        <v>#REF!</v>
      </c>
      <c r="Z810" s="234" t="str">
        <f t="shared" ca="1" si="10"/>
        <v>#REF!</v>
      </c>
      <c r="AA810" s="234" t="str">
        <f t="shared" ca="1" si="11"/>
        <v>#REF!</v>
      </c>
      <c r="AB810" s="234" t="str">
        <f t="shared" ca="1" si="12"/>
        <v>#REF!</v>
      </c>
      <c r="AC810" s="234" t="str">
        <f t="shared" ca="1" si="13"/>
        <v>#REF!</v>
      </c>
      <c r="AD810" s="101" t="str">
        <f t="shared" ca="1" si="14"/>
        <v>#REF!</v>
      </c>
      <c r="AE810" s="101" t="str">
        <f t="shared" ca="1" si="15"/>
        <v>#REF!</v>
      </c>
      <c r="AF810" s="235" t="str">
        <f t="shared" ref="AF810:AG810" ca="1" si="887">AD810/U810</f>
        <v>#REF!</v>
      </c>
      <c r="AG810" s="235" t="str">
        <f t="shared" ca="1" si="887"/>
        <v>#REF!</v>
      </c>
      <c r="AH810" s="212"/>
      <c r="AI810" s="213"/>
      <c r="AJ810" s="4"/>
      <c r="AK810" s="4"/>
      <c r="AL810" s="4"/>
      <c r="AM810" s="4"/>
      <c r="AN810" s="4"/>
      <c r="AO810" s="4"/>
      <c r="AP810" s="4"/>
      <c r="AQ810" s="4"/>
      <c r="AR810" s="4"/>
      <c r="AS810" s="4"/>
      <c r="AT810" s="4"/>
      <c r="AU810" s="4"/>
    </row>
    <row r="811" spans="1:47" ht="13.2">
      <c r="A811" s="120"/>
      <c r="B811" s="113"/>
      <c r="C811" s="117"/>
      <c r="D811" s="117"/>
      <c r="E811" s="117"/>
      <c r="F811" s="123"/>
      <c r="G811" s="93" t="s">
        <v>145</v>
      </c>
      <c r="H811" s="125"/>
      <c r="I811" s="125"/>
      <c r="J811" s="82" t="str">
        <f t="shared" ca="1" si="147"/>
        <v>#REF!</v>
      </c>
      <c r="K811" s="82" t="str">
        <f t="shared" ca="1" si="256"/>
        <v>#REF!</v>
      </c>
      <c r="L811" s="82" t="str">
        <f t="shared" ca="1" si="199"/>
        <v>#REF!</v>
      </c>
      <c r="M811" s="125"/>
      <c r="N811" s="125"/>
      <c r="O811" s="230">
        <f t="shared" si="2"/>
        <v>0</v>
      </c>
      <c r="P811" s="231">
        <f t="shared" si="3"/>
        <v>0</v>
      </c>
      <c r="Q811" s="232" t="str">
        <f ca="1">ROUNDUP(HLOOKUP(IF(CEILING(L811,0.5)&lt;1,1,CEILING(L811,0.5)),'배송비 조회'!A$32:AY$36,2,0),-2)</f>
        <v>#REF!</v>
      </c>
      <c r="R811" s="232">
        <v>0</v>
      </c>
      <c r="S811" s="231" t="str">
        <f t="shared" ca="1" si="250"/>
        <v>#REF!</v>
      </c>
      <c r="T811" s="231" t="str">
        <f t="shared" ca="1" si="200"/>
        <v>#REF!</v>
      </c>
      <c r="U811" s="233" t="str">
        <f t="shared" ca="1" si="142"/>
        <v>#REF!</v>
      </c>
      <c r="V811" s="233" t="str">
        <f t="shared" ca="1" si="7"/>
        <v>#REF!</v>
      </c>
      <c r="W811" s="234">
        <v>0</v>
      </c>
      <c r="X811" s="234" t="str">
        <f t="shared" ca="1" si="8"/>
        <v>#REF!</v>
      </c>
      <c r="Y811" s="234" t="str">
        <f t="shared" ca="1" si="9"/>
        <v>#REF!</v>
      </c>
      <c r="Z811" s="234" t="str">
        <f t="shared" ca="1" si="10"/>
        <v>#REF!</v>
      </c>
      <c r="AA811" s="234" t="str">
        <f t="shared" ca="1" si="11"/>
        <v>#REF!</v>
      </c>
      <c r="AB811" s="234" t="str">
        <f t="shared" ca="1" si="12"/>
        <v>#REF!</v>
      </c>
      <c r="AC811" s="234" t="str">
        <f t="shared" ca="1" si="13"/>
        <v>#REF!</v>
      </c>
      <c r="AD811" s="101" t="str">
        <f t="shared" ca="1" si="14"/>
        <v>#REF!</v>
      </c>
      <c r="AE811" s="101" t="str">
        <f t="shared" ca="1" si="15"/>
        <v>#REF!</v>
      </c>
      <c r="AF811" s="235" t="str">
        <f t="shared" ref="AF811:AG811" ca="1" si="888">AD811/U811</f>
        <v>#REF!</v>
      </c>
      <c r="AG811" s="235" t="str">
        <f t="shared" ca="1" si="888"/>
        <v>#REF!</v>
      </c>
      <c r="AH811" s="212"/>
      <c r="AI811" s="213"/>
      <c r="AJ811" s="4"/>
      <c r="AK811" s="4"/>
      <c r="AL811" s="4"/>
      <c r="AM811" s="4"/>
      <c r="AN811" s="4"/>
      <c r="AO811" s="4"/>
      <c r="AP811" s="4"/>
      <c r="AQ811" s="4"/>
      <c r="AR811" s="4"/>
      <c r="AS811" s="4"/>
      <c r="AT811" s="4"/>
      <c r="AU811" s="4"/>
    </row>
    <row r="812" spans="1:47" ht="13.2">
      <c r="A812" s="120"/>
      <c r="B812" s="113"/>
      <c r="C812" s="117"/>
      <c r="D812" s="117"/>
      <c r="E812" s="117"/>
      <c r="F812" s="123"/>
      <c r="G812" s="93" t="s">
        <v>145</v>
      </c>
      <c r="H812" s="125"/>
      <c r="I812" s="125"/>
      <c r="J812" s="82" t="str">
        <f t="shared" ca="1" si="147"/>
        <v>#REF!</v>
      </c>
      <c r="K812" s="82" t="str">
        <f t="shared" ca="1" si="256"/>
        <v>#REF!</v>
      </c>
      <c r="L812" s="82" t="str">
        <f t="shared" ca="1" si="199"/>
        <v>#REF!</v>
      </c>
      <c r="M812" s="125"/>
      <c r="N812" s="125"/>
      <c r="O812" s="230">
        <f t="shared" si="2"/>
        <v>0</v>
      </c>
      <c r="P812" s="231">
        <f t="shared" si="3"/>
        <v>0</v>
      </c>
      <c r="Q812" s="232" t="str">
        <f ca="1">ROUNDUP(HLOOKUP(IF(CEILING(L812,0.5)&lt;1,1,CEILING(L812,0.5)),'배송비 조회'!A$32:AY$36,2,0),-2)</f>
        <v>#REF!</v>
      </c>
      <c r="R812" s="232">
        <v>0</v>
      </c>
      <c r="S812" s="231" t="str">
        <f t="shared" ca="1" si="250"/>
        <v>#REF!</v>
      </c>
      <c r="T812" s="231" t="str">
        <f t="shared" ca="1" si="200"/>
        <v>#REF!</v>
      </c>
      <c r="U812" s="233" t="str">
        <f t="shared" ca="1" si="142"/>
        <v>#REF!</v>
      </c>
      <c r="V812" s="233" t="str">
        <f t="shared" ca="1" si="7"/>
        <v>#REF!</v>
      </c>
      <c r="W812" s="234">
        <v>0</v>
      </c>
      <c r="X812" s="234" t="str">
        <f t="shared" ca="1" si="8"/>
        <v>#REF!</v>
      </c>
      <c r="Y812" s="234" t="str">
        <f t="shared" ca="1" si="9"/>
        <v>#REF!</v>
      </c>
      <c r="Z812" s="234" t="str">
        <f t="shared" ca="1" si="10"/>
        <v>#REF!</v>
      </c>
      <c r="AA812" s="234" t="str">
        <f t="shared" ca="1" si="11"/>
        <v>#REF!</v>
      </c>
      <c r="AB812" s="234" t="str">
        <f t="shared" ca="1" si="12"/>
        <v>#REF!</v>
      </c>
      <c r="AC812" s="234" t="str">
        <f t="shared" ca="1" si="13"/>
        <v>#REF!</v>
      </c>
      <c r="AD812" s="101" t="str">
        <f t="shared" ca="1" si="14"/>
        <v>#REF!</v>
      </c>
      <c r="AE812" s="101" t="str">
        <f t="shared" ca="1" si="15"/>
        <v>#REF!</v>
      </c>
      <c r="AF812" s="235" t="str">
        <f t="shared" ref="AF812:AG812" ca="1" si="889">AD812/U812</f>
        <v>#REF!</v>
      </c>
      <c r="AG812" s="235" t="str">
        <f t="shared" ca="1" si="889"/>
        <v>#REF!</v>
      </c>
      <c r="AH812" s="212"/>
      <c r="AI812" s="213"/>
      <c r="AJ812" s="4"/>
      <c r="AK812" s="4"/>
      <c r="AL812" s="4"/>
      <c r="AM812" s="4"/>
      <c r="AN812" s="4"/>
      <c r="AO812" s="4"/>
      <c r="AP812" s="4"/>
      <c r="AQ812" s="4"/>
      <c r="AR812" s="4"/>
      <c r="AS812" s="4"/>
      <c r="AT812" s="4"/>
      <c r="AU812" s="4"/>
    </row>
    <row r="813" spans="1:47" ht="13.2">
      <c r="A813" s="120"/>
      <c r="B813" s="113"/>
      <c r="C813" s="117"/>
      <c r="D813" s="117"/>
      <c r="E813" s="117"/>
      <c r="F813" s="123"/>
      <c r="G813" s="93" t="s">
        <v>145</v>
      </c>
      <c r="H813" s="125"/>
      <c r="I813" s="125"/>
      <c r="J813" s="82" t="str">
        <f t="shared" ca="1" si="147"/>
        <v>#REF!</v>
      </c>
      <c r="K813" s="82" t="str">
        <f t="shared" ca="1" si="256"/>
        <v>#REF!</v>
      </c>
      <c r="L813" s="82" t="str">
        <f t="shared" ca="1" si="199"/>
        <v>#REF!</v>
      </c>
      <c r="M813" s="125"/>
      <c r="N813" s="125"/>
      <c r="O813" s="230">
        <f t="shared" si="2"/>
        <v>0</v>
      </c>
      <c r="P813" s="231">
        <f t="shared" si="3"/>
        <v>0</v>
      </c>
      <c r="Q813" s="232" t="str">
        <f ca="1">ROUNDUP(HLOOKUP(IF(CEILING(L813,0.5)&lt;1,1,CEILING(L813,0.5)),'배송비 조회'!A$32:AY$36,2,0),-2)</f>
        <v>#REF!</v>
      </c>
      <c r="R813" s="232">
        <v>0</v>
      </c>
      <c r="S813" s="231" t="str">
        <f t="shared" ca="1" si="250"/>
        <v>#REF!</v>
      </c>
      <c r="T813" s="231" t="str">
        <f t="shared" ca="1" si="200"/>
        <v>#REF!</v>
      </c>
      <c r="U813" s="233" t="str">
        <f t="shared" ca="1" si="142"/>
        <v>#REF!</v>
      </c>
      <c r="V813" s="233" t="str">
        <f t="shared" ca="1" si="7"/>
        <v>#REF!</v>
      </c>
      <c r="W813" s="234">
        <v>0</v>
      </c>
      <c r="X813" s="234" t="str">
        <f t="shared" ca="1" si="8"/>
        <v>#REF!</v>
      </c>
      <c r="Y813" s="234" t="str">
        <f t="shared" ca="1" si="9"/>
        <v>#REF!</v>
      </c>
      <c r="Z813" s="234" t="str">
        <f t="shared" ca="1" si="10"/>
        <v>#REF!</v>
      </c>
      <c r="AA813" s="234" t="str">
        <f t="shared" ca="1" si="11"/>
        <v>#REF!</v>
      </c>
      <c r="AB813" s="234" t="str">
        <f t="shared" ca="1" si="12"/>
        <v>#REF!</v>
      </c>
      <c r="AC813" s="234" t="str">
        <f t="shared" ca="1" si="13"/>
        <v>#REF!</v>
      </c>
      <c r="AD813" s="101" t="str">
        <f t="shared" ca="1" si="14"/>
        <v>#REF!</v>
      </c>
      <c r="AE813" s="101" t="str">
        <f t="shared" ca="1" si="15"/>
        <v>#REF!</v>
      </c>
      <c r="AF813" s="235" t="str">
        <f t="shared" ref="AF813:AG813" ca="1" si="890">AD813/U813</f>
        <v>#REF!</v>
      </c>
      <c r="AG813" s="235" t="str">
        <f t="shared" ca="1" si="890"/>
        <v>#REF!</v>
      </c>
      <c r="AH813" s="212"/>
      <c r="AI813" s="213"/>
      <c r="AJ813" s="4"/>
      <c r="AK813" s="4"/>
      <c r="AL813" s="4"/>
      <c r="AM813" s="4"/>
      <c r="AN813" s="4"/>
      <c r="AO813" s="4"/>
      <c r="AP813" s="4"/>
      <c r="AQ813" s="4"/>
      <c r="AR813" s="4"/>
      <c r="AS813" s="4"/>
      <c r="AT813" s="4"/>
      <c r="AU813" s="4"/>
    </row>
    <row r="814" spans="1:47" ht="13.2">
      <c r="A814" s="120"/>
      <c r="B814" s="113"/>
      <c r="C814" s="117"/>
      <c r="D814" s="117"/>
      <c r="E814" s="117"/>
      <c r="F814" s="123"/>
      <c r="G814" s="93" t="s">
        <v>145</v>
      </c>
      <c r="H814" s="125"/>
      <c r="I814" s="125"/>
      <c r="J814" s="82" t="str">
        <f t="shared" ca="1" si="147"/>
        <v>#REF!</v>
      </c>
      <c r="K814" s="82" t="str">
        <f t="shared" ca="1" si="256"/>
        <v>#REF!</v>
      </c>
      <c r="L814" s="82" t="str">
        <f t="shared" ca="1" si="199"/>
        <v>#REF!</v>
      </c>
      <c r="M814" s="125"/>
      <c r="N814" s="125"/>
      <c r="O814" s="230">
        <f t="shared" si="2"/>
        <v>0</v>
      </c>
      <c r="P814" s="231">
        <f t="shared" si="3"/>
        <v>0</v>
      </c>
      <c r="Q814" s="232" t="str">
        <f ca="1">ROUNDUP(HLOOKUP(IF(CEILING(L814,0.5)&lt;1,1,CEILING(L814,0.5)),'배송비 조회'!A$32:AY$36,2,0),-2)</f>
        <v>#REF!</v>
      </c>
      <c r="R814" s="232">
        <v>0</v>
      </c>
      <c r="S814" s="231" t="str">
        <f t="shared" ca="1" si="250"/>
        <v>#REF!</v>
      </c>
      <c r="T814" s="231" t="str">
        <f t="shared" ca="1" si="200"/>
        <v>#REF!</v>
      </c>
      <c r="U814" s="233" t="str">
        <f t="shared" ca="1" si="142"/>
        <v>#REF!</v>
      </c>
      <c r="V814" s="233" t="str">
        <f t="shared" ca="1" si="7"/>
        <v>#REF!</v>
      </c>
      <c r="W814" s="234">
        <v>0</v>
      </c>
      <c r="X814" s="234" t="str">
        <f t="shared" ca="1" si="8"/>
        <v>#REF!</v>
      </c>
      <c r="Y814" s="234" t="str">
        <f t="shared" ca="1" si="9"/>
        <v>#REF!</v>
      </c>
      <c r="Z814" s="234" t="str">
        <f t="shared" ca="1" si="10"/>
        <v>#REF!</v>
      </c>
      <c r="AA814" s="234" t="str">
        <f t="shared" ca="1" si="11"/>
        <v>#REF!</v>
      </c>
      <c r="AB814" s="234" t="str">
        <f t="shared" ca="1" si="12"/>
        <v>#REF!</v>
      </c>
      <c r="AC814" s="234" t="str">
        <f t="shared" ca="1" si="13"/>
        <v>#REF!</v>
      </c>
      <c r="AD814" s="101" t="str">
        <f t="shared" ca="1" si="14"/>
        <v>#REF!</v>
      </c>
      <c r="AE814" s="101" t="str">
        <f t="shared" ca="1" si="15"/>
        <v>#REF!</v>
      </c>
      <c r="AF814" s="235" t="str">
        <f t="shared" ref="AF814:AG814" ca="1" si="891">AD814/U814</f>
        <v>#REF!</v>
      </c>
      <c r="AG814" s="235" t="str">
        <f t="shared" ca="1" si="891"/>
        <v>#REF!</v>
      </c>
      <c r="AH814" s="212"/>
      <c r="AI814" s="213"/>
      <c r="AJ814" s="4"/>
      <c r="AK814" s="4"/>
      <c r="AL814" s="4"/>
      <c r="AM814" s="4"/>
      <c r="AN814" s="4"/>
      <c r="AO814" s="4"/>
      <c r="AP814" s="4"/>
      <c r="AQ814" s="4"/>
      <c r="AR814" s="4"/>
      <c r="AS814" s="4"/>
      <c r="AT814" s="4"/>
      <c r="AU814" s="4"/>
    </row>
    <row r="815" spans="1:47" ht="13.2">
      <c r="A815" s="120"/>
      <c r="B815" s="113"/>
      <c r="C815" s="117"/>
      <c r="D815" s="117"/>
      <c r="E815" s="117"/>
      <c r="F815" s="123"/>
      <c r="G815" s="93" t="s">
        <v>145</v>
      </c>
      <c r="H815" s="125"/>
      <c r="I815" s="125"/>
      <c r="J815" s="82" t="str">
        <f t="shared" ca="1" si="147"/>
        <v>#REF!</v>
      </c>
      <c r="K815" s="82" t="str">
        <f t="shared" ca="1" si="256"/>
        <v>#REF!</v>
      </c>
      <c r="L815" s="82" t="str">
        <f t="shared" ca="1" si="199"/>
        <v>#REF!</v>
      </c>
      <c r="M815" s="125"/>
      <c r="N815" s="125"/>
      <c r="O815" s="230">
        <f t="shared" si="2"/>
        <v>0</v>
      </c>
      <c r="P815" s="231">
        <f t="shared" si="3"/>
        <v>0</v>
      </c>
      <c r="Q815" s="232" t="str">
        <f ca="1">ROUNDUP(HLOOKUP(IF(CEILING(L815,0.5)&lt;1,1,CEILING(L815,0.5)),'배송비 조회'!A$32:AY$36,2,0),-2)</f>
        <v>#REF!</v>
      </c>
      <c r="R815" s="232">
        <v>0</v>
      </c>
      <c r="S815" s="231" t="str">
        <f t="shared" ca="1" si="250"/>
        <v>#REF!</v>
      </c>
      <c r="T815" s="231" t="str">
        <f t="shared" ca="1" si="200"/>
        <v>#REF!</v>
      </c>
      <c r="U815" s="233" t="str">
        <f t="shared" ca="1" si="142"/>
        <v>#REF!</v>
      </c>
      <c r="V815" s="233" t="str">
        <f t="shared" ca="1" si="7"/>
        <v>#REF!</v>
      </c>
      <c r="W815" s="234">
        <v>0</v>
      </c>
      <c r="X815" s="234" t="str">
        <f t="shared" ca="1" si="8"/>
        <v>#REF!</v>
      </c>
      <c r="Y815" s="234" t="str">
        <f t="shared" ca="1" si="9"/>
        <v>#REF!</v>
      </c>
      <c r="Z815" s="234" t="str">
        <f t="shared" ca="1" si="10"/>
        <v>#REF!</v>
      </c>
      <c r="AA815" s="234" t="str">
        <f t="shared" ca="1" si="11"/>
        <v>#REF!</v>
      </c>
      <c r="AB815" s="234" t="str">
        <f t="shared" ca="1" si="12"/>
        <v>#REF!</v>
      </c>
      <c r="AC815" s="234" t="str">
        <f t="shared" ca="1" si="13"/>
        <v>#REF!</v>
      </c>
      <c r="AD815" s="101" t="str">
        <f t="shared" ca="1" si="14"/>
        <v>#REF!</v>
      </c>
      <c r="AE815" s="101" t="str">
        <f t="shared" ca="1" si="15"/>
        <v>#REF!</v>
      </c>
      <c r="AF815" s="235" t="str">
        <f t="shared" ref="AF815:AG815" ca="1" si="892">AD815/U815</f>
        <v>#REF!</v>
      </c>
      <c r="AG815" s="235" t="str">
        <f t="shared" ca="1" si="892"/>
        <v>#REF!</v>
      </c>
      <c r="AH815" s="212"/>
      <c r="AI815" s="213"/>
      <c r="AJ815" s="4"/>
      <c r="AK815" s="4"/>
      <c r="AL815" s="4"/>
      <c r="AM815" s="4"/>
      <c r="AN815" s="4"/>
      <c r="AO815" s="4"/>
      <c r="AP815" s="4"/>
      <c r="AQ815" s="4"/>
      <c r="AR815" s="4"/>
      <c r="AS815" s="4"/>
      <c r="AT815" s="4"/>
      <c r="AU815" s="4"/>
    </row>
    <row r="816" spans="1:47" ht="13.2">
      <c r="A816" s="120"/>
      <c r="B816" s="113"/>
      <c r="C816" s="117"/>
      <c r="D816" s="117"/>
      <c r="E816" s="117"/>
      <c r="F816" s="123"/>
      <c r="G816" s="93" t="s">
        <v>145</v>
      </c>
      <c r="H816" s="125"/>
      <c r="I816" s="125"/>
      <c r="J816" s="82" t="str">
        <f t="shared" ca="1" si="147"/>
        <v>#REF!</v>
      </c>
      <c r="K816" s="82" t="str">
        <f t="shared" ca="1" si="256"/>
        <v>#REF!</v>
      </c>
      <c r="L816" s="82" t="str">
        <f t="shared" ca="1" si="199"/>
        <v>#REF!</v>
      </c>
      <c r="M816" s="125"/>
      <c r="N816" s="125"/>
      <c r="O816" s="230">
        <f t="shared" si="2"/>
        <v>0</v>
      </c>
      <c r="P816" s="231">
        <f t="shared" si="3"/>
        <v>0</v>
      </c>
      <c r="Q816" s="232" t="str">
        <f ca="1">ROUNDUP(HLOOKUP(IF(CEILING(L816,0.5)&lt;1,1,CEILING(L816,0.5)),'배송비 조회'!A$32:AY$36,2,0),-2)</f>
        <v>#REF!</v>
      </c>
      <c r="R816" s="232">
        <v>0</v>
      </c>
      <c r="S816" s="231" t="str">
        <f t="shared" ca="1" si="250"/>
        <v>#REF!</v>
      </c>
      <c r="T816" s="231" t="str">
        <f t="shared" ca="1" si="200"/>
        <v>#REF!</v>
      </c>
      <c r="U816" s="233" t="str">
        <f t="shared" ca="1" si="142"/>
        <v>#REF!</v>
      </c>
      <c r="V816" s="233" t="str">
        <f t="shared" ca="1" si="7"/>
        <v>#REF!</v>
      </c>
      <c r="W816" s="234">
        <v>0</v>
      </c>
      <c r="X816" s="234" t="str">
        <f t="shared" ca="1" si="8"/>
        <v>#REF!</v>
      </c>
      <c r="Y816" s="234" t="str">
        <f t="shared" ca="1" si="9"/>
        <v>#REF!</v>
      </c>
      <c r="Z816" s="234" t="str">
        <f t="shared" ca="1" si="10"/>
        <v>#REF!</v>
      </c>
      <c r="AA816" s="234" t="str">
        <f t="shared" ca="1" si="11"/>
        <v>#REF!</v>
      </c>
      <c r="AB816" s="234" t="str">
        <f t="shared" ca="1" si="12"/>
        <v>#REF!</v>
      </c>
      <c r="AC816" s="234" t="str">
        <f t="shared" ca="1" si="13"/>
        <v>#REF!</v>
      </c>
      <c r="AD816" s="101" t="str">
        <f t="shared" ca="1" si="14"/>
        <v>#REF!</v>
      </c>
      <c r="AE816" s="101" t="str">
        <f t="shared" ca="1" si="15"/>
        <v>#REF!</v>
      </c>
      <c r="AF816" s="235" t="str">
        <f t="shared" ref="AF816:AG816" ca="1" si="893">AD816/U816</f>
        <v>#REF!</v>
      </c>
      <c r="AG816" s="235" t="str">
        <f t="shared" ca="1" si="893"/>
        <v>#REF!</v>
      </c>
      <c r="AH816" s="212"/>
      <c r="AI816" s="213"/>
      <c r="AJ816" s="4"/>
      <c r="AK816" s="4"/>
      <c r="AL816" s="4"/>
      <c r="AM816" s="4"/>
      <c r="AN816" s="4"/>
      <c r="AO816" s="4"/>
      <c r="AP816" s="4"/>
      <c r="AQ816" s="4"/>
      <c r="AR816" s="4"/>
      <c r="AS816" s="4"/>
      <c r="AT816" s="4"/>
      <c r="AU816" s="4"/>
    </row>
    <row r="817" spans="1:47" ht="13.2">
      <c r="A817" s="120"/>
      <c r="B817" s="113"/>
      <c r="C817" s="117"/>
      <c r="D817" s="117"/>
      <c r="E817" s="117"/>
      <c r="F817" s="123"/>
      <c r="G817" s="93" t="s">
        <v>145</v>
      </c>
      <c r="H817" s="125"/>
      <c r="I817" s="125"/>
      <c r="J817" s="82" t="str">
        <f t="shared" ca="1" si="147"/>
        <v>#REF!</v>
      </c>
      <c r="K817" s="82" t="str">
        <f t="shared" ca="1" si="256"/>
        <v>#REF!</v>
      </c>
      <c r="L817" s="82" t="str">
        <f t="shared" ca="1" si="199"/>
        <v>#REF!</v>
      </c>
      <c r="M817" s="125"/>
      <c r="N817" s="125"/>
      <c r="O817" s="230">
        <f t="shared" si="2"/>
        <v>0</v>
      </c>
      <c r="P817" s="231">
        <f t="shared" si="3"/>
        <v>0</v>
      </c>
      <c r="Q817" s="232" t="str">
        <f ca="1">ROUNDUP(HLOOKUP(IF(CEILING(L817,0.5)&lt;1,1,CEILING(L817,0.5)),'배송비 조회'!A$32:AY$36,2,0),-2)</f>
        <v>#REF!</v>
      </c>
      <c r="R817" s="232">
        <v>0</v>
      </c>
      <c r="S817" s="231" t="str">
        <f t="shared" ca="1" si="250"/>
        <v>#REF!</v>
      </c>
      <c r="T817" s="231" t="str">
        <f t="shared" ca="1" si="200"/>
        <v>#REF!</v>
      </c>
      <c r="U817" s="233" t="str">
        <f t="shared" ca="1" si="142"/>
        <v>#REF!</v>
      </c>
      <c r="V817" s="233" t="str">
        <f t="shared" ca="1" si="7"/>
        <v>#REF!</v>
      </c>
      <c r="W817" s="234">
        <v>0</v>
      </c>
      <c r="X817" s="234" t="str">
        <f t="shared" ca="1" si="8"/>
        <v>#REF!</v>
      </c>
      <c r="Y817" s="234" t="str">
        <f t="shared" ca="1" si="9"/>
        <v>#REF!</v>
      </c>
      <c r="Z817" s="234" t="str">
        <f t="shared" ca="1" si="10"/>
        <v>#REF!</v>
      </c>
      <c r="AA817" s="234" t="str">
        <f t="shared" ca="1" si="11"/>
        <v>#REF!</v>
      </c>
      <c r="AB817" s="234" t="str">
        <f t="shared" ca="1" si="12"/>
        <v>#REF!</v>
      </c>
      <c r="AC817" s="234" t="str">
        <f t="shared" ca="1" si="13"/>
        <v>#REF!</v>
      </c>
      <c r="AD817" s="101" t="str">
        <f t="shared" ca="1" si="14"/>
        <v>#REF!</v>
      </c>
      <c r="AE817" s="101" t="str">
        <f t="shared" ca="1" si="15"/>
        <v>#REF!</v>
      </c>
      <c r="AF817" s="235" t="str">
        <f t="shared" ref="AF817:AG817" ca="1" si="894">AD817/U817</f>
        <v>#REF!</v>
      </c>
      <c r="AG817" s="235" t="str">
        <f t="shared" ca="1" si="894"/>
        <v>#REF!</v>
      </c>
      <c r="AH817" s="212"/>
      <c r="AI817" s="213"/>
      <c r="AJ817" s="4"/>
      <c r="AK817" s="4"/>
      <c r="AL817" s="4"/>
      <c r="AM817" s="4"/>
      <c r="AN817" s="4"/>
      <c r="AO817" s="4"/>
      <c r="AP817" s="4"/>
      <c r="AQ817" s="4"/>
      <c r="AR817" s="4"/>
      <c r="AS817" s="4"/>
      <c r="AT817" s="4"/>
      <c r="AU817" s="4"/>
    </row>
    <row r="818" spans="1:47" ht="13.2">
      <c r="A818" s="120"/>
      <c r="B818" s="113"/>
      <c r="C818" s="117"/>
      <c r="D818" s="117"/>
      <c r="E818" s="117"/>
      <c r="F818" s="123"/>
      <c r="G818" s="93" t="s">
        <v>145</v>
      </c>
      <c r="H818" s="125"/>
      <c r="I818" s="125"/>
      <c r="J818" s="82" t="str">
        <f t="shared" ca="1" si="147"/>
        <v>#REF!</v>
      </c>
      <c r="K818" s="82" t="str">
        <f t="shared" ca="1" si="256"/>
        <v>#REF!</v>
      </c>
      <c r="L818" s="82" t="str">
        <f t="shared" ca="1" si="199"/>
        <v>#REF!</v>
      </c>
      <c r="M818" s="125"/>
      <c r="N818" s="125"/>
      <c r="O818" s="230">
        <f t="shared" si="2"/>
        <v>0</v>
      </c>
      <c r="P818" s="231">
        <f t="shared" si="3"/>
        <v>0</v>
      </c>
      <c r="Q818" s="232" t="str">
        <f ca="1">ROUNDUP(HLOOKUP(IF(CEILING(L818,0.5)&lt;1,1,CEILING(L818,0.5)),'배송비 조회'!A$32:AY$36,2,0),-2)</f>
        <v>#REF!</v>
      </c>
      <c r="R818" s="232">
        <v>0</v>
      </c>
      <c r="S818" s="231" t="str">
        <f t="shared" ca="1" si="250"/>
        <v>#REF!</v>
      </c>
      <c r="T818" s="231" t="str">
        <f t="shared" ca="1" si="200"/>
        <v>#REF!</v>
      </c>
      <c r="U818" s="233" t="str">
        <f t="shared" ca="1" si="142"/>
        <v>#REF!</v>
      </c>
      <c r="V818" s="233" t="str">
        <f t="shared" ca="1" si="7"/>
        <v>#REF!</v>
      </c>
      <c r="W818" s="234">
        <v>0</v>
      </c>
      <c r="X818" s="234" t="str">
        <f t="shared" ca="1" si="8"/>
        <v>#REF!</v>
      </c>
      <c r="Y818" s="234" t="str">
        <f t="shared" ca="1" si="9"/>
        <v>#REF!</v>
      </c>
      <c r="Z818" s="234" t="str">
        <f t="shared" ca="1" si="10"/>
        <v>#REF!</v>
      </c>
      <c r="AA818" s="234" t="str">
        <f t="shared" ca="1" si="11"/>
        <v>#REF!</v>
      </c>
      <c r="AB818" s="234" t="str">
        <f t="shared" ca="1" si="12"/>
        <v>#REF!</v>
      </c>
      <c r="AC818" s="234" t="str">
        <f t="shared" ca="1" si="13"/>
        <v>#REF!</v>
      </c>
      <c r="AD818" s="101" t="str">
        <f t="shared" ca="1" si="14"/>
        <v>#REF!</v>
      </c>
      <c r="AE818" s="101" t="str">
        <f t="shared" ca="1" si="15"/>
        <v>#REF!</v>
      </c>
      <c r="AF818" s="235" t="str">
        <f t="shared" ref="AF818:AG818" ca="1" si="895">AD818/U818</f>
        <v>#REF!</v>
      </c>
      <c r="AG818" s="235" t="str">
        <f t="shared" ca="1" si="895"/>
        <v>#REF!</v>
      </c>
      <c r="AH818" s="212"/>
      <c r="AI818" s="213"/>
      <c r="AJ818" s="4"/>
      <c r="AK818" s="4"/>
      <c r="AL818" s="4"/>
      <c r="AM818" s="4"/>
      <c r="AN818" s="4"/>
      <c r="AO818" s="4"/>
      <c r="AP818" s="4"/>
      <c r="AQ818" s="4"/>
      <c r="AR818" s="4"/>
      <c r="AS818" s="4"/>
      <c r="AT818" s="4"/>
      <c r="AU818" s="4"/>
    </row>
    <row r="819" spans="1:47" ht="13.2">
      <c r="A819" s="120"/>
      <c r="B819" s="113"/>
      <c r="C819" s="117"/>
      <c r="D819" s="117"/>
      <c r="E819" s="117"/>
      <c r="F819" s="123"/>
      <c r="G819" s="93" t="s">
        <v>145</v>
      </c>
      <c r="H819" s="125"/>
      <c r="I819" s="125"/>
      <c r="J819" s="82" t="str">
        <f t="shared" ca="1" si="147"/>
        <v>#REF!</v>
      </c>
      <c r="K819" s="82" t="str">
        <f t="shared" ca="1" si="256"/>
        <v>#REF!</v>
      </c>
      <c r="L819" s="82" t="str">
        <f t="shared" ca="1" si="199"/>
        <v>#REF!</v>
      </c>
      <c r="M819" s="125"/>
      <c r="N819" s="125"/>
      <c r="O819" s="230">
        <f t="shared" si="2"/>
        <v>0</v>
      </c>
      <c r="P819" s="231">
        <f t="shared" si="3"/>
        <v>0</v>
      </c>
      <c r="Q819" s="232" t="str">
        <f ca="1">ROUNDUP(HLOOKUP(IF(CEILING(L819,0.5)&lt;1,1,CEILING(L819,0.5)),'배송비 조회'!A$32:AY$36,2,0),-2)</f>
        <v>#REF!</v>
      </c>
      <c r="R819" s="232">
        <v>0</v>
      </c>
      <c r="S819" s="231" t="str">
        <f t="shared" ca="1" si="250"/>
        <v>#REF!</v>
      </c>
      <c r="T819" s="231" t="str">
        <f t="shared" ca="1" si="200"/>
        <v>#REF!</v>
      </c>
      <c r="U819" s="233" t="str">
        <f t="shared" ca="1" si="142"/>
        <v>#REF!</v>
      </c>
      <c r="V819" s="233" t="str">
        <f t="shared" ca="1" si="7"/>
        <v>#REF!</v>
      </c>
      <c r="W819" s="234">
        <v>0</v>
      </c>
      <c r="X819" s="234" t="str">
        <f t="shared" ca="1" si="8"/>
        <v>#REF!</v>
      </c>
      <c r="Y819" s="234" t="str">
        <f t="shared" ca="1" si="9"/>
        <v>#REF!</v>
      </c>
      <c r="Z819" s="234" t="str">
        <f t="shared" ca="1" si="10"/>
        <v>#REF!</v>
      </c>
      <c r="AA819" s="234" t="str">
        <f t="shared" ca="1" si="11"/>
        <v>#REF!</v>
      </c>
      <c r="AB819" s="234" t="str">
        <f t="shared" ca="1" si="12"/>
        <v>#REF!</v>
      </c>
      <c r="AC819" s="234" t="str">
        <f t="shared" ca="1" si="13"/>
        <v>#REF!</v>
      </c>
      <c r="AD819" s="101" t="str">
        <f t="shared" ca="1" si="14"/>
        <v>#REF!</v>
      </c>
      <c r="AE819" s="101" t="str">
        <f t="shared" ca="1" si="15"/>
        <v>#REF!</v>
      </c>
      <c r="AF819" s="235" t="str">
        <f t="shared" ref="AF819:AG819" ca="1" si="896">AD819/U819</f>
        <v>#REF!</v>
      </c>
      <c r="AG819" s="235" t="str">
        <f t="shared" ca="1" si="896"/>
        <v>#REF!</v>
      </c>
      <c r="AH819" s="212"/>
      <c r="AI819" s="213"/>
      <c r="AJ819" s="4"/>
      <c r="AK819" s="4"/>
      <c r="AL819" s="4"/>
      <c r="AM819" s="4"/>
      <c r="AN819" s="4"/>
      <c r="AO819" s="4"/>
      <c r="AP819" s="4"/>
      <c r="AQ819" s="4"/>
      <c r="AR819" s="4"/>
      <c r="AS819" s="4"/>
      <c r="AT819" s="4"/>
      <c r="AU819" s="4"/>
    </row>
    <row r="820" spans="1:47" ht="13.2">
      <c r="A820" s="120"/>
      <c r="B820" s="113"/>
      <c r="C820" s="117"/>
      <c r="D820" s="117"/>
      <c r="E820" s="117"/>
      <c r="F820" s="123"/>
      <c r="G820" s="93" t="s">
        <v>145</v>
      </c>
      <c r="H820" s="125"/>
      <c r="I820" s="125"/>
      <c r="J820" s="82" t="str">
        <f t="shared" ca="1" si="147"/>
        <v>#REF!</v>
      </c>
      <c r="K820" s="82" t="str">
        <f t="shared" ca="1" si="256"/>
        <v>#REF!</v>
      </c>
      <c r="L820" s="82" t="str">
        <f t="shared" ca="1" si="199"/>
        <v>#REF!</v>
      </c>
      <c r="M820" s="125"/>
      <c r="N820" s="125"/>
      <c r="O820" s="230">
        <f t="shared" si="2"/>
        <v>0</v>
      </c>
      <c r="P820" s="231">
        <f t="shared" si="3"/>
        <v>0</v>
      </c>
      <c r="Q820" s="232" t="str">
        <f ca="1">ROUNDUP(HLOOKUP(IF(CEILING(L820,0.5)&lt;1,1,CEILING(L820,0.5)),'배송비 조회'!A$32:AY$36,2,0),-2)</f>
        <v>#REF!</v>
      </c>
      <c r="R820" s="232">
        <v>0</v>
      </c>
      <c r="S820" s="231" t="str">
        <f t="shared" ca="1" si="250"/>
        <v>#REF!</v>
      </c>
      <c r="T820" s="231" t="str">
        <f t="shared" ca="1" si="200"/>
        <v>#REF!</v>
      </c>
      <c r="U820" s="233" t="str">
        <f t="shared" ca="1" si="142"/>
        <v>#REF!</v>
      </c>
      <c r="V820" s="233" t="str">
        <f t="shared" ca="1" si="7"/>
        <v>#REF!</v>
      </c>
      <c r="W820" s="234">
        <v>0</v>
      </c>
      <c r="X820" s="234" t="str">
        <f t="shared" ca="1" si="8"/>
        <v>#REF!</v>
      </c>
      <c r="Y820" s="234" t="str">
        <f t="shared" ca="1" si="9"/>
        <v>#REF!</v>
      </c>
      <c r="Z820" s="234" t="str">
        <f t="shared" ca="1" si="10"/>
        <v>#REF!</v>
      </c>
      <c r="AA820" s="234" t="str">
        <f t="shared" ca="1" si="11"/>
        <v>#REF!</v>
      </c>
      <c r="AB820" s="234" t="str">
        <f t="shared" ca="1" si="12"/>
        <v>#REF!</v>
      </c>
      <c r="AC820" s="234" t="str">
        <f t="shared" ca="1" si="13"/>
        <v>#REF!</v>
      </c>
      <c r="AD820" s="101" t="str">
        <f t="shared" ca="1" si="14"/>
        <v>#REF!</v>
      </c>
      <c r="AE820" s="101" t="str">
        <f t="shared" ca="1" si="15"/>
        <v>#REF!</v>
      </c>
      <c r="AF820" s="235" t="str">
        <f t="shared" ref="AF820:AG820" ca="1" si="897">AD820/U820</f>
        <v>#REF!</v>
      </c>
      <c r="AG820" s="235" t="str">
        <f t="shared" ca="1" si="897"/>
        <v>#REF!</v>
      </c>
      <c r="AH820" s="212"/>
      <c r="AI820" s="213"/>
      <c r="AJ820" s="4"/>
      <c r="AK820" s="4"/>
      <c r="AL820" s="4"/>
      <c r="AM820" s="4"/>
      <c r="AN820" s="4"/>
      <c r="AO820" s="4"/>
      <c r="AP820" s="4"/>
      <c r="AQ820" s="4"/>
      <c r="AR820" s="4"/>
      <c r="AS820" s="4"/>
      <c r="AT820" s="4"/>
      <c r="AU820" s="4"/>
    </row>
    <row r="821" spans="1:47" ht="13.2">
      <c r="A821" s="120"/>
      <c r="B821" s="113"/>
      <c r="C821" s="117"/>
      <c r="D821" s="117"/>
      <c r="E821" s="117"/>
      <c r="F821" s="123"/>
      <c r="G821" s="93" t="s">
        <v>145</v>
      </c>
      <c r="H821" s="125"/>
      <c r="I821" s="125"/>
      <c r="J821" s="82" t="str">
        <f t="shared" ca="1" si="147"/>
        <v>#REF!</v>
      </c>
      <c r="K821" s="82" t="str">
        <f t="shared" ca="1" si="256"/>
        <v>#REF!</v>
      </c>
      <c r="L821" s="82" t="str">
        <f t="shared" ca="1" si="199"/>
        <v>#REF!</v>
      </c>
      <c r="M821" s="125"/>
      <c r="N821" s="125"/>
      <c r="O821" s="230">
        <f t="shared" si="2"/>
        <v>0</v>
      </c>
      <c r="P821" s="231">
        <f t="shared" si="3"/>
        <v>0</v>
      </c>
      <c r="Q821" s="232" t="str">
        <f ca="1">ROUNDUP(HLOOKUP(IF(CEILING(L821,0.5)&lt;1,1,CEILING(L821,0.5)),'배송비 조회'!A$32:AY$36,2,0),-2)</f>
        <v>#REF!</v>
      </c>
      <c r="R821" s="232">
        <v>0</v>
      </c>
      <c r="S821" s="231" t="str">
        <f t="shared" ca="1" si="250"/>
        <v>#REF!</v>
      </c>
      <c r="T821" s="231" t="str">
        <f t="shared" ca="1" si="200"/>
        <v>#REF!</v>
      </c>
      <c r="U821" s="233" t="str">
        <f t="shared" ca="1" si="142"/>
        <v>#REF!</v>
      </c>
      <c r="V821" s="233" t="str">
        <f t="shared" ca="1" si="7"/>
        <v>#REF!</v>
      </c>
      <c r="W821" s="234">
        <v>0</v>
      </c>
      <c r="X821" s="234" t="str">
        <f t="shared" ca="1" si="8"/>
        <v>#REF!</v>
      </c>
      <c r="Y821" s="234" t="str">
        <f t="shared" ca="1" si="9"/>
        <v>#REF!</v>
      </c>
      <c r="Z821" s="234" t="str">
        <f t="shared" ca="1" si="10"/>
        <v>#REF!</v>
      </c>
      <c r="AA821" s="234" t="str">
        <f t="shared" ca="1" si="11"/>
        <v>#REF!</v>
      </c>
      <c r="AB821" s="234" t="str">
        <f t="shared" ca="1" si="12"/>
        <v>#REF!</v>
      </c>
      <c r="AC821" s="234" t="str">
        <f t="shared" ca="1" si="13"/>
        <v>#REF!</v>
      </c>
      <c r="AD821" s="101" t="str">
        <f t="shared" ca="1" si="14"/>
        <v>#REF!</v>
      </c>
      <c r="AE821" s="101" t="str">
        <f t="shared" ca="1" si="15"/>
        <v>#REF!</v>
      </c>
      <c r="AF821" s="235" t="str">
        <f t="shared" ref="AF821:AG821" ca="1" si="898">AD821/U821</f>
        <v>#REF!</v>
      </c>
      <c r="AG821" s="235" t="str">
        <f t="shared" ca="1" si="898"/>
        <v>#REF!</v>
      </c>
      <c r="AH821" s="212"/>
      <c r="AI821" s="213"/>
      <c r="AJ821" s="4"/>
      <c r="AK821" s="4"/>
      <c r="AL821" s="4"/>
      <c r="AM821" s="4"/>
      <c r="AN821" s="4"/>
      <c r="AO821" s="4"/>
      <c r="AP821" s="4"/>
      <c r="AQ821" s="4"/>
      <c r="AR821" s="4"/>
      <c r="AS821" s="4"/>
      <c r="AT821" s="4"/>
      <c r="AU821" s="4"/>
    </row>
    <row r="822" spans="1:47" ht="13.2">
      <c r="A822" s="120"/>
      <c r="B822" s="113"/>
      <c r="C822" s="117"/>
      <c r="D822" s="117"/>
      <c r="E822" s="117"/>
      <c r="F822" s="123"/>
      <c r="G822" s="93" t="s">
        <v>145</v>
      </c>
      <c r="H822" s="125"/>
      <c r="I822" s="125"/>
      <c r="J822" s="82" t="str">
        <f t="shared" ca="1" si="147"/>
        <v>#REF!</v>
      </c>
      <c r="K822" s="82" t="str">
        <f t="shared" ca="1" si="256"/>
        <v>#REF!</v>
      </c>
      <c r="L822" s="82" t="str">
        <f t="shared" ca="1" si="199"/>
        <v>#REF!</v>
      </c>
      <c r="M822" s="125"/>
      <c r="N822" s="125"/>
      <c r="O822" s="230">
        <f t="shared" si="2"/>
        <v>0</v>
      </c>
      <c r="P822" s="231">
        <f t="shared" si="3"/>
        <v>0</v>
      </c>
      <c r="Q822" s="232" t="str">
        <f ca="1">ROUNDUP(HLOOKUP(IF(CEILING(L822,0.5)&lt;1,1,CEILING(L822,0.5)),'배송비 조회'!A$32:AY$36,2,0),-2)</f>
        <v>#REF!</v>
      </c>
      <c r="R822" s="232">
        <v>0</v>
      </c>
      <c r="S822" s="231" t="str">
        <f t="shared" ca="1" si="250"/>
        <v>#REF!</v>
      </c>
      <c r="T822" s="231" t="str">
        <f t="shared" ca="1" si="200"/>
        <v>#REF!</v>
      </c>
      <c r="U822" s="233" t="str">
        <f t="shared" ca="1" si="142"/>
        <v>#REF!</v>
      </c>
      <c r="V822" s="233" t="str">
        <f t="shared" ca="1" si="7"/>
        <v>#REF!</v>
      </c>
      <c r="W822" s="234">
        <v>0</v>
      </c>
      <c r="X822" s="234" t="str">
        <f t="shared" ca="1" si="8"/>
        <v>#REF!</v>
      </c>
      <c r="Y822" s="234" t="str">
        <f t="shared" ca="1" si="9"/>
        <v>#REF!</v>
      </c>
      <c r="Z822" s="234" t="str">
        <f t="shared" ca="1" si="10"/>
        <v>#REF!</v>
      </c>
      <c r="AA822" s="234" t="str">
        <f t="shared" ca="1" si="11"/>
        <v>#REF!</v>
      </c>
      <c r="AB822" s="234" t="str">
        <f t="shared" ca="1" si="12"/>
        <v>#REF!</v>
      </c>
      <c r="AC822" s="234" t="str">
        <f t="shared" ca="1" si="13"/>
        <v>#REF!</v>
      </c>
      <c r="AD822" s="101" t="str">
        <f t="shared" ca="1" si="14"/>
        <v>#REF!</v>
      </c>
      <c r="AE822" s="101" t="str">
        <f t="shared" ca="1" si="15"/>
        <v>#REF!</v>
      </c>
      <c r="AF822" s="235" t="str">
        <f t="shared" ref="AF822:AG822" ca="1" si="899">AD822/U822</f>
        <v>#REF!</v>
      </c>
      <c r="AG822" s="235" t="str">
        <f t="shared" ca="1" si="899"/>
        <v>#REF!</v>
      </c>
      <c r="AH822" s="212"/>
      <c r="AI822" s="213"/>
      <c r="AJ822" s="4"/>
      <c r="AK822" s="4"/>
      <c r="AL822" s="4"/>
      <c r="AM822" s="4"/>
      <c r="AN822" s="4"/>
      <c r="AO822" s="4"/>
      <c r="AP822" s="4"/>
      <c r="AQ822" s="4"/>
      <c r="AR822" s="4"/>
      <c r="AS822" s="4"/>
      <c r="AT822" s="4"/>
      <c r="AU822" s="4"/>
    </row>
    <row r="823" spans="1:47" ht="13.2">
      <c r="A823" s="120"/>
      <c r="B823" s="113"/>
      <c r="C823" s="117"/>
      <c r="D823" s="117"/>
      <c r="E823" s="117"/>
      <c r="F823" s="123"/>
      <c r="G823" s="93" t="s">
        <v>145</v>
      </c>
      <c r="H823" s="125"/>
      <c r="I823" s="125"/>
      <c r="J823" s="82" t="str">
        <f t="shared" ca="1" si="147"/>
        <v>#REF!</v>
      </c>
      <c r="K823" s="82" t="str">
        <f t="shared" ca="1" si="256"/>
        <v>#REF!</v>
      </c>
      <c r="L823" s="82" t="str">
        <f t="shared" ca="1" si="199"/>
        <v>#REF!</v>
      </c>
      <c r="M823" s="125"/>
      <c r="N823" s="125"/>
      <c r="O823" s="230">
        <f t="shared" si="2"/>
        <v>0</v>
      </c>
      <c r="P823" s="231">
        <f t="shared" si="3"/>
        <v>0</v>
      </c>
      <c r="Q823" s="232" t="str">
        <f ca="1">ROUNDUP(HLOOKUP(IF(CEILING(L823,0.5)&lt;1,1,CEILING(L823,0.5)),'배송비 조회'!A$32:AY$36,2,0),-2)</f>
        <v>#REF!</v>
      </c>
      <c r="R823" s="232">
        <v>0</v>
      </c>
      <c r="S823" s="231" t="str">
        <f t="shared" ca="1" si="250"/>
        <v>#REF!</v>
      </c>
      <c r="T823" s="231" t="str">
        <f t="shared" ca="1" si="200"/>
        <v>#REF!</v>
      </c>
      <c r="U823" s="233" t="str">
        <f t="shared" ca="1" si="142"/>
        <v>#REF!</v>
      </c>
      <c r="V823" s="233" t="str">
        <f t="shared" ca="1" si="7"/>
        <v>#REF!</v>
      </c>
      <c r="W823" s="234">
        <v>0</v>
      </c>
      <c r="X823" s="234" t="str">
        <f t="shared" ca="1" si="8"/>
        <v>#REF!</v>
      </c>
      <c r="Y823" s="234" t="str">
        <f t="shared" ca="1" si="9"/>
        <v>#REF!</v>
      </c>
      <c r="Z823" s="234" t="str">
        <f t="shared" ca="1" si="10"/>
        <v>#REF!</v>
      </c>
      <c r="AA823" s="234" t="str">
        <f t="shared" ca="1" si="11"/>
        <v>#REF!</v>
      </c>
      <c r="AB823" s="234" t="str">
        <f t="shared" ca="1" si="12"/>
        <v>#REF!</v>
      </c>
      <c r="AC823" s="234" t="str">
        <f t="shared" ca="1" si="13"/>
        <v>#REF!</v>
      </c>
      <c r="AD823" s="101" t="str">
        <f t="shared" ca="1" si="14"/>
        <v>#REF!</v>
      </c>
      <c r="AE823" s="101" t="str">
        <f t="shared" ca="1" si="15"/>
        <v>#REF!</v>
      </c>
      <c r="AF823" s="235" t="str">
        <f t="shared" ref="AF823:AG823" ca="1" si="900">AD823/U823</f>
        <v>#REF!</v>
      </c>
      <c r="AG823" s="235" t="str">
        <f t="shared" ca="1" si="900"/>
        <v>#REF!</v>
      </c>
      <c r="AH823" s="212"/>
      <c r="AI823" s="213"/>
      <c r="AJ823" s="4"/>
      <c r="AK823" s="4"/>
      <c r="AL823" s="4"/>
      <c r="AM823" s="4"/>
      <c r="AN823" s="4"/>
      <c r="AO823" s="4"/>
      <c r="AP823" s="4"/>
      <c r="AQ823" s="4"/>
      <c r="AR823" s="4"/>
      <c r="AS823" s="4"/>
      <c r="AT823" s="4"/>
      <c r="AU823" s="4"/>
    </row>
    <row r="824" spans="1:47" ht="13.2">
      <c r="A824" s="120"/>
      <c r="B824" s="113"/>
      <c r="C824" s="117"/>
      <c r="D824" s="117"/>
      <c r="E824" s="117"/>
      <c r="F824" s="123"/>
      <c r="G824" s="93" t="s">
        <v>145</v>
      </c>
      <c r="H824" s="125"/>
      <c r="I824" s="125"/>
      <c r="J824" s="82" t="str">
        <f t="shared" ca="1" si="147"/>
        <v>#REF!</v>
      </c>
      <c r="K824" s="82" t="str">
        <f t="shared" ca="1" si="256"/>
        <v>#REF!</v>
      </c>
      <c r="L824" s="82" t="str">
        <f t="shared" ca="1" si="199"/>
        <v>#REF!</v>
      </c>
      <c r="M824" s="125"/>
      <c r="N824" s="125"/>
      <c r="O824" s="230">
        <f t="shared" si="2"/>
        <v>0</v>
      </c>
      <c r="P824" s="231">
        <f t="shared" si="3"/>
        <v>0</v>
      </c>
      <c r="Q824" s="232" t="str">
        <f ca="1">ROUNDUP(HLOOKUP(IF(CEILING(L824,0.5)&lt;1,1,CEILING(L824,0.5)),'배송비 조회'!A$32:AY$36,2,0),-2)</f>
        <v>#REF!</v>
      </c>
      <c r="R824" s="232">
        <v>0</v>
      </c>
      <c r="S824" s="231" t="str">
        <f t="shared" ca="1" si="250"/>
        <v>#REF!</v>
      </c>
      <c r="T824" s="231" t="str">
        <f t="shared" ca="1" si="200"/>
        <v>#REF!</v>
      </c>
      <c r="U824" s="233" t="str">
        <f t="shared" ca="1" si="142"/>
        <v>#REF!</v>
      </c>
      <c r="V824" s="233" t="str">
        <f t="shared" ca="1" si="7"/>
        <v>#REF!</v>
      </c>
      <c r="W824" s="234">
        <v>0</v>
      </c>
      <c r="X824" s="234" t="str">
        <f t="shared" ca="1" si="8"/>
        <v>#REF!</v>
      </c>
      <c r="Y824" s="234" t="str">
        <f t="shared" ca="1" si="9"/>
        <v>#REF!</v>
      </c>
      <c r="Z824" s="234" t="str">
        <f t="shared" ca="1" si="10"/>
        <v>#REF!</v>
      </c>
      <c r="AA824" s="234" t="str">
        <f t="shared" ca="1" si="11"/>
        <v>#REF!</v>
      </c>
      <c r="AB824" s="234" t="str">
        <f t="shared" ca="1" si="12"/>
        <v>#REF!</v>
      </c>
      <c r="AC824" s="234" t="str">
        <f t="shared" ca="1" si="13"/>
        <v>#REF!</v>
      </c>
      <c r="AD824" s="101" t="str">
        <f t="shared" ca="1" si="14"/>
        <v>#REF!</v>
      </c>
      <c r="AE824" s="101" t="str">
        <f t="shared" ca="1" si="15"/>
        <v>#REF!</v>
      </c>
      <c r="AF824" s="235" t="str">
        <f t="shared" ref="AF824:AG824" ca="1" si="901">AD824/U824</f>
        <v>#REF!</v>
      </c>
      <c r="AG824" s="235" t="str">
        <f t="shared" ca="1" si="901"/>
        <v>#REF!</v>
      </c>
      <c r="AH824" s="212"/>
      <c r="AI824" s="213"/>
      <c r="AJ824" s="4"/>
      <c r="AK824" s="4"/>
      <c r="AL824" s="4"/>
      <c r="AM824" s="4"/>
      <c r="AN824" s="4"/>
      <c r="AO824" s="4"/>
      <c r="AP824" s="4"/>
      <c r="AQ824" s="4"/>
      <c r="AR824" s="4"/>
      <c r="AS824" s="4"/>
      <c r="AT824" s="4"/>
      <c r="AU824" s="4"/>
    </row>
    <row r="825" spans="1:47" ht="13.2">
      <c r="A825" s="120"/>
      <c r="B825" s="113"/>
      <c r="C825" s="117"/>
      <c r="D825" s="117"/>
      <c r="E825" s="117"/>
      <c r="F825" s="123"/>
      <c r="G825" s="93" t="s">
        <v>145</v>
      </c>
      <c r="H825" s="125"/>
      <c r="I825" s="125"/>
      <c r="J825" s="82" t="str">
        <f t="shared" ca="1" si="147"/>
        <v>#REF!</v>
      </c>
      <c r="K825" s="82" t="str">
        <f t="shared" ca="1" si="256"/>
        <v>#REF!</v>
      </c>
      <c r="L825" s="82" t="str">
        <f t="shared" ca="1" si="199"/>
        <v>#REF!</v>
      </c>
      <c r="M825" s="125"/>
      <c r="N825" s="125"/>
      <c r="O825" s="230">
        <f t="shared" si="2"/>
        <v>0</v>
      </c>
      <c r="P825" s="231">
        <f t="shared" si="3"/>
        <v>0</v>
      </c>
      <c r="Q825" s="232" t="str">
        <f ca="1">ROUNDUP(HLOOKUP(IF(CEILING(L825,0.5)&lt;1,1,CEILING(L825,0.5)),'배송비 조회'!A$32:AY$36,2,0),-2)</f>
        <v>#REF!</v>
      </c>
      <c r="R825" s="232">
        <v>0</v>
      </c>
      <c r="S825" s="231" t="str">
        <f t="shared" ca="1" si="250"/>
        <v>#REF!</v>
      </c>
      <c r="T825" s="231" t="str">
        <f t="shared" ca="1" si="200"/>
        <v>#REF!</v>
      </c>
      <c r="U825" s="233" t="str">
        <f t="shared" ca="1" si="142"/>
        <v>#REF!</v>
      </c>
      <c r="V825" s="233" t="str">
        <f t="shared" ca="1" si="7"/>
        <v>#REF!</v>
      </c>
      <c r="W825" s="234">
        <v>0</v>
      </c>
      <c r="X825" s="234" t="str">
        <f t="shared" ca="1" si="8"/>
        <v>#REF!</v>
      </c>
      <c r="Y825" s="234" t="str">
        <f t="shared" ca="1" si="9"/>
        <v>#REF!</v>
      </c>
      <c r="Z825" s="234" t="str">
        <f t="shared" ca="1" si="10"/>
        <v>#REF!</v>
      </c>
      <c r="AA825" s="234" t="str">
        <f t="shared" ca="1" si="11"/>
        <v>#REF!</v>
      </c>
      <c r="AB825" s="234" t="str">
        <f t="shared" ca="1" si="12"/>
        <v>#REF!</v>
      </c>
      <c r="AC825" s="234" t="str">
        <f t="shared" ca="1" si="13"/>
        <v>#REF!</v>
      </c>
      <c r="AD825" s="101" t="str">
        <f t="shared" ca="1" si="14"/>
        <v>#REF!</v>
      </c>
      <c r="AE825" s="101" t="str">
        <f t="shared" ca="1" si="15"/>
        <v>#REF!</v>
      </c>
      <c r="AF825" s="235" t="str">
        <f t="shared" ref="AF825:AG825" ca="1" si="902">AD825/U825</f>
        <v>#REF!</v>
      </c>
      <c r="AG825" s="235" t="str">
        <f t="shared" ca="1" si="902"/>
        <v>#REF!</v>
      </c>
      <c r="AH825" s="212"/>
      <c r="AI825" s="213"/>
      <c r="AJ825" s="4"/>
      <c r="AK825" s="4"/>
      <c r="AL825" s="4"/>
      <c r="AM825" s="4"/>
      <c r="AN825" s="4"/>
      <c r="AO825" s="4"/>
      <c r="AP825" s="4"/>
      <c r="AQ825" s="4"/>
      <c r="AR825" s="4"/>
      <c r="AS825" s="4"/>
      <c r="AT825" s="4"/>
      <c r="AU825" s="4"/>
    </row>
    <row r="826" spans="1:47" ht="13.2">
      <c r="A826" s="120"/>
      <c r="B826" s="113"/>
      <c r="C826" s="117"/>
      <c r="D826" s="117"/>
      <c r="E826" s="117"/>
      <c r="F826" s="123"/>
      <c r="G826" s="93" t="s">
        <v>145</v>
      </c>
      <c r="H826" s="125"/>
      <c r="I826" s="125"/>
      <c r="J826" s="82" t="str">
        <f t="shared" ca="1" si="147"/>
        <v>#REF!</v>
      </c>
      <c r="K826" s="82" t="str">
        <f t="shared" ca="1" si="256"/>
        <v>#REF!</v>
      </c>
      <c r="L826" s="82" t="str">
        <f t="shared" ca="1" si="199"/>
        <v>#REF!</v>
      </c>
      <c r="M826" s="125"/>
      <c r="N826" s="125"/>
      <c r="O826" s="230">
        <f t="shared" si="2"/>
        <v>0</v>
      </c>
      <c r="P826" s="231">
        <f t="shared" si="3"/>
        <v>0</v>
      </c>
      <c r="Q826" s="232" t="str">
        <f ca="1">ROUNDUP(HLOOKUP(IF(CEILING(L826,0.5)&lt;1,1,CEILING(L826,0.5)),'배송비 조회'!A$32:AY$36,2,0),-2)</f>
        <v>#REF!</v>
      </c>
      <c r="R826" s="232">
        <v>0</v>
      </c>
      <c r="S826" s="231" t="str">
        <f t="shared" ca="1" si="250"/>
        <v>#REF!</v>
      </c>
      <c r="T826" s="231" t="str">
        <f t="shared" ca="1" si="200"/>
        <v>#REF!</v>
      </c>
      <c r="U826" s="233" t="str">
        <f t="shared" ca="1" si="142"/>
        <v>#REF!</v>
      </c>
      <c r="V826" s="233" t="str">
        <f t="shared" ca="1" si="7"/>
        <v>#REF!</v>
      </c>
      <c r="W826" s="234">
        <v>0</v>
      </c>
      <c r="X826" s="234" t="str">
        <f t="shared" ca="1" si="8"/>
        <v>#REF!</v>
      </c>
      <c r="Y826" s="234" t="str">
        <f t="shared" ca="1" si="9"/>
        <v>#REF!</v>
      </c>
      <c r="Z826" s="234" t="str">
        <f t="shared" ca="1" si="10"/>
        <v>#REF!</v>
      </c>
      <c r="AA826" s="234" t="str">
        <f t="shared" ca="1" si="11"/>
        <v>#REF!</v>
      </c>
      <c r="AB826" s="234" t="str">
        <f t="shared" ca="1" si="12"/>
        <v>#REF!</v>
      </c>
      <c r="AC826" s="234" t="str">
        <f t="shared" ca="1" si="13"/>
        <v>#REF!</v>
      </c>
      <c r="AD826" s="101" t="str">
        <f t="shared" ca="1" si="14"/>
        <v>#REF!</v>
      </c>
      <c r="AE826" s="101" t="str">
        <f t="shared" ca="1" si="15"/>
        <v>#REF!</v>
      </c>
      <c r="AF826" s="235" t="str">
        <f t="shared" ref="AF826:AG826" ca="1" si="903">AD826/U826</f>
        <v>#REF!</v>
      </c>
      <c r="AG826" s="235" t="str">
        <f t="shared" ca="1" si="903"/>
        <v>#REF!</v>
      </c>
      <c r="AH826" s="212"/>
      <c r="AI826" s="213"/>
      <c r="AJ826" s="4"/>
      <c r="AK826" s="4"/>
      <c r="AL826" s="4"/>
      <c r="AM826" s="4"/>
      <c r="AN826" s="4"/>
      <c r="AO826" s="4"/>
      <c r="AP826" s="4"/>
      <c r="AQ826" s="4"/>
      <c r="AR826" s="4"/>
      <c r="AS826" s="4"/>
      <c r="AT826" s="4"/>
      <c r="AU826" s="4"/>
    </row>
    <row r="827" spans="1:47" ht="13.2">
      <c r="A827" s="120"/>
      <c r="B827" s="113"/>
      <c r="C827" s="117"/>
      <c r="D827" s="117"/>
      <c r="E827" s="117"/>
      <c r="F827" s="123"/>
      <c r="G827" s="93" t="s">
        <v>145</v>
      </c>
      <c r="H827" s="125"/>
      <c r="I827" s="125"/>
      <c r="J827" s="82" t="str">
        <f t="shared" ca="1" si="147"/>
        <v>#REF!</v>
      </c>
      <c r="K827" s="82" t="str">
        <f t="shared" ca="1" si="256"/>
        <v>#REF!</v>
      </c>
      <c r="L827" s="82" t="str">
        <f t="shared" ca="1" si="199"/>
        <v>#REF!</v>
      </c>
      <c r="M827" s="125"/>
      <c r="N827" s="125"/>
      <c r="O827" s="230">
        <f t="shared" si="2"/>
        <v>0</v>
      </c>
      <c r="P827" s="231">
        <f t="shared" si="3"/>
        <v>0</v>
      </c>
      <c r="Q827" s="232" t="str">
        <f ca="1">ROUNDUP(HLOOKUP(IF(CEILING(L827,0.5)&lt;1,1,CEILING(L827,0.5)),'배송비 조회'!A$32:AY$36,2,0),-2)</f>
        <v>#REF!</v>
      </c>
      <c r="R827" s="232">
        <v>0</v>
      </c>
      <c r="S827" s="231" t="str">
        <f t="shared" ca="1" si="250"/>
        <v>#REF!</v>
      </c>
      <c r="T827" s="231" t="str">
        <f t="shared" ca="1" si="200"/>
        <v>#REF!</v>
      </c>
      <c r="U827" s="233" t="str">
        <f t="shared" ca="1" si="142"/>
        <v>#REF!</v>
      </c>
      <c r="V827" s="233" t="str">
        <f t="shared" ca="1" si="7"/>
        <v>#REF!</v>
      </c>
      <c r="W827" s="234">
        <v>0</v>
      </c>
      <c r="X827" s="234" t="str">
        <f t="shared" ca="1" si="8"/>
        <v>#REF!</v>
      </c>
      <c r="Y827" s="234" t="str">
        <f t="shared" ca="1" si="9"/>
        <v>#REF!</v>
      </c>
      <c r="Z827" s="234" t="str">
        <f t="shared" ca="1" si="10"/>
        <v>#REF!</v>
      </c>
      <c r="AA827" s="234" t="str">
        <f t="shared" ca="1" si="11"/>
        <v>#REF!</v>
      </c>
      <c r="AB827" s="234" t="str">
        <f t="shared" ca="1" si="12"/>
        <v>#REF!</v>
      </c>
      <c r="AC827" s="234" t="str">
        <f t="shared" ca="1" si="13"/>
        <v>#REF!</v>
      </c>
      <c r="AD827" s="101" t="str">
        <f t="shared" ca="1" si="14"/>
        <v>#REF!</v>
      </c>
      <c r="AE827" s="101" t="str">
        <f t="shared" ca="1" si="15"/>
        <v>#REF!</v>
      </c>
      <c r="AF827" s="235" t="str">
        <f t="shared" ref="AF827:AG827" ca="1" si="904">AD827/U827</f>
        <v>#REF!</v>
      </c>
      <c r="AG827" s="235" t="str">
        <f t="shared" ca="1" si="904"/>
        <v>#REF!</v>
      </c>
      <c r="AH827" s="212"/>
      <c r="AI827" s="213"/>
      <c r="AJ827" s="4"/>
      <c r="AK827" s="4"/>
      <c r="AL827" s="4"/>
      <c r="AM827" s="4"/>
      <c r="AN827" s="4"/>
      <c r="AO827" s="4"/>
      <c r="AP827" s="4"/>
      <c r="AQ827" s="4"/>
      <c r="AR827" s="4"/>
      <c r="AS827" s="4"/>
      <c r="AT827" s="4"/>
      <c r="AU827" s="4"/>
    </row>
    <row r="828" spans="1:47" ht="13.2">
      <c r="A828" s="120"/>
      <c r="B828" s="113"/>
      <c r="C828" s="117"/>
      <c r="D828" s="117"/>
      <c r="E828" s="117"/>
      <c r="F828" s="123"/>
      <c r="G828" s="93" t="s">
        <v>145</v>
      </c>
      <c r="H828" s="125"/>
      <c r="I828" s="125"/>
      <c r="J828" s="82" t="str">
        <f t="shared" ca="1" si="147"/>
        <v>#REF!</v>
      </c>
      <c r="K828" s="82" t="str">
        <f t="shared" ca="1" si="256"/>
        <v>#REF!</v>
      </c>
      <c r="L828" s="82" t="str">
        <f t="shared" ca="1" si="199"/>
        <v>#REF!</v>
      </c>
      <c r="M828" s="125"/>
      <c r="N828" s="125"/>
      <c r="O828" s="230">
        <f t="shared" si="2"/>
        <v>0</v>
      </c>
      <c r="P828" s="231">
        <f t="shared" si="3"/>
        <v>0</v>
      </c>
      <c r="Q828" s="232" t="str">
        <f ca="1">ROUNDUP(HLOOKUP(IF(CEILING(L828,0.5)&lt;1,1,CEILING(L828,0.5)),'배송비 조회'!A$32:AY$36,2,0),-2)</f>
        <v>#REF!</v>
      </c>
      <c r="R828" s="232">
        <v>0</v>
      </c>
      <c r="S828" s="231" t="str">
        <f t="shared" ca="1" si="250"/>
        <v>#REF!</v>
      </c>
      <c r="T828" s="231" t="str">
        <f t="shared" ca="1" si="200"/>
        <v>#REF!</v>
      </c>
      <c r="U828" s="233" t="str">
        <f t="shared" ca="1" si="142"/>
        <v>#REF!</v>
      </c>
      <c r="V828" s="233" t="str">
        <f t="shared" ca="1" si="7"/>
        <v>#REF!</v>
      </c>
      <c r="W828" s="234">
        <v>0</v>
      </c>
      <c r="X828" s="234" t="str">
        <f t="shared" ca="1" si="8"/>
        <v>#REF!</v>
      </c>
      <c r="Y828" s="234" t="str">
        <f t="shared" ca="1" si="9"/>
        <v>#REF!</v>
      </c>
      <c r="Z828" s="234" t="str">
        <f t="shared" ca="1" si="10"/>
        <v>#REF!</v>
      </c>
      <c r="AA828" s="234" t="str">
        <f t="shared" ca="1" si="11"/>
        <v>#REF!</v>
      </c>
      <c r="AB828" s="234" t="str">
        <f t="shared" ca="1" si="12"/>
        <v>#REF!</v>
      </c>
      <c r="AC828" s="234" t="str">
        <f t="shared" ca="1" si="13"/>
        <v>#REF!</v>
      </c>
      <c r="AD828" s="101" t="str">
        <f t="shared" ca="1" si="14"/>
        <v>#REF!</v>
      </c>
      <c r="AE828" s="101" t="str">
        <f t="shared" ca="1" si="15"/>
        <v>#REF!</v>
      </c>
      <c r="AF828" s="235" t="str">
        <f t="shared" ref="AF828:AG828" ca="1" si="905">AD828/U828</f>
        <v>#REF!</v>
      </c>
      <c r="AG828" s="235" t="str">
        <f t="shared" ca="1" si="905"/>
        <v>#REF!</v>
      </c>
      <c r="AH828" s="212"/>
      <c r="AI828" s="213"/>
      <c r="AJ828" s="4"/>
      <c r="AK828" s="4"/>
      <c r="AL828" s="4"/>
      <c r="AM828" s="4"/>
      <c r="AN828" s="4"/>
      <c r="AO828" s="4"/>
      <c r="AP828" s="4"/>
      <c r="AQ828" s="4"/>
      <c r="AR828" s="4"/>
      <c r="AS828" s="4"/>
      <c r="AT828" s="4"/>
      <c r="AU828" s="4"/>
    </row>
    <row r="829" spans="1:47" ht="13.2">
      <c r="A829" s="120"/>
      <c r="B829" s="113"/>
      <c r="C829" s="117"/>
      <c r="D829" s="117"/>
      <c r="E829" s="117"/>
      <c r="F829" s="123"/>
      <c r="G829" s="93" t="s">
        <v>145</v>
      </c>
      <c r="H829" s="125"/>
      <c r="I829" s="125"/>
      <c r="J829" s="82" t="str">
        <f t="shared" ca="1" si="147"/>
        <v>#REF!</v>
      </c>
      <c r="K829" s="82" t="str">
        <f t="shared" ca="1" si="256"/>
        <v>#REF!</v>
      </c>
      <c r="L829" s="82" t="str">
        <f t="shared" ca="1" si="199"/>
        <v>#REF!</v>
      </c>
      <c r="M829" s="125"/>
      <c r="N829" s="125"/>
      <c r="O829" s="230">
        <f t="shared" si="2"/>
        <v>0</v>
      </c>
      <c r="P829" s="231">
        <f t="shared" si="3"/>
        <v>0</v>
      </c>
      <c r="Q829" s="232" t="str">
        <f ca="1">ROUNDUP(HLOOKUP(IF(CEILING(L829,0.5)&lt;1,1,CEILING(L829,0.5)),'배송비 조회'!A$32:AY$36,2,0),-2)</f>
        <v>#REF!</v>
      </c>
      <c r="R829" s="232">
        <v>0</v>
      </c>
      <c r="S829" s="231" t="str">
        <f t="shared" ca="1" si="250"/>
        <v>#REF!</v>
      </c>
      <c r="T829" s="231" t="str">
        <f t="shared" ca="1" si="200"/>
        <v>#REF!</v>
      </c>
      <c r="U829" s="233" t="str">
        <f t="shared" ca="1" si="142"/>
        <v>#REF!</v>
      </c>
      <c r="V829" s="233" t="str">
        <f t="shared" ca="1" si="7"/>
        <v>#REF!</v>
      </c>
      <c r="W829" s="234">
        <v>0</v>
      </c>
      <c r="X829" s="234" t="str">
        <f t="shared" ca="1" si="8"/>
        <v>#REF!</v>
      </c>
      <c r="Y829" s="234" t="str">
        <f t="shared" ca="1" si="9"/>
        <v>#REF!</v>
      </c>
      <c r="Z829" s="234" t="str">
        <f t="shared" ca="1" si="10"/>
        <v>#REF!</v>
      </c>
      <c r="AA829" s="234" t="str">
        <f t="shared" ca="1" si="11"/>
        <v>#REF!</v>
      </c>
      <c r="AB829" s="234" t="str">
        <f t="shared" ca="1" si="12"/>
        <v>#REF!</v>
      </c>
      <c r="AC829" s="234" t="str">
        <f t="shared" ca="1" si="13"/>
        <v>#REF!</v>
      </c>
      <c r="AD829" s="101" t="str">
        <f t="shared" ca="1" si="14"/>
        <v>#REF!</v>
      </c>
      <c r="AE829" s="101" t="str">
        <f t="shared" ca="1" si="15"/>
        <v>#REF!</v>
      </c>
      <c r="AF829" s="235" t="str">
        <f t="shared" ref="AF829:AG829" ca="1" si="906">AD829/U829</f>
        <v>#REF!</v>
      </c>
      <c r="AG829" s="235" t="str">
        <f t="shared" ca="1" si="906"/>
        <v>#REF!</v>
      </c>
      <c r="AH829" s="212"/>
      <c r="AI829" s="213"/>
      <c r="AJ829" s="4"/>
      <c r="AK829" s="4"/>
      <c r="AL829" s="4"/>
      <c r="AM829" s="4"/>
      <c r="AN829" s="4"/>
      <c r="AO829" s="4"/>
      <c r="AP829" s="4"/>
      <c r="AQ829" s="4"/>
      <c r="AR829" s="4"/>
      <c r="AS829" s="4"/>
      <c r="AT829" s="4"/>
      <c r="AU829" s="4"/>
    </row>
    <row r="830" spans="1:47" ht="13.2">
      <c r="A830" s="120"/>
      <c r="B830" s="113"/>
      <c r="C830" s="117"/>
      <c r="D830" s="117"/>
      <c r="E830" s="117"/>
      <c r="F830" s="123"/>
      <c r="G830" s="93" t="s">
        <v>145</v>
      </c>
      <c r="H830" s="125"/>
      <c r="I830" s="125"/>
      <c r="J830" s="82" t="str">
        <f t="shared" ca="1" si="147"/>
        <v>#REF!</v>
      </c>
      <c r="K830" s="82" t="str">
        <f t="shared" ca="1" si="256"/>
        <v>#REF!</v>
      </c>
      <c r="L830" s="82" t="str">
        <f t="shared" ca="1" si="199"/>
        <v>#REF!</v>
      </c>
      <c r="M830" s="125"/>
      <c r="N830" s="125"/>
      <c r="O830" s="230">
        <f t="shared" si="2"/>
        <v>0</v>
      </c>
      <c r="P830" s="231">
        <f t="shared" si="3"/>
        <v>0</v>
      </c>
      <c r="Q830" s="232" t="str">
        <f ca="1">ROUNDUP(HLOOKUP(IF(CEILING(L830,0.5)&lt;1,1,CEILING(L830,0.5)),'배송비 조회'!A$32:AY$36,2,0),-2)</f>
        <v>#REF!</v>
      </c>
      <c r="R830" s="232">
        <v>0</v>
      </c>
      <c r="S830" s="231" t="str">
        <f t="shared" ca="1" si="250"/>
        <v>#REF!</v>
      </c>
      <c r="T830" s="231" t="str">
        <f t="shared" ca="1" si="200"/>
        <v>#REF!</v>
      </c>
      <c r="U830" s="233" t="str">
        <f t="shared" ca="1" si="142"/>
        <v>#REF!</v>
      </c>
      <c r="V830" s="233" t="str">
        <f t="shared" ca="1" si="7"/>
        <v>#REF!</v>
      </c>
      <c r="W830" s="234">
        <v>0</v>
      </c>
      <c r="X830" s="234" t="str">
        <f t="shared" ca="1" si="8"/>
        <v>#REF!</v>
      </c>
      <c r="Y830" s="234" t="str">
        <f t="shared" ca="1" si="9"/>
        <v>#REF!</v>
      </c>
      <c r="Z830" s="234" t="str">
        <f t="shared" ca="1" si="10"/>
        <v>#REF!</v>
      </c>
      <c r="AA830" s="234" t="str">
        <f t="shared" ca="1" si="11"/>
        <v>#REF!</v>
      </c>
      <c r="AB830" s="234" t="str">
        <f t="shared" ca="1" si="12"/>
        <v>#REF!</v>
      </c>
      <c r="AC830" s="234" t="str">
        <f t="shared" ca="1" si="13"/>
        <v>#REF!</v>
      </c>
      <c r="AD830" s="101" t="str">
        <f t="shared" ca="1" si="14"/>
        <v>#REF!</v>
      </c>
      <c r="AE830" s="101" t="str">
        <f t="shared" ca="1" si="15"/>
        <v>#REF!</v>
      </c>
      <c r="AF830" s="235" t="str">
        <f t="shared" ref="AF830:AG830" ca="1" si="907">AD830/U830</f>
        <v>#REF!</v>
      </c>
      <c r="AG830" s="235" t="str">
        <f t="shared" ca="1" si="907"/>
        <v>#REF!</v>
      </c>
      <c r="AH830" s="212"/>
      <c r="AI830" s="213"/>
      <c r="AJ830" s="4"/>
      <c r="AK830" s="4"/>
      <c r="AL830" s="4"/>
      <c r="AM830" s="4"/>
      <c r="AN830" s="4"/>
      <c r="AO830" s="4"/>
      <c r="AP830" s="4"/>
      <c r="AQ830" s="4"/>
      <c r="AR830" s="4"/>
      <c r="AS830" s="4"/>
      <c r="AT830" s="4"/>
      <c r="AU830" s="4"/>
    </row>
    <row r="831" spans="1:47" ht="13.2">
      <c r="A831" s="120"/>
      <c r="B831" s="113"/>
      <c r="C831" s="117"/>
      <c r="D831" s="117"/>
      <c r="E831" s="117"/>
      <c r="F831" s="123"/>
      <c r="G831" s="93" t="s">
        <v>145</v>
      </c>
      <c r="H831" s="125"/>
      <c r="I831" s="125"/>
      <c r="J831" s="82" t="str">
        <f t="shared" ca="1" si="147"/>
        <v>#REF!</v>
      </c>
      <c r="K831" s="82" t="str">
        <f t="shared" ca="1" si="256"/>
        <v>#REF!</v>
      </c>
      <c r="L831" s="82" t="str">
        <f t="shared" ca="1" si="199"/>
        <v>#REF!</v>
      </c>
      <c r="M831" s="125"/>
      <c r="N831" s="125"/>
      <c r="O831" s="230">
        <f t="shared" si="2"/>
        <v>0</v>
      </c>
      <c r="P831" s="231">
        <f t="shared" si="3"/>
        <v>0</v>
      </c>
      <c r="Q831" s="232" t="str">
        <f ca="1">ROUNDUP(HLOOKUP(IF(CEILING(L831,0.5)&lt;1,1,CEILING(L831,0.5)),'배송비 조회'!A$32:AY$36,2,0),-2)</f>
        <v>#REF!</v>
      </c>
      <c r="R831" s="232">
        <v>0</v>
      </c>
      <c r="S831" s="231" t="str">
        <f t="shared" ca="1" si="250"/>
        <v>#REF!</v>
      </c>
      <c r="T831" s="231" t="str">
        <f t="shared" ca="1" si="200"/>
        <v>#REF!</v>
      </c>
      <c r="U831" s="233" t="str">
        <f t="shared" ca="1" si="142"/>
        <v>#REF!</v>
      </c>
      <c r="V831" s="233" t="str">
        <f t="shared" ca="1" si="7"/>
        <v>#REF!</v>
      </c>
      <c r="W831" s="234">
        <v>0</v>
      </c>
      <c r="X831" s="234" t="str">
        <f t="shared" ca="1" si="8"/>
        <v>#REF!</v>
      </c>
      <c r="Y831" s="234" t="str">
        <f t="shared" ca="1" si="9"/>
        <v>#REF!</v>
      </c>
      <c r="Z831" s="234" t="str">
        <f t="shared" ca="1" si="10"/>
        <v>#REF!</v>
      </c>
      <c r="AA831" s="234" t="str">
        <f t="shared" ca="1" si="11"/>
        <v>#REF!</v>
      </c>
      <c r="AB831" s="234" t="str">
        <f t="shared" ca="1" si="12"/>
        <v>#REF!</v>
      </c>
      <c r="AC831" s="234" t="str">
        <f t="shared" ca="1" si="13"/>
        <v>#REF!</v>
      </c>
      <c r="AD831" s="101" t="str">
        <f t="shared" ca="1" si="14"/>
        <v>#REF!</v>
      </c>
      <c r="AE831" s="101" t="str">
        <f t="shared" ca="1" si="15"/>
        <v>#REF!</v>
      </c>
      <c r="AF831" s="235" t="str">
        <f t="shared" ref="AF831:AG831" ca="1" si="908">AD831/U831</f>
        <v>#REF!</v>
      </c>
      <c r="AG831" s="235" t="str">
        <f t="shared" ca="1" si="908"/>
        <v>#REF!</v>
      </c>
      <c r="AH831" s="212"/>
      <c r="AI831" s="213"/>
      <c r="AJ831" s="4"/>
      <c r="AK831" s="4"/>
      <c r="AL831" s="4"/>
      <c r="AM831" s="4"/>
      <c r="AN831" s="4"/>
      <c r="AO831" s="4"/>
      <c r="AP831" s="4"/>
      <c r="AQ831" s="4"/>
      <c r="AR831" s="4"/>
      <c r="AS831" s="4"/>
      <c r="AT831" s="4"/>
      <c r="AU831" s="4"/>
    </row>
    <row r="832" spans="1:47" ht="13.2">
      <c r="A832" s="120"/>
      <c r="B832" s="113"/>
      <c r="C832" s="117"/>
      <c r="D832" s="117"/>
      <c r="E832" s="117"/>
      <c r="F832" s="123"/>
      <c r="G832" s="93" t="s">
        <v>145</v>
      </c>
      <c r="H832" s="125"/>
      <c r="I832" s="125"/>
      <c r="J832" s="82" t="str">
        <f t="shared" ca="1" si="147"/>
        <v>#REF!</v>
      </c>
      <c r="K832" s="82" t="str">
        <f t="shared" ca="1" si="256"/>
        <v>#REF!</v>
      </c>
      <c r="L832" s="82" t="str">
        <f t="shared" ca="1" si="199"/>
        <v>#REF!</v>
      </c>
      <c r="M832" s="125"/>
      <c r="N832" s="125"/>
      <c r="O832" s="230">
        <f t="shared" si="2"/>
        <v>0</v>
      </c>
      <c r="P832" s="231">
        <f t="shared" si="3"/>
        <v>0</v>
      </c>
      <c r="Q832" s="232" t="str">
        <f ca="1">ROUNDUP(HLOOKUP(IF(CEILING(L832,0.5)&lt;1,1,CEILING(L832,0.5)),'배송비 조회'!A$32:AY$36,2,0),-2)</f>
        <v>#REF!</v>
      </c>
      <c r="R832" s="232">
        <v>0</v>
      </c>
      <c r="S832" s="231" t="str">
        <f t="shared" ca="1" si="250"/>
        <v>#REF!</v>
      </c>
      <c r="T832" s="231" t="str">
        <f t="shared" ca="1" si="200"/>
        <v>#REF!</v>
      </c>
      <c r="U832" s="233" t="str">
        <f t="shared" ca="1" si="142"/>
        <v>#REF!</v>
      </c>
      <c r="V832" s="233" t="str">
        <f t="shared" ca="1" si="7"/>
        <v>#REF!</v>
      </c>
      <c r="W832" s="234">
        <v>0</v>
      </c>
      <c r="X832" s="234" t="str">
        <f t="shared" ca="1" si="8"/>
        <v>#REF!</v>
      </c>
      <c r="Y832" s="234" t="str">
        <f t="shared" ca="1" si="9"/>
        <v>#REF!</v>
      </c>
      <c r="Z832" s="234" t="str">
        <f t="shared" ca="1" si="10"/>
        <v>#REF!</v>
      </c>
      <c r="AA832" s="234" t="str">
        <f t="shared" ca="1" si="11"/>
        <v>#REF!</v>
      </c>
      <c r="AB832" s="234" t="str">
        <f t="shared" ca="1" si="12"/>
        <v>#REF!</v>
      </c>
      <c r="AC832" s="234" t="str">
        <f t="shared" ca="1" si="13"/>
        <v>#REF!</v>
      </c>
      <c r="AD832" s="101" t="str">
        <f t="shared" ca="1" si="14"/>
        <v>#REF!</v>
      </c>
      <c r="AE832" s="101" t="str">
        <f t="shared" ca="1" si="15"/>
        <v>#REF!</v>
      </c>
      <c r="AF832" s="235" t="str">
        <f t="shared" ref="AF832:AG832" ca="1" si="909">AD832/U832</f>
        <v>#REF!</v>
      </c>
      <c r="AG832" s="235" t="str">
        <f t="shared" ca="1" si="909"/>
        <v>#REF!</v>
      </c>
      <c r="AH832" s="212"/>
      <c r="AI832" s="213"/>
      <c r="AJ832" s="4"/>
      <c r="AK832" s="4"/>
      <c r="AL832" s="4"/>
      <c r="AM832" s="4"/>
      <c r="AN832" s="4"/>
      <c r="AO832" s="4"/>
      <c r="AP832" s="4"/>
      <c r="AQ832" s="4"/>
      <c r="AR832" s="4"/>
      <c r="AS832" s="4"/>
      <c r="AT832" s="4"/>
      <c r="AU832" s="4"/>
    </row>
    <row r="833" spans="1:47" ht="13.2">
      <c r="A833" s="120"/>
      <c r="B833" s="113"/>
      <c r="C833" s="117"/>
      <c r="D833" s="117"/>
      <c r="E833" s="117"/>
      <c r="F833" s="123"/>
      <c r="G833" s="93" t="s">
        <v>145</v>
      </c>
      <c r="H833" s="125"/>
      <c r="I833" s="125"/>
      <c r="J833" s="82" t="str">
        <f t="shared" ca="1" si="147"/>
        <v>#REF!</v>
      </c>
      <c r="K833" s="82" t="str">
        <f t="shared" ca="1" si="256"/>
        <v>#REF!</v>
      </c>
      <c r="L833" s="82" t="str">
        <f t="shared" ca="1" si="199"/>
        <v>#REF!</v>
      </c>
      <c r="M833" s="125"/>
      <c r="N833" s="125"/>
      <c r="O833" s="230">
        <f t="shared" si="2"/>
        <v>0</v>
      </c>
      <c r="P833" s="231">
        <f t="shared" si="3"/>
        <v>0</v>
      </c>
      <c r="Q833" s="232" t="str">
        <f ca="1">ROUNDUP(HLOOKUP(IF(CEILING(L833,0.5)&lt;1,1,CEILING(L833,0.5)),'배송비 조회'!A$32:AY$36,2,0),-2)</f>
        <v>#REF!</v>
      </c>
      <c r="R833" s="232">
        <v>0</v>
      </c>
      <c r="S833" s="231" t="str">
        <f t="shared" ca="1" si="250"/>
        <v>#REF!</v>
      </c>
      <c r="T833" s="231" t="str">
        <f t="shared" ca="1" si="200"/>
        <v>#REF!</v>
      </c>
      <c r="U833" s="233" t="str">
        <f t="shared" ca="1" si="142"/>
        <v>#REF!</v>
      </c>
      <c r="V833" s="233" t="str">
        <f t="shared" ca="1" si="7"/>
        <v>#REF!</v>
      </c>
      <c r="W833" s="234">
        <v>0</v>
      </c>
      <c r="X833" s="234" t="str">
        <f t="shared" ca="1" si="8"/>
        <v>#REF!</v>
      </c>
      <c r="Y833" s="234" t="str">
        <f t="shared" ca="1" si="9"/>
        <v>#REF!</v>
      </c>
      <c r="Z833" s="234" t="str">
        <f t="shared" ca="1" si="10"/>
        <v>#REF!</v>
      </c>
      <c r="AA833" s="234" t="str">
        <f t="shared" ca="1" si="11"/>
        <v>#REF!</v>
      </c>
      <c r="AB833" s="234" t="str">
        <f t="shared" ca="1" si="12"/>
        <v>#REF!</v>
      </c>
      <c r="AC833" s="234" t="str">
        <f t="shared" ca="1" si="13"/>
        <v>#REF!</v>
      </c>
      <c r="AD833" s="101" t="str">
        <f t="shared" ca="1" si="14"/>
        <v>#REF!</v>
      </c>
      <c r="AE833" s="101" t="str">
        <f t="shared" ca="1" si="15"/>
        <v>#REF!</v>
      </c>
      <c r="AF833" s="235" t="str">
        <f t="shared" ref="AF833:AG833" ca="1" si="910">AD833/U833</f>
        <v>#REF!</v>
      </c>
      <c r="AG833" s="235" t="str">
        <f t="shared" ca="1" si="910"/>
        <v>#REF!</v>
      </c>
      <c r="AH833" s="212"/>
      <c r="AI833" s="213"/>
      <c r="AJ833" s="4"/>
      <c r="AK833" s="4"/>
      <c r="AL833" s="4"/>
      <c r="AM833" s="4"/>
      <c r="AN833" s="4"/>
      <c r="AO833" s="4"/>
      <c r="AP833" s="4"/>
      <c r="AQ833" s="4"/>
      <c r="AR833" s="4"/>
      <c r="AS833" s="4"/>
      <c r="AT833" s="4"/>
      <c r="AU833" s="4"/>
    </row>
    <row r="834" spans="1:47" ht="13.2">
      <c r="A834" s="120"/>
      <c r="B834" s="113"/>
      <c r="C834" s="117"/>
      <c r="D834" s="117"/>
      <c r="E834" s="117"/>
      <c r="F834" s="123"/>
      <c r="G834" s="93" t="s">
        <v>145</v>
      </c>
      <c r="H834" s="125"/>
      <c r="I834" s="125"/>
      <c r="J834" s="82" t="str">
        <f t="shared" ca="1" si="147"/>
        <v>#REF!</v>
      </c>
      <c r="K834" s="82" t="str">
        <f t="shared" ca="1" si="256"/>
        <v>#REF!</v>
      </c>
      <c r="L834" s="82" t="str">
        <f t="shared" ca="1" si="199"/>
        <v>#REF!</v>
      </c>
      <c r="M834" s="125"/>
      <c r="N834" s="125"/>
      <c r="O834" s="230">
        <f t="shared" si="2"/>
        <v>0</v>
      </c>
      <c r="P834" s="231">
        <f t="shared" si="3"/>
        <v>0</v>
      </c>
      <c r="Q834" s="232" t="str">
        <f ca="1">ROUNDUP(HLOOKUP(IF(CEILING(L834,0.5)&lt;1,1,CEILING(L834,0.5)),'배송비 조회'!A$32:AY$36,2,0),-2)</f>
        <v>#REF!</v>
      </c>
      <c r="R834" s="232">
        <v>0</v>
      </c>
      <c r="S834" s="231" t="str">
        <f t="shared" ca="1" si="250"/>
        <v>#REF!</v>
      </c>
      <c r="T834" s="231" t="str">
        <f t="shared" ca="1" si="200"/>
        <v>#REF!</v>
      </c>
      <c r="U834" s="233" t="str">
        <f t="shared" ca="1" si="142"/>
        <v>#REF!</v>
      </c>
      <c r="V834" s="233" t="str">
        <f t="shared" ca="1" si="7"/>
        <v>#REF!</v>
      </c>
      <c r="W834" s="234">
        <v>0</v>
      </c>
      <c r="X834" s="234" t="str">
        <f t="shared" ca="1" si="8"/>
        <v>#REF!</v>
      </c>
      <c r="Y834" s="234" t="str">
        <f t="shared" ca="1" si="9"/>
        <v>#REF!</v>
      </c>
      <c r="Z834" s="234" t="str">
        <f t="shared" ca="1" si="10"/>
        <v>#REF!</v>
      </c>
      <c r="AA834" s="234" t="str">
        <f t="shared" ca="1" si="11"/>
        <v>#REF!</v>
      </c>
      <c r="AB834" s="234" t="str">
        <f t="shared" ca="1" si="12"/>
        <v>#REF!</v>
      </c>
      <c r="AC834" s="234" t="str">
        <f t="shared" ca="1" si="13"/>
        <v>#REF!</v>
      </c>
      <c r="AD834" s="101" t="str">
        <f t="shared" ca="1" si="14"/>
        <v>#REF!</v>
      </c>
      <c r="AE834" s="101" t="str">
        <f t="shared" ca="1" si="15"/>
        <v>#REF!</v>
      </c>
      <c r="AF834" s="235" t="str">
        <f t="shared" ref="AF834:AG834" ca="1" si="911">AD834/U834</f>
        <v>#REF!</v>
      </c>
      <c r="AG834" s="235" t="str">
        <f t="shared" ca="1" si="911"/>
        <v>#REF!</v>
      </c>
      <c r="AH834" s="212"/>
      <c r="AI834" s="213"/>
      <c r="AJ834" s="4"/>
      <c r="AK834" s="4"/>
      <c r="AL834" s="4"/>
      <c r="AM834" s="4"/>
      <c r="AN834" s="4"/>
      <c r="AO834" s="4"/>
      <c r="AP834" s="4"/>
      <c r="AQ834" s="4"/>
      <c r="AR834" s="4"/>
      <c r="AS834" s="4"/>
      <c r="AT834" s="4"/>
      <c r="AU834" s="4"/>
    </row>
    <row r="835" spans="1:47" ht="13.2">
      <c r="A835" s="120"/>
      <c r="B835" s="113"/>
      <c r="C835" s="117"/>
      <c r="D835" s="117"/>
      <c r="E835" s="117"/>
      <c r="F835" s="123"/>
      <c r="G835" s="93" t="s">
        <v>145</v>
      </c>
      <c r="H835" s="125"/>
      <c r="I835" s="125"/>
      <c r="J835" s="82" t="str">
        <f t="shared" ca="1" si="147"/>
        <v>#REF!</v>
      </c>
      <c r="K835" s="82" t="str">
        <f t="shared" ca="1" si="256"/>
        <v>#REF!</v>
      </c>
      <c r="L835" s="82" t="str">
        <f t="shared" ca="1" si="199"/>
        <v>#REF!</v>
      </c>
      <c r="M835" s="125"/>
      <c r="N835" s="125"/>
      <c r="O835" s="230">
        <f t="shared" si="2"/>
        <v>0</v>
      </c>
      <c r="P835" s="231">
        <f t="shared" si="3"/>
        <v>0</v>
      </c>
      <c r="Q835" s="232" t="str">
        <f ca="1">ROUNDUP(HLOOKUP(IF(CEILING(L835,0.5)&lt;1,1,CEILING(L835,0.5)),'배송비 조회'!A$32:AY$36,2,0),-2)</f>
        <v>#REF!</v>
      </c>
      <c r="R835" s="232">
        <v>0</v>
      </c>
      <c r="S835" s="231" t="str">
        <f t="shared" ca="1" si="250"/>
        <v>#REF!</v>
      </c>
      <c r="T835" s="231" t="str">
        <f t="shared" ca="1" si="200"/>
        <v>#REF!</v>
      </c>
      <c r="U835" s="233" t="str">
        <f t="shared" ca="1" si="142"/>
        <v>#REF!</v>
      </c>
      <c r="V835" s="233" t="str">
        <f t="shared" ca="1" si="7"/>
        <v>#REF!</v>
      </c>
      <c r="W835" s="234">
        <v>0</v>
      </c>
      <c r="X835" s="234" t="str">
        <f t="shared" ca="1" si="8"/>
        <v>#REF!</v>
      </c>
      <c r="Y835" s="234" t="str">
        <f t="shared" ca="1" si="9"/>
        <v>#REF!</v>
      </c>
      <c r="Z835" s="234" t="str">
        <f t="shared" ca="1" si="10"/>
        <v>#REF!</v>
      </c>
      <c r="AA835" s="234" t="str">
        <f t="shared" ca="1" si="11"/>
        <v>#REF!</v>
      </c>
      <c r="AB835" s="234" t="str">
        <f t="shared" ca="1" si="12"/>
        <v>#REF!</v>
      </c>
      <c r="AC835" s="234" t="str">
        <f t="shared" ca="1" si="13"/>
        <v>#REF!</v>
      </c>
      <c r="AD835" s="101" t="str">
        <f t="shared" ca="1" si="14"/>
        <v>#REF!</v>
      </c>
      <c r="AE835" s="101" t="str">
        <f t="shared" ca="1" si="15"/>
        <v>#REF!</v>
      </c>
      <c r="AF835" s="235" t="str">
        <f t="shared" ref="AF835:AG835" ca="1" si="912">AD835/U835</f>
        <v>#REF!</v>
      </c>
      <c r="AG835" s="235" t="str">
        <f t="shared" ca="1" si="912"/>
        <v>#REF!</v>
      </c>
      <c r="AH835" s="212"/>
      <c r="AI835" s="213"/>
      <c r="AJ835" s="4"/>
      <c r="AK835" s="4"/>
      <c r="AL835" s="4"/>
      <c r="AM835" s="4"/>
      <c r="AN835" s="4"/>
      <c r="AO835" s="4"/>
      <c r="AP835" s="4"/>
      <c r="AQ835" s="4"/>
      <c r="AR835" s="4"/>
      <c r="AS835" s="4"/>
      <c r="AT835" s="4"/>
      <c r="AU835" s="4"/>
    </row>
    <row r="836" spans="1:47" ht="13.2">
      <c r="A836" s="120"/>
      <c r="B836" s="113"/>
      <c r="C836" s="117"/>
      <c r="D836" s="117"/>
      <c r="E836" s="117"/>
      <c r="F836" s="123"/>
      <c r="G836" s="93" t="s">
        <v>145</v>
      </c>
      <c r="H836" s="125"/>
      <c r="I836" s="125"/>
      <c r="J836" s="82" t="str">
        <f t="shared" ca="1" si="147"/>
        <v>#REF!</v>
      </c>
      <c r="K836" s="82" t="str">
        <f t="shared" ca="1" si="256"/>
        <v>#REF!</v>
      </c>
      <c r="L836" s="82" t="str">
        <f t="shared" ca="1" si="199"/>
        <v>#REF!</v>
      </c>
      <c r="M836" s="125"/>
      <c r="N836" s="125"/>
      <c r="O836" s="230">
        <f t="shared" si="2"/>
        <v>0</v>
      </c>
      <c r="P836" s="231">
        <f t="shared" si="3"/>
        <v>0</v>
      </c>
      <c r="Q836" s="232" t="str">
        <f ca="1">ROUNDUP(HLOOKUP(IF(CEILING(L836,0.5)&lt;1,1,CEILING(L836,0.5)),'배송비 조회'!A$32:AY$36,2,0),-2)</f>
        <v>#REF!</v>
      </c>
      <c r="R836" s="232">
        <v>0</v>
      </c>
      <c r="S836" s="231" t="str">
        <f t="shared" ca="1" si="250"/>
        <v>#REF!</v>
      </c>
      <c r="T836" s="231" t="str">
        <f t="shared" ca="1" si="200"/>
        <v>#REF!</v>
      </c>
      <c r="U836" s="233" t="str">
        <f t="shared" ca="1" si="142"/>
        <v>#REF!</v>
      </c>
      <c r="V836" s="233" t="str">
        <f t="shared" ca="1" si="7"/>
        <v>#REF!</v>
      </c>
      <c r="W836" s="234">
        <v>0</v>
      </c>
      <c r="X836" s="234" t="str">
        <f t="shared" ca="1" si="8"/>
        <v>#REF!</v>
      </c>
      <c r="Y836" s="234" t="str">
        <f t="shared" ca="1" si="9"/>
        <v>#REF!</v>
      </c>
      <c r="Z836" s="234" t="str">
        <f t="shared" ca="1" si="10"/>
        <v>#REF!</v>
      </c>
      <c r="AA836" s="234" t="str">
        <f t="shared" ca="1" si="11"/>
        <v>#REF!</v>
      </c>
      <c r="AB836" s="234" t="str">
        <f t="shared" ca="1" si="12"/>
        <v>#REF!</v>
      </c>
      <c r="AC836" s="234" t="str">
        <f t="shared" ca="1" si="13"/>
        <v>#REF!</v>
      </c>
      <c r="AD836" s="101" t="str">
        <f t="shared" ca="1" si="14"/>
        <v>#REF!</v>
      </c>
      <c r="AE836" s="101" t="str">
        <f t="shared" ca="1" si="15"/>
        <v>#REF!</v>
      </c>
      <c r="AF836" s="235" t="str">
        <f t="shared" ref="AF836:AG836" ca="1" si="913">AD836/U836</f>
        <v>#REF!</v>
      </c>
      <c r="AG836" s="235" t="str">
        <f t="shared" ca="1" si="913"/>
        <v>#REF!</v>
      </c>
      <c r="AH836" s="212"/>
      <c r="AI836" s="213"/>
      <c r="AJ836" s="4"/>
      <c r="AK836" s="4"/>
      <c r="AL836" s="4"/>
      <c r="AM836" s="4"/>
      <c r="AN836" s="4"/>
      <c r="AO836" s="4"/>
      <c r="AP836" s="4"/>
      <c r="AQ836" s="4"/>
      <c r="AR836" s="4"/>
      <c r="AS836" s="4"/>
      <c r="AT836" s="4"/>
      <c r="AU836" s="4"/>
    </row>
    <row r="837" spans="1:47" ht="13.2">
      <c r="A837" s="120"/>
      <c r="B837" s="113"/>
      <c r="C837" s="117"/>
      <c r="D837" s="117"/>
      <c r="E837" s="117"/>
      <c r="F837" s="123"/>
      <c r="G837" s="93" t="s">
        <v>145</v>
      </c>
      <c r="H837" s="125"/>
      <c r="I837" s="125"/>
      <c r="J837" s="82" t="str">
        <f t="shared" ca="1" si="147"/>
        <v>#REF!</v>
      </c>
      <c r="K837" s="82" t="str">
        <f t="shared" ca="1" si="256"/>
        <v>#REF!</v>
      </c>
      <c r="L837" s="82" t="str">
        <f t="shared" ca="1" si="199"/>
        <v>#REF!</v>
      </c>
      <c r="M837" s="125"/>
      <c r="N837" s="125"/>
      <c r="O837" s="230">
        <f t="shared" si="2"/>
        <v>0</v>
      </c>
      <c r="P837" s="231">
        <f t="shared" si="3"/>
        <v>0</v>
      </c>
      <c r="Q837" s="232" t="str">
        <f ca="1">ROUNDUP(HLOOKUP(IF(CEILING(L837,0.5)&lt;1,1,CEILING(L837,0.5)),'배송비 조회'!A$32:AY$36,2,0),-2)</f>
        <v>#REF!</v>
      </c>
      <c r="R837" s="232">
        <v>0</v>
      </c>
      <c r="S837" s="231" t="str">
        <f t="shared" ca="1" si="250"/>
        <v>#REF!</v>
      </c>
      <c r="T837" s="231" t="str">
        <f t="shared" ca="1" si="200"/>
        <v>#REF!</v>
      </c>
      <c r="U837" s="233" t="str">
        <f t="shared" ca="1" si="142"/>
        <v>#REF!</v>
      </c>
      <c r="V837" s="233" t="str">
        <f t="shared" ca="1" si="7"/>
        <v>#REF!</v>
      </c>
      <c r="W837" s="234">
        <v>0</v>
      </c>
      <c r="X837" s="234" t="str">
        <f t="shared" ca="1" si="8"/>
        <v>#REF!</v>
      </c>
      <c r="Y837" s="234" t="str">
        <f t="shared" ca="1" si="9"/>
        <v>#REF!</v>
      </c>
      <c r="Z837" s="234" t="str">
        <f t="shared" ca="1" si="10"/>
        <v>#REF!</v>
      </c>
      <c r="AA837" s="234" t="str">
        <f t="shared" ca="1" si="11"/>
        <v>#REF!</v>
      </c>
      <c r="AB837" s="234" t="str">
        <f t="shared" ca="1" si="12"/>
        <v>#REF!</v>
      </c>
      <c r="AC837" s="234" t="str">
        <f t="shared" ca="1" si="13"/>
        <v>#REF!</v>
      </c>
      <c r="AD837" s="101" t="str">
        <f t="shared" ca="1" si="14"/>
        <v>#REF!</v>
      </c>
      <c r="AE837" s="101" t="str">
        <f t="shared" ca="1" si="15"/>
        <v>#REF!</v>
      </c>
      <c r="AF837" s="235" t="str">
        <f t="shared" ref="AF837:AG837" ca="1" si="914">AD837/U837</f>
        <v>#REF!</v>
      </c>
      <c r="AG837" s="235" t="str">
        <f t="shared" ca="1" si="914"/>
        <v>#REF!</v>
      </c>
      <c r="AH837" s="212"/>
      <c r="AI837" s="213"/>
      <c r="AJ837" s="4"/>
      <c r="AK837" s="4"/>
      <c r="AL837" s="4"/>
      <c r="AM837" s="4"/>
      <c r="AN837" s="4"/>
      <c r="AO837" s="4"/>
      <c r="AP837" s="4"/>
      <c r="AQ837" s="4"/>
      <c r="AR837" s="4"/>
      <c r="AS837" s="4"/>
      <c r="AT837" s="4"/>
      <c r="AU837" s="4"/>
    </row>
    <row r="838" spans="1:47" ht="13.2">
      <c r="A838" s="120"/>
      <c r="B838" s="113"/>
      <c r="C838" s="117"/>
      <c r="D838" s="117"/>
      <c r="E838" s="117"/>
      <c r="F838" s="123"/>
      <c r="G838" s="93" t="s">
        <v>145</v>
      </c>
      <c r="H838" s="125"/>
      <c r="I838" s="125"/>
      <c r="J838" s="82" t="str">
        <f t="shared" ca="1" si="147"/>
        <v>#REF!</v>
      </c>
      <c r="K838" s="82" t="str">
        <f t="shared" ca="1" si="256"/>
        <v>#REF!</v>
      </c>
      <c r="L838" s="82" t="str">
        <f t="shared" ca="1" si="199"/>
        <v>#REF!</v>
      </c>
      <c r="M838" s="125"/>
      <c r="N838" s="125"/>
      <c r="O838" s="230">
        <f t="shared" si="2"/>
        <v>0</v>
      </c>
      <c r="P838" s="231">
        <f t="shared" si="3"/>
        <v>0</v>
      </c>
      <c r="Q838" s="232" t="str">
        <f ca="1">ROUNDUP(HLOOKUP(IF(CEILING(L838,0.5)&lt;1,1,CEILING(L838,0.5)),'배송비 조회'!A$32:AY$36,2,0),-2)</f>
        <v>#REF!</v>
      </c>
      <c r="R838" s="232">
        <v>0</v>
      </c>
      <c r="S838" s="231" t="str">
        <f t="shared" ca="1" si="250"/>
        <v>#REF!</v>
      </c>
      <c r="T838" s="231" t="str">
        <f t="shared" ca="1" si="200"/>
        <v>#REF!</v>
      </c>
      <c r="U838" s="233" t="str">
        <f t="shared" ca="1" si="142"/>
        <v>#REF!</v>
      </c>
      <c r="V838" s="233" t="str">
        <f t="shared" ca="1" si="7"/>
        <v>#REF!</v>
      </c>
      <c r="W838" s="234">
        <v>0</v>
      </c>
      <c r="X838" s="234" t="str">
        <f t="shared" ca="1" si="8"/>
        <v>#REF!</v>
      </c>
      <c r="Y838" s="234" t="str">
        <f t="shared" ca="1" si="9"/>
        <v>#REF!</v>
      </c>
      <c r="Z838" s="234" t="str">
        <f t="shared" ca="1" si="10"/>
        <v>#REF!</v>
      </c>
      <c r="AA838" s="234" t="str">
        <f t="shared" ca="1" si="11"/>
        <v>#REF!</v>
      </c>
      <c r="AB838" s="234" t="str">
        <f t="shared" ca="1" si="12"/>
        <v>#REF!</v>
      </c>
      <c r="AC838" s="234" t="str">
        <f t="shared" ca="1" si="13"/>
        <v>#REF!</v>
      </c>
      <c r="AD838" s="101" t="str">
        <f t="shared" ca="1" si="14"/>
        <v>#REF!</v>
      </c>
      <c r="AE838" s="101" t="str">
        <f t="shared" ca="1" si="15"/>
        <v>#REF!</v>
      </c>
      <c r="AF838" s="235" t="str">
        <f t="shared" ref="AF838:AG838" ca="1" si="915">AD838/U838</f>
        <v>#REF!</v>
      </c>
      <c r="AG838" s="235" t="str">
        <f t="shared" ca="1" si="915"/>
        <v>#REF!</v>
      </c>
      <c r="AH838" s="212"/>
      <c r="AI838" s="213"/>
      <c r="AJ838" s="4"/>
      <c r="AK838" s="4"/>
      <c r="AL838" s="4"/>
      <c r="AM838" s="4"/>
      <c r="AN838" s="4"/>
      <c r="AO838" s="4"/>
      <c r="AP838" s="4"/>
      <c r="AQ838" s="4"/>
      <c r="AR838" s="4"/>
      <c r="AS838" s="4"/>
      <c r="AT838" s="4"/>
      <c r="AU838" s="4"/>
    </row>
    <row r="839" spans="1:47" ht="13.2">
      <c r="A839" s="120"/>
      <c r="B839" s="113"/>
      <c r="C839" s="117"/>
      <c r="D839" s="117"/>
      <c r="E839" s="117"/>
      <c r="F839" s="123"/>
      <c r="G839" s="93" t="s">
        <v>145</v>
      </c>
      <c r="H839" s="125"/>
      <c r="I839" s="125"/>
      <c r="J839" s="82" t="str">
        <f t="shared" ca="1" si="147"/>
        <v>#REF!</v>
      </c>
      <c r="K839" s="82" t="str">
        <f t="shared" ca="1" si="256"/>
        <v>#REF!</v>
      </c>
      <c r="L839" s="82" t="str">
        <f t="shared" ca="1" si="199"/>
        <v>#REF!</v>
      </c>
      <c r="M839" s="125"/>
      <c r="N839" s="125"/>
      <c r="O839" s="230">
        <f t="shared" si="2"/>
        <v>0</v>
      </c>
      <c r="P839" s="231">
        <f t="shared" si="3"/>
        <v>0</v>
      </c>
      <c r="Q839" s="232" t="str">
        <f ca="1">ROUNDUP(HLOOKUP(IF(CEILING(L839,0.5)&lt;1,1,CEILING(L839,0.5)),'배송비 조회'!A$32:AY$36,2,0),-2)</f>
        <v>#REF!</v>
      </c>
      <c r="R839" s="232">
        <v>0</v>
      </c>
      <c r="S839" s="231" t="str">
        <f t="shared" ca="1" si="250"/>
        <v>#REF!</v>
      </c>
      <c r="T839" s="231" t="str">
        <f t="shared" ca="1" si="200"/>
        <v>#REF!</v>
      </c>
      <c r="U839" s="233" t="str">
        <f t="shared" ca="1" si="142"/>
        <v>#REF!</v>
      </c>
      <c r="V839" s="233" t="str">
        <f t="shared" ca="1" si="7"/>
        <v>#REF!</v>
      </c>
      <c r="W839" s="234">
        <v>0</v>
      </c>
      <c r="X839" s="234" t="str">
        <f t="shared" ca="1" si="8"/>
        <v>#REF!</v>
      </c>
      <c r="Y839" s="234" t="str">
        <f t="shared" ca="1" si="9"/>
        <v>#REF!</v>
      </c>
      <c r="Z839" s="234" t="str">
        <f t="shared" ca="1" si="10"/>
        <v>#REF!</v>
      </c>
      <c r="AA839" s="234" t="str">
        <f t="shared" ca="1" si="11"/>
        <v>#REF!</v>
      </c>
      <c r="AB839" s="234" t="str">
        <f t="shared" ca="1" si="12"/>
        <v>#REF!</v>
      </c>
      <c r="AC839" s="234" t="str">
        <f t="shared" ca="1" si="13"/>
        <v>#REF!</v>
      </c>
      <c r="AD839" s="101" t="str">
        <f t="shared" ca="1" si="14"/>
        <v>#REF!</v>
      </c>
      <c r="AE839" s="101" t="str">
        <f t="shared" ca="1" si="15"/>
        <v>#REF!</v>
      </c>
      <c r="AF839" s="235" t="str">
        <f t="shared" ref="AF839:AG839" ca="1" si="916">AD839/U839</f>
        <v>#REF!</v>
      </c>
      <c r="AG839" s="235" t="str">
        <f t="shared" ca="1" si="916"/>
        <v>#REF!</v>
      </c>
      <c r="AH839" s="212"/>
      <c r="AI839" s="213"/>
      <c r="AJ839" s="4"/>
      <c r="AK839" s="4"/>
      <c r="AL839" s="4"/>
      <c r="AM839" s="4"/>
      <c r="AN839" s="4"/>
      <c r="AO839" s="4"/>
      <c r="AP839" s="4"/>
      <c r="AQ839" s="4"/>
      <c r="AR839" s="4"/>
      <c r="AS839" s="4"/>
      <c r="AT839" s="4"/>
      <c r="AU839" s="4"/>
    </row>
    <row r="840" spans="1:47" ht="13.2">
      <c r="A840" s="120"/>
      <c r="B840" s="113"/>
      <c r="C840" s="117"/>
      <c r="D840" s="117"/>
      <c r="E840" s="117"/>
      <c r="F840" s="123"/>
      <c r="G840" s="93" t="s">
        <v>145</v>
      </c>
      <c r="H840" s="125"/>
      <c r="I840" s="125"/>
      <c r="J840" s="82" t="str">
        <f t="shared" ca="1" si="147"/>
        <v>#REF!</v>
      </c>
      <c r="K840" s="82" t="str">
        <f t="shared" ca="1" si="256"/>
        <v>#REF!</v>
      </c>
      <c r="L840" s="82" t="str">
        <f t="shared" ca="1" si="199"/>
        <v>#REF!</v>
      </c>
      <c r="M840" s="125"/>
      <c r="N840" s="125"/>
      <c r="O840" s="230">
        <f t="shared" si="2"/>
        <v>0</v>
      </c>
      <c r="P840" s="231">
        <f t="shared" si="3"/>
        <v>0</v>
      </c>
      <c r="Q840" s="232" t="str">
        <f ca="1">ROUNDUP(HLOOKUP(IF(CEILING(L840,0.5)&lt;1,1,CEILING(L840,0.5)),'배송비 조회'!A$32:AY$36,2,0),-2)</f>
        <v>#REF!</v>
      </c>
      <c r="R840" s="232">
        <v>0</v>
      </c>
      <c r="S840" s="231" t="str">
        <f t="shared" ca="1" si="250"/>
        <v>#REF!</v>
      </c>
      <c r="T840" s="231" t="str">
        <f t="shared" ca="1" si="200"/>
        <v>#REF!</v>
      </c>
      <c r="U840" s="233" t="str">
        <f t="shared" ca="1" si="142"/>
        <v>#REF!</v>
      </c>
      <c r="V840" s="233" t="str">
        <f t="shared" ca="1" si="7"/>
        <v>#REF!</v>
      </c>
      <c r="W840" s="234">
        <v>0</v>
      </c>
      <c r="X840" s="234" t="str">
        <f t="shared" ca="1" si="8"/>
        <v>#REF!</v>
      </c>
      <c r="Y840" s="234" t="str">
        <f t="shared" ca="1" si="9"/>
        <v>#REF!</v>
      </c>
      <c r="Z840" s="234" t="str">
        <f t="shared" ca="1" si="10"/>
        <v>#REF!</v>
      </c>
      <c r="AA840" s="234" t="str">
        <f t="shared" ca="1" si="11"/>
        <v>#REF!</v>
      </c>
      <c r="AB840" s="234" t="str">
        <f t="shared" ca="1" si="12"/>
        <v>#REF!</v>
      </c>
      <c r="AC840" s="234" t="str">
        <f t="shared" ca="1" si="13"/>
        <v>#REF!</v>
      </c>
      <c r="AD840" s="101" t="str">
        <f t="shared" ca="1" si="14"/>
        <v>#REF!</v>
      </c>
      <c r="AE840" s="101" t="str">
        <f t="shared" ca="1" si="15"/>
        <v>#REF!</v>
      </c>
      <c r="AF840" s="235" t="str">
        <f t="shared" ref="AF840:AG840" ca="1" si="917">AD840/U840</f>
        <v>#REF!</v>
      </c>
      <c r="AG840" s="235" t="str">
        <f t="shared" ca="1" si="917"/>
        <v>#REF!</v>
      </c>
      <c r="AH840" s="212"/>
      <c r="AI840" s="213"/>
      <c r="AJ840" s="4"/>
      <c r="AK840" s="4"/>
      <c r="AL840" s="4"/>
      <c r="AM840" s="4"/>
      <c r="AN840" s="4"/>
      <c r="AO840" s="4"/>
      <c r="AP840" s="4"/>
      <c r="AQ840" s="4"/>
      <c r="AR840" s="4"/>
      <c r="AS840" s="4"/>
      <c r="AT840" s="4"/>
      <c r="AU840" s="4"/>
    </row>
    <row r="841" spans="1:47" ht="13.2">
      <c r="A841" s="120"/>
      <c r="B841" s="113"/>
      <c r="C841" s="117"/>
      <c r="D841" s="117"/>
      <c r="E841" s="117"/>
      <c r="F841" s="123"/>
      <c r="G841" s="93" t="s">
        <v>145</v>
      </c>
      <c r="H841" s="125"/>
      <c r="I841" s="125"/>
      <c r="J841" s="82" t="str">
        <f t="shared" ca="1" si="147"/>
        <v>#REF!</v>
      </c>
      <c r="K841" s="82" t="str">
        <f t="shared" ca="1" si="256"/>
        <v>#REF!</v>
      </c>
      <c r="L841" s="82" t="str">
        <f t="shared" ca="1" si="199"/>
        <v>#REF!</v>
      </c>
      <c r="M841" s="125"/>
      <c r="N841" s="125"/>
      <c r="O841" s="230">
        <f t="shared" si="2"/>
        <v>0</v>
      </c>
      <c r="P841" s="231">
        <f t="shared" si="3"/>
        <v>0</v>
      </c>
      <c r="Q841" s="232" t="str">
        <f ca="1">ROUNDUP(HLOOKUP(IF(CEILING(L841,0.5)&lt;1,1,CEILING(L841,0.5)),'배송비 조회'!A$32:AY$36,2,0),-2)</f>
        <v>#REF!</v>
      </c>
      <c r="R841" s="232">
        <v>0</v>
      </c>
      <c r="S841" s="231" t="str">
        <f t="shared" ca="1" si="250"/>
        <v>#REF!</v>
      </c>
      <c r="T841" s="231" t="str">
        <f t="shared" ca="1" si="200"/>
        <v>#REF!</v>
      </c>
      <c r="U841" s="233" t="str">
        <f t="shared" ca="1" si="142"/>
        <v>#REF!</v>
      </c>
      <c r="V841" s="233" t="str">
        <f t="shared" ca="1" si="7"/>
        <v>#REF!</v>
      </c>
      <c r="W841" s="234">
        <v>0</v>
      </c>
      <c r="X841" s="234" t="str">
        <f t="shared" ca="1" si="8"/>
        <v>#REF!</v>
      </c>
      <c r="Y841" s="234" t="str">
        <f t="shared" ca="1" si="9"/>
        <v>#REF!</v>
      </c>
      <c r="Z841" s="234" t="str">
        <f t="shared" ca="1" si="10"/>
        <v>#REF!</v>
      </c>
      <c r="AA841" s="234" t="str">
        <f t="shared" ca="1" si="11"/>
        <v>#REF!</v>
      </c>
      <c r="AB841" s="234" t="str">
        <f t="shared" ca="1" si="12"/>
        <v>#REF!</v>
      </c>
      <c r="AC841" s="234" t="str">
        <f t="shared" ca="1" si="13"/>
        <v>#REF!</v>
      </c>
      <c r="AD841" s="101" t="str">
        <f t="shared" ca="1" si="14"/>
        <v>#REF!</v>
      </c>
      <c r="AE841" s="101" t="str">
        <f t="shared" ca="1" si="15"/>
        <v>#REF!</v>
      </c>
      <c r="AF841" s="235" t="str">
        <f t="shared" ref="AF841:AG841" ca="1" si="918">AD841/U841</f>
        <v>#REF!</v>
      </c>
      <c r="AG841" s="235" t="str">
        <f t="shared" ca="1" si="918"/>
        <v>#REF!</v>
      </c>
      <c r="AH841" s="212"/>
      <c r="AI841" s="213"/>
      <c r="AJ841" s="4"/>
      <c r="AK841" s="4"/>
      <c r="AL841" s="4"/>
      <c r="AM841" s="4"/>
      <c r="AN841" s="4"/>
      <c r="AO841" s="4"/>
      <c r="AP841" s="4"/>
      <c r="AQ841" s="4"/>
      <c r="AR841" s="4"/>
      <c r="AS841" s="4"/>
      <c r="AT841" s="4"/>
      <c r="AU841" s="4"/>
    </row>
    <row r="842" spans="1:47" ht="13.2">
      <c r="A842" s="120"/>
      <c r="B842" s="113"/>
      <c r="C842" s="117"/>
      <c r="D842" s="117"/>
      <c r="E842" s="117"/>
      <c r="F842" s="123"/>
      <c r="G842" s="93" t="s">
        <v>145</v>
      </c>
      <c r="H842" s="125"/>
      <c r="I842" s="125"/>
      <c r="J842" s="82" t="str">
        <f t="shared" ca="1" si="147"/>
        <v>#REF!</v>
      </c>
      <c r="K842" s="82" t="str">
        <f t="shared" ca="1" si="256"/>
        <v>#REF!</v>
      </c>
      <c r="L842" s="82" t="str">
        <f t="shared" ca="1" si="199"/>
        <v>#REF!</v>
      </c>
      <c r="M842" s="125"/>
      <c r="N842" s="125"/>
      <c r="O842" s="230">
        <f t="shared" si="2"/>
        <v>0</v>
      </c>
      <c r="P842" s="231">
        <f t="shared" si="3"/>
        <v>0</v>
      </c>
      <c r="Q842" s="232" t="str">
        <f ca="1">ROUNDUP(HLOOKUP(IF(CEILING(L842,0.5)&lt;1,1,CEILING(L842,0.5)),'배송비 조회'!A$32:AY$36,2,0),-2)</f>
        <v>#REF!</v>
      </c>
      <c r="R842" s="232">
        <v>0</v>
      </c>
      <c r="S842" s="231" t="str">
        <f t="shared" ca="1" si="250"/>
        <v>#REF!</v>
      </c>
      <c r="T842" s="231" t="str">
        <f t="shared" ca="1" si="200"/>
        <v>#REF!</v>
      </c>
      <c r="U842" s="233" t="str">
        <f t="shared" ca="1" si="142"/>
        <v>#REF!</v>
      </c>
      <c r="V842" s="233" t="str">
        <f t="shared" ca="1" si="7"/>
        <v>#REF!</v>
      </c>
      <c r="W842" s="234">
        <v>0</v>
      </c>
      <c r="X842" s="234" t="str">
        <f t="shared" ca="1" si="8"/>
        <v>#REF!</v>
      </c>
      <c r="Y842" s="234" t="str">
        <f t="shared" ca="1" si="9"/>
        <v>#REF!</v>
      </c>
      <c r="Z842" s="234" t="str">
        <f t="shared" ca="1" si="10"/>
        <v>#REF!</v>
      </c>
      <c r="AA842" s="234" t="str">
        <f t="shared" ca="1" si="11"/>
        <v>#REF!</v>
      </c>
      <c r="AB842" s="234" t="str">
        <f t="shared" ca="1" si="12"/>
        <v>#REF!</v>
      </c>
      <c r="AC842" s="234" t="str">
        <f t="shared" ca="1" si="13"/>
        <v>#REF!</v>
      </c>
      <c r="AD842" s="101" t="str">
        <f t="shared" ca="1" si="14"/>
        <v>#REF!</v>
      </c>
      <c r="AE842" s="101" t="str">
        <f t="shared" ca="1" si="15"/>
        <v>#REF!</v>
      </c>
      <c r="AF842" s="235" t="str">
        <f t="shared" ref="AF842:AG842" ca="1" si="919">AD842/U842</f>
        <v>#REF!</v>
      </c>
      <c r="AG842" s="235" t="str">
        <f t="shared" ca="1" si="919"/>
        <v>#REF!</v>
      </c>
      <c r="AH842" s="212"/>
      <c r="AI842" s="213"/>
      <c r="AJ842" s="4"/>
      <c r="AK842" s="4"/>
      <c r="AL842" s="4"/>
      <c r="AM842" s="4"/>
      <c r="AN842" s="4"/>
      <c r="AO842" s="4"/>
      <c r="AP842" s="4"/>
      <c r="AQ842" s="4"/>
      <c r="AR842" s="4"/>
      <c r="AS842" s="4"/>
      <c r="AT842" s="4"/>
      <c r="AU842" s="4"/>
    </row>
    <row r="843" spans="1:47" ht="13.2">
      <c r="A843" s="120"/>
      <c r="B843" s="113"/>
      <c r="C843" s="117"/>
      <c r="D843" s="117"/>
      <c r="E843" s="117"/>
      <c r="F843" s="123"/>
      <c r="G843" s="93" t="s">
        <v>145</v>
      </c>
      <c r="H843" s="125"/>
      <c r="I843" s="125"/>
      <c r="J843" s="82" t="str">
        <f t="shared" ca="1" si="147"/>
        <v>#REF!</v>
      </c>
      <c r="K843" s="82" t="str">
        <f t="shared" ca="1" si="256"/>
        <v>#REF!</v>
      </c>
      <c r="L843" s="82" t="str">
        <f t="shared" ca="1" si="199"/>
        <v>#REF!</v>
      </c>
      <c r="M843" s="125"/>
      <c r="N843" s="125"/>
      <c r="O843" s="230">
        <f t="shared" si="2"/>
        <v>0</v>
      </c>
      <c r="P843" s="231">
        <f t="shared" si="3"/>
        <v>0</v>
      </c>
      <c r="Q843" s="232" t="str">
        <f ca="1">ROUNDUP(HLOOKUP(IF(CEILING(L843,0.5)&lt;1,1,CEILING(L843,0.5)),'배송비 조회'!A$32:AY$36,2,0),-2)</f>
        <v>#REF!</v>
      </c>
      <c r="R843" s="232">
        <v>0</v>
      </c>
      <c r="S843" s="231" t="str">
        <f t="shared" ca="1" si="250"/>
        <v>#REF!</v>
      </c>
      <c r="T843" s="231" t="str">
        <f t="shared" ca="1" si="200"/>
        <v>#REF!</v>
      </c>
      <c r="U843" s="233" t="str">
        <f t="shared" ca="1" si="142"/>
        <v>#REF!</v>
      </c>
      <c r="V843" s="233" t="str">
        <f t="shared" ca="1" si="7"/>
        <v>#REF!</v>
      </c>
      <c r="W843" s="234">
        <v>0</v>
      </c>
      <c r="X843" s="234" t="str">
        <f t="shared" ca="1" si="8"/>
        <v>#REF!</v>
      </c>
      <c r="Y843" s="234" t="str">
        <f t="shared" ca="1" si="9"/>
        <v>#REF!</v>
      </c>
      <c r="Z843" s="234" t="str">
        <f t="shared" ca="1" si="10"/>
        <v>#REF!</v>
      </c>
      <c r="AA843" s="234" t="str">
        <f t="shared" ca="1" si="11"/>
        <v>#REF!</v>
      </c>
      <c r="AB843" s="234" t="str">
        <f t="shared" ca="1" si="12"/>
        <v>#REF!</v>
      </c>
      <c r="AC843" s="234" t="str">
        <f t="shared" ca="1" si="13"/>
        <v>#REF!</v>
      </c>
      <c r="AD843" s="101" t="str">
        <f t="shared" ca="1" si="14"/>
        <v>#REF!</v>
      </c>
      <c r="AE843" s="101" t="str">
        <f t="shared" ca="1" si="15"/>
        <v>#REF!</v>
      </c>
      <c r="AF843" s="235" t="str">
        <f t="shared" ref="AF843:AG843" ca="1" si="920">AD843/U843</f>
        <v>#REF!</v>
      </c>
      <c r="AG843" s="235" t="str">
        <f t="shared" ca="1" si="920"/>
        <v>#REF!</v>
      </c>
      <c r="AH843" s="212"/>
      <c r="AI843" s="213"/>
      <c r="AJ843" s="4"/>
      <c r="AK843" s="4"/>
      <c r="AL843" s="4"/>
      <c r="AM843" s="4"/>
      <c r="AN843" s="4"/>
      <c r="AO843" s="4"/>
      <c r="AP843" s="4"/>
      <c r="AQ843" s="4"/>
      <c r="AR843" s="4"/>
      <c r="AS843" s="4"/>
      <c r="AT843" s="4"/>
      <c r="AU843" s="4"/>
    </row>
    <row r="844" spans="1:47" ht="13.2">
      <c r="A844" s="120"/>
      <c r="B844" s="113"/>
      <c r="C844" s="117"/>
      <c r="D844" s="117"/>
      <c r="E844" s="117"/>
      <c r="F844" s="123"/>
      <c r="G844" s="93" t="s">
        <v>145</v>
      </c>
      <c r="H844" s="125"/>
      <c r="I844" s="125"/>
      <c r="J844" s="82" t="str">
        <f t="shared" ca="1" si="147"/>
        <v>#REF!</v>
      </c>
      <c r="K844" s="82" t="str">
        <f t="shared" ca="1" si="256"/>
        <v>#REF!</v>
      </c>
      <c r="L844" s="82" t="str">
        <f t="shared" ca="1" si="199"/>
        <v>#REF!</v>
      </c>
      <c r="M844" s="125"/>
      <c r="N844" s="125"/>
      <c r="O844" s="230">
        <f t="shared" si="2"/>
        <v>0</v>
      </c>
      <c r="P844" s="231">
        <f t="shared" si="3"/>
        <v>0</v>
      </c>
      <c r="Q844" s="232" t="str">
        <f ca="1">ROUNDUP(HLOOKUP(IF(CEILING(L844,0.5)&lt;1,1,CEILING(L844,0.5)),'배송비 조회'!A$32:AY$36,2,0),-2)</f>
        <v>#REF!</v>
      </c>
      <c r="R844" s="232">
        <v>0</v>
      </c>
      <c r="S844" s="231" t="str">
        <f t="shared" ca="1" si="250"/>
        <v>#REF!</v>
      </c>
      <c r="T844" s="231" t="str">
        <f t="shared" ca="1" si="200"/>
        <v>#REF!</v>
      </c>
      <c r="U844" s="233" t="str">
        <f t="shared" ca="1" si="142"/>
        <v>#REF!</v>
      </c>
      <c r="V844" s="233" t="str">
        <f t="shared" ca="1" si="7"/>
        <v>#REF!</v>
      </c>
      <c r="W844" s="234">
        <v>0</v>
      </c>
      <c r="X844" s="234" t="str">
        <f t="shared" ca="1" si="8"/>
        <v>#REF!</v>
      </c>
      <c r="Y844" s="234" t="str">
        <f t="shared" ca="1" si="9"/>
        <v>#REF!</v>
      </c>
      <c r="Z844" s="234" t="str">
        <f t="shared" ca="1" si="10"/>
        <v>#REF!</v>
      </c>
      <c r="AA844" s="234" t="str">
        <f t="shared" ca="1" si="11"/>
        <v>#REF!</v>
      </c>
      <c r="AB844" s="234" t="str">
        <f t="shared" ca="1" si="12"/>
        <v>#REF!</v>
      </c>
      <c r="AC844" s="234" t="str">
        <f t="shared" ca="1" si="13"/>
        <v>#REF!</v>
      </c>
      <c r="AD844" s="101" t="str">
        <f t="shared" ca="1" si="14"/>
        <v>#REF!</v>
      </c>
      <c r="AE844" s="101" t="str">
        <f t="shared" ca="1" si="15"/>
        <v>#REF!</v>
      </c>
      <c r="AF844" s="235" t="str">
        <f t="shared" ref="AF844:AG844" ca="1" si="921">AD844/U844</f>
        <v>#REF!</v>
      </c>
      <c r="AG844" s="235" t="str">
        <f t="shared" ca="1" si="921"/>
        <v>#REF!</v>
      </c>
      <c r="AH844" s="212"/>
      <c r="AI844" s="213"/>
      <c r="AJ844" s="4"/>
      <c r="AK844" s="4"/>
      <c r="AL844" s="4"/>
      <c r="AM844" s="4"/>
      <c r="AN844" s="4"/>
      <c r="AO844" s="4"/>
      <c r="AP844" s="4"/>
      <c r="AQ844" s="4"/>
      <c r="AR844" s="4"/>
      <c r="AS844" s="4"/>
      <c r="AT844" s="4"/>
      <c r="AU844" s="4"/>
    </row>
    <row r="845" spans="1:47" ht="13.2">
      <c r="A845" s="120"/>
      <c r="B845" s="113"/>
      <c r="C845" s="117"/>
      <c r="D845" s="117"/>
      <c r="E845" s="117"/>
      <c r="F845" s="123"/>
      <c r="G845" s="93" t="s">
        <v>145</v>
      </c>
      <c r="H845" s="125"/>
      <c r="I845" s="125"/>
      <c r="J845" s="82" t="str">
        <f t="shared" ca="1" si="147"/>
        <v>#REF!</v>
      </c>
      <c r="K845" s="82" t="str">
        <f t="shared" ca="1" si="256"/>
        <v>#REF!</v>
      </c>
      <c r="L845" s="82" t="str">
        <f t="shared" ca="1" si="199"/>
        <v>#REF!</v>
      </c>
      <c r="M845" s="125"/>
      <c r="N845" s="125"/>
      <c r="O845" s="230">
        <f t="shared" si="2"/>
        <v>0</v>
      </c>
      <c r="P845" s="231">
        <f t="shared" si="3"/>
        <v>0</v>
      </c>
      <c r="Q845" s="232" t="str">
        <f ca="1">ROUNDUP(HLOOKUP(IF(CEILING(L845,0.5)&lt;1,1,CEILING(L845,0.5)),'배송비 조회'!A$32:AY$36,2,0),-2)</f>
        <v>#REF!</v>
      </c>
      <c r="R845" s="232">
        <v>0</v>
      </c>
      <c r="S845" s="231" t="str">
        <f t="shared" ca="1" si="250"/>
        <v>#REF!</v>
      </c>
      <c r="T845" s="231" t="str">
        <f t="shared" ca="1" si="200"/>
        <v>#REF!</v>
      </c>
      <c r="U845" s="233" t="str">
        <f t="shared" ca="1" si="142"/>
        <v>#REF!</v>
      </c>
      <c r="V845" s="233" t="str">
        <f t="shared" ca="1" si="7"/>
        <v>#REF!</v>
      </c>
      <c r="W845" s="234">
        <v>0</v>
      </c>
      <c r="X845" s="234" t="str">
        <f t="shared" ca="1" si="8"/>
        <v>#REF!</v>
      </c>
      <c r="Y845" s="234" t="str">
        <f t="shared" ca="1" si="9"/>
        <v>#REF!</v>
      </c>
      <c r="Z845" s="234" t="str">
        <f t="shared" ca="1" si="10"/>
        <v>#REF!</v>
      </c>
      <c r="AA845" s="234" t="str">
        <f t="shared" ca="1" si="11"/>
        <v>#REF!</v>
      </c>
      <c r="AB845" s="234" t="str">
        <f t="shared" ca="1" si="12"/>
        <v>#REF!</v>
      </c>
      <c r="AC845" s="234" t="str">
        <f t="shared" ca="1" si="13"/>
        <v>#REF!</v>
      </c>
      <c r="AD845" s="101" t="str">
        <f t="shared" ca="1" si="14"/>
        <v>#REF!</v>
      </c>
      <c r="AE845" s="101" t="str">
        <f t="shared" ca="1" si="15"/>
        <v>#REF!</v>
      </c>
      <c r="AF845" s="235" t="str">
        <f t="shared" ref="AF845:AG845" ca="1" si="922">AD845/U845</f>
        <v>#REF!</v>
      </c>
      <c r="AG845" s="235" t="str">
        <f t="shared" ca="1" si="922"/>
        <v>#REF!</v>
      </c>
      <c r="AH845" s="212"/>
      <c r="AI845" s="213"/>
      <c r="AJ845" s="4"/>
      <c r="AK845" s="4"/>
      <c r="AL845" s="4"/>
      <c r="AM845" s="4"/>
      <c r="AN845" s="4"/>
      <c r="AO845" s="4"/>
      <c r="AP845" s="4"/>
      <c r="AQ845" s="4"/>
      <c r="AR845" s="4"/>
      <c r="AS845" s="4"/>
      <c r="AT845" s="4"/>
      <c r="AU845" s="4"/>
    </row>
    <row r="846" spans="1:47" ht="13.2">
      <c r="A846" s="120"/>
      <c r="B846" s="113"/>
      <c r="C846" s="117"/>
      <c r="D846" s="117"/>
      <c r="E846" s="117"/>
      <c r="F846" s="123"/>
      <c r="G846" s="93" t="s">
        <v>145</v>
      </c>
      <c r="H846" s="125"/>
      <c r="I846" s="125"/>
      <c r="J846" s="82" t="str">
        <f t="shared" ca="1" si="147"/>
        <v>#REF!</v>
      </c>
      <c r="K846" s="82" t="str">
        <f t="shared" ca="1" si="256"/>
        <v>#REF!</v>
      </c>
      <c r="L846" s="82" t="str">
        <f t="shared" ca="1" si="199"/>
        <v>#REF!</v>
      </c>
      <c r="M846" s="125"/>
      <c r="N846" s="125"/>
      <c r="O846" s="230">
        <f t="shared" si="2"/>
        <v>0</v>
      </c>
      <c r="P846" s="231">
        <f t="shared" si="3"/>
        <v>0</v>
      </c>
      <c r="Q846" s="232" t="str">
        <f ca="1">ROUNDUP(HLOOKUP(IF(CEILING(L846,0.5)&lt;1,1,CEILING(L846,0.5)),'배송비 조회'!A$32:AY$36,2,0),-2)</f>
        <v>#REF!</v>
      </c>
      <c r="R846" s="232">
        <v>0</v>
      </c>
      <c r="S846" s="231" t="str">
        <f t="shared" ca="1" si="250"/>
        <v>#REF!</v>
      </c>
      <c r="T846" s="231" t="str">
        <f t="shared" ca="1" si="200"/>
        <v>#REF!</v>
      </c>
      <c r="U846" s="233" t="str">
        <f t="shared" ca="1" si="142"/>
        <v>#REF!</v>
      </c>
      <c r="V846" s="233" t="str">
        <f t="shared" ca="1" si="7"/>
        <v>#REF!</v>
      </c>
      <c r="W846" s="234">
        <v>0</v>
      </c>
      <c r="X846" s="234" t="str">
        <f t="shared" ca="1" si="8"/>
        <v>#REF!</v>
      </c>
      <c r="Y846" s="234" t="str">
        <f t="shared" ca="1" si="9"/>
        <v>#REF!</v>
      </c>
      <c r="Z846" s="234" t="str">
        <f t="shared" ca="1" si="10"/>
        <v>#REF!</v>
      </c>
      <c r="AA846" s="234" t="str">
        <f t="shared" ca="1" si="11"/>
        <v>#REF!</v>
      </c>
      <c r="AB846" s="234" t="str">
        <f t="shared" ca="1" si="12"/>
        <v>#REF!</v>
      </c>
      <c r="AC846" s="234" t="str">
        <f t="shared" ca="1" si="13"/>
        <v>#REF!</v>
      </c>
      <c r="AD846" s="101" t="str">
        <f t="shared" ca="1" si="14"/>
        <v>#REF!</v>
      </c>
      <c r="AE846" s="101" t="str">
        <f t="shared" ca="1" si="15"/>
        <v>#REF!</v>
      </c>
      <c r="AF846" s="235" t="str">
        <f t="shared" ref="AF846:AG846" ca="1" si="923">AD846/U846</f>
        <v>#REF!</v>
      </c>
      <c r="AG846" s="235" t="str">
        <f t="shared" ca="1" si="923"/>
        <v>#REF!</v>
      </c>
      <c r="AH846" s="212"/>
      <c r="AI846" s="213"/>
      <c r="AJ846" s="4"/>
      <c r="AK846" s="4"/>
      <c r="AL846" s="4"/>
      <c r="AM846" s="4"/>
      <c r="AN846" s="4"/>
      <c r="AO846" s="4"/>
      <c r="AP846" s="4"/>
      <c r="AQ846" s="4"/>
      <c r="AR846" s="4"/>
      <c r="AS846" s="4"/>
      <c r="AT846" s="4"/>
      <c r="AU846" s="4"/>
    </row>
    <row r="847" spans="1:47" ht="13.2">
      <c r="A847" s="120"/>
      <c r="B847" s="113"/>
      <c r="C847" s="117"/>
      <c r="D847" s="117"/>
      <c r="E847" s="117"/>
      <c r="F847" s="123"/>
      <c r="G847" s="93" t="s">
        <v>145</v>
      </c>
      <c r="H847" s="125"/>
      <c r="I847" s="125"/>
      <c r="J847" s="82" t="str">
        <f t="shared" ca="1" si="147"/>
        <v>#REF!</v>
      </c>
      <c r="K847" s="82" t="str">
        <f t="shared" ca="1" si="256"/>
        <v>#REF!</v>
      </c>
      <c r="L847" s="82" t="str">
        <f t="shared" ca="1" si="199"/>
        <v>#REF!</v>
      </c>
      <c r="M847" s="125"/>
      <c r="N847" s="125"/>
      <c r="O847" s="230">
        <f t="shared" si="2"/>
        <v>0</v>
      </c>
      <c r="P847" s="231">
        <f t="shared" si="3"/>
        <v>0</v>
      </c>
      <c r="Q847" s="232" t="str">
        <f ca="1">ROUNDUP(HLOOKUP(IF(CEILING(L847,0.5)&lt;1,1,CEILING(L847,0.5)),'배송비 조회'!A$32:AY$36,2,0),-2)</f>
        <v>#REF!</v>
      </c>
      <c r="R847" s="232">
        <v>0</v>
      </c>
      <c r="S847" s="231" t="str">
        <f t="shared" ca="1" si="250"/>
        <v>#REF!</v>
      </c>
      <c r="T847" s="231" t="str">
        <f t="shared" ca="1" si="200"/>
        <v>#REF!</v>
      </c>
      <c r="U847" s="233" t="str">
        <f t="shared" ca="1" si="142"/>
        <v>#REF!</v>
      </c>
      <c r="V847" s="233" t="str">
        <f t="shared" ca="1" si="7"/>
        <v>#REF!</v>
      </c>
      <c r="W847" s="234">
        <v>0</v>
      </c>
      <c r="X847" s="234" t="str">
        <f t="shared" ca="1" si="8"/>
        <v>#REF!</v>
      </c>
      <c r="Y847" s="234" t="str">
        <f t="shared" ca="1" si="9"/>
        <v>#REF!</v>
      </c>
      <c r="Z847" s="234" t="str">
        <f t="shared" ca="1" si="10"/>
        <v>#REF!</v>
      </c>
      <c r="AA847" s="234" t="str">
        <f t="shared" ca="1" si="11"/>
        <v>#REF!</v>
      </c>
      <c r="AB847" s="234" t="str">
        <f t="shared" ca="1" si="12"/>
        <v>#REF!</v>
      </c>
      <c r="AC847" s="234" t="str">
        <f t="shared" ca="1" si="13"/>
        <v>#REF!</v>
      </c>
      <c r="AD847" s="101" t="str">
        <f t="shared" ca="1" si="14"/>
        <v>#REF!</v>
      </c>
      <c r="AE847" s="101" t="str">
        <f t="shared" ca="1" si="15"/>
        <v>#REF!</v>
      </c>
      <c r="AF847" s="235" t="str">
        <f t="shared" ref="AF847:AG847" ca="1" si="924">AD847/U847</f>
        <v>#REF!</v>
      </c>
      <c r="AG847" s="235" t="str">
        <f t="shared" ca="1" si="924"/>
        <v>#REF!</v>
      </c>
      <c r="AH847" s="212"/>
      <c r="AI847" s="213"/>
      <c r="AJ847" s="4"/>
      <c r="AK847" s="4"/>
      <c r="AL847" s="4"/>
      <c r="AM847" s="4"/>
      <c r="AN847" s="4"/>
      <c r="AO847" s="4"/>
      <c r="AP847" s="4"/>
      <c r="AQ847" s="4"/>
      <c r="AR847" s="4"/>
      <c r="AS847" s="4"/>
      <c r="AT847" s="4"/>
      <c r="AU847" s="4"/>
    </row>
    <row r="848" spans="1:47" ht="13.2">
      <c r="A848" s="120"/>
      <c r="B848" s="113"/>
      <c r="C848" s="117"/>
      <c r="D848" s="117"/>
      <c r="E848" s="117"/>
      <c r="F848" s="123"/>
      <c r="G848" s="93" t="s">
        <v>145</v>
      </c>
      <c r="H848" s="125"/>
      <c r="I848" s="125"/>
      <c r="J848" s="82" t="str">
        <f t="shared" ca="1" si="147"/>
        <v>#REF!</v>
      </c>
      <c r="K848" s="82" t="str">
        <f t="shared" ca="1" si="256"/>
        <v>#REF!</v>
      </c>
      <c r="L848" s="82" t="str">
        <f t="shared" ca="1" si="199"/>
        <v>#REF!</v>
      </c>
      <c r="M848" s="125"/>
      <c r="N848" s="125"/>
      <c r="O848" s="230">
        <f t="shared" si="2"/>
        <v>0</v>
      </c>
      <c r="P848" s="231">
        <f t="shared" si="3"/>
        <v>0</v>
      </c>
      <c r="Q848" s="232" t="str">
        <f ca="1">ROUNDUP(HLOOKUP(IF(CEILING(L848,0.5)&lt;1,1,CEILING(L848,0.5)),'배송비 조회'!A$32:AY$36,2,0),-2)</f>
        <v>#REF!</v>
      </c>
      <c r="R848" s="232">
        <v>0</v>
      </c>
      <c r="S848" s="231" t="str">
        <f t="shared" ca="1" si="250"/>
        <v>#REF!</v>
      </c>
      <c r="T848" s="231" t="str">
        <f t="shared" ca="1" si="200"/>
        <v>#REF!</v>
      </c>
      <c r="U848" s="233" t="str">
        <f t="shared" ca="1" si="142"/>
        <v>#REF!</v>
      </c>
      <c r="V848" s="233" t="str">
        <f t="shared" ca="1" si="7"/>
        <v>#REF!</v>
      </c>
      <c r="W848" s="234">
        <v>0</v>
      </c>
      <c r="X848" s="234" t="str">
        <f t="shared" ca="1" si="8"/>
        <v>#REF!</v>
      </c>
      <c r="Y848" s="234" t="str">
        <f t="shared" ca="1" si="9"/>
        <v>#REF!</v>
      </c>
      <c r="Z848" s="234" t="str">
        <f t="shared" ca="1" si="10"/>
        <v>#REF!</v>
      </c>
      <c r="AA848" s="234" t="str">
        <f t="shared" ca="1" si="11"/>
        <v>#REF!</v>
      </c>
      <c r="AB848" s="234" t="str">
        <f t="shared" ca="1" si="12"/>
        <v>#REF!</v>
      </c>
      <c r="AC848" s="234" t="str">
        <f t="shared" ca="1" si="13"/>
        <v>#REF!</v>
      </c>
      <c r="AD848" s="101" t="str">
        <f t="shared" ca="1" si="14"/>
        <v>#REF!</v>
      </c>
      <c r="AE848" s="101" t="str">
        <f t="shared" ca="1" si="15"/>
        <v>#REF!</v>
      </c>
      <c r="AF848" s="235" t="str">
        <f t="shared" ref="AF848:AG848" ca="1" si="925">AD848/U848</f>
        <v>#REF!</v>
      </c>
      <c r="AG848" s="235" t="str">
        <f t="shared" ca="1" si="925"/>
        <v>#REF!</v>
      </c>
      <c r="AH848" s="212"/>
      <c r="AI848" s="213"/>
      <c r="AJ848" s="4"/>
      <c r="AK848" s="4"/>
      <c r="AL848" s="4"/>
      <c r="AM848" s="4"/>
      <c r="AN848" s="4"/>
      <c r="AO848" s="4"/>
      <c r="AP848" s="4"/>
      <c r="AQ848" s="4"/>
      <c r="AR848" s="4"/>
      <c r="AS848" s="4"/>
      <c r="AT848" s="4"/>
      <c r="AU848" s="4"/>
    </row>
    <row r="849" spans="1:47" ht="13.2">
      <c r="A849" s="120"/>
      <c r="B849" s="113"/>
      <c r="C849" s="117"/>
      <c r="D849" s="117"/>
      <c r="E849" s="117"/>
      <c r="F849" s="123"/>
      <c r="G849" s="93" t="s">
        <v>145</v>
      </c>
      <c r="H849" s="125"/>
      <c r="I849" s="125"/>
      <c r="J849" s="82" t="str">
        <f t="shared" ca="1" si="147"/>
        <v>#REF!</v>
      </c>
      <c r="K849" s="82" t="str">
        <f t="shared" ca="1" si="256"/>
        <v>#REF!</v>
      </c>
      <c r="L849" s="82" t="str">
        <f t="shared" ca="1" si="199"/>
        <v>#REF!</v>
      </c>
      <c r="M849" s="125"/>
      <c r="N849" s="125"/>
      <c r="O849" s="230">
        <f t="shared" si="2"/>
        <v>0</v>
      </c>
      <c r="P849" s="231">
        <f t="shared" si="3"/>
        <v>0</v>
      </c>
      <c r="Q849" s="232" t="str">
        <f ca="1">ROUNDUP(HLOOKUP(IF(CEILING(L849,0.5)&lt;1,1,CEILING(L849,0.5)),'배송비 조회'!A$32:AY$36,2,0),-2)</f>
        <v>#REF!</v>
      </c>
      <c r="R849" s="232">
        <v>0</v>
      </c>
      <c r="S849" s="231" t="str">
        <f t="shared" ca="1" si="250"/>
        <v>#REF!</v>
      </c>
      <c r="T849" s="231" t="str">
        <f t="shared" ca="1" si="200"/>
        <v>#REF!</v>
      </c>
      <c r="U849" s="233" t="str">
        <f t="shared" ca="1" si="142"/>
        <v>#REF!</v>
      </c>
      <c r="V849" s="233" t="str">
        <f t="shared" ca="1" si="7"/>
        <v>#REF!</v>
      </c>
      <c r="W849" s="234">
        <v>0</v>
      </c>
      <c r="X849" s="234" t="str">
        <f t="shared" ca="1" si="8"/>
        <v>#REF!</v>
      </c>
      <c r="Y849" s="234" t="str">
        <f t="shared" ca="1" si="9"/>
        <v>#REF!</v>
      </c>
      <c r="Z849" s="234" t="str">
        <f t="shared" ca="1" si="10"/>
        <v>#REF!</v>
      </c>
      <c r="AA849" s="234" t="str">
        <f t="shared" ca="1" si="11"/>
        <v>#REF!</v>
      </c>
      <c r="AB849" s="234" t="str">
        <f t="shared" ca="1" si="12"/>
        <v>#REF!</v>
      </c>
      <c r="AC849" s="234" t="str">
        <f t="shared" ca="1" si="13"/>
        <v>#REF!</v>
      </c>
      <c r="AD849" s="101" t="str">
        <f t="shared" ca="1" si="14"/>
        <v>#REF!</v>
      </c>
      <c r="AE849" s="101" t="str">
        <f t="shared" ca="1" si="15"/>
        <v>#REF!</v>
      </c>
      <c r="AF849" s="235" t="str">
        <f t="shared" ref="AF849:AG849" ca="1" si="926">AD849/U849</f>
        <v>#REF!</v>
      </c>
      <c r="AG849" s="235" t="str">
        <f t="shared" ca="1" si="926"/>
        <v>#REF!</v>
      </c>
      <c r="AH849" s="212"/>
      <c r="AI849" s="213"/>
      <c r="AJ849" s="4"/>
      <c r="AK849" s="4"/>
      <c r="AL849" s="4"/>
      <c r="AM849" s="4"/>
      <c r="AN849" s="4"/>
      <c r="AO849" s="4"/>
      <c r="AP849" s="4"/>
      <c r="AQ849" s="4"/>
      <c r="AR849" s="4"/>
      <c r="AS849" s="4"/>
      <c r="AT849" s="4"/>
      <c r="AU849" s="4"/>
    </row>
    <row r="850" spans="1:47" ht="13.2">
      <c r="A850" s="120"/>
      <c r="B850" s="113"/>
      <c r="C850" s="117"/>
      <c r="D850" s="117"/>
      <c r="E850" s="117"/>
      <c r="F850" s="123"/>
      <c r="G850" s="93" t="s">
        <v>145</v>
      </c>
      <c r="H850" s="125"/>
      <c r="I850" s="125"/>
      <c r="J850" s="82" t="str">
        <f t="shared" ca="1" si="147"/>
        <v>#REF!</v>
      </c>
      <c r="K850" s="82" t="str">
        <f t="shared" ca="1" si="256"/>
        <v>#REF!</v>
      </c>
      <c r="L850" s="82" t="str">
        <f t="shared" ca="1" si="199"/>
        <v>#REF!</v>
      </c>
      <c r="M850" s="125"/>
      <c r="N850" s="125"/>
      <c r="O850" s="230">
        <f t="shared" si="2"/>
        <v>0</v>
      </c>
      <c r="P850" s="231">
        <f t="shared" si="3"/>
        <v>0</v>
      </c>
      <c r="Q850" s="232" t="str">
        <f ca="1">ROUNDUP(HLOOKUP(IF(CEILING(L850,0.5)&lt;1,1,CEILING(L850,0.5)),'배송비 조회'!A$32:AY$36,2,0),-2)</f>
        <v>#REF!</v>
      </c>
      <c r="R850" s="232">
        <v>0</v>
      </c>
      <c r="S850" s="231" t="str">
        <f t="shared" ca="1" si="250"/>
        <v>#REF!</v>
      </c>
      <c r="T850" s="231" t="str">
        <f t="shared" ca="1" si="200"/>
        <v>#REF!</v>
      </c>
      <c r="U850" s="233" t="str">
        <f t="shared" ca="1" si="142"/>
        <v>#REF!</v>
      </c>
      <c r="V850" s="233" t="str">
        <f t="shared" ca="1" si="7"/>
        <v>#REF!</v>
      </c>
      <c r="W850" s="234">
        <v>0</v>
      </c>
      <c r="X850" s="234" t="str">
        <f t="shared" ca="1" si="8"/>
        <v>#REF!</v>
      </c>
      <c r="Y850" s="234" t="str">
        <f t="shared" ca="1" si="9"/>
        <v>#REF!</v>
      </c>
      <c r="Z850" s="234" t="str">
        <f t="shared" ca="1" si="10"/>
        <v>#REF!</v>
      </c>
      <c r="AA850" s="234" t="str">
        <f t="shared" ca="1" si="11"/>
        <v>#REF!</v>
      </c>
      <c r="AB850" s="234" t="str">
        <f t="shared" ca="1" si="12"/>
        <v>#REF!</v>
      </c>
      <c r="AC850" s="234" t="str">
        <f t="shared" ca="1" si="13"/>
        <v>#REF!</v>
      </c>
      <c r="AD850" s="101" t="str">
        <f t="shared" ca="1" si="14"/>
        <v>#REF!</v>
      </c>
      <c r="AE850" s="101" t="str">
        <f t="shared" ca="1" si="15"/>
        <v>#REF!</v>
      </c>
      <c r="AF850" s="235" t="str">
        <f t="shared" ref="AF850:AG850" ca="1" si="927">AD850/U850</f>
        <v>#REF!</v>
      </c>
      <c r="AG850" s="235" t="str">
        <f t="shared" ca="1" si="927"/>
        <v>#REF!</v>
      </c>
      <c r="AH850" s="212"/>
      <c r="AI850" s="213"/>
      <c r="AJ850" s="4"/>
      <c r="AK850" s="4"/>
      <c r="AL850" s="4"/>
      <c r="AM850" s="4"/>
      <c r="AN850" s="4"/>
      <c r="AO850" s="4"/>
      <c r="AP850" s="4"/>
      <c r="AQ850" s="4"/>
      <c r="AR850" s="4"/>
      <c r="AS850" s="4"/>
      <c r="AT850" s="4"/>
      <c r="AU850" s="4"/>
    </row>
    <row r="851" spans="1:47" ht="13.2">
      <c r="A851" s="120"/>
      <c r="B851" s="113"/>
      <c r="C851" s="117"/>
      <c r="D851" s="117"/>
      <c r="E851" s="117"/>
      <c r="F851" s="123"/>
      <c r="G851" s="93" t="s">
        <v>145</v>
      </c>
      <c r="H851" s="125"/>
      <c r="I851" s="125"/>
      <c r="J851" s="82" t="str">
        <f t="shared" ca="1" si="147"/>
        <v>#REF!</v>
      </c>
      <c r="K851" s="82" t="str">
        <f t="shared" ca="1" si="256"/>
        <v>#REF!</v>
      </c>
      <c r="L851" s="82" t="str">
        <f t="shared" ca="1" si="199"/>
        <v>#REF!</v>
      </c>
      <c r="M851" s="125"/>
      <c r="N851" s="125"/>
      <c r="O851" s="230">
        <f t="shared" si="2"/>
        <v>0</v>
      </c>
      <c r="P851" s="231">
        <f t="shared" si="3"/>
        <v>0</v>
      </c>
      <c r="Q851" s="232" t="str">
        <f ca="1">ROUNDUP(HLOOKUP(IF(CEILING(L851,0.5)&lt;1,1,CEILING(L851,0.5)),'배송비 조회'!A$32:AY$36,2,0),-2)</f>
        <v>#REF!</v>
      </c>
      <c r="R851" s="232">
        <v>0</v>
      </c>
      <c r="S851" s="231" t="str">
        <f t="shared" ca="1" si="250"/>
        <v>#REF!</v>
      </c>
      <c r="T851" s="231" t="str">
        <f t="shared" ca="1" si="200"/>
        <v>#REF!</v>
      </c>
      <c r="U851" s="233" t="str">
        <f t="shared" ca="1" si="142"/>
        <v>#REF!</v>
      </c>
      <c r="V851" s="233" t="str">
        <f t="shared" ca="1" si="7"/>
        <v>#REF!</v>
      </c>
      <c r="W851" s="234">
        <v>0</v>
      </c>
      <c r="X851" s="234" t="str">
        <f t="shared" ca="1" si="8"/>
        <v>#REF!</v>
      </c>
      <c r="Y851" s="234" t="str">
        <f t="shared" ca="1" si="9"/>
        <v>#REF!</v>
      </c>
      <c r="Z851" s="234" t="str">
        <f t="shared" ca="1" si="10"/>
        <v>#REF!</v>
      </c>
      <c r="AA851" s="234" t="str">
        <f t="shared" ca="1" si="11"/>
        <v>#REF!</v>
      </c>
      <c r="AB851" s="234" t="str">
        <f t="shared" ca="1" si="12"/>
        <v>#REF!</v>
      </c>
      <c r="AC851" s="234" t="str">
        <f t="shared" ca="1" si="13"/>
        <v>#REF!</v>
      </c>
      <c r="AD851" s="101" t="str">
        <f t="shared" ca="1" si="14"/>
        <v>#REF!</v>
      </c>
      <c r="AE851" s="101" t="str">
        <f t="shared" ca="1" si="15"/>
        <v>#REF!</v>
      </c>
      <c r="AF851" s="235" t="str">
        <f t="shared" ref="AF851:AG851" ca="1" si="928">AD851/U851</f>
        <v>#REF!</v>
      </c>
      <c r="AG851" s="235" t="str">
        <f t="shared" ca="1" si="928"/>
        <v>#REF!</v>
      </c>
      <c r="AH851" s="212"/>
      <c r="AI851" s="213"/>
      <c r="AJ851" s="4"/>
      <c r="AK851" s="4"/>
      <c r="AL851" s="4"/>
      <c r="AM851" s="4"/>
      <c r="AN851" s="4"/>
      <c r="AO851" s="4"/>
      <c r="AP851" s="4"/>
      <c r="AQ851" s="4"/>
      <c r="AR851" s="4"/>
      <c r="AS851" s="4"/>
      <c r="AT851" s="4"/>
      <c r="AU851" s="4"/>
    </row>
    <row r="852" spans="1:47" ht="13.2">
      <c r="A852" s="120"/>
      <c r="B852" s="113"/>
      <c r="C852" s="117"/>
      <c r="D852" s="117"/>
      <c r="E852" s="117"/>
      <c r="F852" s="123"/>
      <c r="G852" s="93" t="s">
        <v>145</v>
      </c>
      <c r="H852" s="125"/>
      <c r="I852" s="125"/>
      <c r="J852" s="82" t="str">
        <f t="shared" ca="1" si="147"/>
        <v>#REF!</v>
      </c>
      <c r="K852" s="82" t="str">
        <f t="shared" ca="1" si="256"/>
        <v>#REF!</v>
      </c>
      <c r="L852" s="82" t="str">
        <f t="shared" ca="1" si="199"/>
        <v>#REF!</v>
      </c>
      <c r="M852" s="125"/>
      <c r="N852" s="125"/>
      <c r="O852" s="230">
        <f t="shared" si="2"/>
        <v>0</v>
      </c>
      <c r="P852" s="231">
        <f t="shared" si="3"/>
        <v>0</v>
      </c>
      <c r="Q852" s="232" t="str">
        <f ca="1">ROUNDUP(HLOOKUP(IF(CEILING(L852,0.5)&lt;1,1,CEILING(L852,0.5)),'배송비 조회'!A$32:AY$36,2,0),-2)</f>
        <v>#REF!</v>
      </c>
      <c r="R852" s="232">
        <v>0</v>
      </c>
      <c r="S852" s="231" t="str">
        <f t="shared" ca="1" si="250"/>
        <v>#REF!</v>
      </c>
      <c r="T852" s="231" t="str">
        <f t="shared" ca="1" si="200"/>
        <v>#REF!</v>
      </c>
      <c r="U852" s="233" t="str">
        <f t="shared" ca="1" si="142"/>
        <v>#REF!</v>
      </c>
      <c r="V852" s="233" t="str">
        <f t="shared" ca="1" si="7"/>
        <v>#REF!</v>
      </c>
      <c r="W852" s="234">
        <v>0</v>
      </c>
      <c r="X852" s="234" t="str">
        <f t="shared" ca="1" si="8"/>
        <v>#REF!</v>
      </c>
      <c r="Y852" s="234" t="str">
        <f t="shared" ca="1" si="9"/>
        <v>#REF!</v>
      </c>
      <c r="Z852" s="234" t="str">
        <f t="shared" ca="1" si="10"/>
        <v>#REF!</v>
      </c>
      <c r="AA852" s="234" t="str">
        <f t="shared" ca="1" si="11"/>
        <v>#REF!</v>
      </c>
      <c r="AB852" s="234" t="str">
        <f t="shared" ca="1" si="12"/>
        <v>#REF!</v>
      </c>
      <c r="AC852" s="234" t="str">
        <f t="shared" ca="1" si="13"/>
        <v>#REF!</v>
      </c>
      <c r="AD852" s="101" t="str">
        <f t="shared" ca="1" si="14"/>
        <v>#REF!</v>
      </c>
      <c r="AE852" s="101" t="str">
        <f t="shared" ca="1" si="15"/>
        <v>#REF!</v>
      </c>
      <c r="AF852" s="235" t="str">
        <f t="shared" ref="AF852:AG852" ca="1" si="929">AD852/U852</f>
        <v>#REF!</v>
      </c>
      <c r="AG852" s="235" t="str">
        <f t="shared" ca="1" si="929"/>
        <v>#REF!</v>
      </c>
      <c r="AH852" s="212"/>
      <c r="AI852" s="213"/>
      <c r="AJ852" s="4"/>
      <c r="AK852" s="4"/>
      <c r="AL852" s="4"/>
      <c r="AM852" s="4"/>
      <c r="AN852" s="4"/>
      <c r="AO852" s="4"/>
      <c r="AP852" s="4"/>
      <c r="AQ852" s="4"/>
      <c r="AR852" s="4"/>
      <c r="AS852" s="4"/>
      <c r="AT852" s="4"/>
      <c r="AU852" s="4"/>
    </row>
    <row r="853" spans="1:47" ht="13.2">
      <c r="A853" s="120"/>
      <c r="B853" s="113"/>
      <c r="C853" s="117"/>
      <c r="D853" s="117"/>
      <c r="E853" s="117"/>
      <c r="F853" s="123"/>
      <c r="G853" s="93" t="s">
        <v>145</v>
      </c>
      <c r="H853" s="125"/>
      <c r="I853" s="125"/>
      <c r="J853" s="82" t="str">
        <f t="shared" ca="1" si="147"/>
        <v>#REF!</v>
      </c>
      <c r="K853" s="82" t="str">
        <f t="shared" ca="1" si="256"/>
        <v>#REF!</v>
      </c>
      <c r="L853" s="82" t="str">
        <f t="shared" ca="1" si="199"/>
        <v>#REF!</v>
      </c>
      <c r="M853" s="125"/>
      <c r="N853" s="125"/>
      <c r="O853" s="230">
        <f t="shared" si="2"/>
        <v>0</v>
      </c>
      <c r="P853" s="231">
        <f t="shared" si="3"/>
        <v>0</v>
      </c>
      <c r="Q853" s="232" t="str">
        <f ca="1">ROUNDUP(HLOOKUP(IF(CEILING(L853,0.5)&lt;1,1,CEILING(L853,0.5)),'배송비 조회'!A$32:AY$36,2,0),-2)</f>
        <v>#REF!</v>
      </c>
      <c r="R853" s="232">
        <v>0</v>
      </c>
      <c r="S853" s="231" t="str">
        <f t="shared" ca="1" si="250"/>
        <v>#REF!</v>
      </c>
      <c r="T853" s="231" t="str">
        <f t="shared" ca="1" si="200"/>
        <v>#REF!</v>
      </c>
      <c r="U853" s="233" t="str">
        <f t="shared" ca="1" si="142"/>
        <v>#REF!</v>
      </c>
      <c r="V853" s="233" t="str">
        <f t="shared" ca="1" si="7"/>
        <v>#REF!</v>
      </c>
      <c r="W853" s="234">
        <v>0</v>
      </c>
      <c r="X853" s="234" t="str">
        <f t="shared" ca="1" si="8"/>
        <v>#REF!</v>
      </c>
      <c r="Y853" s="234" t="str">
        <f t="shared" ca="1" si="9"/>
        <v>#REF!</v>
      </c>
      <c r="Z853" s="234" t="str">
        <f t="shared" ca="1" si="10"/>
        <v>#REF!</v>
      </c>
      <c r="AA853" s="234" t="str">
        <f t="shared" ca="1" si="11"/>
        <v>#REF!</v>
      </c>
      <c r="AB853" s="234" t="str">
        <f t="shared" ca="1" si="12"/>
        <v>#REF!</v>
      </c>
      <c r="AC853" s="234" t="str">
        <f t="shared" ca="1" si="13"/>
        <v>#REF!</v>
      </c>
      <c r="AD853" s="101" t="str">
        <f t="shared" ca="1" si="14"/>
        <v>#REF!</v>
      </c>
      <c r="AE853" s="101" t="str">
        <f t="shared" ca="1" si="15"/>
        <v>#REF!</v>
      </c>
      <c r="AF853" s="235" t="str">
        <f t="shared" ref="AF853:AG853" ca="1" si="930">AD853/U853</f>
        <v>#REF!</v>
      </c>
      <c r="AG853" s="235" t="str">
        <f t="shared" ca="1" si="930"/>
        <v>#REF!</v>
      </c>
      <c r="AH853" s="212"/>
      <c r="AI853" s="213"/>
      <c r="AJ853" s="4"/>
      <c r="AK853" s="4"/>
      <c r="AL853" s="4"/>
      <c r="AM853" s="4"/>
      <c r="AN853" s="4"/>
      <c r="AO853" s="4"/>
      <c r="AP853" s="4"/>
      <c r="AQ853" s="4"/>
      <c r="AR853" s="4"/>
      <c r="AS853" s="4"/>
      <c r="AT853" s="4"/>
      <c r="AU853" s="4"/>
    </row>
    <row r="854" spans="1:47" ht="13.2">
      <c r="A854" s="120"/>
      <c r="B854" s="113"/>
      <c r="C854" s="117"/>
      <c r="D854" s="117"/>
      <c r="E854" s="117"/>
      <c r="F854" s="123"/>
      <c r="G854" s="93" t="s">
        <v>145</v>
      </c>
      <c r="H854" s="125"/>
      <c r="I854" s="125"/>
      <c r="J854" s="82" t="str">
        <f t="shared" ca="1" si="147"/>
        <v>#REF!</v>
      </c>
      <c r="K854" s="82" t="str">
        <f t="shared" ca="1" si="256"/>
        <v>#REF!</v>
      </c>
      <c r="L854" s="82" t="str">
        <f t="shared" ca="1" si="199"/>
        <v>#REF!</v>
      </c>
      <c r="M854" s="125"/>
      <c r="N854" s="125"/>
      <c r="O854" s="230">
        <f t="shared" si="2"/>
        <v>0</v>
      </c>
      <c r="P854" s="231">
        <f t="shared" si="3"/>
        <v>0</v>
      </c>
      <c r="Q854" s="232" t="str">
        <f ca="1">ROUNDUP(HLOOKUP(IF(CEILING(L854,0.5)&lt;1,1,CEILING(L854,0.5)),'배송비 조회'!A$32:AY$36,2,0),-2)</f>
        <v>#REF!</v>
      </c>
      <c r="R854" s="232">
        <v>0</v>
      </c>
      <c r="S854" s="231" t="str">
        <f t="shared" ca="1" si="250"/>
        <v>#REF!</v>
      </c>
      <c r="T854" s="231" t="str">
        <f t="shared" ca="1" si="200"/>
        <v>#REF!</v>
      </c>
      <c r="U854" s="233" t="str">
        <f t="shared" ca="1" si="142"/>
        <v>#REF!</v>
      </c>
      <c r="V854" s="233" t="str">
        <f t="shared" ca="1" si="7"/>
        <v>#REF!</v>
      </c>
      <c r="W854" s="234">
        <v>0</v>
      </c>
      <c r="X854" s="234" t="str">
        <f t="shared" ca="1" si="8"/>
        <v>#REF!</v>
      </c>
      <c r="Y854" s="234" t="str">
        <f t="shared" ca="1" si="9"/>
        <v>#REF!</v>
      </c>
      <c r="Z854" s="234" t="str">
        <f t="shared" ca="1" si="10"/>
        <v>#REF!</v>
      </c>
      <c r="AA854" s="234" t="str">
        <f t="shared" ca="1" si="11"/>
        <v>#REF!</v>
      </c>
      <c r="AB854" s="234" t="str">
        <f t="shared" ca="1" si="12"/>
        <v>#REF!</v>
      </c>
      <c r="AC854" s="234" t="str">
        <f t="shared" ca="1" si="13"/>
        <v>#REF!</v>
      </c>
      <c r="AD854" s="101" t="str">
        <f t="shared" ca="1" si="14"/>
        <v>#REF!</v>
      </c>
      <c r="AE854" s="101" t="str">
        <f t="shared" ca="1" si="15"/>
        <v>#REF!</v>
      </c>
      <c r="AF854" s="235" t="str">
        <f t="shared" ref="AF854:AG854" ca="1" si="931">AD854/U854</f>
        <v>#REF!</v>
      </c>
      <c r="AG854" s="235" t="str">
        <f t="shared" ca="1" si="931"/>
        <v>#REF!</v>
      </c>
      <c r="AH854" s="212"/>
      <c r="AI854" s="213"/>
      <c r="AJ854" s="4"/>
      <c r="AK854" s="4"/>
      <c r="AL854" s="4"/>
      <c r="AM854" s="4"/>
      <c r="AN854" s="4"/>
      <c r="AO854" s="4"/>
      <c r="AP854" s="4"/>
      <c r="AQ854" s="4"/>
      <c r="AR854" s="4"/>
      <c r="AS854" s="4"/>
      <c r="AT854" s="4"/>
      <c r="AU854" s="4"/>
    </row>
    <row r="855" spans="1:47" ht="13.2">
      <c r="A855" s="120"/>
      <c r="B855" s="113"/>
      <c r="C855" s="117"/>
      <c r="D855" s="117"/>
      <c r="E855" s="117"/>
      <c r="F855" s="123"/>
      <c r="G855" s="93" t="s">
        <v>145</v>
      </c>
      <c r="H855" s="125"/>
      <c r="I855" s="125"/>
      <c r="J855" s="82" t="str">
        <f t="shared" ca="1" si="147"/>
        <v>#REF!</v>
      </c>
      <c r="K855" s="82" t="str">
        <f t="shared" ca="1" si="256"/>
        <v>#REF!</v>
      </c>
      <c r="L855" s="82" t="str">
        <f t="shared" ca="1" si="199"/>
        <v>#REF!</v>
      </c>
      <c r="M855" s="125"/>
      <c r="N855" s="125"/>
      <c r="O855" s="230">
        <f t="shared" si="2"/>
        <v>0</v>
      </c>
      <c r="P855" s="231">
        <f t="shared" si="3"/>
        <v>0</v>
      </c>
      <c r="Q855" s="232" t="str">
        <f ca="1">ROUNDUP(HLOOKUP(IF(CEILING(L855,0.5)&lt;1,1,CEILING(L855,0.5)),'배송비 조회'!A$32:AY$36,2,0),-2)</f>
        <v>#REF!</v>
      </c>
      <c r="R855" s="232">
        <v>0</v>
      </c>
      <c r="S855" s="231" t="str">
        <f t="shared" ca="1" si="250"/>
        <v>#REF!</v>
      </c>
      <c r="T855" s="231" t="str">
        <f t="shared" ca="1" si="200"/>
        <v>#REF!</v>
      </c>
      <c r="U855" s="233" t="str">
        <f t="shared" ca="1" si="142"/>
        <v>#REF!</v>
      </c>
      <c r="V855" s="233" t="str">
        <f t="shared" ca="1" si="7"/>
        <v>#REF!</v>
      </c>
      <c r="W855" s="234">
        <v>0</v>
      </c>
      <c r="X855" s="234" t="str">
        <f t="shared" ca="1" si="8"/>
        <v>#REF!</v>
      </c>
      <c r="Y855" s="234" t="str">
        <f t="shared" ca="1" si="9"/>
        <v>#REF!</v>
      </c>
      <c r="Z855" s="234" t="str">
        <f t="shared" ca="1" si="10"/>
        <v>#REF!</v>
      </c>
      <c r="AA855" s="234" t="str">
        <f t="shared" ca="1" si="11"/>
        <v>#REF!</v>
      </c>
      <c r="AB855" s="234" t="str">
        <f t="shared" ca="1" si="12"/>
        <v>#REF!</v>
      </c>
      <c r="AC855" s="234" t="str">
        <f t="shared" ca="1" si="13"/>
        <v>#REF!</v>
      </c>
      <c r="AD855" s="101" t="str">
        <f t="shared" ca="1" si="14"/>
        <v>#REF!</v>
      </c>
      <c r="AE855" s="101" t="str">
        <f t="shared" ca="1" si="15"/>
        <v>#REF!</v>
      </c>
      <c r="AF855" s="235" t="str">
        <f t="shared" ref="AF855:AG855" ca="1" si="932">AD855/U855</f>
        <v>#REF!</v>
      </c>
      <c r="AG855" s="235" t="str">
        <f t="shared" ca="1" si="932"/>
        <v>#REF!</v>
      </c>
      <c r="AH855" s="212"/>
      <c r="AI855" s="213"/>
      <c r="AJ855" s="4"/>
      <c r="AK855" s="4"/>
      <c r="AL855" s="4"/>
      <c r="AM855" s="4"/>
      <c r="AN855" s="4"/>
      <c r="AO855" s="4"/>
      <c r="AP855" s="4"/>
      <c r="AQ855" s="4"/>
      <c r="AR855" s="4"/>
      <c r="AS855" s="4"/>
      <c r="AT855" s="4"/>
      <c r="AU855" s="4"/>
    </row>
    <row r="856" spans="1:47" ht="13.2">
      <c r="A856" s="120"/>
      <c r="B856" s="113"/>
      <c r="C856" s="117"/>
      <c r="D856" s="117"/>
      <c r="E856" s="117"/>
      <c r="F856" s="123"/>
      <c r="G856" s="93" t="s">
        <v>145</v>
      </c>
      <c r="H856" s="125"/>
      <c r="I856" s="125"/>
      <c r="J856" s="82" t="str">
        <f t="shared" ca="1" si="147"/>
        <v>#REF!</v>
      </c>
      <c r="K856" s="82" t="str">
        <f t="shared" ca="1" si="256"/>
        <v>#REF!</v>
      </c>
      <c r="L856" s="82" t="str">
        <f t="shared" ca="1" si="199"/>
        <v>#REF!</v>
      </c>
      <c r="M856" s="125"/>
      <c r="N856" s="125"/>
      <c r="O856" s="230">
        <f t="shared" si="2"/>
        <v>0</v>
      </c>
      <c r="P856" s="231">
        <f t="shared" si="3"/>
        <v>0</v>
      </c>
      <c r="Q856" s="232" t="str">
        <f ca="1">ROUNDUP(HLOOKUP(IF(CEILING(L856,0.5)&lt;1,1,CEILING(L856,0.5)),'배송비 조회'!A$32:AY$36,2,0),-2)</f>
        <v>#REF!</v>
      </c>
      <c r="R856" s="232">
        <v>0</v>
      </c>
      <c r="S856" s="231" t="str">
        <f t="shared" ca="1" si="250"/>
        <v>#REF!</v>
      </c>
      <c r="T856" s="231" t="str">
        <f t="shared" ca="1" si="200"/>
        <v>#REF!</v>
      </c>
      <c r="U856" s="233" t="str">
        <f t="shared" ca="1" si="142"/>
        <v>#REF!</v>
      </c>
      <c r="V856" s="233" t="str">
        <f t="shared" ca="1" si="7"/>
        <v>#REF!</v>
      </c>
      <c r="W856" s="234">
        <v>0</v>
      </c>
      <c r="X856" s="234" t="str">
        <f t="shared" ca="1" si="8"/>
        <v>#REF!</v>
      </c>
      <c r="Y856" s="234" t="str">
        <f t="shared" ca="1" si="9"/>
        <v>#REF!</v>
      </c>
      <c r="Z856" s="234" t="str">
        <f t="shared" ca="1" si="10"/>
        <v>#REF!</v>
      </c>
      <c r="AA856" s="234" t="str">
        <f t="shared" ca="1" si="11"/>
        <v>#REF!</v>
      </c>
      <c r="AB856" s="234" t="str">
        <f t="shared" ca="1" si="12"/>
        <v>#REF!</v>
      </c>
      <c r="AC856" s="234" t="str">
        <f t="shared" ca="1" si="13"/>
        <v>#REF!</v>
      </c>
      <c r="AD856" s="101" t="str">
        <f t="shared" ca="1" si="14"/>
        <v>#REF!</v>
      </c>
      <c r="AE856" s="101" t="str">
        <f t="shared" ca="1" si="15"/>
        <v>#REF!</v>
      </c>
      <c r="AF856" s="235" t="str">
        <f t="shared" ref="AF856:AG856" ca="1" si="933">AD856/U856</f>
        <v>#REF!</v>
      </c>
      <c r="AG856" s="235" t="str">
        <f t="shared" ca="1" si="933"/>
        <v>#REF!</v>
      </c>
      <c r="AH856" s="212"/>
      <c r="AI856" s="213"/>
      <c r="AJ856" s="4"/>
      <c r="AK856" s="4"/>
      <c r="AL856" s="4"/>
      <c r="AM856" s="4"/>
      <c r="AN856" s="4"/>
      <c r="AO856" s="4"/>
      <c r="AP856" s="4"/>
      <c r="AQ856" s="4"/>
      <c r="AR856" s="4"/>
      <c r="AS856" s="4"/>
      <c r="AT856" s="4"/>
      <c r="AU856" s="4"/>
    </row>
    <row r="857" spans="1:47" ht="13.2">
      <c r="A857" s="120"/>
      <c r="B857" s="113"/>
      <c r="C857" s="117"/>
      <c r="D857" s="117"/>
      <c r="E857" s="117"/>
      <c r="F857" s="123"/>
      <c r="G857" s="93" t="s">
        <v>145</v>
      </c>
      <c r="H857" s="125"/>
      <c r="I857" s="125"/>
      <c r="J857" s="82" t="str">
        <f t="shared" ca="1" si="147"/>
        <v>#REF!</v>
      </c>
      <c r="K857" s="82" t="str">
        <f t="shared" ca="1" si="256"/>
        <v>#REF!</v>
      </c>
      <c r="L857" s="82" t="str">
        <f t="shared" ca="1" si="199"/>
        <v>#REF!</v>
      </c>
      <c r="M857" s="125"/>
      <c r="N857" s="125"/>
      <c r="O857" s="230">
        <f t="shared" si="2"/>
        <v>0</v>
      </c>
      <c r="P857" s="231">
        <f t="shared" si="3"/>
        <v>0</v>
      </c>
      <c r="Q857" s="232" t="str">
        <f ca="1">ROUNDUP(HLOOKUP(IF(CEILING(L857,0.5)&lt;1,1,CEILING(L857,0.5)),'배송비 조회'!A$32:AY$36,2,0),-2)</f>
        <v>#REF!</v>
      </c>
      <c r="R857" s="232">
        <v>0</v>
      </c>
      <c r="S857" s="231" t="str">
        <f t="shared" ca="1" si="250"/>
        <v>#REF!</v>
      </c>
      <c r="T857" s="231" t="str">
        <f t="shared" ca="1" si="200"/>
        <v>#REF!</v>
      </c>
      <c r="U857" s="233" t="str">
        <f t="shared" ca="1" si="142"/>
        <v>#REF!</v>
      </c>
      <c r="V857" s="233" t="str">
        <f t="shared" ca="1" si="7"/>
        <v>#REF!</v>
      </c>
      <c r="W857" s="234">
        <v>0</v>
      </c>
      <c r="X857" s="234" t="str">
        <f t="shared" ca="1" si="8"/>
        <v>#REF!</v>
      </c>
      <c r="Y857" s="234" t="str">
        <f t="shared" ca="1" si="9"/>
        <v>#REF!</v>
      </c>
      <c r="Z857" s="234" t="str">
        <f t="shared" ca="1" si="10"/>
        <v>#REF!</v>
      </c>
      <c r="AA857" s="234" t="str">
        <f t="shared" ca="1" si="11"/>
        <v>#REF!</v>
      </c>
      <c r="AB857" s="234" t="str">
        <f t="shared" ca="1" si="12"/>
        <v>#REF!</v>
      </c>
      <c r="AC857" s="234" t="str">
        <f t="shared" ca="1" si="13"/>
        <v>#REF!</v>
      </c>
      <c r="AD857" s="101" t="str">
        <f t="shared" ca="1" si="14"/>
        <v>#REF!</v>
      </c>
      <c r="AE857" s="101" t="str">
        <f t="shared" ca="1" si="15"/>
        <v>#REF!</v>
      </c>
      <c r="AF857" s="235" t="str">
        <f t="shared" ref="AF857:AG857" ca="1" si="934">AD857/U857</f>
        <v>#REF!</v>
      </c>
      <c r="AG857" s="235" t="str">
        <f t="shared" ca="1" si="934"/>
        <v>#REF!</v>
      </c>
      <c r="AH857" s="212"/>
      <c r="AI857" s="213"/>
      <c r="AJ857" s="4"/>
      <c r="AK857" s="4"/>
      <c r="AL857" s="4"/>
      <c r="AM857" s="4"/>
      <c r="AN857" s="4"/>
      <c r="AO857" s="4"/>
      <c r="AP857" s="4"/>
      <c r="AQ857" s="4"/>
      <c r="AR857" s="4"/>
      <c r="AS857" s="4"/>
      <c r="AT857" s="4"/>
      <c r="AU857" s="4"/>
    </row>
    <row r="858" spans="1:47" ht="13.2">
      <c r="A858" s="120"/>
      <c r="B858" s="113"/>
      <c r="C858" s="117"/>
      <c r="D858" s="117"/>
      <c r="E858" s="117"/>
      <c r="F858" s="123"/>
      <c r="G858" s="93" t="s">
        <v>145</v>
      </c>
      <c r="H858" s="125"/>
      <c r="I858" s="125"/>
      <c r="J858" s="82" t="str">
        <f t="shared" ca="1" si="147"/>
        <v>#REF!</v>
      </c>
      <c r="K858" s="82" t="str">
        <f t="shared" ca="1" si="256"/>
        <v>#REF!</v>
      </c>
      <c r="L858" s="82" t="str">
        <f t="shared" ca="1" si="199"/>
        <v>#REF!</v>
      </c>
      <c r="M858" s="125"/>
      <c r="N858" s="125"/>
      <c r="O858" s="230">
        <f t="shared" si="2"/>
        <v>0</v>
      </c>
      <c r="P858" s="231">
        <f t="shared" si="3"/>
        <v>0</v>
      </c>
      <c r="Q858" s="232" t="str">
        <f ca="1">ROUNDUP(HLOOKUP(IF(CEILING(L858,0.5)&lt;1,1,CEILING(L858,0.5)),'배송비 조회'!A$32:AY$36,2,0),-2)</f>
        <v>#REF!</v>
      </c>
      <c r="R858" s="232">
        <v>0</v>
      </c>
      <c r="S858" s="231" t="str">
        <f t="shared" ca="1" si="250"/>
        <v>#REF!</v>
      </c>
      <c r="T858" s="231" t="str">
        <f t="shared" ca="1" si="200"/>
        <v>#REF!</v>
      </c>
      <c r="U858" s="233" t="str">
        <f t="shared" ca="1" si="142"/>
        <v>#REF!</v>
      </c>
      <c r="V858" s="233" t="str">
        <f t="shared" ca="1" si="7"/>
        <v>#REF!</v>
      </c>
      <c r="W858" s="234">
        <v>0</v>
      </c>
      <c r="X858" s="234" t="str">
        <f t="shared" ca="1" si="8"/>
        <v>#REF!</v>
      </c>
      <c r="Y858" s="234" t="str">
        <f t="shared" ca="1" si="9"/>
        <v>#REF!</v>
      </c>
      <c r="Z858" s="234" t="str">
        <f t="shared" ca="1" si="10"/>
        <v>#REF!</v>
      </c>
      <c r="AA858" s="234" t="str">
        <f t="shared" ca="1" si="11"/>
        <v>#REF!</v>
      </c>
      <c r="AB858" s="234" t="str">
        <f t="shared" ca="1" si="12"/>
        <v>#REF!</v>
      </c>
      <c r="AC858" s="234" t="str">
        <f t="shared" ca="1" si="13"/>
        <v>#REF!</v>
      </c>
      <c r="AD858" s="101" t="str">
        <f t="shared" ca="1" si="14"/>
        <v>#REF!</v>
      </c>
      <c r="AE858" s="101" t="str">
        <f t="shared" ca="1" si="15"/>
        <v>#REF!</v>
      </c>
      <c r="AF858" s="235" t="str">
        <f t="shared" ref="AF858:AG858" ca="1" si="935">AD858/U858</f>
        <v>#REF!</v>
      </c>
      <c r="AG858" s="235" t="str">
        <f t="shared" ca="1" si="935"/>
        <v>#REF!</v>
      </c>
      <c r="AH858" s="212"/>
      <c r="AI858" s="213"/>
      <c r="AJ858" s="4"/>
      <c r="AK858" s="4"/>
      <c r="AL858" s="4"/>
      <c r="AM858" s="4"/>
      <c r="AN858" s="4"/>
      <c r="AO858" s="4"/>
      <c r="AP858" s="4"/>
      <c r="AQ858" s="4"/>
      <c r="AR858" s="4"/>
      <c r="AS858" s="4"/>
      <c r="AT858" s="4"/>
      <c r="AU858" s="4"/>
    </row>
    <row r="859" spans="1:47" ht="13.2">
      <c r="A859" s="120"/>
      <c r="B859" s="113"/>
      <c r="C859" s="117"/>
      <c r="D859" s="117"/>
      <c r="E859" s="117"/>
      <c r="F859" s="123"/>
      <c r="G859" s="93" t="s">
        <v>145</v>
      </c>
      <c r="H859" s="125"/>
      <c r="I859" s="125"/>
      <c r="J859" s="82" t="str">
        <f t="shared" ca="1" si="147"/>
        <v>#REF!</v>
      </c>
      <c r="K859" s="82" t="str">
        <f t="shared" ca="1" si="256"/>
        <v>#REF!</v>
      </c>
      <c r="L859" s="82" t="str">
        <f t="shared" ca="1" si="199"/>
        <v>#REF!</v>
      </c>
      <c r="M859" s="125"/>
      <c r="N859" s="125"/>
      <c r="O859" s="230">
        <f t="shared" si="2"/>
        <v>0</v>
      </c>
      <c r="P859" s="231">
        <f t="shared" si="3"/>
        <v>0</v>
      </c>
      <c r="Q859" s="232" t="str">
        <f ca="1">ROUNDUP(HLOOKUP(IF(CEILING(L859,0.5)&lt;1,1,CEILING(L859,0.5)),'배송비 조회'!A$32:AY$36,2,0),-2)</f>
        <v>#REF!</v>
      </c>
      <c r="R859" s="232">
        <v>0</v>
      </c>
      <c r="S859" s="231" t="str">
        <f t="shared" ca="1" si="250"/>
        <v>#REF!</v>
      </c>
      <c r="T859" s="231" t="str">
        <f t="shared" ca="1" si="200"/>
        <v>#REF!</v>
      </c>
      <c r="U859" s="233" t="str">
        <f t="shared" ca="1" si="142"/>
        <v>#REF!</v>
      </c>
      <c r="V859" s="233" t="str">
        <f t="shared" ca="1" si="7"/>
        <v>#REF!</v>
      </c>
      <c r="W859" s="234">
        <v>0</v>
      </c>
      <c r="X859" s="234" t="str">
        <f t="shared" ca="1" si="8"/>
        <v>#REF!</v>
      </c>
      <c r="Y859" s="234" t="str">
        <f t="shared" ca="1" si="9"/>
        <v>#REF!</v>
      </c>
      <c r="Z859" s="234" t="str">
        <f t="shared" ca="1" si="10"/>
        <v>#REF!</v>
      </c>
      <c r="AA859" s="234" t="str">
        <f t="shared" ca="1" si="11"/>
        <v>#REF!</v>
      </c>
      <c r="AB859" s="234" t="str">
        <f t="shared" ca="1" si="12"/>
        <v>#REF!</v>
      </c>
      <c r="AC859" s="234" t="str">
        <f t="shared" ca="1" si="13"/>
        <v>#REF!</v>
      </c>
      <c r="AD859" s="101" t="str">
        <f t="shared" ca="1" si="14"/>
        <v>#REF!</v>
      </c>
      <c r="AE859" s="101" t="str">
        <f t="shared" ca="1" si="15"/>
        <v>#REF!</v>
      </c>
      <c r="AF859" s="235" t="str">
        <f t="shared" ref="AF859:AG859" ca="1" si="936">AD859/U859</f>
        <v>#REF!</v>
      </c>
      <c r="AG859" s="235" t="str">
        <f t="shared" ca="1" si="936"/>
        <v>#REF!</v>
      </c>
      <c r="AH859" s="212"/>
      <c r="AI859" s="213"/>
      <c r="AJ859" s="4"/>
      <c r="AK859" s="4"/>
      <c r="AL859" s="4"/>
      <c r="AM859" s="4"/>
      <c r="AN859" s="4"/>
      <c r="AO859" s="4"/>
      <c r="AP859" s="4"/>
      <c r="AQ859" s="4"/>
      <c r="AR859" s="4"/>
      <c r="AS859" s="4"/>
      <c r="AT859" s="4"/>
      <c r="AU859" s="4"/>
    </row>
    <row r="860" spans="1:47" ht="13.2">
      <c r="A860" s="120"/>
      <c r="B860" s="113"/>
      <c r="C860" s="117"/>
      <c r="D860" s="117"/>
      <c r="E860" s="117"/>
      <c r="F860" s="123"/>
      <c r="G860" s="93" t="s">
        <v>145</v>
      </c>
      <c r="H860" s="125"/>
      <c r="I860" s="125"/>
      <c r="J860" s="82" t="str">
        <f t="shared" ca="1" si="147"/>
        <v>#REF!</v>
      </c>
      <c r="K860" s="82" t="str">
        <f t="shared" ca="1" si="256"/>
        <v>#REF!</v>
      </c>
      <c r="L860" s="82" t="str">
        <f t="shared" ca="1" si="199"/>
        <v>#REF!</v>
      </c>
      <c r="M860" s="125"/>
      <c r="N860" s="125"/>
      <c r="O860" s="230">
        <f t="shared" si="2"/>
        <v>0</v>
      </c>
      <c r="P860" s="231">
        <f t="shared" si="3"/>
        <v>0</v>
      </c>
      <c r="Q860" s="232" t="str">
        <f ca="1">ROUNDUP(HLOOKUP(IF(CEILING(L860,0.5)&lt;1,1,CEILING(L860,0.5)),'배송비 조회'!A$32:AY$36,2,0),-2)</f>
        <v>#REF!</v>
      </c>
      <c r="R860" s="232">
        <v>0</v>
      </c>
      <c r="S860" s="231" t="str">
        <f t="shared" ca="1" si="250"/>
        <v>#REF!</v>
      </c>
      <c r="T860" s="231" t="str">
        <f t="shared" ca="1" si="200"/>
        <v>#REF!</v>
      </c>
      <c r="U860" s="233" t="str">
        <f t="shared" ca="1" si="142"/>
        <v>#REF!</v>
      </c>
      <c r="V860" s="233" t="str">
        <f t="shared" ca="1" si="7"/>
        <v>#REF!</v>
      </c>
      <c r="W860" s="234">
        <v>0</v>
      </c>
      <c r="X860" s="234" t="str">
        <f t="shared" ca="1" si="8"/>
        <v>#REF!</v>
      </c>
      <c r="Y860" s="234" t="str">
        <f t="shared" ca="1" si="9"/>
        <v>#REF!</v>
      </c>
      <c r="Z860" s="234" t="str">
        <f t="shared" ca="1" si="10"/>
        <v>#REF!</v>
      </c>
      <c r="AA860" s="234" t="str">
        <f t="shared" ca="1" si="11"/>
        <v>#REF!</v>
      </c>
      <c r="AB860" s="234" t="str">
        <f t="shared" ca="1" si="12"/>
        <v>#REF!</v>
      </c>
      <c r="AC860" s="234" t="str">
        <f t="shared" ca="1" si="13"/>
        <v>#REF!</v>
      </c>
      <c r="AD860" s="101" t="str">
        <f t="shared" ca="1" si="14"/>
        <v>#REF!</v>
      </c>
      <c r="AE860" s="101" t="str">
        <f t="shared" ca="1" si="15"/>
        <v>#REF!</v>
      </c>
      <c r="AF860" s="235" t="str">
        <f t="shared" ref="AF860:AG860" ca="1" si="937">AD860/U860</f>
        <v>#REF!</v>
      </c>
      <c r="AG860" s="235" t="str">
        <f t="shared" ca="1" si="937"/>
        <v>#REF!</v>
      </c>
      <c r="AH860" s="212"/>
      <c r="AI860" s="213"/>
      <c r="AJ860" s="4"/>
      <c r="AK860" s="4"/>
      <c r="AL860" s="4"/>
      <c r="AM860" s="4"/>
      <c r="AN860" s="4"/>
      <c r="AO860" s="4"/>
      <c r="AP860" s="4"/>
      <c r="AQ860" s="4"/>
      <c r="AR860" s="4"/>
      <c r="AS860" s="4"/>
      <c r="AT860" s="4"/>
      <c r="AU860" s="4"/>
    </row>
    <row r="861" spans="1:47" ht="13.2">
      <c r="A861" s="120"/>
      <c r="B861" s="113"/>
      <c r="C861" s="117"/>
      <c r="D861" s="117"/>
      <c r="E861" s="117"/>
      <c r="F861" s="123"/>
      <c r="G861" s="93" t="s">
        <v>145</v>
      </c>
      <c r="H861" s="125"/>
      <c r="I861" s="125"/>
      <c r="J861" s="82" t="str">
        <f t="shared" ca="1" si="147"/>
        <v>#REF!</v>
      </c>
      <c r="K861" s="82" t="str">
        <f t="shared" ca="1" si="256"/>
        <v>#REF!</v>
      </c>
      <c r="L861" s="82" t="str">
        <f t="shared" ca="1" si="199"/>
        <v>#REF!</v>
      </c>
      <c r="M861" s="125"/>
      <c r="N861" s="125"/>
      <c r="O861" s="230">
        <f t="shared" si="2"/>
        <v>0</v>
      </c>
      <c r="P861" s="231">
        <f t="shared" si="3"/>
        <v>0</v>
      </c>
      <c r="Q861" s="232" t="str">
        <f ca="1">ROUNDUP(HLOOKUP(IF(CEILING(L861,0.5)&lt;1,1,CEILING(L861,0.5)),'배송비 조회'!A$32:AY$36,2,0),-2)</f>
        <v>#REF!</v>
      </c>
      <c r="R861" s="232">
        <v>0</v>
      </c>
      <c r="S861" s="231" t="str">
        <f t="shared" ca="1" si="250"/>
        <v>#REF!</v>
      </c>
      <c r="T861" s="231" t="str">
        <f t="shared" ca="1" si="200"/>
        <v>#REF!</v>
      </c>
      <c r="U861" s="233" t="str">
        <f t="shared" ca="1" si="142"/>
        <v>#REF!</v>
      </c>
      <c r="V861" s="233" t="str">
        <f t="shared" ca="1" si="7"/>
        <v>#REF!</v>
      </c>
      <c r="W861" s="234">
        <v>0</v>
      </c>
      <c r="X861" s="234" t="str">
        <f t="shared" ca="1" si="8"/>
        <v>#REF!</v>
      </c>
      <c r="Y861" s="234" t="str">
        <f t="shared" ca="1" si="9"/>
        <v>#REF!</v>
      </c>
      <c r="Z861" s="234" t="str">
        <f t="shared" ca="1" si="10"/>
        <v>#REF!</v>
      </c>
      <c r="AA861" s="234" t="str">
        <f t="shared" ca="1" si="11"/>
        <v>#REF!</v>
      </c>
      <c r="AB861" s="234" t="str">
        <f t="shared" ca="1" si="12"/>
        <v>#REF!</v>
      </c>
      <c r="AC861" s="234" t="str">
        <f t="shared" ca="1" si="13"/>
        <v>#REF!</v>
      </c>
      <c r="AD861" s="101" t="str">
        <f t="shared" ca="1" si="14"/>
        <v>#REF!</v>
      </c>
      <c r="AE861" s="101" t="str">
        <f t="shared" ca="1" si="15"/>
        <v>#REF!</v>
      </c>
      <c r="AF861" s="235" t="str">
        <f t="shared" ref="AF861:AG861" ca="1" si="938">AD861/U861</f>
        <v>#REF!</v>
      </c>
      <c r="AG861" s="235" t="str">
        <f t="shared" ca="1" si="938"/>
        <v>#REF!</v>
      </c>
      <c r="AH861" s="212"/>
      <c r="AI861" s="213"/>
      <c r="AJ861" s="4"/>
      <c r="AK861" s="4"/>
      <c r="AL861" s="4"/>
      <c r="AM861" s="4"/>
      <c r="AN861" s="4"/>
      <c r="AO861" s="4"/>
      <c r="AP861" s="4"/>
      <c r="AQ861" s="4"/>
      <c r="AR861" s="4"/>
      <c r="AS861" s="4"/>
      <c r="AT861" s="4"/>
      <c r="AU861" s="4"/>
    </row>
    <row r="862" spans="1:47" ht="13.2">
      <c r="A862" s="120"/>
      <c r="B862" s="113"/>
      <c r="C862" s="117"/>
      <c r="D862" s="117"/>
      <c r="E862" s="117"/>
      <c r="F862" s="123"/>
      <c r="G862" s="93" t="s">
        <v>145</v>
      </c>
      <c r="H862" s="125"/>
      <c r="I862" s="125"/>
      <c r="J862" s="82" t="str">
        <f t="shared" ca="1" si="147"/>
        <v>#REF!</v>
      </c>
      <c r="K862" s="82" t="str">
        <f t="shared" ca="1" si="256"/>
        <v>#REF!</v>
      </c>
      <c r="L862" s="82" t="str">
        <f t="shared" ca="1" si="199"/>
        <v>#REF!</v>
      </c>
      <c r="M862" s="125"/>
      <c r="N862" s="125"/>
      <c r="O862" s="230">
        <f t="shared" si="2"/>
        <v>0</v>
      </c>
      <c r="P862" s="231">
        <f t="shared" si="3"/>
        <v>0</v>
      </c>
      <c r="Q862" s="232" t="str">
        <f ca="1">ROUNDUP(HLOOKUP(IF(CEILING(L862,0.5)&lt;1,1,CEILING(L862,0.5)),'배송비 조회'!A$32:AY$36,2,0),-2)</f>
        <v>#REF!</v>
      </c>
      <c r="R862" s="232">
        <v>0</v>
      </c>
      <c r="S862" s="231" t="str">
        <f t="shared" ca="1" si="250"/>
        <v>#REF!</v>
      </c>
      <c r="T862" s="231" t="str">
        <f t="shared" ca="1" si="200"/>
        <v>#REF!</v>
      </c>
      <c r="U862" s="233" t="str">
        <f t="shared" ca="1" si="142"/>
        <v>#REF!</v>
      </c>
      <c r="V862" s="233" t="str">
        <f t="shared" ca="1" si="7"/>
        <v>#REF!</v>
      </c>
      <c r="W862" s="234">
        <v>0</v>
      </c>
      <c r="X862" s="234" t="str">
        <f t="shared" ca="1" si="8"/>
        <v>#REF!</v>
      </c>
      <c r="Y862" s="234" t="str">
        <f t="shared" ca="1" si="9"/>
        <v>#REF!</v>
      </c>
      <c r="Z862" s="234" t="str">
        <f t="shared" ca="1" si="10"/>
        <v>#REF!</v>
      </c>
      <c r="AA862" s="234" t="str">
        <f t="shared" ca="1" si="11"/>
        <v>#REF!</v>
      </c>
      <c r="AB862" s="234" t="str">
        <f t="shared" ca="1" si="12"/>
        <v>#REF!</v>
      </c>
      <c r="AC862" s="234" t="str">
        <f t="shared" ca="1" si="13"/>
        <v>#REF!</v>
      </c>
      <c r="AD862" s="101" t="str">
        <f t="shared" ca="1" si="14"/>
        <v>#REF!</v>
      </c>
      <c r="AE862" s="101" t="str">
        <f t="shared" ca="1" si="15"/>
        <v>#REF!</v>
      </c>
      <c r="AF862" s="235" t="str">
        <f t="shared" ref="AF862:AG862" ca="1" si="939">AD862/U862</f>
        <v>#REF!</v>
      </c>
      <c r="AG862" s="235" t="str">
        <f t="shared" ca="1" si="939"/>
        <v>#REF!</v>
      </c>
      <c r="AH862" s="212"/>
      <c r="AI862" s="213"/>
      <c r="AJ862" s="4"/>
      <c r="AK862" s="4"/>
      <c r="AL862" s="4"/>
      <c r="AM862" s="4"/>
      <c r="AN862" s="4"/>
      <c r="AO862" s="4"/>
      <c r="AP862" s="4"/>
      <c r="AQ862" s="4"/>
      <c r="AR862" s="4"/>
      <c r="AS862" s="4"/>
      <c r="AT862" s="4"/>
      <c r="AU862" s="4"/>
    </row>
    <row r="863" spans="1:47" ht="13.2">
      <c r="A863" s="120"/>
      <c r="B863" s="113"/>
      <c r="C863" s="117"/>
      <c r="D863" s="117"/>
      <c r="E863" s="117"/>
      <c r="F863" s="123"/>
      <c r="G863" s="93" t="s">
        <v>145</v>
      </c>
      <c r="H863" s="125"/>
      <c r="I863" s="125"/>
      <c r="J863" s="82" t="str">
        <f t="shared" ca="1" si="147"/>
        <v>#REF!</v>
      </c>
      <c r="K863" s="82" t="str">
        <f t="shared" ca="1" si="256"/>
        <v>#REF!</v>
      </c>
      <c r="L863" s="82" t="str">
        <f t="shared" ca="1" si="199"/>
        <v>#REF!</v>
      </c>
      <c r="M863" s="125"/>
      <c r="N863" s="125"/>
      <c r="O863" s="230">
        <f t="shared" si="2"/>
        <v>0</v>
      </c>
      <c r="P863" s="231">
        <f t="shared" si="3"/>
        <v>0</v>
      </c>
      <c r="Q863" s="232" t="str">
        <f ca="1">ROUNDUP(HLOOKUP(IF(CEILING(L863,0.5)&lt;1,1,CEILING(L863,0.5)),'배송비 조회'!A$32:AY$36,2,0),-2)</f>
        <v>#REF!</v>
      </c>
      <c r="R863" s="232">
        <v>0</v>
      </c>
      <c r="S863" s="231" t="str">
        <f t="shared" ca="1" si="250"/>
        <v>#REF!</v>
      </c>
      <c r="T863" s="231" t="str">
        <f t="shared" ca="1" si="200"/>
        <v>#REF!</v>
      </c>
      <c r="U863" s="233" t="str">
        <f t="shared" ca="1" si="142"/>
        <v>#REF!</v>
      </c>
      <c r="V863" s="233" t="str">
        <f t="shared" ca="1" si="7"/>
        <v>#REF!</v>
      </c>
      <c r="W863" s="234">
        <v>0</v>
      </c>
      <c r="X863" s="234" t="str">
        <f t="shared" ca="1" si="8"/>
        <v>#REF!</v>
      </c>
      <c r="Y863" s="234" t="str">
        <f t="shared" ca="1" si="9"/>
        <v>#REF!</v>
      </c>
      <c r="Z863" s="234" t="str">
        <f t="shared" ca="1" si="10"/>
        <v>#REF!</v>
      </c>
      <c r="AA863" s="234" t="str">
        <f t="shared" ca="1" si="11"/>
        <v>#REF!</v>
      </c>
      <c r="AB863" s="234" t="str">
        <f t="shared" ca="1" si="12"/>
        <v>#REF!</v>
      </c>
      <c r="AC863" s="234" t="str">
        <f t="shared" ca="1" si="13"/>
        <v>#REF!</v>
      </c>
      <c r="AD863" s="101" t="str">
        <f t="shared" ca="1" si="14"/>
        <v>#REF!</v>
      </c>
      <c r="AE863" s="101" t="str">
        <f t="shared" ca="1" si="15"/>
        <v>#REF!</v>
      </c>
      <c r="AF863" s="235" t="str">
        <f t="shared" ref="AF863:AG863" ca="1" si="940">AD863/U863</f>
        <v>#REF!</v>
      </c>
      <c r="AG863" s="235" t="str">
        <f t="shared" ca="1" si="940"/>
        <v>#REF!</v>
      </c>
      <c r="AH863" s="212"/>
      <c r="AI863" s="213"/>
      <c r="AJ863" s="4"/>
      <c r="AK863" s="4"/>
      <c r="AL863" s="4"/>
      <c r="AM863" s="4"/>
      <c r="AN863" s="4"/>
      <c r="AO863" s="4"/>
      <c r="AP863" s="4"/>
      <c r="AQ863" s="4"/>
      <c r="AR863" s="4"/>
      <c r="AS863" s="4"/>
      <c r="AT863" s="4"/>
      <c r="AU863" s="4"/>
    </row>
    <row r="864" spans="1:47" ht="13.2">
      <c r="A864" s="120"/>
      <c r="B864" s="113"/>
      <c r="C864" s="117"/>
      <c r="D864" s="117"/>
      <c r="E864" s="117"/>
      <c r="F864" s="123"/>
      <c r="G864" s="93" t="s">
        <v>145</v>
      </c>
      <c r="H864" s="125"/>
      <c r="I864" s="125"/>
      <c r="J864" s="82" t="str">
        <f t="shared" ca="1" si="147"/>
        <v>#REF!</v>
      </c>
      <c r="K864" s="82" t="str">
        <f t="shared" ca="1" si="256"/>
        <v>#REF!</v>
      </c>
      <c r="L864" s="82" t="str">
        <f t="shared" ca="1" si="199"/>
        <v>#REF!</v>
      </c>
      <c r="M864" s="125"/>
      <c r="N864" s="125"/>
      <c r="O864" s="230">
        <f t="shared" si="2"/>
        <v>0</v>
      </c>
      <c r="P864" s="231">
        <f t="shared" si="3"/>
        <v>0</v>
      </c>
      <c r="Q864" s="232" t="str">
        <f ca="1">ROUNDUP(HLOOKUP(IF(CEILING(L864,0.5)&lt;1,1,CEILING(L864,0.5)),'배송비 조회'!A$32:AY$36,2,0),-2)</f>
        <v>#REF!</v>
      </c>
      <c r="R864" s="232">
        <v>0</v>
      </c>
      <c r="S864" s="231" t="str">
        <f t="shared" ca="1" si="250"/>
        <v>#REF!</v>
      </c>
      <c r="T864" s="231" t="str">
        <f t="shared" ca="1" si="200"/>
        <v>#REF!</v>
      </c>
      <c r="U864" s="233" t="str">
        <f t="shared" ca="1" si="142"/>
        <v>#REF!</v>
      </c>
      <c r="V864" s="233" t="str">
        <f t="shared" ca="1" si="7"/>
        <v>#REF!</v>
      </c>
      <c r="W864" s="234">
        <v>0</v>
      </c>
      <c r="X864" s="234" t="str">
        <f t="shared" ca="1" si="8"/>
        <v>#REF!</v>
      </c>
      <c r="Y864" s="234" t="str">
        <f t="shared" ca="1" si="9"/>
        <v>#REF!</v>
      </c>
      <c r="Z864" s="234" t="str">
        <f t="shared" ca="1" si="10"/>
        <v>#REF!</v>
      </c>
      <c r="AA864" s="234" t="str">
        <f t="shared" ca="1" si="11"/>
        <v>#REF!</v>
      </c>
      <c r="AB864" s="234" t="str">
        <f t="shared" ca="1" si="12"/>
        <v>#REF!</v>
      </c>
      <c r="AC864" s="234" t="str">
        <f t="shared" ca="1" si="13"/>
        <v>#REF!</v>
      </c>
      <c r="AD864" s="101" t="str">
        <f t="shared" ca="1" si="14"/>
        <v>#REF!</v>
      </c>
      <c r="AE864" s="101" t="str">
        <f t="shared" ca="1" si="15"/>
        <v>#REF!</v>
      </c>
      <c r="AF864" s="235" t="str">
        <f t="shared" ref="AF864:AG864" ca="1" si="941">AD864/U864</f>
        <v>#REF!</v>
      </c>
      <c r="AG864" s="235" t="str">
        <f t="shared" ca="1" si="941"/>
        <v>#REF!</v>
      </c>
      <c r="AH864" s="212"/>
      <c r="AI864" s="213"/>
      <c r="AJ864" s="4"/>
      <c r="AK864" s="4"/>
      <c r="AL864" s="4"/>
      <c r="AM864" s="4"/>
      <c r="AN864" s="4"/>
      <c r="AO864" s="4"/>
      <c r="AP864" s="4"/>
      <c r="AQ864" s="4"/>
      <c r="AR864" s="4"/>
      <c r="AS864" s="4"/>
      <c r="AT864" s="4"/>
      <c r="AU864" s="4"/>
    </row>
    <row r="865" spans="1:47" ht="13.2">
      <c r="A865" s="120"/>
      <c r="B865" s="113"/>
      <c r="C865" s="117"/>
      <c r="D865" s="117"/>
      <c r="E865" s="117"/>
      <c r="F865" s="123"/>
      <c r="G865" s="93" t="s">
        <v>145</v>
      </c>
      <c r="H865" s="125"/>
      <c r="I865" s="125"/>
      <c r="J865" s="82" t="str">
        <f t="shared" ca="1" si="147"/>
        <v>#REF!</v>
      </c>
      <c r="K865" s="82" t="str">
        <f t="shared" ca="1" si="256"/>
        <v>#REF!</v>
      </c>
      <c r="L865" s="82" t="str">
        <f t="shared" ca="1" si="199"/>
        <v>#REF!</v>
      </c>
      <c r="M865" s="125"/>
      <c r="N865" s="125"/>
      <c r="O865" s="230">
        <f t="shared" si="2"/>
        <v>0</v>
      </c>
      <c r="P865" s="231">
        <f t="shared" si="3"/>
        <v>0</v>
      </c>
      <c r="Q865" s="232" t="str">
        <f ca="1">ROUNDUP(HLOOKUP(IF(CEILING(L865,0.5)&lt;1,1,CEILING(L865,0.5)),'배송비 조회'!A$32:AY$36,2,0),-2)</f>
        <v>#REF!</v>
      </c>
      <c r="R865" s="232">
        <v>0</v>
      </c>
      <c r="S865" s="231" t="str">
        <f t="shared" ca="1" si="250"/>
        <v>#REF!</v>
      </c>
      <c r="T865" s="231" t="str">
        <f t="shared" ca="1" si="200"/>
        <v>#REF!</v>
      </c>
      <c r="U865" s="233" t="str">
        <f t="shared" ca="1" si="142"/>
        <v>#REF!</v>
      </c>
      <c r="V865" s="233" t="str">
        <f t="shared" ca="1" si="7"/>
        <v>#REF!</v>
      </c>
      <c r="W865" s="234">
        <v>0</v>
      </c>
      <c r="X865" s="234" t="str">
        <f t="shared" ca="1" si="8"/>
        <v>#REF!</v>
      </c>
      <c r="Y865" s="234" t="str">
        <f t="shared" ca="1" si="9"/>
        <v>#REF!</v>
      </c>
      <c r="Z865" s="234" t="str">
        <f t="shared" ca="1" si="10"/>
        <v>#REF!</v>
      </c>
      <c r="AA865" s="234" t="str">
        <f t="shared" ca="1" si="11"/>
        <v>#REF!</v>
      </c>
      <c r="AB865" s="234" t="str">
        <f t="shared" ca="1" si="12"/>
        <v>#REF!</v>
      </c>
      <c r="AC865" s="234" t="str">
        <f t="shared" ca="1" si="13"/>
        <v>#REF!</v>
      </c>
      <c r="AD865" s="101" t="str">
        <f t="shared" ca="1" si="14"/>
        <v>#REF!</v>
      </c>
      <c r="AE865" s="101" t="str">
        <f t="shared" ca="1" si="15"/>
        <v>#REF!</v>
      </c>
      <c r="AF865" s="235" t="str">
        <f t="shared" ref="AF865:AG865" ca="1" si="942">AD865/U865</f>
        <v>#REF!</v>
      </c>
      <c r="AG865" s="235" t="str">
        <f t="shared" ca="1" si="942"/>
        <v>#REF!</v>
      </c>
      <c r="AH865" s="212"/>
      <c r="AI865" s="213"/>
      <c r="AJ865" s="4"/>
      <c r="AK865" s="4"/>
      <c r="AL865" s="4"/>
      <c r="AM865" s="4"/>
      <c r="AN865" s="4"/>
      <c r="AO865" s="4"/>
      <c r="AP865" s="4"/>
      <c r="AQ865" s="4"/>
      <c r="AR865" s="4"/>
      <c r="AS865" s="4"/>
      <c r="AT865" s="4"/>
      <c r="AU865" s="4"/>
    </row>
    <row r="866" spans="1:47" ht="13.2">
      <c r="A866" s="120"/>
      <c r="B866" s="113"/>
      <c r="C866" s="117"/>
      <c r="D866" s="117"/>
      <c r="E866" s="117"/>
      <c r="F866" s="123"/>
      <c r="G866" s="93" t="s">
        <v>145</v>
      </c>
      <c r="H866" s="125"/>
      <c r="I866" s="125"/>
      <c r="J866" s="82" t="str">
        <f t="shared" ca="1" si="147"/>
        <v>#REF!</v>
      </c>
      <c r="K866" s="82" t="str">
        <f t="shared" ca="1" si="256"/>
        <v>#REF!</v>
      </c>
      <c r="L866" s="82" t="str">
        <f t="shared" ca="1" si="199"/>
        <v>#REF!</v>
      </c>
      <c r="M866" s="125"/>
      <c r="N866" s="125"/>
      <c r="O866" s="230">
        <f t="shared" si="2"/>
        <v>0</v>
      </c>
      <c r="P866" s="231">
        <f t="shared" si="3"/>
        <v>0</v>
      </c>
      <c r="Q866" s="232" t="str">
        <f ca="1">ROUNDUP(HLOOKUP(IF(CEILING(L866,0.5)&lt;1,1,CEILING(L866,0.5)),'배송비 조회'!A$32:AY$36,2,0),-2)</f>
        <v>#REF!</v>
      </c>
      <c r="R866" s="232">
        <v>0</v>
      </c>
      <c r="S866" s="231" t="str">
        <f t="shared" ca="1" si="250"/>
        <v>#REF!</v>
      </c>
      <c r="T866" s="231" t="str">
        <f t="shared" ca="1" si="200"/>
        <v>#REF!</v>
      </c>
      <c r="U866" s="233" t="str">
        <f t="shared" ca="1" si="142"/>
        <v>#REF!</v>
      </c>
      <c r="V866" s="233" t="str">
        <f t="shared" ca="1" si="7"/>
        <v>#REF!</v>
      </c>
      <c r="W866" s="234">
        <v>0</v>
      </c>
      <c r="X866" s="234" t="str">
        <f t="shared" ca="1" si="8"/>
        <v>#REF!</v>
      </c>
      <c r="Y866" s="234" t="str">
        <f t="shared" ca="1" si="9"/>
        <v>#REF!</v>
      </c>
      <c r="Z866" s="234" t="str">
        <f t="shared" ca="1" si="10"/>
        <v>#REF!</v>
      </c>
      <c r="AA866" s="234" t="str">
        <f t="shared" ca="1" si="11"/>
        <v>#REF!</v>
      </c>
      <c r="AB866" s="234" t="str">
        <f t="shared" ca="1" si="12"/>
        <v>#REF!</v>
      </c>
      <c r="AC866" s="234" t="str">
        <f t="shared" ca="1" si="13"/>
        <v>#REF!</v>
      </c>
      <c r="AD866" s="101" t="str">
        <f t="shared" ca="1" si="14"/>
        <v>#REF!</v>
      </c>
      <c r="AE866" s="101" t="str">
        <f t="shared" ca="1" si="15"/>
        <v>#REF!</v>
      </c>
      <c r="AF866" s="235" t="str">
        <f t="shared" ref="AF866:AG866" ca="1" si="943">AD866/U866</f>
        <v>#REF!</v>
      </c>
      <c r="AG866" s="235" t="str">
        <f t="shared" ca="1" si="943"/>
        <v>#REF!</v>
      </c>
      <c r="AH866" s="212"/>
      <c r="AI866" s="213"/>
      <c r="AJ866" s="4"/>
      <c r="AK866" s="4"/>
      <c r="AL866" s="4"/>
      <c r="AM866" s="4"/>
      <c r="AN866" s="4"/>
      <c r="AO866" s="4"/>
      <c r="AP866" s="4"/>
      <c r="AQ866" s="4"/>
      <c r="AR866" s="4"/>
      <c r="AS866" s="4"/>
      <c r="AT866" s="4"/>
      <c r="AU866" s="4"/>
    </row>
    <row r="867" spans="1:47" ht="13.2">
      <c r="A867" s="120"/>
      <c r="B867" s="113"/>
      <c r="C867" s="117"/>
      <c r="D867" s="117"/>
      <c r="E867" s="117"/>
      <c r="F867" s="123"/>
      <c r="G867" s="93" t="s">
        <v>145</v>
      </c>
      <c r="H867" s="125"/>
      <c r="I867" s="125"/>
      <c r="J867" s="82" t="str">
        <f t="shared" ca="1" si="147"/>
        <v>#REF!</v>
      </c>
      <c r="K867" s="82" t="str">
        <f t="shared" ca="1" si="256"/>
        <v>#REF!</v>
      </c>
      <c r="L867" s="82" t="str">
        <f t="shared" ca="1" si="199"/>
        <v>#REF!</v>
      </c>
      <c r="M867" s="125"/>
      <c r="N867" s="125"/>
      <c r="O867" s="230">
        <f t="shared" si="2"/>
        <v>0</v>
      </c>
      <c r="P867" s="231">
        <f t="shared" si="3"/>
        <v>0</v>
      </c>
      <c r="Q867" s="232" t="str">
        <f ca="1">ROUNDUP(HLOOKUP(IF(CEILING(L867,0.5)&lt;1,1,CEILING(L867,0.5)),'배송비 조회'!A$32:AY$36,2,0),-2)</f>
        <v>#REF!</v>
      </c>
      <c r="R867" s="232">
        <v>0</v>
      </c>
      <c r="S867" s="231" t="str">
        <f t="shared" ca="1" si="250"/>
        <v>#REF!</v>
      </c>
      <c r="T867" s="231" t="str">
        <f t="shared" ca="1" si="200"/>
        <v>#REF!</v>
      </c>
      <c r="U867" s="233" t="str">
        <f t="shared" ca="1" si="142"/>
        <v>#REF!</v>
      </c>
      <c r="V867" s="233" t="str">
        <f t="shared" ca="1" si="7"/>
        <v>#REF!</v>
      </c>
      <c r="W867" s="234">
        <v>0</v>
      </c>
      <c r="X867" s="234" t="str">
        <f t="shared" ca="1" si="8"/>
        <v>#REF!</v>
      </c>
      <c r="Y867" s="234" t="str">
        <f t="shared" ca="1" si="9"/>
        <v>#REF!</v>
      </c>
      <c r="Z867" s="234" t="str">
        <f t="shared" ca="1" si="10"/>
        <v>#REF!</v>
      </c>
      <c r="AA867" s="234" t="str">
        <f t="shared" ca="1" si="11"/>
        <v>#REF!</v>
      </c>
      <c r="AB867" s="234" t="str">
        <f t="shared" ca="1" si="12"/>
        <v>#REF!</v>
      </c>
      <c r="AC867" s="234" t="str">
        <f t="shared" ca="1" si="13"/>
        <v>#REF!</v>
      </c>
      <c r="AD867" s="101" t="str">
        <f t="shared" ca="1" si="14"/>
        <v>#REF!</v>
      </c>
      <c r="AE867" s="101" t="str">
        <f t="shared" ca="1" si="15"/>
        <v>#REF!</v>
      </c>
      <c r="AF867" s="235" t="str">
        <f t="shared" ref="AF867:AG867" ca="1" si="944">AD867/U867</f>
        <v>#REF!</v>
      </c>
      <c r="AG867" s="235" t="str">
        <f t="shared" ca="1" si="944"/>
        <v>#REF!</v>
      </c>
      <c r="AH867" s="212"/>
      <c r="AI867" s="213"/>
      <c r="AJ867" s="4"/>
      <c r="AK867" s="4"/>
      <c r="AL867" s="4"/>
      <c r="AM867" s="4"/>
      <c r="AN867" s="4"/>
      <c r="AO867" s="4"/>
      <c r="AP867" s="4"/>
      <c r="AQ867" s="4"/>
      <c r="AR867" s="4"/>
      <c r="AS867" s="4"/>
      <c r="AT867" s="4"/>
      <c r="AU867" s="4"/>
    </row>
    <row r="868" spans="1:47" ht="13.2">
      <c r="A868" s="120"/>
      <c r="B868" s="113"/>
      <c r="C868" s="117"/>
      <c r="D868" s="117"/>
      <c r="E868" s="117"/>
      <c r="F868" s="123"/>
      <c r="G868" s="93" t="s">
        <v>145</v>
      </c>
      <c r="H868" s="125"/>
      <c r="I868" s="125"/>
      <c r="J868" s="82" t="str">
        <f t="shared" ca="1" si="147"/>
        <v>#REF!</v>
      </c>
      <c r="K868" s="82" t="str">
        <f t="shared" ca="1" si="256"/>
        <v>#REF!</v>
      </c>
      <c r="L868" s="82" t="str">
        <f t="shared" ca="1" si="199"/>
        <v>#REF!</v>
      </c>
      <c r="M868" s="125"/>
      <c r="N868" s="125"/>
      <c r="O868" s="230">
        <f t="shared" si="2"/>
        <v>0</v>
      </c>
      <c r="P868" s="231">
        <f t="shared" si="3"/>
        <v>0</v>
      </c>
      <c r="Q868" s="232" t="str">
        <f ca="1">ROUNDUP(HLOOKUP(IF(CEILING(L868,0.5)&lt;1,1,CEILING(L868,0.5)),'배송비 조회'!A$32:AY$36,2,0),-2)</f>
        <v>#REF!</v>
      </c>
      <c r="R868" s="232">
        <v>0</v>
      </c>
      <c r="S868" s="231" t="str">
        <f t="shared" ca="1" si="250"/>
        <v>#REF!</v>
      </c>
      <c r="T868" s="231" t="str">
        <f t="shared" ca="1" si="200"/>
        <v>#REF!</v>
      </c>
      <c r="U868" s="233" t="str">
        <f t="shared" ca="1" si="142"/>
        <v>#REF!</v>
      </c>
      <c r="V868" s="233" t="str">
        <f t="shared" ca="1" si="7"/>
        <v>#REF!</v>
      </c>
      <c r="W868" s="234">
        <v>0</v>
      </c>
      <c r="X868" s="234" t="str">
        <f t="shared" ca="1" si="8"/>
        <v>#REF!</v>
      </c>
      <c r="Y868" s="234" t="str">
        <f t="shared" ca="1" si="9"/>
        <v>#REF!</v>
      </c>
      <c r="Z868" s="234" t="str">
        <f t="shared" ca="1" si="10"/>
        <v>#REF!</v>
      </c>
      <c r="AA868" s="234" t="str">
        <f t="shared" ca="1" si="11"/>
        <v>#REF!</v>
      </c>
      <c r="AB868" s="234" t="str">
        <f t="shared" ca="1" si="12"/>
        <v>#REF!</v>
      </c>
      <c r="AC868" s="234" t="str">
        <f t="shared" ca="1" si="13"/>
        <v>#REF!</v>
      </c>
      <c r="AD868" s="101" t="str">
        <f t="shared" ca="1" si="14"/>
        <v>#REF!</v>
      </c>
      <c r="AE868" s="101" t="str">
        <f t="shared" ca="1" si="15"/>
        <v>#REF!</v>
      </c>
      <c r="AF868" s="235" t="str">
        <f t="shared" ref="AF868:AG868" ca="1" si="945">AD868/U868</f>
        <v>#REF!</v>
      </c>
      <c r="AG868" s="235" t="str">
        <f t="shared" ca="1" si="945"/>
        <v>#REF!</v>
      </c>
      <c r="AH868" s="212"/>
      <c r="AI868" s="213"/>
      <c r="AJ868" s="4"/>
      <c r="AK868" s="4"/>
      <c r="AL868" s="4"/>
      <c r="AM868" s="4"/>
      <c r="AN868" s="4"/>
      <c r="AO868" s="4"/>
      <c r="AP868" s="4"/>
      <c r="AQ868" s="4"/>
      <c r="AR868" s="4"/>
      <c r="AS868" s="4"/>
      <c r="AT868" s="4"/>
      <c r="AU868" s="4"/>
    </row>
    <row r="869" spans="1:47" ht="13.2">
      <c r="A869" s="120"/>
      <c r="B869" s="113"/>
      <c r="C869" s="117"/>
      <c r="D869" s="117"/>
      <c r="E869" s="117"/>
      <c r="F869" s="123"/>
      <c r="G869" s="93" t="s">
        <v>145</v>
      </c>
      <c r="H869" s="125"/>
      <c r="I869" s="125"/>
      <c r="J869" s="82" t="str">
        <f t="shared" ca="1" si="147"/>
        <v>#REF!</v>
      </c>
      <c r="K869" s="82" t="str">
        <f t="shared" ca="1" si="256"/>
        <v>#REF!</v>
      </c>
      <c r="L869" s="82" t="str">
        <f t="shared" ca="1" si="199"/>
        <v>#REF!</v>
      </c>
      <c r="M869" s="125"/>
      <c r="N869" s="125"/>
      <c r="O869" s="230">
        <f t="shared" si="2"/>
        <v>0</v>
      </c>
      <c r="P869" s="231">
        <f t="shared" si="3"/>
        <v>0</v>
      </c>
      <c r="Q869" s="232" t="str">
        <f ca="1">ROUNDUP(HLOOKUP(IF(CEILING(L869,0.5)&lt;1,1,CEILING(L869,0.5)),'배송비 조회'!A$32:AY$36,2,0),-2)</f>
        <v>#REF!</v>
      </c>
      <c r="R869" s="232">
        <v>0</v>
      </c>
      <c r="S869" s="231" t="str">
        <f t="shared" ca="1" si="250"/>
        <v>#REF!</v>
      </c>
      <c r="T869" s="231" t="str">
        <f t="shared" ca="1" si="200"/>
        <v>#REF!</v>
      </c>
      <c r="U869" s="233" t="str">
        <f t="shared" ca="1" si="142"/>
        <v>#REF!</v>
      </c>
      <c r="V869" s="233" t="str">
        <f t="shared" ca="1" si="7"/>
        <v>#REF!</v>
      </c>
      <c r="W869" s="234">
        <v>0</v>
      </c>
      <c r="X869" s="234" t="str">
        <f t="shared" ca="1" si="8"/>
        <v>#REF!</v>
      </c>
      <c r="Y869" s="234" t="str">
        <f t="shared" ca="1" si="9"/>
        <v>#REF!</v>
      </c>
      <c r="Z869" s="234" t="str">
        <f t="shared" ca="1" si="10"/>
        <v>#REF!</v>
      </c>
      <c r="AA869" s="234" t="str">
        <f t="shared" ca="1" si="11"/>
        <v>#REF!</v>
      </c>
      <c r="AB869" s="234" t="str">
        <f t="shared" ca="1" si="12"/>
        <v>#REF!</v>
      </c>
      <c r="AC869" s="234" t="str">
        <f t="shared" ca="1" si="13"/>
        <v>#REF!</v>
      </c>
      <c r="AD869" s="101" t="str">
        <f t="shared" ca="1" si="14"/>
        <v>#REF!</v>
      </c>
      <c r="AE869" s="101" t="str">
        <f t="shared" ca="1" si="15"/>
        <v>#REF!</v>
      </c>
      <c r="AF869" s="235" t="str">
        <f t="shared" ref="AF869:AG869" ca="1" si="946">AD869/U869</f>
        <v>#REF!</v>
      </c>
      <c r="AG869" s="235" t="str">
        <f t="shared" ca="1" si="946"/>
        <v>#REF!</v>
      </c>
      <c r="AH869" s="212"/>
      <c r="AI869" s="213"/>
      <c r="AJ869" s="4"/>
      <c r="AK869" s="4"/>
      <c r="AL869" s="4"/>
      <c r="AM869" s="4"/>
      <c r="AN869" s="4"/>
      <c r="AO869" s="4"/>
      <c r="AP869" s="4"/>
      <c r="AQ869" s="4"/>
      <c r="AR869" s="4"/>
      <c r="AS869" s="4"/>
      <c r="AT869" s="4"/>
      <c r="AU869" s="4"/>
    </row>
    <row r="870" spans="1:47" ht="13.2">
      <c r="A870" s="120"/>
      <c r="B870" s="113"/>
      <c r="C870" s="117"/>
      <c r="D870" s="117"/>
      <c r="E870" s="117"/>
      <c r="F870" s="123"/>
      <c r="G870" s="93" t="s">
        <v>145</v>
      </c>
      <c r="H870" s="125"/>
      <c r="I870" s="125"/>
      <c r="J870" s="82" t="str">
        <f t="shared" ca="1" si="147"/>
        <v>#REF!</v>
      </c>
      <c r="K870" s="82" t="str">
        <f t="shared" ca="1" si="256"/>
        <v>#REF!</v>
      </c>
      <c r="L870" s="82" t="str">
        <f t="shared" ca="1" si="199"/>
        <v>#REF!</v>
      </c>
      <c r="M870" s="125"/>
      <c r="N870" s="125"/>
      <c r="O870" s="230">
        <f t="shared" si="2"/>
        <v>0</v>
      </c>
      <c r="P870" s="231">
        <f t="shared" si="3"/>
        <v>0</v>
      </c>
      <c r="Q870" s="232" t="str">
        <f ca="1">ROUNDUP(HLOOKUP(IF(CEILING(L870,0.5)&lt;1,1,CEILING(L870,0.5)),'배송비 조회'!A$32:AY$36,2,0),-2)</f>
        <v>#REF!</v>
      </c>
      <c r="R870" s="232">
        <v>0</v>
      </c>
      <c r="S870" s="231" t="str">
        <f t="shared" ca="1" si="250"/>
        <v>#REF!</v>
      </c>
      <c r="T870" s="231" t="str">
        <f t="shared" ca="1" si="200"/>
        <v>#REF!</v>
      </c>
      <c r="U870" s="233" t="str">
        <f t="shared" ca="1" si="142"/>
        <v>#REF!</v>
      </c>
      <c r="V870" s="233" t="str">
        <f t="shared" ca="1" si="7"/>
        <v>#REF!</v>
      </c>
      <c r="W870" s="234">
        <v>0</v>
      </c>
      <c r="X870" s="234" t="str">
        <f t="shared" ca="1" si="8"/>
        <v>#REF!</v>
      </c>
      <c r="Y870" s="234" t="str">
        <f t="shared" ca="1" si="9"/>
        <v>#REF!</v>
      </c>
      <c r="Z870" s="234" t="str">
        <f t="shared" ca="1" si="10"/>
        <v>#REF!</v>
      </c>
      <c r="AA870" s="234" t="str">
        <f t="shared" ca="1" si="11"/>
        <v>#REF!</v>
      </c>
      <c r="AB870" s="234" t="str">
        <f t="shared" ca="1" si="12"/>
        <v>#REF!</v>
      </c>
      <c r="AC870" s="234" t="str">
        <f t="shared" ca="1" si="13"/>
        <v>#REF!</v>
      </c>
      <c r="AD870" s="101" t="str">
        <f t="shared" ca="1" si="14"/>
        <v>#REF!</v>
      </c>
      <c r="AE870" s="101" t="str">
        <f t="shared" ca="1" si="15"/>
        <v>#REF!</v>
      </c>
      <c r="AF870" s="235" t="str">
        <f t="shared" ref="AF870:AG870" ca="1" si="947">AD870/U870</f>
        <v>#REF!</v>
      </c>
      <c r="AG870" s="235" t="str">
        <f t="shared" ca="1" si="947"/>
        <v>#REF!</v>
      </c>
      <c r="AH870" s="212"/>
      <c r="AI870" s="213"/>
      <c r="AJ870" s="4"/>
      <c r="AK870" s="4"/>
      <c r="AL870" s="4"/>
      <c r="AM870" s="4"/>
      <c r="AN870" s="4"/>
      <c r="AO870" s="4"/>
      <c r="AP870" s="4"/>
      <c r="AQ870" s="4"/>
      <c r="AR870" s="4"/>
      <c r="AS870" s="4"/>
      <c r="AT870" s="4"/>
      <c r="AU870" s="4"/>
    </row>
    <row r="871" spans="1:47" ht="13.2">
      <c r="A871" s="120"/>
      <c r="B871" s="113"/>
      <c r="C871" s="117"/>
      <c r="D871" s="117"/>
      <c r="E871" s="117"/>
      <c r="F871" s="123"/>
      <c r="G871" s="93" t="s">
        <v>145</v>
      </c>
      <c r="H871" s="125"/>
      <c r="I871" s="125"/>
      <c r="J871" s="82" t="str">
        <f t="shared" ca="1" si="147"/>
        <v>#REF!</v>
      </c>
      <c r="K871" s="82" t="str">
        <f t="shared" ca="1" si="256"/>
        <v>#REF!</v>
      </c>
      <c r="L871" s="82" t="str">
        <f t="shared" ca="1" si="199"/>
        <v>#REF!</v>
      </c>
      <c r="M871" s="125"/>
      <c r="N871" s="125"/>
      <c r="O871" s="230">
        <f t="shared" si="2"/>
        <v>0</v>
      </c>
      <c r="P871" s="231">
        <f t="shared" si="3"/>
        <v>0</v>
      </c>
      <c r="Q871" s="232" t="str">
        <f ca="1">ROUNDUP(HLOOKUP(IF(CEILING(L871,0.5)&lt;1,1,CEILING(L871,0.5)),'배송비 조회'!A$32:AY$36,2,0),-2)</f>
        <v>#REF!</v>
      </c>
      <c r="R871" s="232">
        <v>0</v>
      </c>
      <c r="S871" s="231" t="str">
        <f t="shared" ca="1" si="250"/>
        <v>#REF!</v>
      </c>
      <c r="T871" s="231" t="str">
        <f t="shared" ca="1" si="200"/>
        <v>#REF!</v>
      </c>
      <c r="U871" s="233" t="str">
        <f t="shared" ca="1" si="142"/>
        <v>#REF!</v>
      </c>
      <c r="V871" s="233" t="str">
        <f t="shared" ca="1" si="7"/>
        <v>#REF!</v>
      </c>
      <c r="W871" s="234">
        <v>0</v>
      </c>
      <c r="X871" s="234" t="str">
        <f t="shared" ca="1" si="8"/>
        <v>#REF!</v>
      </c>
      <c r="Y871" s="234" t="str">
        <f t="shared" ca="1" si="9"/>
        <v>#REF!</v>
      </c>
      <c r="Z871" s="234" t="str">
        <f t="shared" ca="1" si="10"/>
        <v>#REF!</v>
      </c>
      <c r="AA871" s="234" t="str">
        <f t="shared" ca="1" si="11"/>
        <v>#REF!</v>
      </c>
      <c r="AB871" s="234" t="str">
        <f t="shared" ca="1" si="12"/>
        <v>#REF!</v>
      </c>
      <c r="AC871" s="234" t="str">
        <f t="shared" ca="1" si="13"/>
        <v>#REF!</v>
      </c>
      <c r="AD871" s="101" t="str">
        <f t="shared" ca="1" si="14"/>
        <v>#REF!</v>
      </c>
      <c r="AE871" s="101" t="str">
        <f t="shared" ca="1" si="15"/>
        <v>#REF!</v>
      </c>
      <c r="AF871" s="235" t="str">
        <f t="shared" ref="AF871:AG871" ca="1" si="948">AD871/U871</f>
        <v>#REF!</v>
      </c>
      <c r="AG871" s="235" t="str">
        <f t="shared" ca="1" si="948"/>
        <v>#REF!</v>
      </c>
      <c r="AH871" s="212"/>
      <c r="AI871" s="213"/>
      <c r="AJ871" s="4"/>
      <c r="AK871" s="4"/>
      <c r="AL871" s="4"/>
      <c r="AM871" s="4"/>
      <c r="AN871" s="4"/>
      <c r="AO871" s="4"/>
      <c r="AP871" s="4"/>
      <c r="AQ871" s="4"/>
      <c r="AR871" s="4"/>
      <c r="AS871" s="4"/>
      <c r="AT871" s="4"/>
      <c r="AU871" s="4"/>
    </row>
    <row r="872" spans="1:47" ht="13.2">
      <c r="A872" s="120"/>
      <c r="B872" s="113"/>
      <c r="C872" s="117"/>
      <c r="D872" s="117"/>
      <c r="E872" s="117"/>
      <c r="F872" s="123"/>
      <c r="G872" s="93" t="s">
        <v>145</v>
      </c>
      <c r="H872" s="125"/>
      <c r="I872" s="125"/>
      <c r="J872" s="82" t="str">
        <f t="shared" ca="1" si="147"/>
        <v>#REF!</v>
      </c>
      <c r="K872" s="82" t="str">
        <f t="shared" ca="1" si="256"/>
        <v>#REF!</v>
      </c>
      <c r="L872" s="82" t="str">
        <f t="shared" ca="1" si="199"/>
        <v>#REF!</v>
      </c>
      <c r="M872" s="125"/>
      <c r="N872" s="125"/>
      <c r="O872" s="230">
        <f t="shared" si="2"/>
        <v>0</v>
      </c>
      <c r="P872" s="231">
        <f t="shared" si="3"/>
        <v>0</v>
      </c>
      <c r="Q872" s="232" t="str">
        <f ca="1">ROUNDUP(HLOOKUP(IF(CEILING(L872,0.5)&lt;1,1,CEILING(L872,0.5)),'배송비 조회'!A$32:AY$36,2,0),-2)</f>
        <v>#REF!</v>
      </c>
      <c r="R872" s="232">
        <v>0</v>
      </c>
      <c r="S872" s="231" t="str">
        <f t="shared" ca="1" si="250"/>
        <v>#REF!</v>
      </c>
      <c r="T872" s="231" t="str">
        <f t="shared" ca="1" si="200"/>
        <v>#REF!</v>
      </c>
      <c r="U872" s="233" t="str">
        <f t="shared" ca="1" si="142"/>
        <v>#REF!</v>
      </c>
      <c r="V872" s="233" t="str">
        <f t="shared" ca="1" si="7"/>
        <v>#REF!</v>
      </c>
      <c r="W872" s="234">
        <v>0</v>
      </c>
      <c r="X872" s="234" t="str">
        <f t="shared" ca="1" si="8"/>
        <v>#REF!</v>
      </c>
      <c r="Y872" s="234" t="str">
        <f t="shared" ca="1" si="9"/>
        <v>#REF!</v>
      </c>
      <c r="Z872" s="234" t="str">
        <f t="shared" ca="1" si="10"/>
        <v>#REF!</v>
      </c>
      <c r="AA872" s="234" t="str">
        <f t="shared" ca="1" si="11"/>
        <v>#REF!</v>
      </c>
      <c r="AB872" s="234" t="str">
        <f t="shared" ca="1" si="12"/>
        <v>#REF!</v>
      </c>
      <c r="AC872" s="234" t="str">
        <f t="shared" ca="1" si="13"/>
        <v>#REF!</v>
      </c>
      <c r="AD872" s="101" t="str">
        <f t="shared" ca="1" si="14"/>
        <v>#REF!</v>
      </c>
      <c r="AE872" s="101" t="str">
        <f t="shared" ca="1" si="15"/>
        <v>#REF!</v>
      </c>
      <c r="AF872" s="235" t="str">
        <f t="shared" ref="AF872:AG872" ca="1" si="949">AD872/U872</f>
        <v>#REF!</v>
      </c>
      <c r="AG872" s="235" t="str">
        <f t="shared" ca="1" si="949"/>
        <v>#REF!</v>
      </c>
      <c r="AH872" s="212"/>
      <c r="AI872" s="213"/>
      <c r="AJ872" s="4"/>
      <c r="AK872" s="4"/>
      <c r="AL872" s="4"/>
      <c r="AM872" s="4"/>
      <c r="AN872" s="4"/>
      <c r="AO872" s="4"/>
      <c r="AP872" s="4"/>
      <c r="AQ872" s="4"/>
      <c r="AR872" s="4"/>
      <c r="AS872" s="4"/>
      <c r="AT872" s="4"/>
      <c r="AU872" s="4"/>
    </row>
    <row r="873" spans="1:47" ht="13.2">
      <c r="A873" s="120"/>
      <c r="B873" s="113"/>
      <c r="C873" s="117"/>
      <c r="D873" s="117"/>
      <c r="E873" s="117"/>
      <c r="F873" s="123"/>
      <c r="G873" s="93" t="s">
        <v>145</v>
      </c>
      <c r="H873" s="125"/>
      <c r="I873" s="125"/>
      <c r="J873" s="82" t="str">
        <f t="shared" ca="1" si="147"/>
        <v>#REF!</v>
      </c>
      <c r="K873" s="82" t="str">
        <f t="shared" ca="1" si="256"/>
        <v>#REF!</v>
      </c>
      <c r="L873" s="82" t="str">
        <f t="shared" ca="1" si="199"/>
        <v>#REF!</v>
      </c>
      <c r="M873" s="125"/>
      <c r="N873" s="125"/>
      <c r="O873" s="230">
        <f t="shared" si="2"/>
        <v>0</v>
      </c>
      <c r="P873" s="231">
        <f t="shared" si="3"/>
        <v>0</v>
      </c>
      <c r="Q873" s="232" t="str">
        <f ca="1">ROUNDUP(HLOOKUP(IF(CEILING(L873,0.5)&lt;1,1,CEILING(L873,0.5)),'배송비 조회'!A$32:AY$36,2,0),-2)</f>
        <v>#REF!</v>
      </c>
      <c r="R873" s="232">
        <v>0</v>
      </c>
      <c r="S873" s="231" t="str">
        <f t="shared" ca="1" si="250"/>
        <v>#REF!</v>
      </c>
      <c r="T873" s="231" t="str">
        <f t="shared" ca="1" si="200"/>
        <v>#REF!</v>
      </c>
      <c r="U873" s="233" t="str">
        <f t="shared" ca="1" si="142"/>
        <v>#REF!</v>
      </c>
      <c r="V873" s="233" t="str">
        <f t="shared" ca="1" si="7"/>
        <v>#REF!</v>
      </c>
      <c r="W873" s="234">
        <v>0</v>
      </c>
      <c r="X873" s="234" t="str">
        <f t="shared" ca="1" si="8"/>
        <v>#REF!</v>
      </c>
      <c r="Y873" s="234" t="str">
        <f t="shared" ca="1" si="9"/>
        <v>#REF!</v>
      </c>
      <c r="Z873" s="234" t="str">
        <f t="shared" ca="1" si="10"/>
        <v>#REF!</v>
      </c>
      <c r="AA873" s="234" t="str">
        <f t="shared" ca="1" si="11"/>
        <v>#REF!</v>
      </c>
      <c r="AB873" s="234" t="str">
        <f t="shared" ca="1" si="12"/>
        <v>#REF!</v>
      </c>
      <c r="AC873" s="234" t="str">
        <f t="shared" ca="1" si="13"/>
        <v>#REF!</v>
      </c>
      <c r="AD873" s="101" t="str">
        <f t="shared" ca="1" si="14"/>
        <v>#REF!</v>
      </c>
      <c r="AE873" s="101" t="str">
        <f t="shared" ca="1" si="15"/>
        <v>#REF!</v>
      </c>
      <c r="AF873" s="235" t="str">
        <f t="shared" ref="AF873:AG873" ca="1" si="950">AD873/U873</f>
        <v>#REF!</v>
      </c>
      <c r="AG873" s="235" t="str">
        <f t="shared" ca="1" si="950"/>
        <v>#REF!</v>
      </c>
      <c r="AH873" s="212"/>
      <c r="AI873" s="213"/>
      <c r="AJ873" s="4"/>
      <c r="AK873" s="4"/>
      <c r="AL873" s="4"/>
      <c r="AM873" s="4"/>
      <c r="AN873" s="4"/>
      <c r="AO873" s="4"/>
      <c r="AP873" s="4"/>
      <c r="AQ873" s="4"/>
      <c r="AR873" s="4"/>
      <c r="AS873" s="4"/>
      <c r="AT873" s="4"/>
      <c r="AU873" s="4"/>
    </row>
    <row r="874" spans="1:47" ht="13.2">
      <c r="A874" s="120"/>
      <c r="B874" s="113"/>
      <c r="C874" s="117"/>
      <c r="D874" s="117"/>
      <c r="E874" s="117"/>
      <c r="F874" s="123"/>
      <c r="G874" s="93" t="s">
        <v>145</v>
      </c>
      <c r="H874" s="125"/>
      <c r="I874" s="125"/>
      <c r="J874" s="82" t="str">
        <f t="shared" ca="1" si="147"/>
        <v>#REF!</v>
      </c>
      <c r="K874" s="82" t="str">
        <f t="shared" ca="1" si="256"/>
        <v>#REF!</v>
      </c>
      <c r="L874" s="82" t="str">
        <f t="shared" ca="1" si="199"/>
        <v>#REF!</v>
      </c>
      <c r="M874" s="125"/>
      <c r="N874" s="125"/>
      <c r="O874" s="230">
        <f t="shared" si="2"/>
        <v>0</v>
      </c>
      <c r="P874" s="231">
        <f t="shared" si="3"/>
        <v>0</v>
      </c>
      <c r="Q874" s="232" t="str">
        <f ca="1">ROUNDUP(HLOOKUP(IF(CEILING(L874,0.5)&lt;1,1,CEILING(L874,0.5)),'배송비 조회'!A$32:AY$36,2,0),-2)</f>
        <v>#REF!</v>
      </c>
      <c r="R874" s="232">
        <v>0</v>
      </c>
      <c r="S874" s="231" t="str">
        <f t="shared" ca="1" si="250"/>
        <v>#REF!</v>
      </c>
      <c r="T874" s="231" t="str">
        <f t="shared" ca="1" si="200"/>
        <v>#REF!</v>
      </c>
      <c r="U874" s="233" t="str">
        <f t="shared" ca="1" si="142"/>
        <v>#REF!</v>
      </c>
      <c r="V874" s="233" t="str">
        <f t="shared" ca="1" si="7"/>
        <v>#REF!</v>
      </c>
      <c r="W874" s="234">
        <v>0</v>
      </c>
      <c r="X874" s="234" t="str">
        <f t="shared" ca="1" si="8"/>
        <v>#REF!</v>
      </c>
      <c r="Y874" s="234" t="str">
        <f t="shared" ca="1" si="9"/>
        <v>#REF!</v>
      </c>
      <c r="Z874" s="234" t="str">
        <f t="shared" ca="1" si="10"/>
        <v>#REF!</v>
      </c>
      <c r="AA874" s="234" t="str">
        <f t="shared" ca="1" si="11"/>
        <v>#REF!</v>
      </c>
      <c r="AB874" s="234" t="str">
        <f t="shared" ca="1" si="12"/>
        <v>#REF!</v>
      </c>
      <c r="AC874" s="234" t="str">
        <f t="shared" ca="1" si="13"/>
        <v>#REF!</v>
      </c>
      <c r="AD874" s="101" t="str">
        <f t="shared" ca="1" si="14"/>
        <v>#REF!</v>
      </c>
      <c r="AE874" s="101" t="str">
        <f t="shared" ca="1" si="15"/>
        <v>#REF!</v>
      </c>
      <c r="AF874" s="235" t="str">
        <f t="shared" ref="AF874:AG874" ca="1" si="951">AD874/U874</f>
        <v>#REF!</v>
      </c>
      <c r="AG874" s="235" t="str">
        <f t="shared" ca="1" si="951"/>
        <v>#REF!</v>
      </c>
      <c r="AH874" s="212"/>
      <c r="AI874" s="213"/>
      <c r="AJ874" s="4"/>
      <c r="AK874" s="4"/>
      <c r="AL874" s="4"/>
      <c r="AM874" s="4"/>
      <c r="AN874" s="4"/>
      <c r="AO874" s="4"/>
      <c r="AP874" s="4"/>
      <c r="AQ874" s="4"/>
      <c r="AR874" s="4"/>
      <c r="AS874" s="4"/>
      <c r="AT874" s="4"/>
      <c r="AU874" s="4"/>
    </row>
    <row r="875" spans="1:47" ht="13.2">
      <c r="A875" s="120"/>
      <c r="B875" s="113"/>
      <c r="C875" s="117"/>
      <c r="D875" s="117"/>
      <c r="E875" s="117"/>
      <c r="F875" s="123"/>
      <c r="G875" s="93" t="s">
        <v>145</v>
      </c>
      <c r="H875" s="125"/>
      <c r="I875" s="125"/>
      <c r="J875" s="82" t="str">
        <f t="shared" ca="1" si="147"/>
        <v>#REF!</v>
      </c>
      <c r="K875" s="82" t="str">
        <f t="shared" ca="1" si="256"/>
        <v>#REF!</v>
      </c>
      <c r="L875" s="82" t="str">
        <f t="shared" ca="1" si="199"/>
        <v>#REF!</v>
      </c>
      <c r="M875" s="125"/>
      <c r="N875" s="125"/>
      <c r="O875" s="230">
        <f t="shared" si="2"/>
        <v>0</v>
      </c>
      <c r="P875" s="231">
        <f t="shared" si="3"/>
        <v>0</v>
      </c>
      <c r="Q875" s="232" t="str">
        <f ca="1">ROUNDUP(HLOOKUP(IF(CEILING(L875,0.5)&lt;1,1,CEILING(L875,0.5)),'배송비 조회'!A$32:AY$36,2,0),-2)</f>
        <v>#REF!</v>
      </c>
      <c r="R875" s="232">
        <v>0</v>
      </c>
      <c r="S875" s="231" t="str">
        <f t="shared" ca="1" si="250"/>
        <v>#REF!</v>
      </c>
      <c r="T875" s="231" t="str">
        <f t="shared" ca="1" si="200"/>
        <v>#REF!</v>
      </c>
      <c r="U875" s="233" t="str">
        <f t="shared" ca="1" si="142"/>
        <v>#REF!</v>
      </c>
      <c r="V875" s="233" t="str">
        <f t="shared" ca="1" si="7"/>
        <v>#REF!</v>
      </c>
      <c r="W875" s="234">
        <v>0</v>
      </c>
      <c r="X875" s="234" t="str">
        <f t="shared" ca="1" si="8"/>
        <v>#REF!</v>
      </c>
      <c r="Y875" s="234" t="str">
        <f t="shared" ca="1" si="9"/>
        <v>#REF!</v>
      </c>
      <c r="Z875" s="234" t="str">
        <f t="shared" ca="1" si="10"/>
        <v>#REF!</v>
      </c>
      <c r="AA875" s="234" t="str">
        <f t="shared" ca="1" si="11"/>
        <v>#REF!</v>
      </c>
      <c r="AB875" s="234" t="str">
        <f t="shared" ca="1" si="12"/>
        <v>#REF!</v>
      </c>
      <c r="AC875" s="234" t="str">
        <f t="shared" ca="1" si="13"/>
        <v>#REF!</v>
      </c>
      <c r="AD875" s="101" t="str">
        <f t="shared" ca="1" si="14"/>
        <v>#REF!</v>
      </c>
      <c r="AE875" s="101" t="str">
        <f t="shared" ca="1" si="15"/>
        <v>#REF!</v>
      </c>
      <c r="AF875" s="235" t="str">
        <f t="shared" ref="AF875:AG875" ca="1" si="952">AD875/U875</f>
        <v>#REF!</v>
      </c>
      <c r="AG875" s="235" t="str">
        <f t="shared" ca="1" si="952"/>
        <v>#REF!</v>
      </c>
      <c r="AH875" s="212"/>
      <c r="AI875" s="213"/>
      <c r="AJ875" s="4"/>
      <c r="AK875" s="4"/>
      <c r="AL875" s="4"/>
      <c r="AM875" s="4"/>
      <c r="AN875" s="4"/>
      <c r="AO875" s="4"/>
      <c r="AP875" s="4"/>
      <c r="AQ875" s="4"/>
      <c r="AR875" s="4"/>
      <c r="AS875" s="4"/>
      <c r="AT875" s="4"/>
      <c r="AU875" s="4"/>
    </row>
    <row r="876" spans="1:47" ht="13.2">
      <c r="A876" s="120"/>
      <c r="B876" s="113"/>
      <c r="C876" s="117"/>
      <c r="D876" s="117"/>
      <c r="E876" s="117"/>
      <c r="F876" s="123"/>
      <c r="G876" s="93" t="s">
        <v>145</v>
      </c>
      <c r="H876" s="125"/>
      <c r="I876" s="125"/>
      <c r="J876" s="82" t="str">
        <f t="shared" ca="1" si="147"/>
        <v>#REF!</v>
      </c>
      <c r="K876" s="82" t="str">
        <f t="shared" ca="1" si="256"/>
        <v>#REF!</v>
      </c>
      <c r="L876" s="82" t="str">
        <f t="shared" ca="1" si="199"/>
        <v>#REF!</v>
      </c>
      <c r="M876" s="125"/>
      <c r="N876" s="125"/>
      <c r="O876" s="230">
        <f t="shared" si="2"/>
        <v>0</v>
      </c>
      <c r="P876" s="231">
        <f t="shared" si="3"/>
        <v>0</v>
      </c>
      <c r="Q876" s="232" t="str">
        <f ca="1">ROUNDUP(HLOOKUP(IF(CEILING(L876,0.5)&lt;1,1,CEILING(L876,0.5)),'배송비 조회'!A$32:AY$36,2,0),-2)</f>
        <v>#REF!</v>
      </c>
      <c r="R876" s="232">
        <v>0</v>
      </c>
      <c r="S876" s="231" t="str">
        <f t="shared" ca="1" si="250"/>
        <v>#REF!</v>
      </c>
      <c r="T876" s="231" t="str">
        <f t="shared" ca="1" si="200"/>
        <v>#REF!</v>
      </c>
      <c r="U876" s="233" t="str">
        <f t="shared" ca="1" si="142"/>
        <v>#REF!</v>
      </c>
      <c r="V876" s="233" t="str">
        <f t="shared" ca="1" si="7"/>
        <v>#REF!</v>
      </c>
      <c r="W876" s="234">
        <v>0</v>
      </c>
      <c r="X876" s="234" t="str">
        <f t="shared" ca="1" si="8"/>
        <v>#REF!</v>
      </c>
      <c r="Y876" s="234" t="str">
        <f t="shared" ca="1" si="9"/>
        <v>#REF!</v>
      </c>
      <c r="Z876" s="234" t="str">
        <f t="shared" ca="1" si="10"/>
        <v>#REF!</v>
      </c>
      <c r="AA876" s="234" t="str">
        <f t="shared" ca="1" si="11"/>
        <v>#REF!</v>
      </c>
      <c r="AB876" s="234" t="str">
        <f t="shared" ca="1" si="12"/>
        <v>#REF!</v>
      </c>
      <c r="AC876" s="234" t="str">
        <f t="shared" ca="1" si="13"/>
        <v>#REF!</v>
      </c>
      <c r="AD876" s="101" t="str">
        <f t="shared" ca="1" si="14"/>
        <v>#REF!</v>
      </c>
      <c r="AE876" s="101" t="str">
        <f t="shared" ca="1" si="15"/>
        <v>#REF!</v>
      </c>
      <c r="AF876" s="235" t="str">
        <f t="shared" ref="AF876:AG876" ca="1" si="953">AD876/U876</f>
        <v>#REF!</v>
      </c>
      <c r="AG876" s="235" t="str">
        <f t="shared" ca="1" si="953"/>
        <v>#REF!</v>
      </c>
      <c r="AH876" s="212"/>
      <c r="AI876" s="213"/>
      <c r="AJ876" s="4"/>
      <c r="AK876" s="4"/>
      <c r="AL876" s="4"/>
      <c r="AM876" s="4"/>
      <c r="AN876" s="4"/>
      <c r="AO876" s="4"/>
      <c r="AP876" s="4"/>
      <c r="AQ876" s="4"/>
      <c r="AR876" s="4"/>
      <c r="AS876" s="4"/>
      <c r="AT876" s="4"/>
      <c r="AU876" s="4"/>
    </row>
    <row r="877" spans="1:47" ht="13.2">
      <c r="A877" s="120"/>
      <c r="B877" s="113"/>
      <c r="C877" s="117"/>
      <c r="D877" s="117"/>
      <c r="E877" s="117"/>
      <c r="F877" s="123"/>
      <c r="G877" s="93" t="s">
        <v>145</v>
      </c>
      <c r="H877" s="125"/>
      <c r="I877" s="125"/>
      <c r="J877" s="82" t="str">
        <f t="shared" ca="1" si="147"/>
        <v>#REF!</v>
      </c>
      <c r="K877" s="82" t="str">
        <f t="shared" ca="1" si="256"/>
        <v>#REF!</v>
      </c>
      <c r="L877" s="82" t="str">
        <f t="shared" ca="1" si="199"/>
        <v>#REF!</v>
      </c>
      <c r="M877" s="125"/>
      <c r="N877" s="125"/>
      <c r="O877" s="230">
        <f t="shared" si="2"/>
        <v>0</v>
      </c>
      <c r="P877" s="231">
        <f t="shared" si="3"/>
        <v>0</v>
      </c>
      <c r="Q877" s="232" t="str">
        <f ca="1">ROUNDUP(HLOOKUP(IF(CEILING(L877,0.5)&lt;1,1,CEILING(L877,0.5)),'배송비 조회'!A$32:AY$36,2,0),-2)</f>
        <v>#REF!</v>
      </c>
      <c r="R877" s="232">
        <v>0</v>
      </c>
      <c r="S877" s="231" t="str">
        <f t="shared" ca="1" si="250"/>
        <v>#REF!</v>
      </c>
      <c r="T877" s="231" t="str">
        <f t="shared" ca="1" si="200"/>
        <v>#REF!</v>
      </c>
      <c r="U877" s="233" t="str">
        <f t="shared" ca="1" si="142"/>
        <v>#REF!</v>
      </c>
      <c r="V877" s="233" t="str">
        <f t="shared" ca="1" si="7"/>
        <v>#REF!</v>
      </c>
      <c r="W877" s="234">
        <v>0</v>
      </c>
      <c r="X877" s="234" t="str">
        <f t="shared" ca="1" si="8"/>
        <v>#REF!</v>
      </c>
      <c r="Y877" s="234" t="str">
        <f t="shared" ca="1" si="9"/>
        <v>#REF!</v>
      </c>
      <c r="Z877" s="234" t="str">
        <f t="shared" ca="1" si="10"/>
        <v>#REF!</v>
      </c>
      <c r="AA877" s="234" t="str">
        <f t="shared" ca="1" si="11"/>
        <v>#REF!</v>
      </c>
      <c r="AB877" s="234" t="str">
        <f t="shared" ca="1" si="12"/>
        <v>#REF!</v>
      </c>
      <c r="AC877" s="234" t="str">
        <f t="shared" ca="1" si="13"/>
        <v>#REF!</v>
      </c>
      <c r="AD877" s="101" t="str">
        <f t="shared" ca="1" si="14"/>
        <v>#REF!</v>
      </c>
      <c r="AE877" s="101" t="str">
        <f t="shared" ca="1" si="15"/>
        <v>#REF!</v>
      </c>
      <c r="AF877" s="235" t="str">
        <f t="shared" ref="AF877:AG877" ca="1" si="954">AD877/U877</f>
        <v>#REF!</v>
      </c>
      <c r="AG877" s="235" t="str">
        <f t="shared" ca="1" si="954"/>
        <v>#REF!</v>
      </c>
      <c r="AH877" s="212"/>
      <c r="AI877" s="213"/>
      <c r="AJ877" s="4"/>
      <c r="AK877" s="4"/>
      <c r="AL877" s="4"/>
      <c r="AM877" s="4"/>
      <c r="AN877" s="4"/>
      <c r="AO877" s="4"/>
      <c r="AP877" s="4"/>
      <c r="AQ877" s="4"/>
      <c r="AR877" s="4"/>
      <c r="AS877" s="4"/>
      <c r="AT877" s="4"/>
      <c r="AU877" s="4"/>
    </row>
    <row r="878" spans="1:47" ht="13.2">
      <c r="A878" s="120"/>
      <c r="B878" s="113"/>
      <c r="C878" s="117"/>
      <c r="D878" s="117"/>
      <c r="E878" s="117"/>
      <c r="F878" s="123"/>
      <c r="G878" s="93" t="s">
        <v>145</v>
      </c>
      <c r="H878" s="125"/>
      <c r="I878" s="125"/>
      <c r="J878" s="82" t="str">
        <f t="shared" ca="1" si="147"/>
        <v>#REF!</v>
      </c>
      <c r="K878" s="82" t="str">
        <f t="shared" ca="1" si="256"/>
        <v>#REF!</v>
      </c>
      <c r="L878" s="82" t="str">
        <f t="shared" ca="1" si="199"/>
        <v>#REF!</v>
      </c>
      <c r="M878" s="125"/>
      <c r="N878" s="125"/>
      <c r="O878" s="230">
        <f t="shared" si="2"/>
        <v>0</v>
      </c>
      <c r="P878" s="231">
        <f t="shared" si="3"/>
        <v>0</v>
      </c>
      <c r="Q878" s="232" t="str">
        <f ca="1">ROUNDUP(HLOOKUP(IF(CEILING(L878,0.5)&lt;1,1,CEILING(L878,0.5)),'배송비 조회'!A$32:AY$36,2,0),-2)</f>
        <v>#REF!</v>
      </c>
      <c r="R878" s="232">
        <v>0</v>
      </c>
      <c r="S878" s="231" t="str">
        <f t="shared" ca="1" si="250"/>
        <v>#REF!</v>
      </c>
      <c r="T878" s="231" t="str">
        <f t="shared" ca="1" si="200"/>
        <v>#REF!</v>
      </c>
      <c r="U878" s="233" t="str">
        <f t="shared" ca="1" si="142"/>
        <v>#REF!</v>
      </c>
      <c r="V878" s="233" t="str">
        <f t="shared" ca="1" si="7"/>
        <v>#REF!</v>
      </c>
      <c r="W878" s="234">
        <v>0</v>
      </c>
      <c r="X878" s="234" t="str">
        <f t="shared" ca="1" si="8"/>
        <v>#REF!</v>
      </c>
      <c r="Y878" s="234" t="str">
        <f t="shared" ca="1" si="9"/>
        <v>#REF!</v>
      </c>
      <c r="Z878" s="234" t="str">
        <f t="shared" ca="1" si="10"/>
        <v>#REF!</v>
      </c>
      <c r="AA878" s="234" t="str">
        <f t="shared" ca="1" si="11"/>
        <v>#REF!</v>
      </c>
      <c r="AB878" s="234" t="str">
        <f t="shared" ca="1" si="12"/>
        <v>#REF!</v>
      </c>
      <c r="AC878" s="234" t="str">
        <f t="shared" ca="1" si="13"/>
        <v>#REF!</v>
      </c>
      <c r="AD878" s="101" t="str">
        <f t="shared" ca="1" si="14"/>
        <v>#REF!</v>
      </c>
      <c r="AE878" s="101" t="str">
        <f t="shared" ca="1" si="15"/>
        <v>#REF!</v>
      </c>
      <c r="AF878" s="235" t="str">
        <f t="shared" ref="AF878:AG878" ca="1" si="955">AD878/U878</f>
        <v>#REF!</v>
      </c>
      <c r="AG878" s="235" t="str">
        <f t="shared" ca="1" si="955"/>
        <v>#REF!</v>
      </c>
      <c r="AH878" s="212"/>
      <c r="AI878" s="213"/>
      <c r="AJ878" s="4"/>
      <c r="AK878" s="4"/>
      <c r="AL878" s="4"/>
      <c r="AM878" s="4"/>
      <c r="AN878" s="4"/>
      <c r="AO878" s="4"/>
      <c r="AP878" s="4"/>
      <c r="AQ878" s="4"/>
      <c r="AR878" s="4"/>
      <c r="AS878" s="4"/>
      <c r="AT878" s="4"/>
      <c r="AU878" s="4"/>
    </row>
    <row r="879" spans="1:47" ht="13.2">
      <c r="A879" s="120"/>
      <c r="B879" s="113"/>
      <c r="C879" s="117"/>
      <c r="D879" s="117"/>
      <c r="E879" s="117"/>
      <c r="F879" s="123"/>
      <c r="G879" s="93" t="s">
        <v>145</v>
      </c>
      <c r="H879" s="125"/>
      <c r="I879" s="125"/>
      <c r="J879" s="82" t="str">
        <f t="shared" ca="1" si="147"/>
        <v>#REF!</v>
      </c>
      <c r="K879" s="82" t="str">
        <f t="shared" ca="1" si="256"/>
        <v>#REF!</v>
      </c>
      <c r="L879" s="82" t="str">
        <f t="shared" ca="1" si="199"/>
        <v>#REF!</v>
      </c>
      <c r="M879" s="125"/>
      <c r="N879" s="125"/>
      <c r="O879" s="230">
        <f t="shared" si="2"/>
        <v>0</v>
      </c>
      <c r="P879" s="231">
        <f t="shared" si="3"/>
        <v>0</v>
      </c>
      <c r="Q879" s="232" t="str">
        <f ca="1">ROUNDUP(HLOOKUP(IF(CEILING(L879,0.5)&lt;1,1,CEILING(L879,0.5)),'배송비 조회'!A$32:AY$36,2,0),-2)</f>
        <v>#REF!</v>
      </c>
      <c r="R879" s="232">
        <v>0</v>
      </c>
      <c r="S879" s="231" t="str">
        <f t="shared" ca="1" si="250"/>
        <v>#REF!</v>
      </c>
      <c r="T879" s="231" t="str">
        <f t="shared" ca="1" si="200"/>
        <v>#REF!</v>
      </c>
      <c r="U879" s="233" t="str">
        <f t="shared" ca="1" si="142"/>
        <v>#REF!</v>
      </c>
      <c r="V879" s="233" t="str">
        <f t="shared" ca="1" si="7"/>
        <v>#REF!</v>
      </c>
      <c r="W879" s="234">
        <v>0</v>
      </c>
      <c r="X879" s="234" t="str">
        <f t="shared" ca="1" si="8"/>
        <v>#REF!</v>
      </c>
      <c r="Y879" s="234" t="str">
        <f t="shared" ca="1" si="9"/>
        <v>#REF!</v>
      </c>
      <c r="Z879" s="234" t="str">
        <f t="shared" ca="1" si="10"/>
        <v>#REF!</v>
      </c>
      <c r="AA879" s="234" t="str">
        <f t="shared" ca="1" si="11"/>
        <v>#REF!</v>
      </c>
      <c r="AB879" s="234" t="str">
        <f t="shared" ca="1" si="12"/>
        <v>#REF!</v>
      </c>
      <c r="AC879" s="234" t="str">
        <f t="shared" ca="1" si="13"/>
        <v>#REF!</v>
      </c>
      <c r="AD879" s="101" t="str">
        <f t="shared" ca="1" si="14"/>
        <v>#REF!</v>
      </c>
      <c r="AE879" s="101" t="str">
        <f t="shared" ca="1" si="15"/>
        <v>#REF!</v>
      </c>
      <c r="AF879" s="235" t="str">
        <f t="shared" ref="AF879:AG879" ca="1" si="956">AD879/U879</f>
        <v>#REF!</v>
      </c>
      <c r="AG879" s="235" t="str">
        <f t="shared" ca="1" si="956"/>
        <v>#REF!</v>
      </c>
      <c r="AH879" s="212"/>
      <c r="AI879" s="213"/>
      <c r="AJ879" s="4"/>
      <c r="AK879" s="4"/>
      <c r="AL879" s="4"/>
      <c r="AM879" s="4"/>
      <c r="AN879" s="4"/>
      <c r="AO879" s="4"/>
      <c r="AP879" s="4"/>
      <c r="AQ879" s="4"/>
      <c r="AR879" s="4"/>
      <c r="AS879" s="4"/>
      <c r="AT879" s="4"/>
      <c r="AU879" s="4"/>
    </row>
    <row r="880" spans="1:47" ht="13.2">
      <c r="A880" s="120"/>
      <c r="B880" s="113"/>
      <c r="C880" s="117"/>
      <c r="D880" s="117"/>
      <c r="E880" s="117"/>
      <c r="F880" s="123"/>
      <c r="G880" s="93" t="s">
        <v>145</v>
      </c>
      <c r="H880" s="125"/>
      <c r="I880" s="125"/>
      <c r="J880" s="82" t="str">
        <f t="shared" ca="1" si="147"/>
        <v>#REF!</v>
      </c>
      <c r="K880" s="82" t="str">
        <f t="shared" ca="1" si="256"/>
        <v>#REF!</v>
      </c>
      <c r="L880" s="82" t="str">
        <f t="shared" ca="1" si="199"/>
        <v>#REF!</v>
      </c>
      <c r="M880" s="125"/>
      <c r="N880" s="125"/>
      <c r="O880" s="230">
        <f t="shared" si="2"/>
        <v>0</v>
      </c>
      <c r="P880" s="231">
        <f t="shared" si="3"/>
        <v>0</v>
      </c>
      <c r="Q880" s="232" t="str">
        <f ca="1">ROUNDUP(HLOOKUP(IF(CEILING(L880,0.5)&lt;1,1,CEILING(L880,0.5)),'배송비 조회'!A$32:AY$36,2,0),-2)</f>
        <v>#REF!</v>
      </c>
      <c r="R880" s="232">
        <v>0</v>
      </c>
      <c r="S880" s="231" t="str">
        <f t="shared" ca="1" si="250"/>
        <v>#REF!</v>
      </c>
      <c r="T880" s="231" t="str">
        <f t="shared" ca="1" si="200"/>
        <v>#REF!</v>
      </c>
      <c r="U880" s="233" t="str">
        <f t="shared" ca="1" si="142"/>
        <v>#REF!</v>
      </c>
      <c r="V880" s="233" t="str">
        <f t="shared" ca="1" si="7"/>
        <v>#REF!</v>
      </c>
      <c r="W880" s="234">
        <v>0</v>
      </c>
      <c r="X880" s="234" t="str">
        <f t="shared" ca="1" si="8"/>
        <v>#REF!</v>
      </c>
      <c r="Y880" s="234" t="str">
        <f t="shared" ca="1" si="9"/>
        <v>#REF!</v>
      </c>
      <c r="Z880" s="234" t="str">
        <f t="shared" ca="1" si="10"/>
        <v>#REF!</v>
      </c>
      <c r="AA880" s="234" t="str">
        <f t="shared" ca="1" si="11"/>
        <v>#REF!</v>
      </c>
      <c r="AB880" s="234" t="str">
        <f t="shared" ca="1" si="12"/>
        <v>#REF!</v>
      </c>
      <c r="AC880" s="234" t="str">
        <f t="shared" ca="1" si="13"/>
        <v>#REF!</v>
      </c>
      <c r="AD880" s="101" t="str">
        <f t="shared" ca="1" si="14"/>
        <v>#REF!</v>
      </c>
      <c r="AE880" s="101" t="str">
        <f t="shared" ca="1" si="15"/>
        <v>#REF!</v>
      </c>
      <c r="AF880" s="235" t="str">
        <f t="shared" ref="AF880:AG880" ca="1" si="957">AD880/U880</f>
        <v>#REF!</v>
      </c>
      <c r="AG880" s="235" t="str">
        <f t="shared" ca="1" si="957"/>
        <v>#REF!</v>
      </c>
      <c r="AH880" s="212"/>
      <c r="AI880" s="213"/>
      <c r="AJ880" s="4"/>
      <c r="AK880" s="4"/>
      <c r="AL880" s="4"/>
      <c r="AM880" s="4"/>
      <c r="AN880" s="4"/>
      <c r="AO880" s="4"/>
      <c r="AP880" s="4"/>
      <c r="AQ880" s="4"/>
      <c r="AR880" s="4"/>
      <c r="AS880" s="4"/>
      <c r="AT880" s="4"/>
      <c r="AU880" s="4"/>
    </row>
    <row r="881" spans="1:47" ht="13.2">
      <c r="A881" s="120"/>
      <c r="B881" s="113"/>
      <c r="C881" s="117"/>
      <c r="D881" s="117"/>
      <c r="E881" s="117"/>
      <c r="F881" s="123"/>
      <c r="G881" s="93" t="s">
        <v>145</v>
      </c>
      <c r="H881" s="125"/>
      <c r="I881" s="125"/>
      <c r="J881" s="82" t="str">
        <f t="shared" ca="1" si="147"/>
        <v>#REF!</v>
      </c>
      <c r="K881" s="82" t="str">
        <f t="shared" ca="1" si="256"/>
        <v>#REF!</v>
      </c>
      <c r="L881" s="82" t="str">
        <f t="shared" ca="1" si="199"/>
        <v>#REF!</v>
      </c>
      <c r="M881" s="125"/>
      <c r="N881" s="125"/>
      <c r="O881" s="230">
        <f t="shared" si="2"/>
        <v>0</v>
      </c>
      <c r="P881" s="231">
        <f t="shared" si="3"/>
        <v>0</v>
      </c>
      <c r="Q881" s="232" t="str">
        <f ca="1">ROUNDUP(HLOOKUP(IF(CEILING(L881,0.5)&lt;1,1,CEILING(L881,0.5)),'배송비 조회'!A$32:AY$36,2,0),-2)</f>
        <v>#REF!</v>
      </c>
      <c r="R881" s="232">
        <v>0</v>
      </c>
      <c r="S881" s="231" t="str">
        <f t="shared" ca="1" si="250"/>
        <v>#REF!</v>
      </c>
      <c r="T881" s="231" t="str">
        <f t="shared" ca="1" si="200"/>
        <v>#REF!</v>
      </c>
      <c r="U881" s="233" t="str">
        <f t="shared" ca="1" si="142"/>
        <v>#REF!</v>
      </c>
      <c r="V881" s="233" t="str">
        <f t="shared" ca="1" si="7"/>
        <v>#REF!</v>
      </c>
      <c r="W881" s="234">
        <v>0</v>
      </c>
      <c r="X881" s="234" t="str">
        <f t="shared" ca="1" si="8"/>
        <v>#REF!</v>
      </c>
      <c r="Y881" s="234" t="str">
        <f t="shared" ca="1" si="9"/>
        <v>#REF!</v>
      </c>
      <c r="Z881" s="234" t="str">
        <f t="shared" ca="1" si="10"/>
        <v>#REF!</v>
      </c>
      <c r="AA881" s="234" t="str">
        <f t="shared" ca="1" si="11"/>
        <v>#REF!</v>
      </c>
      <c r="AB881" s="234" t="str">
        <f t="shared" ca="1" si="12"/>
        <v>#REF!</v>
      </c>
      <c r="AC881" s="234" t="str">
        <f t="shared" ca="1" si="13"/>
        <v>#REF!</v>
      </c>
      <c r="AD881" s="101" t="str">
        <f t="shared" ca="1" si="14"/>
        <v>#REF!</v>
      </c>
      <c r="AE881" s="101" t="str">
        <f t="shared" ca="1" si="15"/>
        <v>#REF!</v>
      </c>
      <c r="AF881" s="235" t="str">
        <f t="shared" ref="AF881:AG881" ca="1" si="958">AD881/U881</f>
        <v>#REF!</v>
      </c>
      <c r="AG881" s="235" t="str">
        <f t="shared" ca="1" si="958"/>
        <v>#REF!</v>
      </c>
      <c r="AH881" s="212"/>
      <c r="AI881" s="213"/>
      <c r="AJ881" s="4"/>
      <c r="AK881" s="4"/>
      <c r="AL881" s="4"/>
      <c r="AM881" s="4"/>
      <c r="AN881" s="4"/>
      <c r="AO881" s="4"/>
      <c r="AP881" s="4"/>
      <c r="AQ881" s="4"/>
      <c r="AR881" s="4"/>
      <c r="AS881" s="4"/>
      <c r="AT881" s="4"/>
      <c r="AU881" s="4"/>
    </row>
    <row r="882" spans="1:47" ht="13.2">
      <c r="A882" s="120"/>
      <c r="B882" s="113"/>
      <c r="C882" s="117"/>
      <c r="D882" s="117"/>
      <c r="E882" s="117"/>
      <c r="F882" s="123"/>
      <c r="G882" s="93" t="s">
        <v>145</v>
      </c>
      <c r="H882" s="125"/>
      <c r="I882" s="125"/>
      <c r="J882" s="82" t="str">
        <f t="shared" ca="1" si="147"/>
        <v>#REF!</v>
      </c>
      <c r="K882" s="82" t="str">
        <f t="shared" ca="1" si="256"/>
        <v>#REF!</v>
      </c>
      <c r="L882" s="82" t="str">
        <f t="shared" ca="1" si="199"/>
        <v>#REF!</v>
      </c>
      <c r="M882" s="125"/>
      <c r="N882" s="125"/>
      <c r="O882" s="230">
        <f t="shared" si="2"/>
        <v>0</v>
      </c>
      <c r="P882" s="231">
        <f t="shared" si="3"/>
        <v>0</v>
      </c>
      <c r="Q882" s="232" t="str">
        <f ca="1">ROUNDUP(HLOOKUP(IF(CEILING(L882,0.5)&lt;1,1,CEILING(L882,0.5)),'배송비 조회'!A$32:AY$36,2,0),-2)</f>
        <v>#REF!</v>
      </c>
      <c r="R882" s="232">
        <v>0</v>
      </c>
      <c r="S882" s="231" t="str">
        <f t="shared" ca="1" si="250"/>
        <v>#REF!</v>
      </c>
      <c r="T882" s="231" t="str">
        <f t="shared" ca="1" si="200"/>
        <v>#REF!</v>
      </c>
      <c r="U882" s="233" t="str">
        <f t="shared" ca="1" si="142"/>
        <v>#REF!</v>
      </c>
      <c r="V882" s="233" t="str">
        <f t="shared" ca="1" si="7"/>
        <v>#REF!</v>
      </c>
      <c r="W882" s="234">
        <v>0</v>
      </c>
      <c r="X882" s="234" t="str">
        <f t="shared" ca="1" si="8"/>
        <v>#REF!</v>
      </c>
      <c r="Y882" s="234" t="str">
        <f t="shared" ca="1" si="9"/>
        <v>#REF!</v>
      </c>
      <c r="Z882" s="234" t="str">
        <f t="shared" ca="1" si="10"/>
        <v>#REF!</v>
      </c>
      <c r="AA882" s="234" t="str">
        <f t="shared" ca="1" si="11"/>
        <v>#REF!</v>
      </c>
      <c r="AB882" s="234" t="str">
        <f t="shared" ca="1" si="12"/>
        <v>#REF!</v>
      </c>
      <c r="AC882" s="234" t="str">
        <f t="shared" ca="1" si="13"/>
        <v>#REF!</v>
      </c>
      <c r="AD882" s="101" t="str">
        <f t="shared" ca="1" si="14"/>
        <v>#REF!</v>
      </c>
      <c r="AE882" s="101" t="str">
        <f t="shared" ca="1" si="15"/>
        <v>#REF!</v>
      </c>
      <c r="AF882" s="235" t="str">
        <f t="shared" ref="AF882:AG882" ca="1" si="959">AD882/U882</f>
        <v>#REF!</v>
      </c>
      <c r="AG882" s="235" t="str">
        <f t="shared" ca="1" si="959"/>
        <v>#REF!</v>
      </c>
      <c r="AH882" s="212"/>
      <c r="AI882" s="213"/>
      <c r="AJ882" s="4"/>
      <c r="AK882" s="4"/>
      <c r="AL882" s="4"/>
      <c r="AM882" s="4"/>
      <c r="AN882" s="4"/>
      <c r="AO882" s="4"/>
      <c r="AP882" s="4"/>
      <c r="AQ882" s="4"/>
      <c r="AR882" s="4"/>
      <c r="AS882" s="4"/>
      <c r="AT882" s="4"/>
      <c r="AU882" s="4"/>
    </row>
    <row r="883" spans="1:47" ht="13.2">
      <c r="A883" s="120"/>
      <c r="B883" s="113"/>
      <c r="C883" s="117"/>
      <c r="D883" s="117"/>
      <c r="E883" s="117"/>
      <c r="F883" s="123"/>
      <c r="G883" s="93" t="s">
        <v>145</v>
      </c>
      <c r="H883" s="125"/>
      <c r="I883" s="125"/>
      <c r="J883" s="82" t="str">
        <f t="shared" ca="1" si="147"/>
        <v>#REF!</v>
      </c>
      <c r="K883" s="82" t="str">
        <f t="shared" ca="1" si="256"/>
        <v>#REF!</v>
      </c>
      <c r="L883" s="82" t="str">
        <f t="shared" ca="1" si="199"/>
        <v>#REF!</v>
      </c>
      <c r="M883" s="125"/>
      <c r="N883" s="125"/>
      <c r="O883" s="230">
        <f t="shared" si="2"/>
        <v>0</v>
      </c>
      <c r="P883" s="231">
        <f t="shared" si="3"/>
        <v>0</v>
      </c>
      <c r="Q883" s="232" t="str">
        <f ca="1">ROUNDUP(HLOOKUP(IF(CEILING(L883,0.5)&lt;1,1,CEILING(L883,0.5)),'배송비 조회'!A$32:AY$36,2,0),-2)</f>
        <v>#REF!</v>
      </c>
      <c r="R883" s="232">
        <v>0</v>
      </c>
      <c r="S883" s="231" t="str">
        <f t="shared" ca="1" si="250"/>
        <v>#REF!</v>
      </c>
      <c r="T883" s="231" t="str">
        <f t="shared" ca="1" si="200"/>
        <v>#REF!</v>
      </c>
      <c r="U883" s="233" t="str">
        <f t="shared" ca="1" si="142"/>
        <v>#REF!</v>
      </c>
      <c r="V883" s="233" t="str">
        <f t="shared" ca="1" si="7"/>
        <v>#REF!</v>
      </c>
      <c r="W883" s="234">
        <v>0</v>
      </c>
      <c r="X883" s="234" t="str">
        <f t="shared" ca="1" si="8"/>
        <v>#REF!</v>
      </c>
      <c r="Y883" s="234" t="str">
        <f t="shared" ca="1" si="9"/>
        <v>#REF!</v>
      </c>
      <c r="Z883" s="234" t="str">
        <f t="shared" ca="1" si="10"/>
        <v>#REF!</v>
      </c>
      <c r="AA883" s="234" t="str">
        <f t="shared" ca="1" si="11"/>
        <v>#REF!</v>
      </c>
      <c r="AB883" s="234" t="str">
        <f t="shared" ca="1" si="12"/>
        <v>#REF!</v>
      </c>
      <c r="AC883" s="234" t="str">
        <f t="shared" ca="1" si="13"/>
        <v>#REF!</v>
      </c>
      <c r="AD883" s="101" t="str">
        <f t="shared" ca="1" si="14"/>
        <v>#REF!</v>
      </c>
      <c r="AE883" s="101" t="str">
        <f t="shared" ca="1" si="15"/>
        <v>#REF!</v>
      </c>
      <c r="AF883" s="235" t="str">
        <f t="shared" ref="AF883:AG883" ca="1" si="960">AD883/U883</f>
        <v>#REF!</v>
      </c>
      <c r="AG883" s="235" t="str">
        <f t="shared" ca="1" si="960"/>
        <v>#REF!</v>
      </c>
      <c r="AH883" s="212"/>
      <c r="AI883" s="213"/>
      <c r="AJ883" s="4"/>
      <c r="AK883" s="4"/>
      <c r="AL883" s="4"/>
      <c r="AM883" s="4"/>
      <c r="AN883" s="4"/>
      <c r="AO883" s="4"/>
      <c r="AP883" s="4"/>
      <c r="AQ883" s="4"/>
      <c r="AR883" s="4"/>
      <c r="AS883" s="4"/>
      <c r="AT883" s="4"/>
      <c r="AU883" s="4"/>
    </row>
    <row r="884" spans="1:47" ht="13.2">
      <c r="A884" s="120"/>
      <c r="B884" s="113"/>
      <c r="C884" s="117"/>
      <c r="D884" s="117"/>
      <c r="E884" s="117"/>
      <c r="F884" s="123"/>
      <c r="G884" s="93" t="s">
        <v>145</v>
      </c>
      <c r="H884" s="125"/>
      <c r="I884" s="125"/>
      <c r="J884" s="82" t="str">
        <f t="shared" ca="1" si="147"/>
        <v>#REF!</v>
      </c>
      <c r="K884" s="82" t="str">
        <f t="shared" ca="1" si="256"/>
        <v>#REF!</v>
      </c>
      <c r="L884" s="82" t="str">
        <f t="shared" ca="1" si="199"/>
        <v>#REF!</v>
      </c>
      <c r="M884" s="125"/>
      <c r="N884" s="125"/>
      <c r="O884" s="230">
        <f t="shared" si="2"/>
        <v>0</v>
      </c>
      <c r="P884" s="231">
        <f t="shared" si="3"/>
        <v>0</v>
      </c>
      <c r="Q884" s="232" t="str">
        <f ca="1">ROUNDUP(HLOOKUP(IF(CEILING(L884,0.5)&lt;1,1,CEILING(L884,0.5)),'배송비 조회'!A$32:AY$36,2,0),-2)</f>
        <v>#REF!</v>
      </c>
      <c r="R884" s="232">
        <v>0</v>
      </c>
      <c r="S884" s="231" t="str">
        <f t="shared" ca="1" si="250"/>
        <v>#REF!</v>
      </c>
      <c r="T884" s="231" t="str">
        <f t="shared" ca="1" si="200"/>
        <v>#REF!</v>
      </c>
      <c r="U884" s="233" t="str">
        <f t="shared" ca="1" si="142"/>
        <v>#REF!</v>
      </c>
      <c r="V884" s="233" t="str">
        <f t="shared" ca="1" si="7"/>
        <v>#REF!</v>
      </c>
      <c r="W884" s="234">
        <v>0</v>
      </c>
      <c r="X884" s="234" t="str">
        <f t="shared" ca="1" si="8"/>
        <v>#REF!</v>
      </c>
      <c r="Y884" s="234" t="str">
        <f t="shared" ca="1" si="9"/>
        <v>#REF!</v>
      </c>
      <c r="Z884" s="234" t="str">
        <f t="shared" ca="1" si="10"/>
        <v>#REF!</v>
      </c>
      <c r="AA884" s="234" t="str">
        <f t="shared" ca="1" si="11"/>
        <v>#REF!</v>
      </c>
      <c r="AB884" s="234" t="str">
        <f t="shared" ca="1" si="12"/>
        <v>#REF!</v>
      </c>
      <c r="AC884" s="234" t="str">
        <f t="shared" ca="1" si="13"/>
        <v>#REF!</v>
      </c>
      <c r="AD884" s="101" t="str">
        <f t="shared" ca="1" si="14"/>
        <v>#REF!</v>
      </c>
      <c r="AE884" s="101" t="str">
        <f t="shared" ca="1" si="15"/>
        <v>#REF!</v>
      </c>
      <c r="AF884" s="235" t="str">
        <f t="shared" ref="AF884:AG884" ca="1" si="961">AD884/U884</f>
        <v>#REF!</v>
      </c>
      <c r="AG884" s="235" t="str">
        <f t="shared" ca="1" si="961"/>
        <v>#REF!</v>
      </c>
      <c r="AH884" s="212"/>
      <c r="AI884" s="213"/>
      <c r="AJ884" s="4"/>
      <c r="AK884" s="4"/>
      <c r="AL884" s="4"/>
      <c r="AM884" s="4"/>
      <c r="AN884" s="4"/>
      <c r="AO884" s="4"/>
      <c r="AP884" s="4"/>
      <c r="AQ884" s="4"/>
      <c r="AR884" s="4"/>
      <c r="AS884" s="4"/>
      <c r="AT884" s="4"/>
      <c r="AU884" s="4"/>
    </row>
    <row r="885" spans="1:47" ht="13.2">
      <c r="A885" s="120"/>
      <c r="B885" s="113"/>
      <c r="C885" s="117"/>
      <c r="D885" s="117"/>
      <c r="E885" s="117"/>
      <c r="F885" s="123"/>
      <c r="G885" s="93" t="s">
        <v>145</v>
      </c>
      <c r="H885" s="125"/>
      <c r="I885" s="125"/>
      <c r="J885" s="82" t="str">
        <f t="shared" ca="1" si="147"/>
        <v>#REF!</v>
      </c>
      <c r="K885" s="82" t="str">
        <f t="shared" ca="1" si="256"/>
        <v>#REF!</v>
      </c>
      <c r="L885" s="82" t="str">
        <f t="shared" ca="1" si="199"/>
        <v>#REF!</v>
      </c>
      <c r="M885" s="125"/>
      <c r="N885" s="125"/>
      <c r="O885" s="230">
        <f t="shared" si="2"/>
        <v>0</v>
      </c>
      <c r="P885" s="231">
        <f t="shared" si="3"/>
        <v>0</v>
      </c>
      <c r="Q885" s="232" t="str">
        <f ca="1">ROUNDUP(HLOOKUP(IF(CEILING(L885,0.5)&lt;1,1,CEILING(L885,0.5)),'배송비 조회'!A$32:AY$36,2,0),-2)</f>
        <v>#REF!</v>
      </c>
      <c r="R885" s="232">
        <v>0</v>
      </c>
      <c r="S885" s="231" t="str">
        <f t="shared" ca="1" si="250"/>
        <v>#REF!</v>
      </c>
      <c r="T885" s="231" t="str">
        <f t="shared" ca="1" si="200"/>
        <v>#REF!</v>
      </c>
      <c r="U885" s="233" t="str">
        <f t="shared" ca="1" si="142"/>
        <v>#REF!</v>
      </c>
      <c r="V885" s="233" t="str">
        <f t="shared" ca="1" si="7"/>
        <v>#REF!</v>
      </c>
      <c r="W885" s="234">
        <v>0</v>
      </c>
      <c r="X885" s="234" t="str">
        <f t="shared" ca="1" si="8"/>
        <v>#REF!</v>
      </c>
      <c r="Y885" s="234" t="str">
        <f t="shared" ca="1" si="9"/>
        <v>#REF!</v>
      </c>
      <c r="Z885" s="234" t="str">
        <f t="shared" ca="1" si="10"/>
        <v>#REF!</v>
      </c>
      <c r="AA885" s="234" t="str">
        <f t="shared" ca="1" si="11"/>
        <v>#REF!</v>
      </c>
      <c r="AB885" s="234" t="str">
        <f t="shared" ca="1" si="12"/>
        <v>#REF!</v>
      </c>
      <c r="AC885" s="234" t="str">
        <f t="shared" ca="1" si="13"/>
        <v>#REF!</v>
      </c>
      <c r="AD885" s="101" t="str">
        <f t="shared" ca="1" si="14"/>
        <v>#REF!</v>
      </c>
      <c r="AE885" s="101" t="str">
        <f t="shared" ca="1" si="15"/>
        <v>#REF!</v>
      </c>
      <c r="AF885" s="235" t="str">
        <f t="shared" ref="AF885:AG885" ca="1" si="962">AD885/U885</f>
        <v>#REF!</v>
      </c>
      <c r="AG885" s="235" t="str">
        <f t="shared" ca="1" si="962"/>
        <v>#REF!</v>
      </c>
      <c r="AH885" s="212"/>
      <c r="AI885" s="213"/>
      <c r="AJ885" s="4"/>
      <c r="AK885" s="4"/>
      <c r="AL885" s="4"/>
      <c r="AM885" s="4"/>
      <c r="AN885" s="4"/>
      <c r="AO885" s="4"/>
      <c r="AP885" s="4"/>
      <c r="AQ885" s="4"/>
      <c r="AR885" s="4"/>
      <c r="AS885" s="4"/>
      <c r="AT885" s="4"/>
      <c r="AU885" s="4"/>
    </row>
    <row r="886" spans="1:47" ht="13.2">
      <c r="A886" s="120"/>
      <c r="B886" s="113"/>
      <c r="C886" s="117"/>
      <c r="D886" s="117"/>
      <c r="E886" s="117"/>
      <c r="F886" s="123"/>
      <c r="G886" s="93" t="s">
        <v>145</v>
      </c>
      <c r="H886" s="125"/>
      <c r="I886" s="125"/>
      <c r="J886" s="82" t="str">
        <f t="shared" ca="1" si="147"/>
        <v>#REF!</v>
      </c>
      <c r="K886" s="82" t="str">
        <f t="shared" ca="1" si="256"/>
        <v>#REF!</v>
      </c>
      <c r="L886" s="82" t="str">
        <f t="shared" ca="1" si="199"/>
        <v>#REF!</v>
      </c>
      <c r="M886" s="125"/>
      <c r="N886" s="125"/>
      <c r="O886" s="230">
        <f t="shared" si="2"/>
        <v>0</v>
      </c>
      <c r="P886" s="231">
        <f t="shared" si="3"/>
        <v>0</v>
      </c>
      <c r="Q886" s="232" t="str">
        <f ca="1">ROUNDUP(HLOOKUP(IF(CEILING(L886,0.5)&lt;1,1,CEILING(L886,0.5)),'배송비 조회'!A$32:AY$36,2,0),-2)</f>
        <v>#REF!</v>
      </c>
      <c r="R886" s="232">
        <v>0</v>
      </c>
      <c r="S886" s="231" t="str">
        <f t="shared" ca="1" si="250"/>
        <v>#REF!</v>
      </c>
      <c r="T886" s="231" t="str">
        <f t="shared" ca="1" si="200"/>
        <v>#REF!</v>
      </c>
      <c r="U886" s="233" t="str">
        <f t="shared" ca="1" si="142"/>
        <v>#REF!</v>
      </c>
      <c r="V886" s="233" t="str">
        <f t="shared" ca="1" si="7"/>
        <v>#REF!</v>
      </c>
      <c r="W886" s="234">
        <v>0</v>
      </c>
      <c r="X886" s="234" t="str">
        <f t="shared" ca="1" si="8"/>
        <v>#REF!</v>
      </c>
      <c r="Y886" s="234" t="str">
        <f t="shared" ca="1" si="9"/>
        <v>#REF!</v>
      </c>
      <c r="Z886" s="234" t="str">
        <f t="shared" ca="1" si="10"/>
        <v>#REF!</v>
      </c>
      <c r="AA886" s="234" t="str">
        <f t="shared" ca="1" si="11"/>
        <v>#REF!</v>
      </c>
      <c r="AB886" s="234" t="str">
        <f t="shared" ca="1" si="12"/>
        <v>#REF!</v>
      </c>
      <c r="AC886" s="234" t="str">
        <f t="shared" ca="1" si="13"/>
        <v>#REF!</v>
      </c>
      <c r="AD886" s="101" t="str">
        <f t="shared" ca="1" si="14"/>
        <v>#REF!</v>
      </c>
      <c r="AE886" s="101" t="str">
        <f t="shared" ca="1" si="15"/>
        <v>#REF!</v>
      </c>
      <c r="AF886" s="235" t="str">
        <f t="shared" ref="AF886:AG886" ca="1" si="963">AD886/U886</f>
        <v>#REF!</v>
      </c>
      <c r="AG886" s="235" t="str">
        <f t="shared" ca="1" si="963"/>
        <v>#REF!</v>
      </c>
      <c r="AH886" s="212"/>
      <c r="AI886" s="213"/>
      <c r="AJ886" s="4"/>
      <c r="AK886" s="4"/>
      <c r="AL886" s="4"/>
      <c r="AM886" s="4"/>
      <c r="AN886" s="4"/>
      <c r="AO886" s="4"/>
      <c r="AP886" s="4"/>
      <c r="AQ886" s="4"/>
      <c r="AR886" s="4"/>
      <c r="AS886" s="4"/>
      <c r="AT886" s="4"/>
      <c r="AU886" s="4"/>
    </row>
    <row r="887" spans="1:47" ht="13.2">
      <c r="A887" s="120"/>
      <c r="B887" s="113"/>
      <c r="C887" s="117"/>
      <c r="D887" s="117"/>
      <c r="E887" s="117"/>
      <c r="F887" s="123"/>
      <c r="G887" s="93" t="s">
        <v>145</v>
      </c>
      <c r="H887" s="125"/>
      <c r="I887" s="125"/>
      <c r="J887" s="82" t="str">
        <f t="shared" ca="1" si="147"/>
        <v>#REF!</v>
      </c>
      <c r="K887" s="82" t="str">
        <f t="shared" ca="1" si="256"/>
        <v>#REF!</v>
      </c>
      <c r="L887" s="82" t="str">
        <f t="shared" ca="1" si="199"/>
        <v>#REF!</v>
      </c>
      <c r="M887" s="125"/>
      <c r="N887" s="125"/>
      <c r="O887" s="230">
        <f t="shared" si="2"/>
        <v>0</v>
      </c>
      <c r="P887" s="231">
        <f t="shared" si="3"/>
        <v>0</v>
      </c>
      <c r="Q887" s="232" t="str">
        <f ca="1">ROUNDUP(HLOOKUP(IF(CEILING(L887,0.5)&lt;1,1,CEILING(L887,0.5)),'배송비 조회'!A$32:AY$36,2,0),-2)</f>
        <v>#REF!</v>
      </c>
      <c r="R887" s="232">
        <v>0</v>
      </c>
      <c r="S887" s="231" t="str">
        <f t="shared" ca="1" si="250"/>
        <v>#REF!</v>
      </c>
      <c r="T887" s="231" t="str">
        <f t="shared" ca="1" si="200"/>
        <v>#REF!</v>
      </c>
      <c r="U887" s="233" t="str">
        <f t="shared" ca="1" si="142"/>
        <v>#REF!</v>
      </c>
      <c r="V887" s="233" t="str">
        <f t="shared" ca="1" si="7"/>
        <v>#REF!</v>
      </c>
      <c r="W887" s="234">
        <v>0</v>
      </c>
      <c r="X887" s="234" t="str">
        <f t="shared" ca="1" si="8"/>
        <v>#REF!</v>
      </c>
      <c r="Y887" s="234" t="str">
        <f t="shared" ca="1" si="9"/>
        <v>#REF!</v>
      </c>
      <c r="Z887" s="234" t="str">
        <f t="shared" ca="1" si="10"/>
        <v>#REF!</v>
      </c>
      <c r="AA887" s="234" t="str">
        <f t="shared" ca="1" si="11"/>
        <v>#REF!</v>
      </c>
      <c r="AB887" s="234" t="str">
        <f t="shared" ca="1" si="12"/>
        <v>#REF!</v>
      </c>
      <c r="AC887" s="234" t="str">
        <f t="shared" ca="1" si="13"/>
        <v>#REF!</v>
      </c>
      <c r="AD887" s="101" t="str">
        <f t="shared" ca="1" si="14"/>
        <v>#REF!</v>
      </c>
      <c r="AE887" s="101" t="str">
        <f t="shared" ca="1" si="15"/>
        <v>#REF!</v>
      </c>
      <c r="AF887" s="235" t="str">
        <f t="shared" ref="AF887:AG887" ca="1" si="964">AD887/U887</f>
        <v>#REF!</v>
      </c>
      <c r="AG887" s="235" t="str">
        <f t="shared" ca="1" si="964"/>
        <v>#REF!</v>
      </c>
      <c r="AH887" s="212"/>
      <c r="AI887" s="213"/>
      <c r="AJ887" s="4"/>
      <c r="AK887" s="4"/>
      <c r="AL887" s="4"/>
      <c r="AM887" s="4"/>
      <c r="AN887" s="4"/>
      <c r="AO887" s="4"/>
      <c r="AP887" s="4"/>
      <c r="AQ887" s="4"/>
      <c r="AR887" s="4"/>
      <c r="AS887" s="4"/>
      <c r="AT887" s="4"/>
      <c r="AU887" s="4"/>
    </row>
    <row r="888" spans="1:47" ht="13.2">
      <c r="A888" s="120"/>
      <c r="B888" s="113"/>
      <c r="C888" s="117"/>
      <c r="D888" s="117"/>
      <c r="E888" s="117"/>
      <c r="F888" s="123"/>
      <c r="G888" s="93" t="s">
        <v>145</v>
      </c>
      <c r="H888" s="125"/>
      <c r="I888" s="125"/>
      <c r="J888" s="82" t="str">
        <f t="shared" ca="1" si="147"/>
        <v>#REF!</v>
      </c>
      <c r="K888" s="82" t="str">
        <f t="shared" ca="1" si="256"/>
        <v>#REF!</v>
      </c>
      <c r="L888" s="82" t="str">
        <f t="shared" ca="1" si="199"/>
        <v>#REF!</v>
      </c>
      <c r="M888" s="125"/>
      <c r="N888" s="125"/>
      <c r="O888" s="230">
        <f t="shared" si="2"/>
        <v>0</v>
      </c>
      <c r="P888" s="231">
        <f t="shared" si="3"/>
        <v>0</v>
      </c>
      <c r="Q888" s="232" t="str">
        <f ca="1">ROUNDUP(HLOOKUP(IF(CEILING(L888,0.5)&lt;1,1,CEILING(L888,0.5)),'배송비 조회'!A$32:AY$36,2,0),-2)</f>
        <v>#REF!</v>
      </c>
      <c r="R888" s="232">
        <v>0</v>
      </c>
      <c r="S888" s="231" t="str">
        <f t="shared" ca="1" si="250"/>
        <v>#REF!</v>
      </c>
      <c r="T888" s="231" t="str">
        <f t="shared" ca="1" si="200"/>
        <v>#REF!</v>
      </c>
      <c r="U888" s="233" t="str">
        <f t="shared" ca="1" si="142"/>
        <v>#REF!</v>
      </c>
      <c r="V888" s="233" t="str">
        <f t="shared" ca="1" si="7"/>
        <v>#REF!</v>
      </c>
      <c r="W888" s="234">
        <v>0</v>
      </c>
      <c r="X888" s="234" t="str">
        <f t="shared" ca="1" si="8"/>
        <v>#REF!</v>
      </c>
      <c r="Y888" s="234" t="str">
        <f t="shared" ca="1" si="9"/>
        <v>#REF!</v>
      </c>
      <c r="Z888" s="234" t="str">
        <f t="shared" ca="1" si="10"/>
        <v>#REF!</v>
      </c>
      <c r="AA888" s="234" t="str">
        <f t="shared" ca="1" si="11"/>
        <v>#REF!</v>
      </c>
      <c r="AB888" s="234" t="str">
        <f t="shared" ca="1" si="12"/>
        <v>#REF!</v>
      </c>
      <c r="AC888" s="234" t="str">
        <f t="shared" ca="1" si="13"/>
        <v>#REF!</v>
      </c>
      <c r="AD888" s="101" t="str">
        <f t="shared" ca="1" si="14"/>
        <v>#REF!</v>
      </c>
      <c r="AE888" s="101" t="str">
        <f t="shared" ca="1" si="15"/>
        <v>#REF!</v>
      </c>
      <c r="AF888" s="235" t="str">
        <f t="shared" ref="AF888:AG888" ca="1" si="965">AD888/U888</f>
        <v>#REF!</v>
      </c>
      <c r="AG888" s="235" t="str">
        <f t="shared" ca="1" si="965"/>
        <v>#REF!</v>
      </c>
      <c r="AH888" s="212"/>
      <c r="AI888" s="213"/>
      <c r="AJ888" s="4"/>
      <c r="AK888" s="4"/>
      <c r="AL888" s="4"/>
      <c r="AM888" s="4"/>
      <c r="AN888" s="4"/>
      <c r="AO888" s="4"/>
      <c r="AP888" s="4"/>
      <c r="AQ888" s="4"/>
      <c r="AR888" s="4"/>
      <c r="AS888" s="4"/>
      <c r="AT888" s="4"/>
      <c r="AU888" s="4"/>
    </row>
    <row r="889" spans="1:47" ht="13.2">
      <c r="A889" s="120"/>
      <c r="B889" s="113"/>
      <c r="C889" s="117"/>
      <c r="D889" s="117"/>
      <c r="E889" s="117"/>
      <c r="F889" s="123"/>
      <c r="G889" s="93" t="s">
        <v>145</v>
      </c>
      <c r="H889" s="125"/>
      <c r="I889" s="125"/>
      <c r="J889" s="82" t="str">
        <f t="shared" ca="1" si="147"/>
        <v>#REF!</v>
      </c>
      <c r="K889" s="82" t="str">
        <f t="shared" ca="1" si="256"/>
        <v>#REF!</v>
      </c>
      <c r="L889" s="82" t="str">
        <f t="shared" ca="1" si="199"/>
        <v>#REF!</v>
      </c>
      <c r="M889" s="125"/>
      <c r="N889" s="125"/>
      <c r="O889" s="230">
        <f t="shared" si="2"/>
        <v>0</v>
      </c>
      <c r="P889" s="231">
        <f t="shared" si="3"/>
        <v>0</v>
      </c>
      <c r="Q889" s="232" t="str">
        <f ca="1">ROUNDUP(HLOOKUP(IF(CEILING(L889,0.5)&lt;1,1,CEILING(L889,0.5)),'배송비 조회'!A$32:AY$36,2,0),-2)</f>
        <v>#REF!</v>
      </c>
      <c r="R889" s="232">
        <v>0</v>
      </c>
      <c r="S889" s="231" t="str">
        <f t="shared" ca="1" si="250"/>
        <v>#REF!</v>
      </c>
      <c r="T889" s="231" t="str">
        <f t="shared" ca="1" si="200"/>
        <v>#REF!</v>
      </c>
      <c r="U889" s="233" t="str">
        <f t="shared" ca="1" si="142"/>
        <v>#REF!</v>
      </c>
      <c r="V889" s="233" t="str">
        <f t="shared" ca="1" si="7"/>
        <v>#REF!</v>
      </c>
      <c r="W889" s="234">
        <v>0</v>
      </c>
      <c r="X889" s="234" t="str">
        <f t="shared" ca="1" si="8"/>
        <v>#REF!</v>
      </c>
      <c r="Y889" s="234" t="str">
        <f t="shared" ca="1" si="9"/>
        <v>#REF!</v>
      </c>
      <c r="Z889" s="234" t="str">
        <f t="shared" ca="1" si="10"/>
        <v>#REF!</v>
      </c>
      <c r="AA889" s="234" t="str">
        <f t="shared" ca="1" si="11"/>
        <v>#REF!</v>
      </c>
      <c r="AB889" s="234" t="str">
        <f t="shared" ca="1" si="12"/>
        <v>#REF!</v>
      </c>
      <c r="AC889" s="234" t="str">
        <f t="shared" ca="1" si="13"/>
        <v>#REF!</v>
      </c>
      <c r="AD889" s="101" t="str">
        <f t="shared" ca="1" si="14"/>
        <v>#REF!</v>
      </c>
      <c r="AE889" s="101" t="str">
        <f t="shared" ca="1" si="15"/>
        <v>#REF!</v>
      </c>
      <c r="AF889" s="235" t="str">
        <f t="shared" ref="AF889:AG889" ca="1" si="966">AD889/U889</f>
        <v>#REF!</v>
      </c>
      <c r="AG889" s="235" t="str">
        <f t="shared" ca="1" si="966"/>
        <v>#REF!</v>
      </c>
      <c r="AH889" s="212"/>
      <c r="AI889" s="213"/>
      <c r="AJ889" s="4"/>
      <c r="AK889" s="4"/>
      <c r="AL889" s="4"/>
      <c r="AM889" s="4"/>
      <c r="AN889" s="4"/>
      <c r="AO889" s="4"/>
      <c r="AP889" s="4"/>
      <c r="AQ889" s="4"/>
      <c r="AR889" s="4"/>
      <c r="AS889" s="4"/>
      <c r="AT889" s="4"/>
      <c r="AU889" s="4"/>
    </row>
    <row r="890" spans="1:47" ht="13.2">
      <c r="A890" s="120"/>
      <c r="B890" s="113"/>
      <c r="C890" s="117"/>
      <c r="D890" s="117"/>
      <c r="E890" s="117"/>
      <c r="F890" s="123"/>
      <c r="G890" s="93" t="s">
        <v>145</v>
      </c>
      <c r="H890" s="125"/>
      <c r="I890" s="125"/>
      <c r="J890" s="82" t="str">
        <f t="shared" ca="1" si="147"/>
        <v>#REF!</v>
      </c>
      <c r="K890" s="82" t="str">
        <f t="shared" ca="1" si="256"/>
        <v>#REF!</v>
      </c>
      <c r="L890" s="82" t="str">
        <f t="shared" ca="1" si="199"/>
        <v>#REF!</v>
      </c>
      <c r="M890" s="125"/>
      <c r="N890" s="125"/>
      <c r="O890" s="230">
        <f t="shared" si="2"/>
        <v>0</v>
      </c>
      <c r="P890" s="231">
        <f t="shared" si="3"/>
        <v>0</v>
      </c>
      <c r="Q890" s="232" t="str">
        <f ca="1">ROUNDUP(HLOOKUP(IF(CEILING(L890,0.5)&lt;1,1,CEILING(L890,0.5)),'배송비 조회'!A$32:AY$36,2,0),-2)</f>
        <v>#REF!</v>
      </c>
      <c r="R890" s="232">
        <v>0</v>
      </c>
      <c r="S890" s="231" t="str">
        <f t="shared" ca="1" si="250"/>
        <v>#REF!</v>
      </c>
      <c r="T890" s="231" t="str">
        <f t="shared" ca="1" si="200"/>
        <v>#REF!</v>
      </c>
      <c r="U890" s="233" t="str">
        <f t="shared" ca="1" si="142"/>
        <v>#REF!</v>
      </c>
      <c r="V890" s="233" t="str">
        <f t="shared" ca="1" si="7"/>
        <v>#REF!</v>
      </c>
      <c r="W890" s="234">
        <v>0</v>
      </c>
      <c r="X890" s="234" t="str">
        <f t="shared" ca="1" si="8"/>
        <v>#REF!</v>
      </c>
      <c r="Y890" s="234" t="str">
        <f t="shared" ca="1" si="9"/>
        <v>#REF!</v>
      </c>
      <c r="Z890" s="234" t="str">
        <f t="shared" ca="1" si="10"/>
        <v>#REF!</v>
      </c>
      <c r="AA890" s="234" t="str">
        <f t="shared" ca="1" si="11"/>
        <v>#REF!</v>
      </c>
      <c r="AB890" s="234" t="str">
        <f t="shared" ca="1" si="12"/>
        <v>#REF!</v>
      </c>
      <c r="AC890" s="234" t="str">
        <f t="shared" ca="1" si="13"/>
        <v>#REF!</v>
      </c>
      <c r="AD890" s="101" t="str">
        <f t="shared" ca="1" si="14"/>
        <v>#REF!</v>
      </c>
      <c r="AE890" s="101" t="str">
        <f t="shared" ca="1" si="15"/>
        <v>#REF!</v>
      </c>
      <c r="AF890" s="235" t="str">
        <f t="shared" ref="AF890:AG890" ca="1" si="967">AD890/U890</f>
        <v>#REF!</v>
      </c>
      <c r="AG890" s="235" t="str">
        <f t="shared" ca="1" si="967"/>
        <v>#REF!</v>
      </c>
      <c r="AH890" s="212"/>
      <c r="AI890" s="213"/>
      <c r="AJ890" s="4"/>
      <c r="AK890" s="4"/>
      <c r="AL890" s="4"/>
      <c r="AM890" s="4"/>
      <c r="AN890" s="4"/>
      <c r="AO890" s="4"/>
      <c r="AP890" s="4"/>
      <c r="AQ890" s="4"/>
      <c r="AR890" s="4"/>
      <c r="AS890" s="4"/>
      <c r="AT890" s="4"/>
      <c r="AU890" s="4"/>
    </row>
    <row r="891" spans="1:47" ht="13.2">
      <c r="A891" s="120"/>
      <c r="B891" s="113"/>
      <c r="C891" s="117"/>
      <c r="D891" s="117"/>
      <c r="E891" s="117"/>
      <c r="F891" s="123"/>
      <c r="G891" s="93" t="s">
        <v>145</v>
      </c>
      <c r="H891" s="125"/>
      <c r="I891" s="125"/>
      <c r="J891" s="82" t="str">
        <f t="shared" ca="1" si="147"/>
        <v>#REF!</v>
      </c>
      <c r="K891" s="82" t="str">
        <f t="shared" ca="1" si="256"/>
        <v>#REF!</v>
      </c>
      <c r="L891" s="82" t="str">
        <f t="shared" ca="1" si="199"/>
        <v>#REF!</v>
      </c>
      <c r="M891" s="125"/>
      <c r="N891" s="125"/>
      <c r="O891" s="230">
        <f t="shared" si="2"/>
        <v>0</v>
      </c>
      <c r="P891" s="231">
        <f t="shared" si="3"/>
        <v>0</v>
      </c>
      <c r="Q891" s="232" t="str">
        <f ca="1">ROUNDUP(HLOOKUP(IF(CEILING(L891,0.5)&lt;1,1,CEILING(L891,0.5)),'배송비 조회'!A$32:AY$36,2,0),-2)</f>
        <v>#REF!</v>
      </c>
      <c r="R891" s="232">
        <v>0</v>
      </c>
      <c r="S891" s="231" t="str">
        <f t="shared" ca="1" si="250"/>
        <v>#REF!</v>
      </c>
      <c r="T891" s="231" t="str">
        <f t="shared" ca="1" si="200"/>
        <v>#REF!</v>
      </c>
      <c r="U891" s="233" t="str">
        <f t="shared" ca="1" si="142"/>
        <v>#REF!</v>
      </c>
      <c r="V891" s="233" t="str">
        <f t="shared" ca="1" si="7"/>
        <v>#REF!</v>
      </c>
      <c r="W891" s="234">
        <v>0</v>
      </c>
      <c r="X891" s="234" t="str">
        <f t="shared" ca="1" si="8"/>
        <v>#REF!</v>
      </c>
      <c r="Y891" s="234" t="str">
        <f t="shared" ca="1" si="9"/>
        <v>#REF!</v>
      </c>
      <c r="Z891" s="234" t="str">
        <f t="shared" ca="1" si="10"/>
        <v>#REF!</v>
      </c>
      <c r="AA891" s="234" t="str">
        <f t="shared" ca="1" si="11"/>
        <v>#REF!</v>
      </c>
      <c r="AB891" s="234" t="str">
        <f t="shared" ca="1" si="12"/>
        <v>#REF!</v>
      </c>
      <c r="AC891" s="234" t="str">
        <f t="shared" ca="1" si="13"/>
        <v>#REF!</v>
      </c>
      <c r="AD891" s="101" t="str">
        <f t="shared" ca="1" si="14"/>
        <v>#REF!</v>
      </c>
      <c r="AE891" s="101" t="str">
        <f t="shared" ca="1" si="15"/>
        <v>#REF!</v>
      </c>
      <c r="AF891" s="235" t="str">
        <f t="shared" ref="AF891:AG891" ca="1" si="968">AD891/U891</f>
        <v>#REF!</v>
      </c>
      <c r="AG891" s="235" t="str">
        <f t="shared" ca="1" si="968"/>
        <v>#REF!</v>
      </c>
      <c r="AH891" s="212"/>
      <c r="AI891" s="213"/>
      <c r="AJ891" s="4"/>
      <c r="AK891" s="4"/>
      <c r="AL891" s="4"/>
      <c r="AM891" s="4"/>
      <c r="AN891" s="4"/>
      <c r="AO891" s="4"/>
      <c r="AP891" s="4"/>
      <c r="AQ891" s="4"/>
      <c r="AR891" s="4"/>
      <c r="AS891" s="4"/>
      <c r="AT891" s="4"/>
      <c r="AU891" s="4"/>
    </row>
    <row r="892" spans="1:47" ht="13.2">
      <c r="A892" s="120"/>
      <c r="B892" s="113"/>
      <c r="C892" s="117"/>
      <c r="D892" s="117"/>
      <c r="E892" s="117"/>
      <c r="F892" s="123"/>
      <c r="G892" s="93" t="s">
        <v>145</v>
      </c>
      <c r="H892" s="125"/>
      <c r="I892" s="125"/>
      <c r="J892" s="82" t="str">
        <f t="shared" ca="1" si="147"/>
        <v>#REF!</v>
      </c>
      <c r="K892" s="82" t="str">
        <f t="shared" ca="1" si="256"/>
        <v>#REF!</v>
      </c>
      <c r="L892" s="82" t="str">
        <f t="shared" ca="1" si="199"/>
        <v>#REF!</v>
      </c>
      <c r="M892" s="125"/>
      <c r="N892" s="125"/>
      <c r="O892" s="230">
        <f t="shared" si="2"/>
        <v>0</v>
      </c>
      <c r="P892" s="231">
        <f t="shared" si="3"/>
        <v>0</v>
      </c>
      <c r="Q892" s="232" t="str">
        <f ca="1">ROUNDUP(HLOOKUP(IF(CEILING(L892,0.5)&lt;1,1,CEILING(L892,0.5)),'배송비 조회'!A$32:AY$36,2,0),-2)</f>
        <v>#REF!</v>
      </c>
      <c r="R892" s="232">
        <v>0</v>
      </c>
      <c r="S892" s="231" t="str">
        <f t="shared" ca="1" si="250"/>
        <v>#REF!</v>
      </c>
      <c r="T892" s="231" t="str">
        <f t="shared" ca="1" si="200"/>
        <v>#REF!</v>
      </c>
      <c r="U892" s="233" t="str">
        <f t="shared" ca="1" si="142"/>
        <v>#REF!</v>
      </c>
      <c r="V892" s="233" t="str">
        <f t="shared" ca="1" si="7"/>
        <v>#REF!</v>
      </c>
      <c r="W892" s="234">
        <v>0</v>
      </c>
      <c r="X892" s="234" t="str">
        <f t="shared" ca="1" si="8"/>
        <v>#REF!</v>
      </c>
      <c r="Y892" s="234" t="str">
        <f t="shared" ca="1" si="9"/>
        <v>#REF!</v>
      </c>
      <c r="Z892" s="234" t="str">
        <f t="shared" ca="1" si="10"/>
        <v>#REF!</v>
      </c>
      <c r="AA892" s="234" t="str">
        <f t="shared" ca="1" si="11"/>
        <v>#REF!</v>
      </c>
      <c r="AB892" s="234" t="str">
        <f t="shared" ca="1" si="12"/>
        <v>#REF!</v>
      </c>
      <c r="AC892" s="234" t="str">
        <f t="shared" ca="1" si="13"/>
        <v>#REF!</v>
      </c>
      <c r="AD892" s="101" t="str">
        <f t="shared" ca="1" si="14"/>
        <v>#REF!</v>
      </c>
      <c r="AE892" s="101" t="str">
        <f t="shared" ca="1" si="15"/>
        <v>#REF!</v>
      </c>
      <c r="AF892" s="235" t="str">
        <f t="shared" ref="AF892:AG892" ca="1" si="969">AD892/U892</f>
        <v>#REF!</v>
      </c>
      <c r="AG892" s="235" t="str">
        <f t="shared" ca="1" si="969"/>
        <v>#REF!</v>
      </c>
      <c r="AH892" s="212"/>
      <c r="AI892" s="213"/>
      <c r="AJ892" s="4"/>
      <c r="AK892" s="4"/>
      <c r="AL892" s="4"/>
      <c r="AM892" s="4"/>
      <c r="AN892" s="4"/>
      <c r="AO892" s="4"/>
      <c r="AP892" s="4"/>
      <c r="AQ892" s="4"/>
      <c r="AR892" s="4"/>
      <c r="AS892" s="4"/>
      <c r="AT892" s="4"/>
      <c r="AU892" s="4"/>
    </row>
    <row r="893" spans="1:47" ht="13.2">
      <c r="A893" s="120"/>
      <c r="B893" s="113"/>
      <c r="C893" s="117"/>
      <c r="D893" s="117"/>
      <c r="E893" s="117"/>
      <c r="F893" s="123"/>
      <c r="G893" s="93" t="s">
        <v>145</v>
      </c>
      <c r="H893" s="125"/>
      <c r="I893" s="125"/>
      <c r="J893" s="82" t="str">
        <f t="shared" ca="1" si="147"/>
        <v>#REF!</v>
      </c>
      <c r="K893" s="82" t="str">
        <f t="shared" ca="1" si="256"/>
        <v>#REF!</v>
      </c>
      <c r="L893" s="82" t="str">
        <f t="shared" ca="1" si="199"/>
        <v>#REF!</v>
      </c>
      <c r="M893" s="125"/>
      <c r="N893" s="125"/>
      <c r="O893" s="230">
        <f t="shared" si="2"/>
        <v>0</v>
      </c>
      <c r="P893" s="231">
        <f t="shared" si="3"/>
        <v>0</v>
      </c>
      <c r="Q893" s="232" t="str">
        <f ca="1">ROUNDUP(HLOOKUP(IF(CEILING(L893,0.5)&lt;1,1,CEILING(L893,0.5)),'배송비 조회'!A$32:AY$36,2,0),-2)</f>
        <v>#REF!</v>
      </c>
      <c r="R893" s="232">
        <v>0</v>
      </c>
      <c r="S893" s="231" t="str">
        <f t="shared" ca="1" si="250"/>
        <v>#REF!</v>
      </c>
      <c r="T893" s="231" t="str">
        <f t="shared" ca="1" si="200"/>
        <v>#REF!</v>
      </c>
      <c r="U893" s="233" t="str">
        <f t="shared" ca="1" si="142"/>
        <v>#REF!</v>
      </c>
      <c r="V893" s="233" t="str">
        <f t="shared" ca="1" si="7"/>
        <v>#REF!</v>
      </c>
      <c r="W893" s="234">
        <v>0</v>
      </c>
      <c r="X893" s="234" t="str">
        <f t="shared" ca="1" si="8"/>
        <v>#REF!</v>
      </c>
      <c r="Y893" s="234" t="str">
        <f t="shared" ca="1" si="9"/>
        <v>#REF!</v>
      </c>
      <c r="Z893" s="234" t="str">
        <f t="shared" ca="1" si="10"/>
        <v>#REF!</v>
      </c>
      <c r="AA893" s="234" t="str">
        <f t="shared" ca="1" si="11"/>
        <v>#REF!</v>
      </c>
      <c r="AB893" s="234" t="str">
        <f t="shared" ca="1" si="12"/>
        <v>#REF!</v>
      </c>
      <c r="AC893" s="234" t="str">
        <f t="shared" ca="1" si="13"/>
        <v>#REF!</v>
      </c>
      <c r="AD893" s="101" t="str">
        <f t="shared" ca="1" si="14"/>
        <v>#REF!</v>
      </c>
      <c r="AE893" s="101" t="str">
        <f t="shared" ca="1" si="15"/>
        <v>#REF!</v>
      </c>
      <c r="AF893" s="235" t="str">
        <f t="shared" ref="AF893:AG893" ca="1" si="970">AD893/U893</f>
        <v>#REF!</v>
      </c>
      <c r="AG893" s="235" t="str">
        <f t="shared" ca="1" si="970"/>
        <v>#REF!</v>
      </c>
      <c r="AH893" s="212"/>
      <c r="AI893" s="213"/>
      <c r="AJ893" s="4"/>
      <c r="AK893" s="4"/>
      <c r="AL893" s="4"/>
      <c r="AM893" s="4"/>
      <c r="AN893" s="4"/>
      <c r="AO893" s="4"/>
      <c r="AP893" s="4"/>
      <c r="AQ893" s="4"/>
      <c r="AR893" s="4"/>
      <c r="AS893" s="4"/>
      <c r="AT893" s="4"/>
      <c r="AU893" s="4"/>
    </row>
    <row r="894" spans="1:47" ht="13.2">
      <c r="A894" s="120"/>
      <c r="B894" s="113"/>
      <c r="C894" s="117"/>
      <c r="D894" s="117"/>
      <c r="E894" s="117"/>
      <c r="F894" s="123"/>
      <c r="G894" s="93" t="s">
        <v>145</v>
      </c>
      <c r="H894" s="125"/>
      <c r="I894" s="125"/>
      <c r="J894" s="82" t="str">
        <f t="shared" ca="1" si="147"/>
        <v>#REF!</v>
      </c>
      <c r="K894" s="82" t="str">
        <f t="shared" ca="1" si="256"/>
        <v>#REF!</v>
      </c>
      <c r="L894" s="82" t="str">
        <f t="shared" ca="1" si="199"/>
        <v>#REF!</v>
      </c>
      <c r="M894" s="125"/>
      <c r="N894" s="125"/>
      <c r="O894" s="230">
        <f t="shared" si="2"/>
        <v>0</v>
      </c>
      <c r="P894" s="231">
        <f t="shared" si="3"/>
        <v>0</v>
      </c>
      <c r="Q894" s="232" t="str">
        <f ca="1">ROUNDUP(HLOOKUP(IF(CEILING(L894,0.5)&lt;1,1,CEILING(L894,0.5)),'배송비 조회'!A$32:AY$36,2,0),-2)</f>
        <v>#REF!</v>
      </c>
      <c r="R894" s="232">
        <v>0</v>
      </c>
      <c r="S894" s="231" t="str">
        <f t="shared" ca="1" si="250"/>
        <v>#REF!</v>
      </c>
      <c r="T894" s="231" t="str">
        <f t="shared" ca="1" si="200"/>
        <v>#REF!</v>
      </c>
      <c r="U894" s="233" t="str">
        <f t="shared" ca="1" si="142"/>
        <v>#REF!</v>
      </c>
      <c r="V894" s="233" t="str">
        <f t="shared" ca="1" si="7"/>
        <v>#REF!</v>
      </c>
      <c r="W894" s="234">
        <v>0</v>
      </c>
      <c r="X894" s="234" t="str">
        <f t="shared" ca="1" si="8"/>
        <v>#REF!</v>
      </c>
      <c r="Y894" s="234" t="str">
        <f t="shared" ca="1" si="9"/>
        <v>#REF!</v>
      </c>
      <c r="Z894" s="234" t="str">
        <f t="shared" ca="1" si="10"/>
        <v>#REF!</v>
      </c>
      <c r="AA894" s="234" t="str">
        <f t="shared" ca="1" si="11"/>
        <v>#REF!</v>
      </c>
      <c r="AB894" s="234" t="str">
        <f t="shared" ca="1" si="12"/>
        <v>#REF!</v>
      </c>
      <c r="AC894" s="234" t="str">
        <f t="shared" ca="1" si="13"/>
        <v>#REF!</v>
      </c>
      <c r="AD894" s="101" t="str">
        <f t="shared" ca="1" si="14"/>
        <v>#REF!</v>
      </c>
      <c r="AE894" s="101" t="str">
        <f t="shared" ca="1" si="15"/>
        <v>#REF!</v>
      </c>
      <c r="AF894" s="235" t="str">
        <f t="shared" ref="AF894:AG894" ca="1" si="971">AD894/U894</f>
        <v>#REF!</v>
      </c>
      <c r="AG894" s="235" t="str">
        <f t="shared" ca="1" si="971"/>
        <v>#REF!</v>
      </c>
      <c r="AH894" s="212"/>
      <c r="AI894" s="213"/>
      <c r="AJ894" s="4"/>
      <c r="AK894" s="4"/>
      <c r="AL894" s="4"/>
      <c r="AM894" s="4"/>
      <c r="AN894" s="4"/>
      <c r="AO894" s="4"/>
      <c r="AP894" s="4"/>
      <c r="AQ894" s="4"/>
      <c r="AR894" s="4"/>
      <c r="AS894" s="4"/>
      <c r="AT894" s="4"/>
      <c r="AU894" s="4"/>
    </row>
    <row r="895" spans="1:47" ht="13.2">
      <c r="A895" s="120"/>
      <c r="B895" s="113"/>
      <c r="C895" s="117"/>
      <c r="D895" s="117"/>
      <c r="E895" s="117"/>
      <c r="F895" s="123"/>
      <c r="G895" s="93" t="s">
        <v>145</v>
      </c>
      <c r="H895" s="125"/>
      <c r="I895" s="125"/>
      <c r="J895" s="82" t="str">
        <f t="shared" ca="1" si="147"/>
        <v>#REF!</v>
      </c>
      <c r="K895" s="82" t="str">
        <f t="shared" ca="1" si="256"/>
        <v>#REF!</v>
      </c>
      <c r="L895" s="82" t="str">
        <f t="shared" ca="1" si="199"/>
        <v>#REF!</v>
      </c>
      <c r="M895" s="125"/>
      <c r="N895" s="125"/>
      <c r="O895" s="230">
        <f t="shared" si="2"/>
        <v>0</v>
      </c>
      <c r="P895" s="231">
        <f t="shared" si="3"/>
        <v>0</v>
      </c>
      <c r="Q895" s="232" t="str">
        <f ca="1">ROUNDUP(HLOOKUP(IF(CEILING(L895,0.5)&lt;1,1,CEILING(L895,0.5)),'배송비 조회'!A$32:AY$36,2,0),-2)</f>
        <v>#REF!</v>
      </c>
      <c r="R895" s="232">
        <v>0</v>
      </c>
      <c r="S895" s="231" t="str">
        <f t="shared" ca="1" si="250"/>
        <v>#REF!</v>
      </c>
      <c r="T895" s="231" t="str">
        <f t="shared" ca="1" si="200"/>
        <v>#REF!</v>
      </c>
      <c r="U895" s="233" t="str">
        <f t="shared" ca="1" si="142"/>
        <v>#REF!</v>
      </c>
      <c r="V895" s="233" t="str">
        <f t="shared" ca="1" si="7"/>
        <v>#REF!</v>
      </c>
      <c r="W895" s="234">
        <v>0</v>
      </c>
      <c r="X895" s="234" t="str">
        <f t="shared" ca="1" si="8"/>
        <v>#REF!</v>
      </c>
      <c r="Y895" s="234" t="str">
        <f t="shared" ca="1" si="9"/>
        <v>#REF!</v>
      </c>
      <c r="Z895" s="234" t="str">
        <f t="shared" ca="1" si="10"/>
        <v>#REF!</v>
      </c>
      <c r="AA895" s="234" t="str">
        <f t="shared" ca="1" si="11"/>
        <v>#REF!</v>
      </c>
      <c r="AB895" s="234" t="str">
        <f t="shared" ca="1" si="12"/>
        <v>#REF!</v>
      </c>
      <c r="AC895" s="234" t="str">
        <f t="shared" ca="1" si="13"/>
        <v>#REF!</v>
      </c>
      <c r="AD895" s="101" t="str">
        <f t="shared" ca="1" si="14"/>
        <v>#REF!</v>
      </c>
      <c r="AE895" s="101" t="str">
        <f t="shared" ca="1" si="15"/>
        <v>#REF!</v>
      </c>
      <c r="AF895" s="235" t="str">
        <f t="shared" ref="AF895:AG895" ca="1" si="972">AD895/U895</f>
        <v>#REF!</v>
      </c>
      <c r="AG895" s="235" t="str">
        <f t="shared" ca="1" si="972"/>
        <v>#REF!</v>
      </c>
      <c r="AH895" s="212"/>
      <c r="AI895" s="213"/>
      <c r="AJ895" s="4"/>
      <c r="AK895" s="4"/>
      <c r="AL895" s="4"/>
      <c r="AM895" s="4"/>
      <c r="AN895" s="4"/>
      <c r="AO895" s="4"/>
      <c r="AP895" s="4"/>
      <c r="AQ895" s="4"/>
      <c r="AR895" s="4"/>
      <c r="AS895" s="4"/>
      <c r="AT895" s="4"/>
      <c r="AU895" s="4"/>
    </row>
    <row r="896" spans="1:47" ht="13.2">
      <c r="A896" s="120"/>
      <c r="B896" s="113"/>
      <c r="C896" s="117"/>
      <c r="D896" s="117"/>
      <c r="E896" s="117"/>
      <c r="F896" s="123"/>
      <c r="G896" s="93" t="s">
        <v>145</v>
      </c>
      <c r="H896" s="125"/>
      <c r="I896" s="125"/>
      <c r="J896" s="82" t="str">
        <f t="shared" ca="1" si="147"/>
        <v>#REF!</v>
      </c>
      <c r="K896" s="82" t="str">
        <f t="shared" ca="1" si="256"/>
        <v>#REF!</v>
      </c>
      <c r="L896" s="82" t="str">
        <f t="shared" ca="1" si="199"/>
        <v>#REF!</v>
      </c>
      <c r="M896" s="125"/>
      <c r="N896" s="125"/>
      <c r="O896" s="230">
        <f t="shared" si="2"/>
        <v>0</v>
      </c>
      <c r="P896" s="231">
        <f t="shared" si="3"/>
        <v>0</v>
      </c>
      <c r="Q896" s="232" t="str">
        <f ca="1">ROUNDUP(HLOOKUP(IF(CEILING(L896,0.5)&lt;1,1,CEILING(L896,0.5)),'배송비 조회'!A$32:AY$36,2,0),-2)</f>
        <v>#REF!</v>
      </c>
      <c r="R896" s="232">
        <v>0</v>
      </c>
      <c r="S896" s="231" t="str">
        <f t="shared" ca="1" si="250"/>
        <v>#REF!</v>
      </c>
      <c r="T896" s="231" t="str">
        <f t="shared" ca="1" si="200"/>
        <v>#REF!</v>
      </c>
      <c r="U896" s="233" t="str">
        <f t="shared" ca="1" si="142"/>
        <v>#REF!</v>
      </c>
      <c r="V896" s="233" t="str">
        <f t="shared" ca="1" si="7"/>
        <v>#REF!</v>
      </c>
      <c r="W896" s="234">
        <v>0</v>
      </c>
      <c r="X896" s="234" t="str">
        <f t="shared" ca="1" si="8"/>
        <v>#REF!</v>
      </c>
      <c r="Y896" s="234" t="str">
        <f t="shared" ca="1" si="9"/>
        <v>#REF!</v>
      </c>
      <c r="Z896" s="234" t="str">
        <f t="shared" ca="1" si="10"/>
        <v>#REF!</v>
      </c>
      <c r="AA896" s="234" t="str">
        <f t="shared" ca="1" si="11"/>
        <v>#REF!</v>
      </c>
      <c r="AB896" s="234" t="str">
        <f t="shared" ca="1" si="12"/>
        <v>#REF!</v>
      </c>
      <c r="AC896" s="234" t="str">
        <f t="shared" ca="1" si="13"/>
        <v>#REF!</v>
      </c>
      <c r="AD896" s="101" t="str">
        <f t="shared" ca="1" si="14"/>
        <v>#REF!</v>
      </c>
      <c r="AE896" s="101" t="str">
        <f t="shared" ca="1" si="15"/>
        <v>#REF!</v>
      </c>
      <c r="AF896" s="235" t="str">
        <f t="shared" ref="AF896:AG896" ca="1" si="973">AD896/U896</f>
        <v>#REF!</v>
      </c>
      <c r="AG896" s="235" t="str">
        <f t="shared" ca="1" si="973"/>
        <v>#REF!</v>
      </c>
      <c r="AH896" s="212"/>
      <c r="AI896" s="213"/>
      <c r="AJ896" s="4"/>
      <c r="AK896" s="4"/>
      <c r="AL896" s="4"/>
      <c r="AM896" s="4"/>
      <c r="AN896" s="4"/>
      <c r="AO896" s="4"/>
      <c r="AP896" s="4"/>
      <c r="AQ896" s="4"/>
      <c r="AR896" s="4"/>
      <c r="AS896" s="4"/>
      <c r="AT896" s="4"/>
      <c r="AU896" s="4"/>
    </row>
    <row r="897" spans="1:47" ht="13.2">
      <c r="A897" s="120"/>
      <c r="B897" s="113"/>
      <c r="C897" s="117"/>
      <c r="D897" s="117"/>
      <c r="E897" s="117"/>
      <c r="F897" s="123"/>
      <c r="G897" s="93" t="s">
        <v>145</v>
      </c>
      <c r="H897" s="125"/>
      <c r="I897" s="125"/>
      <c r="J897" s="82" t="str">
        <f t="shared" ca="1" si="147"/>
        <v>#REF!</v>
      </c>
      <c r="K897" s="82" t="str">
        <f t="shared" ca="1" si="256"/>
        <v>#REF!</v>
      </c>
      <c r="L897" s="82" t="str">
        <f t="shared" ca="1" si="199"/>
        <v>#REF!</v>
      </c>
      <c r="M897" s="125"/>
      <c r="N897" s="125"/>
      <c r="O897" s="230">
        <f t="shared" si="2"/>
        <v>0</v>
      </c>
      <c r="P897" s="231">
        <f t="shared" si="3"/>
        <v>0</v>
      </c>
      <c r="Q897" s="232" t="str">
        <f ca="1">ROUNDUP(HLOOKUP(IF(CEILING(L897,0.5)&lt;1,1,CEILING(L897,0.5)),'배송비 조회'!A$32:AY$36,2,0),-2)</f>
        <v>#REF!</v>
      </c>
      <c r="R897" s="232">
        <v>0</v>
      </c>
      <c r="S897" s="231" t="str">
        <f t="shared" ca="1" si="250"/>
        <v>#REF!</v>
      </c>
      <c r="T897" s="231" t="str">
        <f t="shared" ca="1" si="200"/>
        <v>#REF!</v>
      </c>
      <c r="U897" s="233" t="str">
        <f t="shared" ca="1" si="142"/>
        <v>#REF!</v>
      </c>
      <c r="V897" s="233" t="str">
        <f t="shared" ca="1" si="7"/>
        <v>#REF!</v>
      </c>
      <c r="W897" s="234">
        <v>0</v>
      </c>
      <c r="X897" s="234" t="str">
        <f t="shared" ca="1" si="8"/>
        <v>#REF!</v>
      </c>
      <c r="Y897" s="234" t="str">
        <f t="shared" ca="1" si="9"/>
        <v>#REF!</v>
      </c>
      <c r="Z897" s="234" t="str">
        <f t="shared" ca="1" si="10"/>
        <v>#REF!</v>
      </c>
      <c r="AA897" s="234" t="str">
        <f t="shared" ca="1" si="11"/>
        <v>#REF!</v>
      </c>
      <c r="AB897" s="234" t="str">
        <f t="shared" ca="1" si="12"/>
        <v>#REF!</v>
      </c>
      <c r="AC897" s="234" t="str">
        <f t="shared" ca="1" si="13"/>
        <v>#REF!</v>
      </c>
      <c r="AD897" s="101" t="str">
        <f t="shared" ca="1" si="14"/>
        <v>#REF!</v>
      </c>
      <c r="AE897" s="101" t="str">
        <f t="shared" ca="1" si="15"/>
        <v>#REF!</v>
      </c>
      <c r="AF897" s="235" t="str">
        <f t="shared" ref="AF897:AG897" ca="1" si="974">AD897/U897</f>
        <v>#REF!</v>
      </c>
      <c r="AG897" s="235" t="str">
        <f t="shared" ca="1" si="974"/>
        <v>#REF!</v>
      </c>
      <c r="AH897" s="212"/>
      <c r="AI897" s="213"/>
      <c r="AJ897" s="4"/>
      <c r="AK897" s="4"/>
      <c r="AL897" s="4"/>
      <c r="AM897" s="4"/>
      <c r="AN897" s="4"/>
      <c r="AO897" s="4"/>
      <c r="AP897" s="4"/>
      <c r="AQ897" s="4"/>
      <c r="AR897" s="4"/>
      <c r="AS897" s="4"/>
      <c r="AT897" s="4"/>
      <c r="AU897" s="4"/>
    </row>
    <row r="898" spans="1:47" ht="13.2">
      <c r="A898" s="120"/>
      <c r="B898" s="113"/>
      <c r="C898" s="117"/>
      <c r="D898" s="117"/>
      <c r="E898" s="117"/>
      <c r="F898" s="123"/>
      <c r="G898" s="93" t="s">
        <v>145</v>
      </c>
      <c r="H898" s="125"/>
      <c r="I898" s="125"/>
      <c r="J898" s="82" t="str">
        <f t="shared" ca="1" si="147"/>
        <v>#REF!</v>
      </c>
      <c r="K898" s="82" t="str">
        <f t="shared" ca="1" si="256"/>
        <v>#REF!</v>
      </c>
      <c r="L898" s="82" t="str">
        <f t="shared" ca="1" si="199"/>
        <v>#REF!</v>
      </c>
      <c r="M898" s="125"/>
      <c r="N898" s="125"/>
      <c r="O898" s="230">
        <f t="shared" si="2"/>
        <v>0</v>
      </c>
      <c r="P898" s="231">
        <f t="shared" si="3"/>
        <v>0</v>
      </c>
      <c r="Q898" s="232" t="str">
        <f ca="1">ROUNDUP(HLOOKUP(IF(CEILING(L898,0.5)&lt;1,1,CEILING(L898,0.5)),'배송비 조회'!A$32:AY$36,2,0),-2)</f>
        <v>#REF!</v>
      </c>
      <c r="R898" s="232">
        <v>0</v>
      </c>
      <c r="S898" s="231" t="str">
        <f t="shared" ca="1" si="250"/>
        <v>#REF!</v>
      </c>
      <c r="T898" s="231" t="str">
        <f t="shared" ca="1" si="200"/>
        <v>#REF!</v>
      </c>
      <c r="U898" s="233" t="str">
        <f t="shared" ca="1" si="142"/>
        <v>#REF!</v>
      </c>
      <c r="V898" s="233" t="str">
        <f t="shared" ca="1" si="7"/>
        <v>#REF!</v>
      </c>
      <c r="W898" s="234">
        <v>0</v>
      </c>
      <c r="X898" s="234" t="str">
        <f t="shared" ca="1" si="8"/>
        <v>#REF!</v>
      </c>
      <c r="Y898" s="234" t="str">
        <f t="shared" ca="1" si="9"/>
        <v>#REF!</v>
      </c>
      <c r="Z898" s="234" t="str">
        <f t="shared" ca="1" si="10"/>
        <v>#REF!</v>
      </c>
      <c r="AA898" s="234" t="str">
        <f t="shared" ca="1" si="11"/>
        <v>#REF!</v>
      </c>
      <c r="AB898" s="234" t="str">
        <f t="shared" ca="1" si="12"/>
        <v>#REF!</v>
      </c>
      <c r="AC898" s="234" t="str">
        <f t="shared" ca="1" si="13"/>
        <v>#REF!</v>
      </c>
      <c r="AD898" s="101" t="str">
        <f t="shared" ca="1" si="14"/>
        <v>#REF!</v>
      </c>
      <c r="AE898" s="101" t="str">
        <f t="shared" ca="1" si="15"/>
        <v>#REF!</v>
      </c>
      <c r="AF898" s="235" t="str">
        <f t="shared" ref="AF898:AG898" ca="1" si="975">AD898/U898</f>
        <v>#REF!</v>
      </c>
      <c r="AG898" s="235" t="str">
        <f t="shared" ca="1" si="975"/>
        <v>#REF!</v>
      </c>
      <c r="AH898" s="212"/>
      <c r="AI898" s="213"/>
      <c r="AJ898" s="4"/>
      <c r="AK898" s="4"/>
      <c r="AL898" s="4"/>
      <c r="AM898" s="4"/>
      <c r="AN898" s="4"/>
      <c r="AO898" s="4"/>
      <c r="AP898" s="4"/>
      <c r="AQ898" s="4"/>
      <c r="AR898" s="4"/>
      <c r="AS898" s="4"/>
      <c r="AT898" s="4"/>
      <c r="AU898" s="4"/>
    </row>
    <row r="899" spans="1:47" ht="13.2">
      <c r="A899" s="120"/>
      <c r="B899" s="113"/>
      <c r="C899" s="117"/>
      <c r="D899" s="117"/>
      <c r="E899" s="117"/>
      <c r="F899" s="123"/>
      <c r="G899" s="93" t="s">
        <v>145</v>
      </c>
      <c r="H899" s="125"/>
      <c r="I899" s="125"/>
      <c r="J899" s="82" t="str">
        <f t="shared" ca="1" si="147"/>
        <v>#REF!</v>
      </c>
      <c r="K899" s="82" t="str">
        <f t="shared" ca="1" si="256"/>
        <v>#REF!</v>
      </c>
      <c r="L899" s="82" t="str">
        <f t="shared" ca="1" si="199"/>
        <v>#REF!</v>
      </c>
      <c r="M899" s="125"/>
      <c r="N899" s="125"/>
      <c r="O899" s="230">
        <f t="shared" si="2"/>
        <v>0</v>
      </c>
      <c r="P899" s="231">
        <f t="shared" si="3"/>
        <v>0</v>
      </c>
      <c r="Q899" s="232" t="str">
        <f ca="1">ROUNDUP(HLOOKUP(IF(CEILING(L899,0.5)&lt;1,1,CEILING(L899,0.5)),'배송비 조회'!A$32:AY$36,2,0),-2)</f>
        <v>#REF!</v>
      </c>
      <c r="R899" s="232">
        <v>0</v>
      </c>
      <c r="S899" s="231" t="str">
        <f t="shared" ca="1" si="250"/>
        <v>#REF!</v>
      </c>
      <c r="T899" s="231" t="str">
        <f t="shared" ca="1" si="200"/>
        <v>#REF!</v>
      </c>
      <c r="U899" s="233" t="str">
        <f t="shared" ca="1" si="142"/>
        <v>#REF!</v>
      </c>
      <c r="V899" s="233" t="str">
        <f t="shared" ca="1" si="7"/>
        <v>#REF!</v>
      </c>
      <c r="W899" s="234">
        <v>0</v>
      </c>
      <c r="X899" s="234" t="str">
        <f t="shared" ca="1" si="8"/>
        <v>#REF!</v>
      </c>
      <c r="Y899" s="234" t="str">
        <f t="shared" ca="1" si="9"/>
        <v>#REF!</v>
      </c>
      <c r="Z899" s="234" t="str">
        <f t="shared" ca="1" si="10"/>
        <v>#REF!</v>
      </c>
      <c r="AA899" s="234" t="str">
        <f t="shared" ca="1" si="11"/>
        <v>#REF!</v>
      </c>
      <c r="AB899" s="234" t="str">
        <f t="shared" ca="1" si="12"/>
        <v>#REF!</v>
      </c>
      <c r="AC899" s="234" t="str">
        <f t="shared" ca="1" si="13"/>
        <v>#REF!</v>
      </c>
      <c r="AD899" s="101" t="str">
        <f t="shared" ca="1" si="14"/>
        <v>#REF!</v>
      </c>
      <c r="AE899" s="101" t="str">
        <f t="shared" ca="1" si="15"/>
        <v>#REF!</v>
      </c>
      <c r="AF899" s="235" t="str">
        <f t="shared" ref="AF899:AG899" ca="1" si="976">AD899/U899</f>
        <v>#REF!</v>
      </c>
      <c r="AG899" s="235" t="str">
        <f t="shared" ca="1" si="976"/>
        <v>#REF!</v>
      </c>
      <c r="AH899" s="212"/>
      <c r="AI899" s="213"/>
      <c r="AJ899" s="4"/>
      <c r="AK899" s="4"/>
      <c r="AL899" s="4"/>
      <c r="AM899" s="4"/>
      <c r="AN899" s="4"/>
      <c r="AO899" s="4"/>
      <c r="AP899" s="4"/>
      <c r="AQ899" s="4"/>
      <c r="AR899" s="4"/>
      <c r="AS899" s="4"/>
      <c r="AT899" s="4"/>
      <c r="AU899" s="4"/>
    </row>
    <row r="900" spans="1:47" ht="13.2">
      <c r="A900" s="120"/>
      <c r="B900" s="113"/>
      <c r="C900" s="117"/>
      <c r="D900" s="117"/>
      <c r="E900" s="117"/>
      <c r="F900" s="123"/>
      <c r="G900" s="93" t="s">
        <v>145</v>
      </c>
      <c r="H900" s="125"/>
      <c r="I900" s="125"/>
      <c r="J900" s="82" t="str">
        <f t="shared" ca="1" si="147"/>
        <v>#REF!</v>
      </c>
      <c r="K900" s="82" t="str">
        <f t="shared" ca="1" si="256"/>
        <v>#REF!</v>
      </c>
      <c r="L900" s="82" t="str">
        <f t="shared" ca="1" si="199"/>
        <v>#REF!</v>
      </c>
      <c r="M900" s="125"/>
      <c r="N900" s="125"/>
      <c r="O900" s="230">
        <f t="shared" si="2"/>
        <v>0</v>
      </c>
      <c r="P900" s="231">
        <f t="shared" si="3"/>
        <v>0</v>
      </c>
      <c r="Q900" s="232" t="str">
        <f ca="1">ROUNDUP(HLOOKUP(IF(CEILING(L900,0.5)&lt;1,1,CEILING(L900,0.5)),'배송비 조회'!A$32:AY$36,2,0),-2)</f>
        <v>#REF!</v>
      </c>
      <c r="R900" s="232">
        <v>0</v>
      </c>
      <c r="S900" s="231" t="str">
        <f t="shared" ca="1" si="250"/>
        <v>#REF!</v>
      </c>
      <c r="T900" s="231" t="str">
        <f t="shared" ca="1" si="200"/>
        <v>#REF!</v>
      </c>
      <c r="U900" s="233" t="str">
        <f t="shared" ca="1" si="142"/>
        <v>#REF!</v>
      </c>
      <c r="V900" s="233" t="str">
        <f t="shared" ca="1" si="7"/>
        <v>#REF!</v>
      </c>
      <c r="W900" s="234">
        <v>0</v>
      </c>
      <c r="X900" s="234" t="str">
        <f t="shared" ca="1" si="8"/>
        <v>#REF!</v>
      </c>
      <c r="Y900" s="234" t="str">
        <f t="shared" ca="1" si="9"/>
        <v>#REF!</v>
      </c>
      <c r="Z900" s="234" t="str">
        <f t="shared" ca="1" si="10"/>
        <v>#REF!</v>
      </c>
      <c r="AA900" s="234" t="str">
        <f t="shared" ca="1" si="11"/>
        <v>#REF!</v>
      </c>
      <c r="AB900" s="234" t="str">
        <f t="shared" ca="1" si="12"/>
        <v>#REF!</v>
      </c>
      <c r="AC900" s="234" t="str">
        <f t="shared" ca="1" si="13"/>
        <v>#REF!</v>
      </c>
      <c r="AD900" s="101" t="str">
        <f t="shared" ca="1" si="14"/>
        <v>#REF!</v>
      </c>
      <c r="AE900" s="101" t="str">
        <f t="shared" ca="1" si="15"/>
        <v>#REF!</v>
      </c>
      <c r="AF900" s="235" t="str">
        <f t="shared" ref="AF900:AG900" ca="1" si="977">AD900/U900</f>
        <v>#REF!</v>
      </c>
      <c r="AG900" s="235" t="str">
        <f t="shared" ca="1" si="977"/>
        <v>#REF!</v>
      </c>
      <c r="AH900" s="212"/>
      <c r="AI900" s="213"/>
      <c r="AJ900" s="4"/>
      <c r="AK900" s="4"/>
      <c r="AL900" s="4"/>
      <c r="AM900" s="4"/>
      <c r="AN900" s="4"/>
      <c r="AO900" s="4"/>
      <c r="AP900" s="4"/>
      <c r="AQ900" s="4"/>
      <c r="AR900" s="4"/>
      <c r="AS900" s="4"/>
      <c r="AT900" s="4"/>
      <c r="AU900" s="4"/>
    </row>
    <row r="901" spans="1:47" ht="13.2">
      <c r="A901" s="120"/>
      <c r="B901" s="113"/>
      <c r="C901" s="117"/>
      <c r="D901" s="117"/>
      <c r="E901" s="117"/>
      <c r="F901" s="123"/>
      <c r="G901" s="93" t="s">
        <v>145</v>
      </c>
      <c r="H901" s="125"/>
      <c r="I901" s="125"/>
      <c r="J901" s="82" t="str">
        <f t="shared" ca="1" si="147"/>
        <v>#REF!</v>
      </c>
      <c r="K901" s="82" t="str">
        <f t="shared" ca="1" si="256"/>
        <v>#REF!</v>
      </c>
      <c r="L901" s="82" t="str">
        <f t="shared" ca="1" si="199"/>
        <v>#REF!</v>
      </c>
      <c r="M901" s="125"/>
      <c r="N901" s="125"/>
      <c r="O901" s="230">
        <f t="shared" si="2"/>
        <v>0</v>
      </c>
      <c r="P901" s="231">
        <f t="shared" si="3"/>
        <v>0</v>
      </c>
      <c r="Q901" s="232" t="str">
        <f ca="1">ROUNDUP(HLOOKUP(IF(CEILING(L901,0.5)&lt;1,1,CEILING(L901,0.5)),'배송비 조회'!A$32:AY$36,2,0),-2)</f>
        <v>#REF!</v>
      </c>
      <c r="R901" s="232">
        <v>0</v>
      </c>
      <c r="S901" s="231" t="str">
        <f t="shared" ca="1" si="250"/>
        <v>#REF!</v>
      </c>
      <c r="T901" s="231" t="str">
        <f t="shared" ca="1" si="200"/>
        <v>#REF!</v>
      </c>
      <c r="U901" s="233" t="str">
        <f t="shared" ca="1" si="142"/>
        <v>#REF!</v>
      </c>
      <c r="V901" s="233" t="str">
        <f t="shared" ca="1" si="7"/>
        <v>#REF!</v>
      </c>
      <c r="W901" s="234">
        <v>0</v>
      </c>
      <c r="X901" s="234" t="str">
        <f t="shared" ca="1" si="8"/>
        <v>#REF!</v>
      </c>
      <c r="Y901" s="234" t="str">
        <f t="shared" ca="1" si="9"/>
        <v>#REF!</v>
      </c>
      <c r="Z901" s="234" t="str">
        <f t="shared" ca="1" si="10"/>
        <v>#REF!</v>
      </c>
      <c r="AA901" s="234" t="str">
        <f t="shared" ca="1" si="11"/>
        <v>#REF!</v>
      </c>
      <c r="AB901" s="234" t="str">
        <f t="shared" ca="1" si="12"/>
        <v>#REF!</v>
      </c>
      <c r="AC901" s="234" t="str">
        <f t="shared" ca="1" si="13"/>
        <v>#REF!</v>
      </c>
      <c r="AD901" s="101" t="str">
        <f t="shared" ca="1" si="14"/>
        <v>#REF!</v>
      </c>
      <c r="AE901" s="101" t="str">
        <f t="shared" ca="1" si="15"/>
        <v>#REF!</v>
      </c>
      <c r="AF901" s="235" t="str">
        <f t="shared" ref="AF901:AG901" ca="1" si="978">AD901/U901</f>
        <v>#REF!</v>
      </c>
      <c r="AG901" s="235" t="str">
        <f t="shared" ca="1" si="978"/>
        <v>#REF!</v>
      </c>
      <c r="AH901" s="212"/>
      <c r="AI901" s="213"/>
      <c r="AJ901" s="4"/>
      <c r="AK901" s="4"/>
      <c r="AL901" s="4"/>
      <c r="AM901" s="4"/>
      <c r="AN901" s="4"/>
      <c r="AO901" s="4"/>
      <c r="AP901" s="4"/>
      <c r="AQ901" s="4"/>
      <c r="AR901" s="4"/>
      <c r="AS901" s="4"/>
      <c r="AT901" s="4"/>
      <c r="AU901" s="4"/>
    </row>
    <row r="902" spans="1:47" ht="13.2">
      <c r="A902" s="120"/>
      <c r="B902" s="113"/>
      <c r="C902" s="117"/>
      <c r="D902" s="117"/>
      <c r="E902" s="117"/>
      <c r="F902" s="123"/>
      <c r="G902" s="93" t="s">
        <v>145</v>
      </c>
      <c r="H902" s="125"/>
      <c r="I902" s="125"/>
      <c r="J902" s="82" t="str">
        <f t="shared" ca="1" si="147"/>
        <v>#REF!</v>
      </c>
      <c r="K902" s="82" t="str">
        <f t="shared" ca="1" si="256"/>
        <v>#REF!</v>
      </c>
      <c r="L902" s="82" t="str">
        <f t="shared" ca="1" si="199"/>
        <v>#REF!</v>
      </c>
      <c r="M902" s="125"/>
      <c r="N902" s="125"/>
      <c r="O902" s="230">
        <f t="shared" si="2"/>
        <v>0</v>
      </c>
      <c r="P902" s="231">
        <f t="shared" si="3"/>
        <v>0</v>
      </c>
      <c r="Q902" s="232" t="str">
        <f ca="1">ROUNDUP(HLOOKUP(IF(CEILING(L902,0.5)&lt;1,1,CEILING(L902,0.5)),'배송비 조회'!A$32:AY$36,2,0),-2)</f>
        <v>#REF!</v>
      </c>
      <c r="R902" s="232">
        <v>0</v>
      </c>
      <c r="S902" s="231" t="str">
        <f t="shared" ca="1" si="250"/>
        <v>#REF!</v>
      </c>
      <c r="T902" s="231" t="str">
        <f t="shared" ca="1" si="200"/>
        <v>#REF!</v>
      </c>
      <c r="U902" s="233" t="str">
        <f t="shared" ca="1" si="142"/>
        <v>#REF!</v>
      </c>
      <c r="V902" s="233" t="str">
        <f t="shared" ca="1" si="7"/>
        <v>#REF!</v>
      </c>
      <c r="W902" s="234">
        <v>0</v>
      </c>
      <c r="X902" s="234" t="str">
        <f t="shared" ca="1" si="8"/>
        <v>#REF!</v>
      </c>
      <c r="Y902" s="234" t="str">
        <f t="shared" ca="1" si="9"/>
        <v>#REF!</v>
      </c>
      <c r="Z902" s="234" t="str">
        <f t="shared" ca="1" si="10"/>
        <v>#REF!</v>
      </c>
      <c r="AA902" s="234" t="str">
        <f t="shared" ca="1" si="11"/>
        <v>#REF!</v>
      </c>
      <c r="AB902" s="234" t="str">
        <f t="shared" ca="1" si="12"/>
        <v>#REF!</v>
      </c>
      <c r="AC902" s="234" t="str">
        <f t="shared" ca="1" si="13"/>
        <v>#REF!</v>
      </c>
      <c r="AD902" s="101" t="str">
        <f t="shared" ca="1" si="14"/>
        <v>#REF!</v>
      </c>
      <c r="AE902" s="101" t="str">
        <f t="shared" ca="1" si="15"/>
        <v>#REF!</v>
      </c>
      <c r="AF902" s="235" t="str">
        <f t="shared" ref="AF902:AG902" ca="1" si="979">AD902/U902</f>
        <v>#REF!</v>
      </c>
      <c r="AG902" s="235" t="str">
        <f t="shared" ca="1" si="979"/>
        <v>#REF!</v>
      </c>
      <c r="AH902" s="212"/>
      <c r="AI902" s="213"/>
      <c r="AJ902" s="4"/>
      <c r="AK902" s="4"/>
      <c r="AL902" s="4"/>
      <c r="AM902" s="4"/>
      <c r="AN902" s="4"/>
      <c r="AO902" s="4"/>
      <c r="AP902" s="4"/>
      <c r="AQ902" s="4"/>
      <c r="AR902" s="4"/>
      <c r="AS902" s="4"/>
      <c r="AT902" s="4"/>
      <c r="AU902" s="4"/>
    </row>
    <row r="903" spans="1:47" ht="13.2">
      <c r="A903" s="120"/>
      <c r="B903" s="113"/>
      <c r="C903" s="117"/>
      <c r="D903" s="117"/>
      <c r="E903" s="117"/>
      <c r="F903" s="123"/>
      <c r="G903" s="93" t="s">
        <v>145</v>
      </c>
      <c r="H903" s="125"/>
      <c r="I903" s="125"/>
      <c r="J903" s="82" t="str">
        <f t="shared" ca="1" si="147"/>
        <v>#REF!</v>
      </c>
      <c r="K903" s="82" t="str">
        <f t="shared" ca="1" si="256"/>
        <v>#REF!</v>
      </c>
      <c r="L903" s="82" t="str">
        <f t="shared" ca="1" si="199"/>
        <v>#REF!</v>
      </c>
      <c r="M903" s="125"/>
      <c r="N903" s="125"/>
      <c r="O903" s="230">
        <f t="shared" si="2"/>
        <v>0</v>
      </c>
      <c r="P903" s="231">
        <f t="shared" si="3"/>
        <v>0</v>
      </c>
      <c r="Q903" s="232" t="str">
        <f ca="1">ROUNDUP(HLOOKUP(IF(CEILING(L903,0.5)&lt;1,1,CEILING(L903,0.5)),'배송비 조회'!A$32:AY$36,2,0),-2)</f>
        <v>#REF!</v>
      </c>
      <c r="R903" s="232">
        <v>0</v>
      </c>
      <c r="S903" s="231" t="str">
        <f t="shared" ca="1" si="250"/>
        <v>#REF!</v>
      </c>
      <c r="T903" s="231" t="str">
        <f t="shared" ca="1" si="200"/>
        <v>#REF!</v>
      </c>
      <c r="U903" s="233" t="str">
        <f t="shared" ca="1" si="142"/>
        <v>#REF!</v>
      </c>
      <c r="V903" s="233" t="str">
        <f t="shared" ca="1" si="7"/>
        <v>#REF!</v>
      </c>
      <c r="W903" s="234">
        <v>0</v>
      </c>
      <c r="X903" s="234" t="str">
        <f t="shared" ca="1" si="8"/>
        <v>#REF!</v>
      </c>
      <c r="Y903" s="234" t="str">
        <f t="shared" ca="1" si="9"/>
        <v>#REF!</v>
      </c>
      <c r="Z903" s="234" t="str">
        <f t="shared" ca="1" si="10"/>
        <v>#REF!</v>
      </c>
      <c r="AA903" s="234" t="str">
        <f t="shared" ca="1" si="11"/>
        <v>#REF!</v>
      </c>
      <c r="AB903" s="234" t="str">
        <f t="shared" ca="1" si="12"/>
        <v>#REF!</v>
      </c>
      <c r="AC903" s="234" t="str">
        <f t="shared" ca="1" si="13"/>
        <v>#REF!</v>
      </c>
      <c r="AD903" s="101" t="str">
        <f t="shared" ca="1" si="14"/>
        <v>#REF!</v>
      </c>
      <c r="AE903" s="101" t="str">
        <f t="shared" ca="1" si="15"/>
        <v>#REF!</v>
      </c>
      <c r="AF903" s="235" t="str">
        <f t="shared" ref="AF903:AG903" ca="1" si="980">AD903/U903</f>
        <v>#REF!</v>
      </c>
      <c r="AG903" s="235" t="str">
        <f t="shared" ca="1" si="980"/>
        <v>#REF!</v>
      </c>
      <c r="AH903" s="212"/>
      <c r="AI903" s="213"/>
      <c r="AJ903" s="4"/>
      <c r="AK903" s="4"/>
      <c r="AL903" s="4"/>
      <c r="AM903" s="4"/>
      <c r="AN903" s="4"/>
      <c r="AO903" s="4"/>
      <c r="AP903" s="4"/>
      <c r="AQ903" s="4"/>
      <c r="AR903" s="4"/>
      <c r="AS903" s="4"/>
      <c r="AT903" s="4"/>
      <c r="AU903" s="4"/>
    </row>
    <row r="904" spans="1:47" ht="13.2">
      <c r="A904" s="120"/>
      <c r="B904" s="113"/>
      <c r="C904" s="117"/>
      <c r="D904" s="117"/>
      <c r="E904" s="117"/>
      <c r="F904" s="123"/>
      <c r="G904" s="93" t="s">
        <v>145</v>
      </c>
      <c r="H904" s="125"/>
      <c r="I904" s="125"/>
      <c r="J904" s="82" t="str">
        <f t="shared" ca="1" si="147"/>
        <v>#REF!</v>
      </c>
      <c r="K904" s="82" t="str">
        <f t="shared" ca="1" si="256"/>
        <v>#REF!</v>
      </c>
      <c r="L904" s="82" t="str">
        <f t="shared" ca="1" si="199"/>
        <v>#REF!</v>
      </c>
      <c r="M904" s="125"/>
      <c r="N904" s="125"/>
      <c r="O904" s="230">
        <f t="shared" si="2"/>
        <v>0</v>
      </c>
      <c r="P904" s="231">
        <f t="shared" si="3"/>
        <v>0</v>
      </c>
      <c r="Q904" s="232" t="str">
        <f ca="1">ROUNDUP(HLOOKUP(IF(CEILING(L904,0.5)&lt;1,1,CEILING(L904,0.5)),'배송비 조회'!A$32:AY$36,2,0),-2)</f>
        <v>#REF!</v>
      </c>
      <c r="R904" s="232">
        <v>0</v>
      </c>
      <c r="S904" s="231" t="str">
        <f t="shared" ca="1" si="250"/>
        <v>#REF!</v>
      </c>
      <c r="T904" s="231" t="str">
        <f t="shared" ca="1" si="200"/>
        <v>#REF!</v>
      </c>
      <c r="U904" s="233" t="str">
        <f t="shared" ca="1" si="142"/>
        <v>#REF!</v>
      </c>
      <c r="V904" s="233" t="str">
        <f t="shared" ca="1" si="7"/>
        <v>#REF!</v>
      </c>
      <c r="W904" s="234">
        <v>0</v>
      </c>
      <c r="X904" s="234" t="str">
        <f t="shared" ca="1" si="8"/>
        <v>#REF!</v>
      </c>
      <c r="Y904" s="234" t="str">
        <f t="shared" ca="1" si="9"/>
        <v>#REF!</v>
      </c>
      <c r="Z904" s="234" t="str">
        <f t="shared" ca="1" si="10"/>
        <v>#REF!</v>
      </c>
      <c r="AA904" s="234" t="str">
        <f t="shared" ca="1" si="11"/>
        <v>#REF!</v>
      </c>
      <c r="AB904" s="234" t="str">
        <f t="shared" ca="1" si="12"/>
        <v>#REF!</v>
      </c>
      <c r="AC904" s="234" t="str">
        <f t="shared" ca="1" si="13"/>
        <v>#REF!</v>
      </c>
      <c r="AD904" s="101" t="str">
        <f t="shared" ca="1" si="14"/>
        <v>#REF!</v>
      </c>
      <c r="AE904" s="101" t="str">
        <f t="shared" ca="1" si="15"/>
        <v>#REF!</v>
      </c>
      <c r="AF904" s="235" t="str">
        <f t="shared" ref="AF904:AG904" ca="1" si="981">AD904/U904</f>
        <v>#REF!</v>
      </c>
      <c r="AG904" s="235" t="str">
        <f t="shared" ca="1" si="981"/>
        <v>#REF!</v>
      </c>
      <c r="AH904" s="212"/>
      <c r="AI904" s="213"/>
      <c r="AJ904" s="4"/>
      <c r="AK904" s="4"/>
      <c r="AL904" s="4"/>
      <c r="AM904" s="4"/>
      <c r="AN904" s="4"/>
      <c r="AO904" s="4"/>
      <c r="AP904" s="4"/>
      <c r="AQ904" s="4"/>
      <c r="AR904" s="4"/>
      <c r="AS904" s="4"/>
      <c r="AT904" s="4"/>
      <c r="AU904" s="4"/>
    </row>
    <row r="905" spans="1:47" ht="13.2">
      <c r="A905" s="120"/>
      <c r="B905" s="113"/>
      <c r="C905" s="117"/>
      <c r="D905" s="117"/>
      <c r="E905" s="117"/>
      <c r="F905" s="123"/>
      <c r="G905" s="93" t="s">
        <v>145</v>
      </c>
      <c r="H905" s="125"/>
      <c r="I905" s="125"/>
      <c r="J905" s="82" t="str">
        <f t="shared" ca="1" si="147"/>
        <v>#REF!</v>
      </c>
      <c r="K905" s="82" t="str">
        <f t="shared" ca="1" si="256"/>
        <v>#REF!</v>
      </c>
      <c r="L905" s="82" t="str">
        <f t="shared" ca="1" si="199"/>
        <v>#REF!</v>
      </c>
      <c r="M905" s="125"/>
      <c r="N905" s="125"/>
      <c r="O905" s="230">
        <f t="shared" si="2"/>
        <v>0</v>
      </c>
      <c r="P905" s="231">
        <f t="shared" si="3"/>
        <v>0</v>
      </c>
      <c r="Q905" s="232" t="str">
        <f ca="1">ROUNDUP(HLOOKUP(IF(CEILING(L905,0.5)&lt;1,1,CEILING(L905,0.5)),'배송비 조회'!A$32:AY$36,2,0),-2)</f>
        <v>#REF!</v>
      </c>
      <c r="R905" s="232">
        <v>0</v>
      </c>
      <c r="S905" s="231" t="str">
        <f t="shared" ca="1" si="250"/>
        <v>#REF!</v>
      </c>
      <c r="T905" s="231" t="str">
        <f t="shared" ca="1" si="200"/>
        <v>#REF!</v>
      </c>
      <c r="U905" s="233" t="str">
        <f t="shared" ca="1" si="142"/>
        <v>#REF!</v>
      </c>
      <c r="V905" s="233" t="str">
        <f t="shared" ca="1" si="7"/>
        <v>#REF!</v>
      </c>
      <c r="W905" s="234">
        <v>0</v>
      </c>
      <c r="X905" s="234" t="str">
        <f t="shared" ca="1" si="8"/>
        <v>#REF!</v>
      </c>
      <c r="Y905" s="234" t="str">
        <f t="shared" ca="1" si="9"/>
        <v>#REF!</v>
      </c>
      <c r="Z905" s="234" t="str">
        <f t="shared" ca="1" si="10"/>
        <v>#REF!</v>
      </c>
      <c r="AA905" s="234" t="str">
        <f t="shared" ca="1" si="11"/>
        <v>#REF!</v>
      </c>
      <c r="AB905" s="234" t="str">
        <f t="shared" ca="1" si="12"/>
        <v>#REF!</v>
      </c>
      <c r="AC905" s="234" t="str">
        <f t="shared" ca="1" si="13"/>
        <v>#REF!</v>
      </c>
      <c r="AD905" s="101" t="str">
        <f t="shared" ca="1" si="14"/>
        <v>#REF!</v>
      </c>
      <c r="AE905" s="101" t="str">
        <f t="shared" ca="1" si="15"/>
        <v>#REF!</v>
      </c>
      <c r="AF905" s="235" t="str">
        <f t="shared" ref="AF905:AG905" ca="1" si="982">AD905/U905</f>
        <v>#REF!</v>
      </c>
      <c r="AG905" s="235" t="str">
        <f t="shared" ca="1" si="982"/>
        <v>#REF!</v>
      </c>
      <c r="AH905" s="212"/>
      <c r="AI905" s="213"/>
      <c r="AJ905" s="4"/>
      <c r="AK905" s="4"/>
      <c r="AL905" s="4"/>
      <c r="AM905" s="4"/>
      <c r="AN905" s="4"/>
      <c r="AO905" s="4"/>
      <c r="AP905" s="4"/>
      <c r="AQ905" s="4"/>
      <c r="AR905" s="4"/>
      <c r="AS905" s="4"/>
      <c r="AT905" s="4"/>
      <c r="AU905" s="4"/>
    </row>
    <row r="906" spans="1:47" ht="13.2">
      <c r="A906" s="120"/>
      <c r="B906" s="113"/>
      <c r="C906" s="117"/>
      <c r="D906" s="117"/>
      <c r="E906" s="117"/>
      <c r="F906" s="123"/>
      <c r="G906" s="93" t="s">
        <v>145</v>
      </c>
      <c r="H906" s="125"/>
      <c r="I906" s="125"/>
      <c r="J906" s="82" t="str">
        <f t="shared" ca="1" si="147"/>
        <v>#REF!</v>
      </c>
      <c r="K906" s="82" t="str">
        <f t="shared" ca="1" si="256"/>
        <v>#REF!</v>
      </c>
      <c r="L906" s="82" t="str">
        <f t="shared" ca="1" si="199"/>
        <v>#REF!</v>
      </c>
      <c r="M906" s="125"/>
      <c r="N906" s="125"/>
      <c r="O906" s="230">
        <f t="shared" si="2"/>
        <v>0</v>
      </c>
      <c r="P906" s="231">
        <f t="shared" si="3"/>
        <v>0</v>
      </c>
      <c r="Q906" s="232" t="str">
        <f ca="1">ROUNDUP(HLOOKUP(IF(CEILING(L906,0.5)&lt;1,1,CEILING(L906,0.5)),'배송비 조회'!A$32:AY$36,2,0),-2)</f>
        <v>#REF!</v>
      </c>
      <c r="R906" s="232">
        <v>0</v>
      </c>
      <c r="S906" s="231" t="str">
        <f t="shared" ca="1" si="250"/>
        <v>#REF!</v>
      </c>
      <c r="T906" s="231" t="str">
        <f t="shared" ca="1" si="200"/>
        <v>#REF!</v>
      </c>
      <c r="U906" s="233" t="str">
        <f t="shared" ca="1" si="142"/>
        <v>#REF!</v>
      </c>
      <c r="V906" s="233" t="str">
        <f t="shared" ca="1" si="7"/>
        <v>#REF!</v>
      </c>
      <c r="W906" s="234">
        <v>0</v>
      </c>
      <c r="X906" s="234" t="str">
        <f t="shared" ca="1" si="8"/>
        <v>#REF!</v>
      </c>
      <c r="Y906" s="234" t="str">
        <f t="shared" ca="1" si="9"/>
        <v>#REF!</v>
      </c>
      <c r="Z906" s="234" t="str">
        <f t="shared" ca="1" si="10"/>
        <v>#REF!</v>
      </c>
      <c r="AA906" s="234" t="str">
        <f t="shared" ca="1" si="11"/>
        <v>#REF!</v>
      </c>
      <c r="AB906" s="234" t="str">
        <f t="shared" ca="1" si="12"/>
        <v>#REF!</v>
      </c>
      <c r="AC906" s="234" t="str">
        <f t="shared" ca="1" si="13"/>
        <v>#REF!</v>
      </c>
      <c r="AD906" s="101" t="str">
        <f t="shared" ca="1" si="14"/>
        <v>#REF!</v>
      </c>
      <c r="AE906" s="101" t="str">
        <f t="shared" ca="1" si="15"/>
        <v>#REF!</v>
      </c>
      <c r="AF906" s="235" t="str">
        <f t="shared" ref="AF906:AG906" ca="1" si="983">AD906/U906</f>
        <v>#REF!</v>
      </c>
      <c r="AG906" s="235" t="str">
        <f t="shared" ca="1" si="983"/>
        <v>#REF!</v>
      </c>
      <c r="AH906" s="212"/>
      <c r="AI906" s="213"/>
      <c r="AJ906" s="4"/>
      <c r="AK906" s="4"/>
      <c r="AL906" s="4"/>
      <c r="AM906" s="4"/>
      <c r="AN906" s="4"/>
      <c r="AO906" s="4"/>
      <c r="AP906" s="4"/>
      <c r="AQ906" s="4"/>
      <c r="AR906" s="4"/>
      <c r="AS906" s="4"/>
      <c r="AT906" s="4"/>
      <c r="AU906" s="4"/>
    </row>
    <row r="907" spans="1:47" ht="13.2">
      <c r="A907" s="120"/>
      <c r="B907" s="113"/>
      <c r="C907" s="117"/>
      <c r="D907" s="117"/>
      <c r="E907" s="117"/>
      <c r="F907" s="123"/>
      <c r="G907" s="93" t="s">
        <v>145</v>
      </c>
      <c r="H907" s="125"/>
      <c r="I907" s="125"/>
      <c r="J907" s="82" t="str">
        <f t="shared" ca="1" si="147"/>
        <v>#REF!</v>
      </c>
      <c r="K907" s="82" t="str">
        <f t="shared" ca="1" si="256"/>
        <v>#REF!</v>
      </c>
      <c r="L907" s="82" t="str">
        <f t="shared" ca="1" si="199"/>
        <v>#REF!</v>
      </c>
      <c r="M907" s="125"/>
      <c r="N907" s="125"/>
      <c r="O907" s="230">
        <f t="shared" si="2"/>
        <v>0</v>
      </c>
      <c r="P907" s="231">
        <f t="shared" si="3"/>
        <v>0</v>
      </c>
      <c r="Q907" s="232" t="str">
        <f ca="1">ROUNDUP(HLOOKUP(IF(CEILING(L907,0.5)&lt;1,1,CEILING(L907,0.5)),'배송비 조회'!A$32:AY$36,2,0),-2)</f>
        <v>#REF!</v>
      </c>
      <c r="R907" s="232">
        <v>0</v>
      </c>
      <c r="S907" s="231" t="str">
        <f t="shared" ca="1" si="250"/>
        <v>#REF!</v>
      </c>
      <c r="T907" s="231" t="str">
        <f t="shared" ca="1" si="200"/>
        <v>#REF!</v>
      </c>
      <c r="U907" s="233" t="str">
        <f t="shared" ca="1" si="142"/>
        <v>#REF!</v>
      </c>
      <c r="V907" s="233" t="str">
        <f t="shared" ca="1" si="7"/>
        <v>#REF!</v>
      </c>
      <c r="W907" s="234">
        <v>0</v>
      </c>
      <c r="X907" s="234" t="str">
        <f t="shared" ca="1" si="8"/>
        <v>#REF!</v>
      </c>
      <c r="Y907" s="234" t="str">
        <f t="shared" ca="1" si="9"/>
        <v>#REF!</v>
      </c>
      <c r="Z907" s="234" t="str">
        <f t="shared" ca="1" si="10"/>
        <v>#REF!</v>
      </c>
      <c r="AA907" s="234" t="str">
        <f t="shared" ca="1" si="11"/>
        <v>#REF!</v>
      </c>
      <c r="AB907" s="234" t="str">
        <f t="shared" ca="1" si="12"/>
        <v>#REF!</v>
      </c>
      <c r="AC907" s="234" t="str">
        <f t="shared" ca="1" si="13"/>
        <v>#REF!</v>
      </c>
      <c r="AD907" s="101" t="str">
        <f t="shared" ca="1" si="14"/>
        <v>#REF!</v>
      </c>
      <c r="AE907" s="101" t="str">
        <f t="shared" ca="1" si="15"/>
        <v>#REF!</v>
      </c>
      <c r="AF907" s="235" t="str">
        <f t="shared" ref="AF907:AG907" ca="1" si="984">AD907/U907</f>
        <v>#REF!</v>
      </c>
      <c r="AG907" s="235" t="str">
        <f t="shared" ca="1" si="984"/>
        <v>#REF!</v>
      </c>
      <c r="AH907" s="212"/>
      <c r="AI907" s="213"/>
      <c r="AJ907" s="4"/>
      <c r="AK907" s="4"/>
      <c r="AL907" s="4"/>
      <c r="AM907" s="4"/>
      <c r="AN907" s="4"/>
      <c r="AO907" s="4"/>
      <c r="AP907" s="4"/>
      <c r="AQ907" s="4"/>
      <c r="AR907" s="4"/>
      <c r="AS907" s="4"/>
      <c r="AT907" s="4"/>
      <c r="AU907" s="4"/>
    </row>
    <row r="908" spans="1:47" ht="13.2">
      <c r="A908" s="120"/>
      <c r="B908" s="113"/>
      <c r="C908" s="117"/>
      <c r="D908" s="117"/>
      <c r="E908" s="117"/>
      <c r="F908" s="123"/>
      <c r="G908" s="93" t="s">
        <v>145</v>
      </c>
      <c r="H908" s="125"/>
      <c r="I908" s="125"/>
      <c r="J908" s="82" t="str">
        <f t="shared" ca="1" si="147"/>
        <v>#REF!</v>
      </c>
      <c r="K908" s="82" t="str">
        <f t="shared" ca="1" si="256"/>
        <v>#REF!</v>
      </c>
      <c r="L908" s="82" t="str">
        <f t="shared" ca="1" si="199"/>
        <v>#REF!</v>
      </c>
      <c r="M908" s="125"/>
      <c r="N908" s="125"/>
      <c r="O908" s="230">
        <f t="shared" si="2"/>
        <v>0</v>
      </c>
      <c r="P908" s="231">
        <f t="shared" si="3"/>
        <v>0</v>
      </c>
      <c r="Q908" s="232" t="str">
        <f ca="1">ROUNDUP(HLOOKUP(IF(CEILING(L908,0.5)&lt;1,1,CEILING(L908,0.5)),'배송비 조회'!A$32:AY$36,2,0),-2)</f>
        <v>#REF!</v>
      </c>
      <c r="R908" s="232">
        <v>0</v>
      </c>
      <c r="S908" s="231" t="str">
        <f t="shared" ca="1" si="250"/>
        <v>#REF!</v>
      </c>
      <c r="T908" s="231" t="str">
        <f t="shared" ca="1" si="200"/>
        <v>#REF!</v>
      </c>
      <c r="U908" s="233" t="str">
        <f t="shared" ca="1" si="142"/>
        <v>#REF!</v>
      </c>
      <c r="V908" s="233" t="str">
        <f t="shared" ca="1" si="7"/>
        <v>#REF!</v>
      </c>
      <c r="W908" s="234">
        <v>0</v>
      </c>
      <c r="X908" s="234" t="str">
        <f t="shared" ca="1" si="8"/>
        <v>#REF!</v>
      </c>
      <c r="Y908" s="234" t="str">
        <f t="shared" ca="1" si="9"/>
        <v>#REF!</v>
      </c>
      <c r="Z908" s="234" t="str">
        <f t="shared" ca="1" si="10"/>
        <v>#REF!</v>
      </c>
      <c r="AA908" s="234" t="str">
        <f t="shared" ca="1" si="11"/>
        <v>#REF!</v>
      </c>
      <c r="AB908" s="234" t="str">
        <f t="shared" ca="1" si="12"/>
        <v>#REF!</v>
      </c>
      <c r="AC908" s="234" t="str">
        <f t="shared" ca="1" si="13"/>
        <v>#REF!</v>
      </c>
      <c r="AD908" s="101" t="str">
        <f t="shared" ca="1" si="14"/>
        <v>#REF!</v>
      </c>
      <c r="AE908" s="101" t="str">
        <f t="shared" ca="1" si="15"/>
        <v>#REF!</v>
      </c>
      <c r="AF908" s="235" t="str">
        <f t="shared" ref="AF908:AG908" ca="1" si="985">AD908/U908</f>
        <v>#REF!</v>
      </c>
      <c r="AG908" s="235" t="str">
        <f t="shared" ca="1" si="985"/>
        <v>#REF!</v>
      </c>
      <c r="AH908" s="212"/>
      <c r="AI908" s="213"/>
      <c r="AJ908" s="4"/>
      <c r="AK908" s="4"/>
      <c r="AL908" s="4"/>
      <c r="AM908" s="4"/>
      <c r="AN908" s="4"/>
      <c r="AO908" s="4"/>
      <c r="AP908" s="4"/>
      <c r="AQ908" s="4"/>
      <c r="AR908" s="4"/>
      <c r="AS908" s="4"/>
      <c r="AT908" s="4"/>
      <c r="AU908" s="4"/>
    </row>
    <row r="909" spans="1:47" ht="13.2">
      <c r="A909" s="120"/>
      <c r="B909" s="113"/>
      <c r="C909" s="117"/>
      <c r="D909" s="117"/>
      <c r="E909" s="117"/>
      <c r="F909" s="123"/>
      <c r="G909" s="93" t="s">
        <v>145</v>
      </c>
      <c r="H909" s="125"/>
      <c r="I909" s="125"/>
      <c r="J909" s="82" t="str">
        <f t="shared" ca="1" si="147"/>
        <v>#REF!</v>
      </c>
      <c r="K909" s="82" t="str">
        <f t="shared" ca="1" si="256"/>
        <v>#REF!</v>
      </c>
      <c r="L909" s="82" t="str">
        <f t="shared" ca="1" si="199"/>
        <v>#REF!</v>
      </c>
      <c r="M909" s="125"/>
      <c r="N909" s="125"/>
      <c r="O909" s="230">
        <f t="shared" si="2"/>
        <v>0</v>
      </c>
      <c r="P909" s="231">
        <f t="shared" si="3"/>
        <v>0</v>
      </c>
      <c r="Q909" s="232" t="str">
        <f ca="1">ROUNDUP(HLOOKUP(IF(CEILING(L909,0.5)&lt;1,1,CEILING(L909,0.5)),'배송비 조회'!A$32:AY$36,2,0),-2)</f>
        <v>#REF!</v>
      </c>
      <c r="R909" s="232">
        <v>0</v>
      </c>
      <c r="S909" s="231" t="str">
        <f t="shared" ca="1" si="250"/>
        <v>#REF!</v>
      </c>
      <c r="T909" s="231" t="str">
        <f t="shared" ca="1" si="200"/>
        <v>#REF!</v>
      </c>
      <c r="U909" s="233" t="str">
        <f t="shared" ca="1" si="142"/>
        <v>#REF!</v>
      </c>
      <c r="V909" s="233" t="str">
        <f t="shared" ca="1" si="7"/>
        <v>#REF!</v>
      </c>
      <c r="W909" s="234">
        <v>0</v>
      </c>
      <c r="X909" s="234" t="str">
        <f t="shared" ca="1" si="8"/>
        <v>#REF!</v>
      </c>
      <c r="Y909" s="234" t="str">
        <f t="shared" ca="1" si="9"/>
        <v>#REF!</v>
      </c>
      <c r="Z909" s="234" t="str">
        <f t="shared" ca="1" si="10"/>
        <v>#REF!</v>
      </c>
      <c r="AA909" s="234" t="str">
        <f t="shared" ca="1" si="11"/>
        <v>#REF!</v>
      </c>
      <c r="AB909" s="234" t="str">
        <f t="shared" ca="1" si="12"/>
        <v>#REF!</v>
      </c>
      <c r="AC909" s="234" t="str">
        <f t="shared" ca="1" si="13"/>
        <v>#REF!</v>
      </c>
      <c r="AD909" s="101" t="str">
        <f t="shared" ca="1" si="14"/>
        <v>#REF!</v>
      </c>
      <c r="AE909" s="101" t="str">
        <f t="shared" ca="1" si="15"/>
        <v>#REF!</v>
      </c>
      <c r="AF909" s="235" t="str">
        <f t="shared" ref="AF909:AG909" ca="1" si="986">AD909/U909</f>
        <v>#REF!</v>
      </c>
      <c r="AG909" s="235" t="str">
        <f t="shared" ca="1" si="986"/>
        <v>#REF!</v>
      </c>
      <c r="AH909" s="212"/>
      <c r="AI909" s="213"/>
      <c r="AJ909" s="4"/>
      <c r="AK909" s="4"/>
      <c r="AL909" s="4"/>
      <c r="AM909" s="4"/>
      <c r="AN909" s="4"/>
      <c r="AO909" s="4"/>
      <c r="AP909" s="4"/>
      <c r="AQ909" s="4"/>
      <c r="AR909" s="4"/>
      <c r="AS909" s="4"/>
      <c r="AT909" s="4"/>
      <c r="AU909" s="4"/>
    </row>
    <row r="910" spans="1:47" ht="13.2">
      <c r="A910" s="120"/>
      <c r="B910" s="113"/>
      <c r="C910" s="117"/>
      <c r="D910" s="117"/>
      <c r="E910" s="117"/>
      <c r="F910" s="123"/>
      <c r="G910" s="93" t="s">
        <v>145</v>
      </c>
      <c r="H910" s="125"/>
      <c r="I910" s="125"/>
      <c r="J910" s="82" t="str">
        <f t="shared" ca="1" si="147"/>
        <v>#REF!</v>
      </c>
      <c r="K910" s="82" t="str">
        <f t="shared" ca="1" si="256"/>
        <v>#REF!</v>
      </c>
      <c r="L910" s="82" t="str">
        <f t="shared" ca="1" si="199"/>
        <v>#REF!</v>
      </c>
      <c r="M910" s="125"/>
      <c r="N910" s="125"/>
      <c r="O910" s="230">
        <f t="shared" si="2"/>
        <v>0</v>
      </c>
      <c r="P910" s="231">
        <f t="shared" si="3"/>
        <v>0</v>
      </c>
      <c r="Q910" s="232" t="str">
        <f ca="1">ROUNDUP(HLOOKUP(IF(CEILING(L910,0.5)&lt;1,1,CEILING(L910,0.5)),'배송비 조회'!A$32:AY$36,2,0),-2)</f>
        <v>#REF!</v>
      </c>
      <c r="R910" s="232">
        <v>0</v>
      </c>
      <c r="S910" s="231" t="str">
        <f t="shared" ca="1" si="250"/>
        <v>#REF!</v>
      </c>
      <c r="T910" s="231" t="str">
        <f t="shared" ca="1" si="200"/>
        <v>#REF!</v>
      </c>
      <c r="U910" s="233" t="str">
        <f t="shared" ca="1" si="142"/>
        <v>#REF!</v>
      </c>
      <c r="V910" s="233" t="str">
        <f t="shared" ca="1" si="7"/>
        <v>#REF!</v>
      </c>
      <c r="W910" s="234">
        <v>0</v>
      </c>
      <c r="X910" s="234" t="str">
        <f t="shared" ca="1" si="8"/>
        <v>#REF!</v>
      </c>
      <c r="Y910" s="234" t="str">
        <f t="shared" ca="1" si="9"/>
        <v>#REF!</v>
      </c>
      <c r="Z910" s="234" t="str">
        <f t="shared" ca="1" si="10"/>
        <v>#REF!</v>
      </c>
      <c r="AA910" s="234" t="str">
        <f t="shared" ca="1" si="11"/>
        <v>#REF!</v>
      </c>
      <c r="AB910" s="234" t="str">
        <f t="shared" ca="1" si="12"/>
        <v>#REF!</v>
      </c>
      <c r="AC910" s="234" t="str">
        <f t="shared" ca="1" si="13"/>
        <v>#REF!</v>
      </c>
      <c r="AD910" s="101" t="str">
        <f t="shared" ca="1" si="14"/>
        <v>#REF!</v>
      </c>
      <c r="AE910" s="101" t="str">
        <f t="shared" ca="1" si="15"/>
        <v>#REF!</v>
      </c>
      <c r="AF910" s="235" t="str">
        <f t="shared" ref="AF910:AG910" ca="1" si="987">AD910/U910</f>
        <v>#REF!</v>
      </c>
      <c r="AG910" s="235" t="str">
        <f t="shared" ca="1" si="987"/>
        <v>#REF!</v>
      </c>
      <c r="AH910" s="212"/>
      <c r="AI910" s="213"/>
      <c r="AJ910" s="4"/>
      <c r="AK910" s="4"/>
      <c r="AL910" s="4"/>
      <c r="AM910" s="4"/>
      <c r="AN910" s="4"/>
      <c r="AO910" s="4"/>
      <c r="AP910" s="4"/>
      <c r="AQ910" s="4"/>
      <c r="AR910" s="4"/>
      <c r="AS910" s="4"/>
      <c r="AT910" s="4"/>
      <c r="AU910" s="4"/>
    </row>
    <row r="911" spans="1:47" ht="13.2">
      <c r="A911" s="120"/>
      <c r="B911" s="113"/>
      <c r="C911" s="117"/>
      <c r="D911" s="117"/>
      <c r="E911" s="117"/>
      <c r="F911" s="123"/>
      <c r="G911" s="93" t="s">
        <v>145</v>
      </c>
      <c r="H911" s="125"/>
      <c r="I911" s="125"/>
      <c r="J911" s="82" t="str">
        <f t="shared" ca="1" si="147"/>
        <v>#REF!</v>
      </c>
      <c r="K911" s="82" t="str">
        <f t="shared" ca="1" si="256"/>
        <v>#REF!</v>
      </c>
      <c r="L911" s="82" t="str">
        <f t="shared" ca="1" si="199"/>
        <v>#REF!</v>
      </c>
      <c r="M911" s="125"/>
      <c r="N911" s="125"/>
      <c r="O911" s="230">
        <f t="shared" si="2"/>
        <v>0</v>
      </c>
      <c r="P911" s="231">
        <f t="shared" si="3"/>
        <v>0</v>
      </c>
      <c r="Q911" s="232" t="str">
        <f ca="1">ROUNDUP(HLOOKUP(IF(CEILING(L911,0.5)&lt;1,1,CEILING(L911,0.5)),'배송비 조회'!A$32:AY$36,2,0),-2)</f>
        <v>#REF!</v>
      </c>
      <c r="R911" s="232">
        <v>0</v>
      </c>
      <c r="S911" s="231" t="str">
        <f t="shared" ca="1" si="250"/>
        <v>#REF!</v>
      </c>
      <c r="T911" s="231" t="str">
        <f t="shared" ca="1" si="200"/>
        <v>#REF!</v>
      </c>
      <c r="U911" s="233" t="str">
        <f t="shared" ca="1" si="142"/>
        <v>#REF!</v>
      </c>
      <c r="V911" s="233" t="str">
        <f t="shared" ca="1" si="7"/>
        <v>#REF!</v>
      </c>
      <c r="W911" s="234">
        <v>0</v>
      </c>
      <c r="X911" s="234" t="str">
        <f t="shared" ca="1" si="8"/>
        <v>#REF!</v>
      </c>
      <c r="Y911" s="234" t="str">
        <f t="shared" ca="1" si="9"/>
        <v>#REF!</v>
      </c>
      <c r="Z911" s="234" t="str">
        <f t="shared" ca="1" si="10"/>
        <v>#REF!</v>
      </c>
      <c r="AA911" s="234" t="str">
        <f t="shared" ca="1" si="11"/>
        <v>#REF!</v>
      </c>
      <c r="AB911" s="234" t="str">
        <f t="shared" ca="1" si="12"/>
        <v>#REF!</v>
      </c>
      <c r="AC911" s="234" t="str">
        <f t="shared" ca="1" si="13"/>
        <v>#REF!</v>
      </c>
      <c r="AD911" s="101" t="str">
        <f t="shared" ca="1" si="14"/>
        <v>#REF!</v>
      </c>
      <c r="AE911" s="101" t="str">
        <f t="shared" ca="1" si="15"/>
        <v>#REF!</v>
      </c>
      <c r="AF911" s="235" t="str">
        <f t="shared" ref="AF911:AG911" ca="1" si="988">AD911/U911</f>
        <v>#REF!</v>
      </c>
      <c r="AG911" s="235" t="str">
        <f t="shared" ca="1" si="988"/>
        <v>#REF!</v>
      </c>
      <c r="AH911" s="212"/>
      <c r="AI911" s="213"/>
      <c r="AJ911" s="4"/>
      <c r="AK911" s="4"/>
      <c r="AL911" s="4"/>
      <c r="AM911" s="4"/>
      <c r="AN911" s="4"/>
      <c r="AO911" s="4"/>
      <c r="AP911" s="4"/>
      <c r="AQ911" s="4"/>
      <c r="AR911" s="4"/>
      <c r="AS911" s="4"/>
      <c r="AT911" s="4"/>
      <c r="AU911" s="4"/>
    </row>
    <row r="912" spans="1:47" ht="13.2">
      <c r="A912" s="120"/>
      <c r="B912" s="113"/>
      <c r="C912" s="117"/>
      <c r="D912" s="117"/>
      <c r="E912" s="117"/>
      <c r="F912" s="123"/>
      <c r="G912" s="93" t="s">
        <v>145</v>
      </c>
      <c r="H912" s="125"/>
      <c r="I912" s="125"/>
      <c r="J912" s="82" t="str">
        <f t="shared" ca="1" si="147"/>
        <v>#REF!</v>
      </c>
      <c r="K912" s="82" t="str">
        <f t="shared" ca="1" si="256"/>
        <v>#REF!</v>
      </c>
      <c r="L912" s="82" t="str">
        <f t="shared" ca="1" si="199"/>
        <v>#REF!</v>
      </c>
      <c r="M912" s="125"/>
      <c r="N912" s="125"/>
      <c r="O912" s="230">
        <f t="shared" si="2"/>
        <v>0</v>
      </c>
      <c r="P912" s="231">
        <f t="shared" si="3"/>
        <v>0</v>
      </c>
      <c r="Q912" s="232" t="str">
        <f ca="1">ROUNDUP(HLOOKUP(IF(CEILING(L912,0.5)&lt;1,1,CEILING(L912,0.5)),'배송비 조회'!A$32:AY$36,2,0),-2)</f>
        <v>#REF!</v>
      </c>
      <c r="R912" s="232">
        <v>0</v>
      </c>
      <c r="S912" s="231" t="str">
        <f t="shared" ca="1" si="250"/>
        <v>#REF!</v>
      </c>
      <c r="T912" s="231" t="str">
        <f t="shared" ca="1" si="200"/>
        <v>#REF!</v>
      </c>
      <c r="U912" s="233" t="str">
        <f t="shared" ca="1" si="142"/>
        <v>#REF!</v>
      </c>
      <c r="V912" s="233" t="str">
        <f t="shared" ca="1" si="7"/>
        <v>#REF!</v>
      </c>
      <c r="W912" s="234">
        <v>0</v>
      </c>
      <c r="X912" s="234" t="str">
        <f t="shared" ca="1" si="8"/>
        <v>#REF!</v>
      </c>
      <c r="Y912" s="234" t="str">
        <f t="shared" ca="1" si="9"/>
        <v>#REF!</v>
      </c>
      <c r="Z912" s="234" t="str">
        <f t="shared" ca="1" si="10"/>
        <v>#REF!</v>
      </c>
      <c r="AA912" s="234" t="str">
        <f t="shared" ca="1" si="11"/>
        <v>#REF!</v>
      </c>
      <c r="AB912" s="234" t="str">
        <f t="shared" ca="1" si="12"/>
        <v>#REF!</v>
      </c>
      <c r="AC912" s="234" t="str">
        <f t="shared" ca="1" si="13"/>
        <v>#REF!</v>
      </c>
      <c r="AD912" s="101" t="str">
        <f t="shared" ca="1" si="14"/>
        <v>#REF!</v>
      </c>
      <c r="AE912" s="101" t="str">
        <f t="shared" ca="1" si="15"/>
        <v>#REF!</v>
      </c>
      <c r="AF912" s="235" t="str">
        <f t="shared" ref="AF912:AG912" ca="1" si="989">AD912/U912</f>
        <v>#REF!</v>
      </c>
      <c r="AG912" s="235" t="str">
        <f t="shared" ca="1" si="989"/>
        <v>#REF!</v>
      </c>
      <c r="AH912" s="212"/>
      <c r="AI912" s="213"/>
      <c r="AJ912" s="4"/>
      <c r="AK912" s="4"/>
      <c r="AL912" s="4"/>
      <c r="AM912" s="4"/>
      <c r="AN912" s="4"/>
      <c r="AO912" s="4"/>
      <c r="AP912" s="4"/>
      <c r="AQ912" s="4"/>
      <c r="AR912" s="4"/>
      <c r="AS912" s="4"/>
      <c r="AT912" s="4"/>
      <c r="AU912" s="4"/>
    </row>
    <row r="913" spans="1:47" ht="13.2">
      <c r="A913" s="120"/>
      <c r="B913" s="113"/>
      <c r="C913" s="117"/>
      <c r="D913" s="117"/>
      <c r="E913" s="117"/>
      <c r="F913" s="123"/>
      <c r="G913" s="93" t="s">
        <v>145</v>
      </c>
      <c r="H913" s="125"/>
      <c r="I913" s="125"/>
      <c r="J913" s="82" t="str">
        <f t="shared" ca="1" si="147"/>
        <v>#REF!</v>
      </c>
      <c r="K913" s="82" t="str">
        <f t="shared" ca="1" si="256"/>
        <v>#REF!</v>
      </c>
      <c r="L913" s="82" t="str">
        <f t="shared" ca="1" si="199"/>
        <v>#REF!</v>
      </c>
      <c r="M913" s="125"/>
      <c r="N913" s="125"/>
      <c r="O913" s="230">
        <f t="shared" si="2"/>
        <v>0</v>
      </c>
      <c r="P913" s="231">
        <f t="shared" si="3"/>
        <v>0</v>
      </c>
      <c r="Q913" s="232" t="str">
        <f ca="1">ROUNDUP(HLOOKUP(IF(CEILING(L913,0.5)&lt;1,1,CEILING(L913,0.5)),'배송비 조회'!A$32:AY$36,2,0),-2)</f>
        <v>#REF!</v>
      </c>
      <c r="R913" s="232">
        <v>0</v>
      </c>
      <c r="S913" s="231" t="str">
        <f t="shared" ca="1" si="250"/>
        <v>#REF!</v>
      </c>
      <c r="T913" s="231" t="str">
        <f t="shared" ca="1" si="200"/>
        <v>#REF!</v>
      </c>
      <c r="U913" s="233" t="str">
        <f t="shared" ca="1" si="142"/>
        <v>#REF!</v>
      </c>
      <c r="V913" s="233" t="str">
        <f t="shared" ca="1" si="7"/>
        <v>#REF!</v>
      </c>
      <c r="W913" s="234">
        <v>0</v>
      </c>
      <c r="X913" s="234" t="str">
        <f t="shared" ca="1" si="8"/>
        <v>#REF!</v>
      </c>
      <c r="Y913" s="234" t="str">
        <f t="shared" ca="1" si="9"/>
        <v>#REF!</v>
      </c>
      <c r="Z913" s="234" t="str">
        <f t="shared" ca="1" si="10"/>
        <v>#REF!</v>
      </c>
      <c r="AA913" s="234" t="str">
        <f t="shared" ca="1" si="11"/>
        <v>#REF!</v>
      </c>
      <c r="AB913" s="234" t="str">
        <f t="shared" ca="1" si="12"/>
        <v>#REF!</v>
      </c>
      <c r="AC913" s="234" t="str">
        <f t="shared" ca="1" si="13"/>
        <v>#REF!</v>
      </c>
      <c r="AD913" s="101" t="str">
        <f t="shared" ca="1" si="14"/>
        <v>#REF!</v>
      </c>
      <c r="AE913" s="101" t="str">
        <f t="shared" ca="1" si="15"/>
        <v>#REF!</v>
      </c>
      <c r="AF913" s="235" t="str">
        <f t="shared" ref="AF913:AG913" ca="1" si="990">AD913/U913</f>
        <v>#REF!</v>
      </c>
      <c r="AG913" s="235" t="str">
        <f t="shared" ca="1" si="990"/>
        <v>#REF!</v>
      </c>
      <c r="AH913" s="212"/>
      <c r="AI913" s="213"/>
      <c r="AJ913" s="4"/>
      <c r="AK913" s="4"/>
      <c r="AL913" s="4"/>
      <c r="AM913" s="4"/>
      <c r="AN913" s="4"/>
      <c r="AO913" s="4"/>
      <c r="AP913" s="4"/>
      <c r="AQ913" s="4"/>
      <c r="AR913" s="4"/>
      <c r="AS913" s="4"/>
      <c r="AT913" s="4"/>
      <c r="AU913" s="4"/>
    </row>
    <row r="914" spans="1:47" ht="13.2">
      <c r="A914" s="120"/>
      <c r="B914" s="113"/>
      <c r="C914" s="117"/>
      <c r="D914" s="117"/>
      <c r="E914" s="117"/>
      <c r="F914" s="123"/>
      <c r="G914" s="93" t="s">
        <v>145</v>
      </c>
      <c r="H914" s="125"/>
      <c r="I914" s="125"/>
      <c r="J914" s="82" t="str">
        <f t="shared" ca="1" si="147"/>
        <v>#REF!</v>
      </c>
      <c r="K914" s="82" t="str">
        <f t="shared" ca="1" si="256"/>
        <v>#REF!</v>
      </c>
      <c r="L914" s="82" t="str">
        <f t="shared" ca="1" si="199"/>
        <v>#REF!</v>
      </c>
      <c r="M914" s="125"/>
      <c r="N914" s="125"/>
      <c r="O914" s="230">
        <f t="shared" si="2"/>
        <v>0</v>
      </c>
      <c r="P914" s="231">
        <f t="shared" si="3"/>
        <v>0</v>
      </c>
      <c r="Q914" s="232" t="str">
        <f ca="1">ROUNDUP(HLOOKUP(IF(CEILING(L914,0.5)&lt;1,1,CEILING(L914,0.5)),'배송비 조회'!A$32:AY$36,2,0),-2)</f>
        <v>#REF!</v>
      </c>
      <c r="R914" s="232">
        <v>0</v>
      </c>
      <c r="S914" s="231" t="str">
        <f t="shared" ca="1" si="250"/>
        <v>#REF!</v>
      </c>
      <c r="T914" s="231" t="str">
        <f t="shared" ca="1" si="200"/>
        <v>#REF!</v>
      </c>
      <c r="U914" s="233" t="str">
        <f t="shared" ca="1" si="142"/>
        <v>#REF!</v>
      </c>
      <c r="V914" s="233" t="str">
        <f t="shared" ca="1" si="7"/>
        <v>#REF!</v>
      </c>
      <c r="W914" s="234">
        <v>0</v>
      </c>
      <c r="X914" s="234" t="str">
        <f t="shared" ca="1" si="8"/>
        <v>#REF!</v>
      </c>
      <c r="Y914" s="234" t="str">
        <f t="shared" ca="1" si="9"/>
        <v>#REF!</v>
      </c>
      <c r="Z914" s="234" t="str">
        <f t="shared" ca="1" si="10"/>
        <v>#REF!</v>
      </c>
      <c r="AA914" s="234" t="str">
        <f t="shared" ca="1" si="11"/>
        <v>#REF!</v>
      </c>
      <c r="AB914" s="234" t="str">
        <f t="shared" ca="1" si="12"/>
        <v>#REF!</v>
      </c>
      <c r="AC914" s="234" t="str">
        <f t="shared" ca="1" si="13"/>
        <v>#REF!</v>
      </c>
      <c r="AD914" s="101" t="str">
        <f t="shared" ca="1" si="14"/>
        <v>#REF!</v>
      </c>
      <c r="AE914" s="101" t="str">
        <f t="shared" ca="1" si="15"/>
        <v>#REF!</v>
      </c>
      <c r="AF914" s="235" t="str">
        <f t="shared" ref="AF914:AG914" ca="1" si="991">AD914/U914</f>
        <v>#REF!</v>
      </c>
      <c r="AG914" s="235" t="str">
        <f t="shared" ca="1" si="991"/>
        <v>#REF!</v>
      </c>
      <c r="AH914" s="212"/>
      <c r="AI914" s="213"/>
      <c r="AJ914" s="4"/>
      <c r="AK914" s="4"/>
      <c r="AL914" s="4"/>
      <c r="AM914" s="4"/>
      <c r="AN914" s="4"/>
      <c r="AO914" s="4"/>
      <c r="AP914" s="4"/>
      <c r="AQ914" s="4"/>
      <c r="AR914" s="4"/>
      <c r="AS914" s="4"/>
      <c r="AT914" s="4"/>
      <c r="AU914" s="4"/>
    </row>
    <row r="915" spans="1:47" ht="13.2">
      <c r="A915" s="120"/>
      <c r="B915" s="113"/>
      <c r="C915" s="117"/>
      <c r="D915" s="117"/>
      <c r="E915" s="117"/>
      <c r="F915" s="123"/>
      <c r="G915" s="93" t="s">
        <v>145</v>
      </c>
      <c r="H915" s="125"/>
      <c r="I915" s="125"/>
      <c r="J915" s="82" t="str">
        <f t="shared" ca="1" si="147"/>
        <v>#REF!</v>
      </c>
      <c r="K915" s="82" t="str">
        <f t="shared" ca="1" si="256"/>
        <v>#REF!</v>
      </c>
      <c r="L915" s="82" t="str">
        <f t="shared" ca="1" si="199"/>
        <v>#REF!</v>
      </c>
      <c r="M915" s="125"/>
      <c r="N915" s="125"/>
      <c r="O915" s="230">
        <f t="shared" si="2"/>
        <v>0</v>
      </c>
      <c r="P915" s="231">
        <f t="shared" si="3"/>
        <v>0</v>
      </c>
      <c r="Q915" s="232" t="str">
        <f ca="1">ROUNDUP(HLOOKUP(IF(CEILING(L915,0.5)&lt;1,1,CEILING(L915,0.5)),'배송비 조회'!A$32:AY$36,2,0),-2)</f>
        <v>#REF!</v>
      </c>
      <c r="R915" s="232">
        <v>0</v>
      </c>
      <c r="S915" s="231" t="str">
        <f t="shared" ca="1" si="250"/>
        <v>#REF!</v>
      </c>
      <c r="T915" s="231" t="str">
        <f t="shared" ca="1" si="200"/>
        <v>#REF!</v>
      </c>
      <c r="U915" s="233" t="str">
        <f t="shared" ca="1" si="142"/>
        <v>#REF!</v>
      </c>
      <c r="V915" s="233" t="str">
        <f t="shared" ca="1" si="7"/>
        <v>#REF!</v>
      </c>
      <c r="W915" s="234">
        <v>0</v>
      </c>
      <c r="X915" s="234" t="str">
        <f t="shared" ca="1" si="8"/>
        <v>#REF!</v>
      </c>
      <c r="Y915" s="234" t="str">
        <f t="shared" ca="1" si="9"/>
        <v>#REF!</v>
      </c>
      <c r="Z915" s="234" t="str">
        <f t="shared" ca="1" si="10"/>
        <v>#REF!</v>
      </c>
      <c r="AA915" s="234" t="str">
        <f t="shared" ca="1" si="11"/>
        <v>#REF!</v>
      </c>
      <c r="AB915" s="234" t="str">
        <f t="shared" ca="1" si="12"/>
        <v>#REF!</v>
      </c>
      <c r="AC915" s="234" t="str">
        <f t="shared" ca="1" si="13"/>
        <v>#REF!</v>
      </c>
      <c r="AD915" s="101" t="str">
        <f t="shared" ca="1" si="14"/>
        <v>#REF!</v>
      </c>
      <c r="AE915" s="101" t="str">
        <f t="shared" ca="1" si="15"/>
        <v>#REF!</v>
      </c>
      <c r="AF915" s="235" t="str">
        <f t="shared" ref="AF915:AG915" ca="1" si="992">AD915/U915</f>
        <v>#REF!</v>
      </c>
      <c r="AG915" s="235" t="str">
        <f t="shared" ca="1" si="992"/>
        <v>#REF!</v>
      </c>
      <c r="AH915" s="212"/>
      <c r="AI915" s="213"/>
      <c r="AJ915" s="4"/>
      <c r="AK915" s="4"/>
      <c r="AL915" s="4"/>
      <c r="AM915" s="4"/>
      <c r="AN915" s="4"/>
      <c r="AO915" s="4"/>
      <c r="AP915" s="4"/>
      <c r="AQ915" s="4"/>
      <c r="AR915" s="4"/>
      <c r="AS915" s="4"/>
      <c r="AT915" s="4"/>
      <c r="AU915" s="4"/>
    </row>
    <row r="916" spans="1:47" ht="13.2">
      <c r="A916" s="120"/>
      <c r="B916" s="113"/>
      <c r="C916" s="117"/>
      <c r="D916" s="117"/>
      <c r="E916" s="117"/>
      <c r="F916" s="123"/>
      <c r="G916" s="93" t="s">
        <v>145</v>
      </c>
      <c r="H916" s="125"/>
      <c r="I916" s="125"/>
      <c r="J916" s="82" t="str">
        <f t="shared" ca="1" si="147"/>
        <v>#REF!</v>
      </c>
      <c r="K916" s="82" t="str">
        <f t="shared" ca="1" si="256"/>
        <v>#REF!</v>
      </c>
      <c r="L916" s="82" t="str">
        <f t="shared" ca="1" si="199"/>
        <v>#REF!</v>
      </c>
      <c r="M916" s="125"/>
      <c r="N916" s="125"/>
      <c r="O916" s="230">
        <f t="shared" si="2"/>
        <v>0</v>
      </c>
      <c r="P916" s="231">
        <f t="shared" si="3"/>
        <v>0</v>
      </c>
      <c r="Q916" s="232" t="str">
        <f ca="1">ROUNDUP(HLOOKUP(IF(CEILING(L916,0.5)&lt;1,1,CEILING(L916,0.5)),'배송비 조회'!A$32:AY$36,2,0),-2)</f>
        <v>#REF!</v>
      </c>
      <c r="R916" s="232">
        <v>0</v>
      </c>
      <c r="S916" s="231" t="str">
        <f t="shared" ca="1" si="250"/>
        <v>#REF!</v>
      </c>
      <c r="T916" s="231" t="str">
        <f t="shared" ca="1" si="200"/>
        <v>#REF!</v>
      </c>
      <c r="U916" s="233" t="str">
        <f t="shared" ca="1" si="142"/>
        <v>#REF!</v>
      </c>
      <c r="V916" s="233" t="str">
        <f t="shared" ca="1" si="7"/>
        <v>#REF!</v>
      </c>
      <c r="W916" s="234">
        <v>0</v>
      </c>
      <c r="X916" s="234" t="str">
        <f t="shared" ca="1" si="8"/>
        <v>#REF!</v>
      </c>
      <c r="Y916" s="234" t="str">
        <f t="shared" ca="1" si="9"/>
        <v>#REF!</v>
      </c>
      <c r="Z916" s="234" t="str">
        <f t="shared" ca="1" si="10"/>
        <v>#REF!</v>
      </c>
      <c r="AA916" s="234" t="str">
        <f t="shared" ca="1" si="11"/>
        <v>#REF!</v>
      </c>
      <c r="AB916" s="234" t="str">
        <f t="shared" ca="1" si="12"/>
        <v>#REF!</v>
      </c>
      <c r="AC916" s="234" t="str">
        <f t="shared" ca="1" si="13"/>
        <v>#REF!</v>
      </c>
      <c r="AD916" s="101" t="str">
        <f t="shared" ca="1" si="14"/>
        <v>#REF!</v>
      </c>
      <c r="AE916" s="101" t="str">
        <f t="shared" ca="1" si="15"/>
        <v>#REF!</v>
      </c>
      <c r="AF916" s="235" t="str">
        <f t="shared" ref="AF916:AG916" ca="1" si="993">AD916/U916</f>
        <v>#REF!</v>
      </c>
      <c r="AG916" s="235" t="str">
        <f t="shared" ca="1" si="993"/>
        <v>#REF!</v>
      </c>
      <c r="AH916" s="212"/>
      <c r="AI916" s="213"/>
      <c r="AJ916" s="4"/>
      <c r="AK916" s="4"/>
      <c r="AL916" s="4"/>
      <c r="AM916" s="4"/>
      <c r="AN916" s="4"/>
      <c r="AO916" s="4"/>
      <c r="AP916" s="4"/>
      <c r="AQ916" s="4"/>
      <c r="AR916" s="4"/>
      <c r="AS916" s="4"/>
      <c r="AT916" s="4"/>
      <c r="AU916" s="4"/>
    </row>
    <row r="917" spans="1:47" ht="13.2">
      <c r="A917" s="120"/>
      <c r="B917" s="113"/>
      <c r="C917" s="117"/>
      <c r="D917" s="117"/>
      <c r="E917" s="117"/>
      <c r="F917" s="123"/>
      <c r="G917" s="93" t="s">
        <v>145</v>
      </c>
      <c r="H917" s="125"/>
      <c r="I917" s="125"/>
      <c r="J917" s="82" t="str">
        <f t="shared" ca="1" si="147"/>
        <v>#REF!</v>
      </c>
      <c r="K917" s="82" t="str">
        <f t="shared" ca="1" si="256"/>
        <v>#REF!</v>
      </c>
      <c r="L917" s="82" t="str">
        <f t="shared" ca="1" si="199"/>
        <v>#REF!</v>
      </c>
      <c r="M917" s="125"/>
      <c r="N917" s="125"/>
      <c r="O917" s="230">
        <f t="shared" si="2"/>
        <v>0</v>
      </c>
      <c r="P917" s="231">
        <f t="shared" si="3"/>
        <v>0</v>
      </c>
      <c r="Q917" s="232" t="str">
        <f ca="1">ROUNDUP(HLOOKUP(IF(CEILING(L917,0.5)&lt;1,1,CEILING(L917,0.5)),'배송비 조회'!A$32:AY$36,2,0),-2)</f>
        <v>#REF!</v>
      </c>
      <c r="R917" s="232">
        <v>0</v>
      </c>
      <c r="S917" s="231" t="str">
        <f t="shared" ca="1" si="250"/>
        <v>#REF!</v>
      </c>
      <c r="T917" s="231" t="str">
        <f t="shared" ca="1" si="200"/>
        <v>#REF!</v>
      </c>
      <c r="U917" s="233" t="str">
        <f t="shared" ca="1" si="142"/>
        <v>#REF!</v>
      </c>
      <c r="V917" s="233" t="str">
        <f t="shared" ca="1" si="7"/>
        <v>#REF!</v>
      </c>
      <c r="W917" s="234">
        <v>0</v>
      </c>
      <c r="X917" s="234" t="str">
        <f t="shared" ca="1" si="8"/>
        <v>#REF!</v>
      </c>
      <c r="Y917" s="234" t="str">
        <f t="shared" ca="1" si="9"/>
        <v>#REF!</v>
      </c>
      <c r="Z917" s="234" t="str">
        <f t="shared" ca="1" si="10"/>
        <v>#REF!</v>
      </c>
      <c r="AA917" s="234" t="str">
        <f t="shared" ca="1" si="11"/>
        <v>#REF!</v>
      </c>
      <c r="AB917" s="234" t="str">
        <f t="shared" ca="1" si="12"/>
        <v>#REF!</v>
      </c>
      <c r="AC917" s="234" t="str">
        <f t="shared" ca="1" si="13"/>
        <v>#REF!</v>
      </c>
      <c r="AD917" s="101" t="str">
        <f t="shared" ca="1" si="14"/>
        <v>#REF!</v>
      </c>
      <c r="AE917" s="101" t="str">
        <f t="shared" ca="1" si="15"/>
        <v>#REF!</v>
      </c>
      <c r="AF917" s="235" t="str">
        <f t="shared" ref="AF917:AG917" ca="1" si="994">AD917/U917</f>
        <v>#REF!</v>
      </c>
      <c r="AG917" s="235" t="str">
        <f t="shared" ca="1" si="994"/>
        <v>#REF!</v>
      </c>
      <c r="AH917" s="212"/>
      <c r="AI917" s="213"/>
      <c r="AJ917" s="4"/>
      <c r="AK917" s="4"/>
      <c r="AL917" s="4"/>
      <c r="AM917" s="4"/>
      <c r="AN917" s="4"/>
      <c r="AO917" s="4"/>
      <c r="AP917" s="4"/>
      <c r="AQ917" s="4"/>
      <c r="AR917" s="4"/>
      <c r="AS917" s="4"/>
      <c r="AT917" s="4"/>
      <c r="AU917" s="4"/>
    </row>
    <row r="918" spans="1:47" ht="13.2">
      <c r="A918" s="120"/>
      <c r="B918" s="113"/>
      <c r="C918" s="117"/>
      <c r="D918" s="117"/>
      <c r="E918" s="117"/>
      <c r="F918" s="123"/>
      <c r="G918" s="93" t="s">
        <v>145</v>
      </c>
      <c r="H918" s="125"/>
      <c r="I918" s="125"/>
      <c r="J918" s="82" t="str">
        <f t="shared" ca="1" si="147"/>
        <v>#REF!</v>
      </c>
      <c r="K918" s="82" t="str">
        <f t="shared" ca="1" si="256"/>
        <v>#REF!</v>
      </c>
      <c r="L918" s="82" t="str">
        <f t="shared" ca="1" si="199"/>
        <v>#REF!</v>
      </c>
      <c r="M918" s="125"/>
      <c r="N918" s="125"/>
      <c r="O918" s="230">
        <f t="shared" si="2"/>
        <v>0</v>
      </c>
      <c r="P918" s="231">
        <f t="shared" si="3"/>
        <v>0</v>
      </c>
      <c r="Q918" s="232" t="str">
        <f ca="1">ROUNDUP(HLOOKUP(IF(CEILING(L918,0.5)&lt;1,1,CEILING(L918,0.5)),'배송비 조회'!A$32:AY$36,2,0),-2)</f>
        <v>#REF!</v>
      </c>
      <c r="R918" s="232">
        <v>0</v>
      </c>
      <c r="S918" s="231" t="str">
        <f t="shared" ca="1" si="250"/>
        <v>#REF!</v>
      </c>
      <c r="T918" s="231" t="str">
        <f t="shared" ca="1" si="200"/>
        <v>#REF!</v>
      </c>
      <c r="U918" s="233" t="str">
        <f t="shared" ca="1" si="142"/>
        <v>#REF!</v>
      </c>
      <c r="V918" s="233" t="str">
        <f t="shared" ca="1" si="7"/>
        <v>#REF!</v>
      </c>
      <c r="W918" s="234">
        <v>0</v>
      </c>
      <c r="X918" s="234" t="str">
        <f t="shared" ca="1" si="8"/>
        <v>#REF!</v>
      </c>
      <c r="Y918" s="234" t="str">
        <f t="shared" ca="1" si="9"/>
        <v>#REF!</v>
      </c>
      <c r="Z918" s="234" t="str">
        <f t="shared" ca="1" si="10"/>
        <v>#REF!</v>
      </c>
      <c r="AA918" s="234" t="str">
        <f t="shared" ca="1" si="11"/>
        <v>#REF!</v>
      </c>
      <c r="AB918" s="234" t="str">
        <f t="shared" ca="1" si="12"/>
        <v>#REF!</v>
      </c>
      <c r="AC918" s="234" t="str">
        <f t="shared" ca="1" si="13"/>
        <v>#REF!</v>
      </c>
      <c r="AD918" s="101" t="str">
        <f t="shared" ca="1" si="14"/>
        <v>#REF!</v>
      </c>
      <c r="AE918" s="101" t="str">
        <f t="shared" ca="1" si="15"/>
        <v>#REF!</v>
      </c>
      <c r="AF918" s="235" t="str">
        <f t="shared" ref="AF918:AG918" ca="1" si="995">AD918/U918</f>
        <v>#REF!</v>
      </c>
      <c r="AG918" s="235" t="str">
        <f t="shared" ca="1" si="995"/>
        <v>#REF!</v>
      </c>
      <c r="AH918" s="212"/>
      <c r="AI918" s="213"/>
      <c r="AJ918" s="4"/>
      <c r="AK918" s="4"/>
      <c r="AL918" s="4"/>
      <c r="AM918" s="4"/>
      <c r="AN918" s="4"/>
      <c r="AO918" s="4"/>
      <c r="AP918" s="4"/>
      <c r="AQ918" s="4"/>
      <c r="AR918" s="4"/>
      <c r="AS918" s="4"/>
      <c r="AT918" s="4"/>
      <c r="AU918" s="4"/>
    </row>
    <row r="919" spans="1:47" ht="13.2">
      <c r="A919" s="120"/>
      <c r="B919" s="113"/>
      <c r="C919" s="117"/>
      <c r="D919" s="117"/>
      <c r="E919" s="117"/>
      <c r="F919" s="123"/>
      <c r="G919" s="93" t="s">
        <v>145</v>
      </c>
      <c r="H919" s="125"/>
      <c r="I919" s="125"/>
      <c r="J919" s="82" t="str">
        <f t="shared" ca="1" si="147"/>
        <v>#REF!</v>
      </c>
      <c r="K919" s="82" t="str">
        <f t="shared" ca="1" si="256"/>
        <v>#REF!</v>
      </c>
      <c r="L919" s="82" t="str">
        <f t="shared" ca="1" si="199"/>
        <v>#REF!</v>
      </c>
      <c r="M919" s="125"/>
      <c r="N919" s="125"/>
      <c r="O919" s="230">
        <f t="shared" si="2"/>
        <v>0</v>
      </c>
      <c r="P919" s="231">
        <f t="shared" si="3"/>
        <v>0</v>
      </c>
      <c r="Q919" s="232" t="str">
        <f ca="1">ROUNDUP(HLOOKUP(IF(CEILING(L919,0.5)&lt;1,1,CEILING(L919,0.5)),'배송비 조회'!A$32:AY$36,2,0),-2)</f>
        <v>#REF!</v>
      </c>
      <c r="R919" s="232">
        <v>0</v>
      </c>
      <c r="S919" s="231" t="str">
        <f t="shared" ca="1" si="250"/>
        <v>#REF!</v>
      </c>
      <c r="T919" s="231" t="str">
        <f t="shared" ca="1" si="200"/>
        <v>#REF!</v>
      </c>
      <c r="U919" s="233" t="str">
        <f t="shared" ca="1" si="142"/>
        <v>#REF!</v>
      </c>
      <c r="V919" s="233" t="str">
        <f t="shared" ca="1" si="7"/>
        <v>#REF!</v>
      </c>
      <c r="W919" s="234">
        <v>0</v>
      </c>
      <c r="X919" s="234" t="str">
        <f t="shared" ca="1" si="8"/>
        <v>#REF!</v>
      </c>
      <c r="Y919" s="234" t="str">
        <f t="shared" ca="1" si="9"/>
        <v>#REF!</v>
      </c>
      <c r="Z919" s="234" t="str">
        <f t="shared" ca="1" si="10"/>
        <v>#REF!</v>
      </c>
      <c r="AA919" s="234" t="str">
        <f t="shared" ca="1" si="11"/>
        <v>#REF!</v>
      </c>
      <c r="AB919" s="234" t="str">
        <f t="shared" ca="1" si="12"/>
        <v>#REF!</v>
      </c>
      <c r="AC919" s="234" t="str">
        <f t="shared" ca="1" si="13"/>
        <v>#REF!</v>
      </c>
      <c r="AD919" s="101" t="str">
        <f t="shared" ca="1" si="14"/>
        <v>#REF!</v>
      </c>
      <c r="AE919" s="101" t="str">
        <f t="shared" ca="1" si="15"/>
        <v>#REF!</v>
      </c>
      <c r="AF919" s="235" t="str">
        <f t="shared" ref="AF919:AG919" ca="1" si="996">AD919/U919</f>
        <v>#REF!</v>
      </c>
      <c r="AG919" s="235" t="str">
        <f t="shared" ca="1" si="996"/>
        <v>#REF!</v>
      </c>
      <c r="AH919" s="212"/>
      <c r="AI919" s="213"/>
      <c r="AJ919" s="4"/>
      <c r="AK919" s="4"/>
      <c r="AL919" s="4"/>
      <c r="AM919" s="4"/>
      <c r="AN919" s="4"/>
      <c r="AO919" s="4"/>
      <c r="AP919" s="4"/>
      <c r="AQ919" s="4"/>
      <c r="AR919" s="4"/>
      <c r="AS919" s="4"/>
      <c r="AT919" s="4"/>
      <c r="AU919" s="4"/>
    </row>
    <row r="920" spans="1:47" ht="13.2">
      <c r="A920" s="120"/>
      <c r="B920" s="113"/>
      <c r="C920" s="117"/>
      <c r="D920" s="117"/>
      <c r="E920" s="117"/>
      <c r="F920" s="123"/>
      <c r="G920" s="93" t="s">
        <v>145</v>
      </c>
      <c r="H920" s="125"/>
      <c r="I920" s="125"/>
      <c r="J920" s="82" t="str">
        <f t="shared" ca="1" si="147"/>
        <v>#REF!</v>
      </c>
      <c r="K920" s="82" t="str">
        <f t="shared" ca="1" si="256"/>
        <v>#REF!</v>
      </c>
      <c r="L920" s="82" t="str">
        <f t="shared" ca="1" si="199"/>
        <v>#REF!</v>
      </c>
      <c r="M920" s="125"/>
      <c r="N920" s="125"/>
      <c r="O920" s="230">
        <f t="shared" si="2"/>
        <v>0</v>
      </c>
      <c r="P920" s="231">
        <f t="shared" si="3"/>
        <v>0</v>
      </c>
      <c r="Q920" s="232" t="str">
        <f ca="1">ROUNDUP(HLOOKUP(IF(CEILING(L920,0.5)&lt;1,1,CEILING(L920,0.5)),'배송비 조회'!A$32:AY$36,2,0),-2)</f>
        <v>#REF!</v>
      </c>
      <c r="R920" s="232">
        <v>0</v>
      </c>
      <c r="S920" s="231" t="str">
        <f t="shared" ca="1" si="250"/>
        <v>#REF!</v>
      </c>
      <c r="T920" s="231" t="str">
        <f t="shared" ca="1" si="200"/>
        <v>#REF!</v>
      </c>
      <c r="U920" s="233" t="str">
        <f t="shared" ca="1" si="142"/>
        <v>#REF!</v>
      </c>
      <c r="V920" s="233" t="str">
        <f t="shared" ca="1" si="7"/>
        <v>#REF!</v>
      </c>
      <c r="W920" s="234">
        <v>0</v>
      </c>
      <c r="X920" s="234" t="str">
        <f t="shared" ca="1" si="8"/>
        <v>#REF!</v>
      </c>
      <c r="Y920" s="234" t="str">
        <f t="shared" ca="1" si="9"/>
        <v>#REF!</v>
      </c>
      <c r="Z920" s="234" t="str">
        <f t="shared" ca="1" si="10"/>
        <v>#REF!</v>
      </c>
      <c r="AA920" s="234" t="str">
        <f t="shared" ca="1" si="11"/>
        <v>#REF!</v>
      </c>
      <c r="AB920" s="234" t="str">
        <f t="shared" ca="1" si="12"/>
        <v>#REF!</v>
      </c>
      <c r="AC920" s="234" t="str">
        <f t="shared" ca="1" si="13"/>
        <v>#REF!</v>
      </c>
      <c r="AD920" s="101" t="str">
        <f t="shared" ca="1" si="14"/>
        <v>#REF!</v>
      </c>
      <c r="AE920" s="101" t="str">
        <f t="shared" ca="1" si="15"/>
        <v>#REF!</v>
      </c>
      <c r="AF920" s="235" t="str">
        <f t="shared" ref="AF920:AG920" ca="1" si="997">AD920/U920</f>
        <v>#REF!</v>
      </c>
      <c r="AG920" s="235" t="str">
        <f t="shared" ca="1" si="997"/>
        <v>#REF!</v>
      </c>
      <c r="AH920" s="212"/>
      <c r="AI920" s="213"/>
      <c r="AJ920" s="4"/>
      <c r="AK920" s="4"/>
      <c r="AL920" s="4"/>
      <c r="AM920" s="4"/>
      <c r="AN920" s="4"/>
      <c r="AO920" s="4"/>
      <c r="AP920" s="4"/>
      <c r="AQ920" s="4"/>
      <c r="AR920" s="4"/>
      <c r="AS920" s="4"/>
      <c r="AT920" s="4"/>
      <c r="AU920" s="4"/>
    </row>
    <row r="921" spans="1:47" ht="13.2">
      <c r="A921" s="120"/>
      <c r="B921" s="113"/>
      <c r="C921" s="117"/>
      <c r="D921" s="117"/>
      <c r="E921" s="117"/>
      <c r="F921" s="123"/>
      <c r="G921" s="93" t="s">
        <v>145</v>
      </c>
      <c r="H921" s="125"/>
      <c r="I921" s="125"/>
      <c r="J921" s="82" t="str">
        <f t="shared" ca="1" si="147"/>
        <v>#REF!</v>
      </c>
      <c r="K921" s="82" t="str">
        <f t="shared" ca="1" si="256"/>
        <v>#REF!</v>
      </c>
      <c r="L921" s="82" t="str">
        <f t="shared" ca="1" si="199"/>
        <v>#REF!</v>
      </c>
      <c r="M921" s="125"/>
      <c r="N921" s="125"/>
      <c r="O921" s="230">
        <f t="shared" si="2"/>
        <v>0</v>
      </c>
      <c r="P921" s="231">
        <f t="shared" si="3"/>
        <v>0</v>
      </c>
      <c r="Q921" s="232" t="str">
        <f ca="1">ROUNDUP(HLOOKUP(IF(CEILING(L921,0.5)&lt;1,1,CEILING(L921,0.5)),'배송비 조회'!A$32:AY$36,2,0),-2)</f>
        <v>#REF!</v>
      </c>
      <c r="R921" s="232">
        <v>0</v>
      </c>
      <c r="S921" s="231" t="str">
        <f t="shared" ca="1" si="250"/>
        <v>#REF!</v>
      </c>
      <c r="T921" s="231" t="str">
        <f t="shared" ca="1" si="200"/>
        <v>#REF!</v>
      </c>
      <c r="U921" s="233" t="str">
        <f t="shared" ca="1" si="142"/>
        <v>#REF!</v>
      </c>
      <c r="V921" s="233" t="str">
        <f t="shared" ca="1" si="7"/>
        <v>#REF!</v>
      </c>
      <c r="W921" s="234">
        <v>0</v>
      </c>
      <c r="X921" s="234" t="str">
        <f t="shared" ca="1" si="8"/>
        <v>#REF!</v>
      </c>
      <c r="Y921" s="234" t="str">
        <f t="shared" ca="1" si="9"/>
        <v>#REF!</v>
      </c>
      <c r="Z921" s="234" t="str">
        <f t="shared" ca="1" si="10"/>
        <v>#REF!</v>
      </c>
      <c r="AA921" s="234" t="str">
        <f t="shared" ca="1" si="11"/>
        <v>#REF!</v>
      </c>
      <c r="AB921" s="234" t="str">
        <f t="shared" ca="1" si="12"/>
        <v>#REF!</v>
      </c>
      <c r="AC921" s="234" t="str">
        <f t="shared" ca="1" si="13"/>
        <v>#REF!</v>
      </c>
      <c r="AD921" s="101" t="str">
        <f t="shared" ca="1" si="14"/>
        <v>#REF!</v>
      </c>
      <c r="AE921" s="101" t="str">
        <f t="shared" ca="1" si="15"/>
        <v>#REF!</v>
      </c>
      <c r="AF921" s="235" t="str">
        <f t="shared" ref="AF921:AG921" ca="1" si="998">AD921/U921</f>
        <v>#REF!</v>
      </c>
      <c r="AG921" s="235" t="str">
        <f t="shared" ca="1" si="998"/>
        <v>#REF!</v>
      </c>
      <c r="AH921" s="212"/>
      <c r="AI921" s="213"/>
      <c r="AJ921" s="4"/>
      <c r="AK921" s="4"/>
      <c r="AL921" s="4"/>
      <c r="AM921" s="4"/>
      <c r="AN921" s="4"/>
      <c r="AO921" s="4"/>
      <c r="AP921" s="4"/>
      <c r="AQ921" s="4"/>
      <c r="AR921" s="4"/>
      <c r="AS921" s="4"/>
      <c r="AT921" s="4"/>
      <c r="AU921" s="4"/>
    </row>
    <row r="922" spans="1:47" ht="13.2">
      <c r="A922" s="120"/>
      <c r="B922" s="113"/>
      <c r="C922" s="117"/>
      <c r="D922" s="117"/>
      <c r="E922" s="117"/>
      <c r="F922" s="123"/>
      <c r="G922" s="93" t="s">
        <v>145</v>
      </c>
      <c r="H922" s="125"/>
      <c r="I922" s="125"/>
      <c r="J922" s="82" t="str">
        <f t="shared" ca="1" si="147"/>
        <v>#REF!</v>
      </c>
      <c r="K922" s="82" t="str">
        <f t="shared" ca="1" si="256"/>
        <v>#REF!</v>
      </c>
      <c r="L922" s="82" t="str">
        <f t="shared" ca="1" si="199"/>
        <v>#REF!</v>
      </c>
      <c r="M922" s="125"/>
      <c r="N922" s="125"/>
      <c r="O922" s="230">
        <f t="shared" si="2"/>
        <v>0</v>
      </c>
      <c r="P922" s="231">
        <f t="shared" si="3"/>
        <v>0</v>
      </c>
      <c r="Q922" s="232" t="str">
        <f ca="1">ROUNDUP(HLOOKUP(IF(CEILING(L922,0.5)&lt;1,1,CEILING(L922,0.5)),'배송비 조회'!A$32:AY$36,2,0),-2)</f>
        <v>#REF!</v>
      </c>
      <c r="R922" s="232">
        <v>0</v>
      </c>
      <c r="S922" s="231" t="str">
        <f t="shared" ca="1" si="250"/>
        <v>#REF!</v>
      </c>
      <c r="T922" s="231" t="str">
        <f t="shared" ca="1" si="200"/>
        <v>#REF!</v>
      </c>
      <c r="U922" s="233" t="str">
        <f t="shared" ca="1" si="142"/>
        <v>#REF!</v>
      </c>
      <c r="V922" s="233" t="str">
        <f t="shared" ca="1" si="7"/>
        <v>#REF!</v>
      </c>
      <c r="W922" s="234">
        <v>0</v>
      </c>
      <c r="X922" s="234" t="str">
        <f t="shared" ca="1" si="8"/>
        <v>#REF!</v>
      </c>
      <c r="Y922" s="234" t="str">
        <f t="shared" ca="1" si="9"/>
        <v>#REF!</v>
      </c>
      <c r="Z922" s="234" t="str">
        <f t="shared" ca="1" si="10"/>
        <v>#REF!</v>
      </c>
      <c r="AA922" s="234" t="str">
        <f t="shared" ca="1" si="11"/>
        <v>#REF!</v>
      </c>
      <c r="AB922" s="234" t="str">
        <f t="shared" ca="1" si="12"/>
        <v>#REF!</v>
      </c>
      <c r="AC922" s="234" t="str">
        <f t="shared" ca="1" si="13"/>
        <v>#REF!</v>
      </c>
      <c r="AD922" s="101" t="str">
        <f t="shared" ca="1" si="14"/>
        <v>#REF!</v>
      </c>
      <c r="AE922" s="101" t="str">
        <f t="shared" ca="1" si="15"/>
        <v>#REF!</v>
      </c>
      <c r="AF922" s="235" t="str">
        <f t="shared" ref="AF922:AG922" ca="1" si="999">AD922/U922</f>
        <v>#REF!</v>
      </c>
      <c r="AG922" s="235" t="str">
        <f t="shared" ca="1" si="999"/>
        <v>#REF!</v>
      </c>
      <c r="AH922" s="212"/>
      <c r="AI922" s="213"/>
      <c r="AJ922" s="4"/>
      <c r="AK922" s="4"/>
      <c r="AL922" s="4"/>
      <c r="AM922" s="4"/>
      <c r="AN922" s="4"/>
      <c r="AO922" s="4"/>
      <c r="AP922" s="4"/>
      <c r="AQ922" s="4"/>
      <c r="AR922" s="4"/>
      <c r="AS922" s="4"/>
      <c r="AT922" s="4"/>
      <c r="AU922" s="4"/>
    </row>
    <row r="923" spans="1:47" ht="13.2">
      <c r="A923" s="120"/>
      <c r="B923" s="113"/>
      <c r="C923" s="117"/>
      <c r="D923" s="117"/>
      <c r="E923" s="117"/>
      <c r="F923" s="123"/>
      <c r="G923" s="93" t="s">
        <v>145</v>
      </c>
      <c r="H923" s="125"/>
      <c r="I923" s="125"/>
      <c r="J923" s="82" t="str">
        <f t="shared" ca="1" si="147"/>
        <v>#REF!</v>
      </c>
      <c r="K923" s="82" t="str">
        <f t="shared" ca="1" si="256"/>
        <v>#REF!</v>
      </c>
      <c r="L923" s="82" t="str">
        <f t="shared" ca="1" si="199"/>
        <v>#REF!</v>
      </c>
      <c r="M923" s="125"/>
      <c r="N923" s="125"/>
      <c r="O923" s="230">
        <f t="shared" si="2"/>
        <v>0</v>
      </c>
      <c r="P923" s="231">
        <f t="shared" si="3"/>
        <v>0</v>
      </c>
      <c r="Q923" s="232" t="str">
        <f ca="1">ROUNDUP(HLOOKUP(IF(CEILING(L923,0.5)&lt;1,1,CEILING(L923,0.5)),'배송비 조회'!A$32:AY$36,2,0),-2)</f>
        <v>#REF!</v>
      </c>
      <c r="R923" s="232">
        <v>0</v>
      </c>
      <c r="S923" s="231" t="str">
        <f t="shared" ca="1" si="250"/>
        <v>#REF!</v>
      </c>
      <c r="T923" s="231" t="str">
        <f t="shared" ca="1" si="200"/>
        <v>#REF!</v>
      </c>
      <c r="U923" s="233" t="str">
        <f t="shared" ca="1" si="142"/>
        <v>#REF!</v>
      </c>
      <c r="V923" s="233" t="str">
        <f t="shared" ca="1" si="7"/>
        <v>#REF!</v>
      </c>
      <c r="W923" s="234">
        <v>0</v>
      </c>
      <c r="X923" s="234" t="str">
        <f t="shared" ca="1" si="8"/>
        <v>#REF!</v>
      </c>
      <c r="Y923" s="234" t="str">
        <f t="shared" ca="1" si="9"/>
        <v>#REF!</v>
      </c>
      <c r="Z923" s="234" t="str">
        <f t="shared" ca="1" si="10"/>
        <v>#REF!</v>
      </c>
      <c r="AA923" s="234" t="str">
        <f t="shared" ca="1" si="11"/>
        <v>#REF!</v>
      </c>
      <c r="AB923" s="234" t="str">
        <f t="shared" ca="1" si="12"/>
        <v>#REF!</v>
      </c>
      <c r="AC923" s="234" t="str">
        <f t="shared" ca="1" si="13"/>
        <v>#REF!</v>
      </c>
      <c r="AD923" s="101" t="str">
        <f t="shared" ca="1" si="14"/>
        <v>#REF!</v>
      </c>
      <c r="AE923" s="101" t="str">
        <f t="shared" ca="1" si="15"/>
        <v>#REF!</v>
      </c>
      <c r="AF923" s="235" t="str">
        <f t="shared" ref="AF923:AG923" ca="1" si="1000">AD923/U923</f>
        <v>#REF!</v>
      </c>
      <c r="AG923" s="235" t="str">
        <f t="shared" ca="1" si="1000"/>
        <v>#REF!</v>
      </c>
      <c r="AH923" s="212"/>
      <c r="AI923" s="213"/>
      <c r="AJ923" s="4"/>
      <c r="AK923" s="4"/>
      <c r="AL923" s="4"/>
      <c r="AM923" s="4"/>
      <c r="AN923" s="4"/>
      <c r="AO923" s="4"/>
      <c r="AP923" s="4"/>
      <c r="AQ923" s="4"/>
      <c r="AR923" s="4"/>
      <c r="AS923" s="4"/>
      <c r="AT923" s="4"/>
      <c r="AU923" s="4"/>
    </row>
    <row r="924" spans="1:47" ht="13.2">
      <c r="A924" s="120"/>
      <c r="B924" s="113"/>
      <c r="C924" s="117"/>
      <c r="D924" s="117"/>
      <c r="E924" s="117"/>
      <c r="F924" s="123"/>
      <c r="G924" s="93" t="s">
        <v>145</v>
      </c>
      <c r="H924" s="125"/>
      <c r="I924" s="125"/>
      <c r="J924" s="82" t="str">
        <f t="shared" ca="1" si="147"/>
        <v>#REF!</v>
      </c>
      <c r="K924" s="82" t="str">
        <f t="shared" ca="1" si="256"/>
        <v>#REF!</v>
      </c>
      <c r="L924" s="82" t="str">
        <f t="shared" ca="1" si="199"/>
        <v>#REF!</v>
      </c>
      <c r="M924" s="125"/>
      <c r="N924" s="125"/>
      <c r="O924" s="230">
        <f t="shared" si="2"/>
        <v>0</v>
      </c>
      <c r="P924" s="231">
        <f t="shared" si="3"/>
        <v>0</v>
      </c>
      <c r="Q924" s="232" t="str">
        <f ca="1">ROUNDUP(HLOOKUP(IF(CEILING(L924,0.5)&lt;1,1,CEILING(L924,0.5)),'배송비 조회'!A$32:AY$36,2,0),-2)</f>
        <v>#REF!</v>
      </c>
      <c r="R924" s="232">
        <v>0</v>
      </c>
      <c r="S924" s="231" t="str">
        <f t="shared" ca="1" si="250"/>
        <v>#REF!</v>
      </c>
      <c r="T924" s="231" t="str">
        <f t="shared" ca="1" si="200"/>
        <v>#REF!</v>
      </c>
      <c r="U924" s="233" t="str">
        <f t="shared" ca="1" si="142"/>
        <v>#REF!</v>
      </c>
      <c r="V924" s="233" t="str">
        <f t="shared" ca="1" si="7"/>
        <v>#REF!</v>
      </c>
      <c r="W924" s="234">
        <v>0</v>
      </c>
      <c r="X924" s="234" t="str">
        <f t="shared" ca="1" si="8"/>
        <v>#REF!</v>
      </c>
      <c r="Y924" s="234" t="str">
        <f t="shared" ca="1" si="9"/>
        <v>#REF!</v>
      </c>
      <c r="Z924" s="234" t="str">
        <f t="shared" ca="1" si="10"/>
        <v>#REF!</v>
      </c>
      <c r="AA924" s="234" t="str">
        <f t="shared" ca="1" si="11"/>
        <v>#REF!</v>
      </c>
      <c r="AB924" s="234" t="str">
        <f t="shared" ca="1" si="12"/>
        <v>#REF!</v>
      </c>
      <c r="AC924" s="234" t="str">
        <f t="shared" ca="1" si="13"/>
        <v>#REF!</v>
      </c>
      <c r="AD924" s="101" t="str">
        <f t="shared" ca="1" si="14"/>
        <v>#REF!</v>
      </c>
      <c r="AE924" s="101" t="str">
        <f t="shared" ca="1" si="15"/>
        <v>#REF!</v>
      </c>
      <c r="AF924" s="235" t="str">
        <f t="shared" ref="AF924:AG924" ca="1" si="1001">AD924/U924</f>
        <v>#REF!</v>
      </c>
      <c r="AG924" s="235" t="str">
        <f t="shared" ca="1" si="1001"/>
        <v>#REF!</v>
      </c>
      <c r="AH924" s="212"/>
      <c r="AI924" s="213"/>
      <c r="AJ924" s="4"/>
      <c r="AK924" s="4"/>
      <c r="AL924" s="4"/>
      <c r="AM924" s="4"/>
      <c r="AN924" s="4"/>
      <c r="AO924" s="4"/>
      <c r="AP924" s="4"/>
      <c r="AQ924" s="4"/>
      <c r="AR924" s="4"/>
      <c r="AS924" s="4"/>
      <c r="AT924" s="4"/>
      <c r="AU924" s="4"/>
    </row>
    <row r="925" spans="1:47" ht="13.2">
      <c r="A925" s="120"/>
      <c r="B925" s="113"/>
      <c r="C925" s="117"/>
      <c r="D925" s="117"/>
      <c r="E925" s="117"/>
      <c r="F925" s="123"/>
      <c r="G925" s="93" t="s">
        <v>145</v>
      </c>
      <c r="H925" s="125"/>
      <c r="I925" s="125"/>
      <c r="J925" s="82" t="str">
        <f t="shared" ca="1" si="147"/>
        <v>#REF!</v>
      </c>
      <c r="K925" s="82" t="str">
        <f t="shared" ca="1" si="256"/>
        <v>#REF!</v>
      </c>
      <c r="L925" s="82" t="str">
        <f t="shared" ca="1" si="199"/>
        <v>#REF!</v>
      </c>
      <c r="M925" s="125"/>
      <c r="N925" s="125"/>
      <c r="O925" s="230">
        <f t="shared" si="2"/>
        <v>0</v>
      </c>
      <c r="P925" s="231">
        <f t="shared" si="3"/>
        <v>0</v>
      </c>
      <c r="Q925" s="232" t="str">
        <f ca="1">ROUNDUP(HLOOKUP(IF(CEILING(L925,0.5)&lt;1,1,CEILING(L925,0.5)),'배송비 조회'!A$32:AY$36,2,0),-2)</f>
        <v>#REF!</v>
      </c>
      <c r="R925" s="232">
        <v>0</v>
      </c>
      <c r="S925" s="231" t="str">
        <f t="shared" ca="1" si="250"/>
        <v>#REF!</v>
      </c>
      <c r="T925" s="231" t="str">
        <f t="shared" ca="1" si="200"/>
        <v>#REF!</v>
      </c>
      <c r="U925" s="233" t="str">
        <f t="shared" ca="1" si="142"/>
        <v>#REF!</v>
      </c>
      <c r="V925" s="233" t="str">
        <f t="shared" ca="1" si="7"/>
        <v>#REF!</v>
      </c>
      <c r="W925" s="234">
        <v>0</v>
      </c>
      <c r="X925" s="234" t="str">
        <f t="shared" ca="1" si="8"/>
        <v>#REF!</v>
      </c>
      <c r="Y925" s="234" t="str">
        <f t="shared" ca="1" si="9"/>
        <v>#REF!</v>
      </c>
      <c r="Z925" s="234" t="str">
        <f t="shared" ca="1" si="10"/>
        <v>#REF!</v>
      </c>
      <c r="AA925" s="234" t="str">
        <f t="shared" ca="1" si="11"/>
        <v>#REF!</v>
      </c>
      <c r="AB925" s="234" t="str">
        <f t="shared" ca="1" si="12"/>
        <v>#REF!</v>
      </c>
      <c r="AC925" s="234" t="str">
        <f t="shared" ca="1" si="13"/>
        <v>#REF!</v>
      </c>
      <c r="AD925" s="101" t="str">
        <f t="shared" ca="1" si="14"/>
        <v>#REF!</v>
      </c>
      <c r="AE925" s="101" t="str">
        <f t="shared" ca="1" si="15"/>
        <v>#REF!</v>
      </c>
      <c r="AF925" s="235" t="str">
        <f t="shared" ref="AF925:AG925" ca="1" si="1002">AD925/U925</f>
        <v>#REF!</v>
      </c>
      <c r="AG925" s="235" t="str">
        <f t="shared" ca="1" si="1002"/>
        <v>#REF!</v>
      </c>
      <c r="AH925" s="212"/>
      <c r="AI925" s="213"/>
      <c r="AJ925" s="4"/>
      <c r="AK925" s="4"/>
      <c r="AL925" s="4"/>
      <c r="AM925" s="4"/>
      <c r="AN925" s="4"/>
      <c r="AO925" s="4"/>
      <c r="AP925" s="4"/>
      <c r="AQ925" s="4"/>
      <c r="AR925" s="4"/>
      <c r="AS925" s="4"/>
      <c r="AT925" s="4"/>
      <c r="AU925" s="4"/>
    </row>
    <row r="926" spans="1:47" ht="13.2">
      <c r="A926" s="120"/>
      <c r="B926" s="113"/>
      <c r="C926" s="117"/>
      <c r="D926" s="117"/>
      <c r="E926" s="117"/>
      <c r="F926" s="123"/>
      <c r="G926" s="93" t="s">
        <v>145</v>
      </c>
      <c r="H926" s="125"/>
      <c r="I926" s="125"/>
      <c r="J926" s="82" t="str">
        <f t="shared" ca="1" si="147"/>
        <v>#REF!</v>
      </c>
      <c r="K926" s="82" t="str">
        <f t="shared" ca="1" si="256"/>
        <v>#REF!</v>
      </c>
      <c r="L926" s="82" t="str">
        <f t="shared" ca="1" si="199"/>
        <v>#REF!</v>
      </c>
      <c r="M926" s="125"/>
      <c r="N926" s="125"/>
      <c r="O926" s="230">
        <f t="shared" si="2"/>
        <v>0</v>
      </c>
      <c r="P926" s="231">
        <f t="shared" si="3"/>
        <v>0</v>
      </c>
      <c r="Q926" s="232" t="str">
        <f ca="1">ROUNDUP(HLOOKUP(IF(CEILING(L926,0.5)&lt;1,1,CEILING(L926,0.5)),'배송비 조회'!A$32:AY$36,2,0),-2)</f>
        <v>#REF!</v>
      </c>
      <c r="R926" s="232">
        <v>0</v>
      </c>
      <c r="S926" s="231" t="str">
        <f t="shared" ca="1" si="250"/>
        <v>#REF!</v>
      </c>
      <c r="T926" s="231" t="str">
        <f t="shared" ca="1" si="200"/>
        <v>#REF!</v>
      </c>
      <c r="U926" s="233" t="str">
        <f t="shared" ca="1" si="142"/>
        <v>#REF!</v>
      </c>
      <c r="V926" s="233" t="str">
        <f t="shared" ca="1" si="7"/>
        <v>#REF!</v>
      </c>
      <c r="W926" s="234">
        <v>0</v>
      </c>
      <c r="X926" s="234" t="str">
        <f t="shared" ca="1" si="8"/>
        <v>#REF!</v>
      </c>
      <c r="Y926" s="234" t="str">
        <f t="shared" ca="1" si="9"/>
        <v>#REF!</v>
      </c>
      <c r="Z926" s="234" t="str">
        <f t="shared" ca="1" si="10"/>
        <v>#REF!</v>
      </c>
      <c r="AA926" s="234" t="str">
        <f t="shared" ca="1" si="11"/>
        <v>#REF!</v>
      </c>
      <c r="AB926" s="234" t="str">
        <f t="shared" ca="1" si="12"/>
        <v>#REF!</v>
      </c>
      <c r="AC926" s="234" t="str">
        <f t="shared" ca="1" si="13"/>
        <v>#REF!</v>
      </c>
      <c r="AD926" s="101" t="str">
        <f t="shared" ca="1" si="14"/>
        <v>#REF!</v>
      </c>
      <c r="AE926" s="101" t="str">
        <f t="shared" ca="1" si="15"/>
        <v>#REF!</v>
      </c>
      <c r="AF926" s="235" t="str">
        <f t="shared" ref="AF926:AG926" ca="1" si="1003">AD926/U926</f>
        <v>#REF!</v>
      </c>
      <c r="AG926" s="235" t="str">
        <f t="shared" ca="1" si="1003"/>
        <v>#REF!</v>
      </c>
      <c r="AH926" s="212"/>
      <c r="AI926" s="213"/>
      <c r="AJ926" s="4"/>
      <c r="AK926" s="4"/>
      <c r="AL926" s="4"/>
      <c r="AM926" s="4"/>
      <c r="AN926" s="4"/>
      <c r="AO926" s="4"/>
      <c r="AP926" s="4"/>
      <c r="AQ926" s="4"/>
      <c r="AR926" s="4"/>
      <c r="AS926" s="4"/>
      <c r="AT926" s="4"/>
      <c r="AU926" s="4"/>
    </row>
    <row r="927" spans="1:47" ht="13.2">
      <c r="A927" s="120"/>
      <c r="B927" s="113"/>
      <c r="C927" s="117"/>
      <c r="D927" s="117"/>
      <c r="E927" s="117"/>
      <c r="F927" s="123"/>
      <c r="G927" s="93" t="s">
        <v>145</v>
      </c>
      <c r="H927" s="125"/>
      <c r="I927" s="125"/>
      <c r="J927" s="82" t="str">
        <f t="shared" ca="1" si="147"/>
        <v>#REF!</v>
      </c>
      <c r="K927" s="82" t="str">
        <f t="shared" ca="1" si="256"/>
        <v>#REF!</v>
      </c>
      <c r="L927" s="82" t="str">
        <f t="shared" ca="1" si="199"/>
        <v>#REF!</v>
      </c>
      <c r="M927" s="125"/>
      <c r="N927" s="125"/>
      <c r="O927" s="230">
        <f t="shared" si="2"/>
        <v>0</v>
      </c>
      <c r="P927" s="231">
        <f t="shared" si="3"/>
        <v>0</v>
      </c>
      <c r="Q927" s="232" t="str">
        <f ca="1">ROUNDUP(HLOOKUP(IF(CEILING(L927,0.5)&lt;1,1,CEILING(L927,0.5)),'배송비 조회'!A$32:AY$36,2,0),-2)</f>
        <v>#REF!</v>
      </c>
      <c r="R927" s="232">
        <v>0</v>
      </c>
      <c r="S927" s="231" t="str">
        <f t="shared" ca="1" si="250"/>
        <v>#REF!</v>
      </c>
      <c r="T927" s="231" t="str">
        <f t="shared" ca="1" si="200"/>
        <v>#REF!</v>
      </c>
      <c r="U927" s="233" t="str">
        <f t="shared" ca="1" si="142"/>
        <v>#REF!</v>
      </c>
      <c r="V927" s="233" t="str">
        <f t="shared" ca="1" si="7"/>
        <v>#REF!</v>
      </c>
      <c r="W927" s="234">
        <v>0</v>
      </c>
      <c r="X927" s="234" t="str">
        <f t="shared" ca="1" si="8"/>
        <v>#REF!</v>
      </c>
      <c r="Y927" s="234" t="str">
        <f t="shared" ca="1" si="9"/>
        <v>#REF!</v>
      </c>
      <c r="Z927" s="234" t="str">
        <f t="shared" ca="1" si="10"/>
        <v>#REF!</v>
      </c>
      <c r="AA927" s="234" t="str">
        <f t="shared" ca="1" si="11"/>
        <v>#REF!</v>
      </c>
      <c r="AB927" s="234" t="str">
        <f t="shared" ca="1" si="12"/>
        <v>#REF!</v>
      </c>
      <c r="AC927" s="234" t="str">
        <f t="shared" ca="1" si="13"/>
        <v>#REF!</v>
      </c>
      <c r="AD927" s="101" t="str">
        <f t="shared" ca="1" si="14"/>
        <v>#REF!</v>
      </c>
      <c r="AE927" s="101" t="str">
        <f t="shared" ca="1" si="15"/>
        <v>#REF!</v>
      </c>
      <c r="AF927" s="235" t="str">
        <f t="shared" ref="AF927:AG927" ca="1" si="1004">AD927/U927</f>
        <v>#REF!</v>
      </c>
      <c r="AG927" s="235" t="str">
        <f t="shared" ca="1" si="1004"/>
        <v>#REF!</v>
      </c>
      <c r="AH927" s="212"/>
      <c r="AI927" s="213"/>
      <c r="AJ927" s="4"/>
      <c r="AK927" s="4"/>
      <c r="AL927" s="4"/>
      <c r="AM927" s="4"/>
      <c r="AN927" s="4"/>
      <c r="AO927" s="4"/>
      <c r="AP927" s="4"/>
      <c r="AQ927" s="4"/>
      <c r="AR927" s="4"/>
      <c r="AS927" s="4"/>
      <c r="AT927" s="4"/>
      <c r="AU927" s="4"/>
    </row>
    <row r="928" spans="1:47" ht="13.2">
      <c r="A928" s="120"/>
      <c r="B928" s="113"/>
      <c r="C928" s="117"/>
      <c r="D928" s="117"/>
      <c r="E928" s="117"/>
      <c r="F928" s="123"/>
      <c r="G928" s="93" t="s">
        <v>145</v>
      </c>
      <c r="H928" s="125"/>
      <c r="I928" s="125"/>
      <c r="J928" s="82" t="str">
        <f t="shared" ca="1" si="147"/>
        <v>#REF!</v>
      </c>
      <c r="K928" s="82" t="str">
        <f t="shared" ca="1" si="256"/>
        <v>#REF!</v>
      </c>
      <c r="L928" s="82" t="str">
        <f t="shared" ca="1" si="199"/>
        <v>#REF!</v>
      </c>
      <c r="M928" s="125"/>
      <c r="N928" s="125"/>
      <c r="O928" s="230">
        <f t="shared" si="2"/>
        <v>0</v>
      </c>
      <c r="P928" s="231">
        <f t="shared" si="3"/>
        <v>0</v>
      </c>
      <c r="Q928" s="232" t="str">
        <f ca="1">ROUNDUP(HLOOKUP(IF(CEILING(L928,0.5)&lt;1,1,CEILING(L928,0.5)),'배송비 조회'!A$32:AY$36,2,0),-2)</f>
        <v>#REF!</v>
      </c>
      <c r="R928" s="232">
        <v>0</v>
      </c>
      <c r="S928" s="231" t="str">
        <f t="shared" ca="1" si="250"/>
        <v>#REF!</v>
      </c>
      <c r="T928" s="231" t="str">
        <f t="shared" ca="1" si="200"/>
        <v>#REF!</v>
      </c>
      <c r="U928" s="233" t="str">
        <f t="shared" ca="1" si="142"/>
        <v>#REF!</v>
      </c>
      <c r="V928" s="233" t="str">
        <f t="shared" ca="1" si="7"/>
        <v>#REF!</v>
      </c>
      <c r="W928" s="234">
        <v>0</v>
      </c>
      <c r="X928" s="234" t="str">
        <f t="shared" ca="1" si="8"/>
        <v>#REF!</v>
      </c>
      <c r="Y928" s="234" t="str">
        <f t="shared" ca="1" si="9"/>
        <v>#REF!</v>
      </c>
      <c r="Z928" s="234" t="str">
        <f t="shared" ca="1" si="10"/>
        <v>#REF!</v>
      </c>
      <c r="AA928" s="234" t="str">
        <f t="shared" ca="1" si="11"/>
        <v>#REF!</v>
      </c>
      <c r="AB928" s="234" t="str">
        <f t="shared" ca="1" si="12"/>
        <v>#REF!</v>
      </c>
      <c r="AC928" s="234" t="str">
        <f t="shared" ca="1" si="13"/>
        <v>#REF!</v>
      </c>
      <c r="AD928" s="101" t="str">
        <f t="shared" ca="1" si="14"/>
        <v>#REF!</v>
      </c>
      <c r="AE928" s="101" t="str">
        <f t="shared" ca="1" si="15"/>
        <v>#REF!</v>
      </c>
      <c r="AF928" s="235" t="str">
        <f t="shared" ref="AF928:AG928" ca="1" si="1005">AD928/U928</f>
        <v>#REF!</v>
      </c>
      <c r="AG928" s="235" t="str">
        <f t="shared" ca="1" si="1005"/>
        <v>#REF!</v>
      </c>
      <c r="AH928" s="212"/>
      <c r="AI928" s="213"/>
      <c r="AJ928" s="4"/>
      <c r="AK928" s="4"/>
      <c r="AL928" s="4"/>
      <c r="AM928" s="4"/>
      <c r="AN928" s="4"/>
      <c r="AO928" s="4"/>
      <c r="AP928" s="4"/>
      <c r="AQ928" s="4"/>
      <c r="AR928" s="4"/>
      <c r="AS928" s="4"/>
      <c r="AT928" s="4"/>
      <c r="AU928" s="4"/>
    </row>
    <row r="929" spans="1:47" ht="13.2">
      <c r="A929" s="120"/>
      <c r="B929" s="113"/>
      <c r="C929" s="117"/>
      <c r="D929" s="117"/>
      <c r="E929" s="117"/>
      <c r="F929" s="123"/>
      <c r="G929" s="93" t="s">
        <v>145</v>
      </c>
      <c r="H929" s="125"/>
      <c r="I929" s="125"/>
      <c r="J929" s="82" t="str">
        <f t="shared" ca="1" si="147"/>
        <v>#REF!</v>
      </c>
      <c r="K929" s="82" t="str">
        <f t="shared" ca="1" si="256"/>
        <v>#REF!</v>
      </c>
      <c r="L929" s="82" t="str">
        <f t="shared" ca="1" si="199"/>
        <v>#REF!</v>
      </c>
      <c r="M929" s="125"/>
      <c r="N929" s="125"/>
      <c r="O929" s="230">
        <f t="shared" si="2"/>
        <v>0</v>
      </c>
      <c r="P929" s="231">
        <f t="shared" si="3"/>
        <v>0</v>
      </c>
      <c r="Q929" s="232" t="str">
        <f ca="1">ROUNDUP(HLOOKUP(IF(CEILING(L929,0.5)&lt;1,1,CEILING(L929,0.5)),'배송비 조회'!A$32:AY$36,2,0),-2)</f>
        <v>#REF!</v>
      </c>
      <c r="R929" s="232">
        <v>0</v>
      </c>
      <c r="S929" s="231" t="str">
        <f t="shared" ca="1" si="250"/>
        <v>#REF!</v>
      </c>
      <c r="T929" s="231" t="str">
        <f t="shared" ca="1" si="200"/>
        <v>#REF!</v>
      </c>
      <c r="U929" s="233" t="str">
        <f t="shared" ca="1" si="142"/>
        <v>#REF!</v>
      </c>
      <c r="V929" s="233" t="str">
        <f t="shared" ca="1" si="7"/>
        <v>#REF!</v>
      </c>
      <c r="W929" s="234">
        <v>0</v>
      </c>
      <c r="X929" s="234" t="str">
        <f t="shared" ca="1" si="8"/>
        <v>#REF!</v>
      </c>
      <c r="Y929" s="234" t="str">
        <f t="shared" ca="1" si="9"/>
        <v>#REF!</v>
      </c>
      <c r="Z929" s="234" t="str">
        <f t="shared" ca="1" si="10"/>
        <v>#REF!</v>
      </c>
      <c r="AA929" s="234" t="str">
        <f t="shared" ca="1" si="11"/>
        <v>#REF!</v>
      </c>
      <c r="AB929" s="234" t="str">
        <f t="shared" ca="1" si="12"/>
        <v>#REF!</v>
      </c>
      <c r="AC929" s="234" t="str">
        <f t="shared" ca="1" si="13"/>
        <v>#REF!</v>
      </c>
      <c r="AD929" s="101" t="str">
        <f t="shared" ca="1" si="14"/>
        <v>#REF!</v>
      </c>
      <c r="AE929" s="101" t="str">
        <f t="shared" ca="1" si="15"/>
        <v>#REF!</v>
      </c>
      <c r="AF929" s="235" t="str">
        <f t="shared" ref="AF929:AG929" ca="1" si="1006">AD929/U929</f>
        <v>#REF!</v>
      </c>
      <c r="AG929" s="235" t="str">
        <f t="shared" ca="1" si="1006"/>
        <v>#REF!</v>
      </c>
      <c r="AH929" s="212"/>
      <c r="AI929" s="213"/>
      <c r="AJ929" s="4"/>
      <c r="AK929" s="4"/>
      <c r="AL929" s="4"/>
      <c r="AM929" s="4"/>
      <c r="AN929" s="4"/>
      <c r="AO929" s="4"/>
      <c r="AP929" s="4"/>
      <c r="AQ929" s="4"/>
      <c r="AR929" s="4"/>
      <c r="AS929" s="4"/>
      <c r="AT929" s="4"/>
      <c r="AU929" s="4"/>
    </row>
    <row r="930" spans="1:47" ht="13.2">
      <c r="A930" s="120"/>
      <c r="B930" s="113"/>
      <c r="C930" s="117"/>
      <c r="D930" s="117"/>
      <c r="E930" s="117"/>
      <c r="F930" s="123"/>
      <c r="G930" s="93" t="s">
        <v>145</v>
      </c>
      <c r="H930" s="125"/>
      <c r="I930" s="125"/>
      <c r="J930" s="82" t="str">
        <f t="shared" ca="1" si="147"/>
        <v>#REF!</v>
      </c>
      <c r="K930" s="82" t="str">
        <f t="shared" ca="1" si="256"/>
        <v>#REF!</v>
      </c>
      <c r="L930" s="82" t="str">
        <f t="shared" ca="1" si="199"/>
        <v>#REF!</v>
      </c>
      <c r="M930" s="125"/>
      <c r="N930" s="125"/>
      <c r="O930" s="230">
        <f t="shared" si="2"/>
        <v>0</v>
      </c>
      <c r="P930" s="231">
        <f t="shared" si="3"/>
        <v>0</v>
      </c>
      <c r="Q930" s="232" t="str">
        <f ca="1">ROUNDUP(HLOOKUP(IF(CEILING(L930,0.5)&lt;1,1,CEILING(L930,0.5)),'배송비 조회'!A$32:AY$36,2,0),-2)</f>
        <v>#REF!</v>
      </c>
      <c r="R930" s="232">
        <v>0</v>
      </c>
      <c r="S930" s="231" t="str">
        <f t="shared" ca="1" si="250"/>
        <v>#REF!</v>
      </c>
      <c r="T930" s="231" t="str">
        <f t="shared" ca="1" si="200"/>
        <v>#REF!</v>
      </c>
      <c r="U930" s="233" t="str">
        <f t="shared" ca="1" si="142"/>
        <v>#REF!</v>
      </c>
      <c r="V930" s="233" t="str">
        <f t="shared" ca="1" si="7"/>
        <v>#REF!</v>
      </c>
      <c r="W930" s="234">
        <v>0</v>
      </c>
      <c r="X930" s="234" t="str">
        <f t="shared" ca="1" si="8"/>
        <v>#REF!</v>
      </c>
      <c r="Y930" s="234" t="str">
        <f t="shared" ca="1" si="9"/>
        <v>#REF!</v>
      </c>
      <c r="Z930" s="234" t="str">
        <f t="shared" ca="1" si="10"/>
        <v>#REF!</v>
      </c>
      <c r="AA930" s="234" t="str">
        <f t="shared" ca="1" si="11"/>
        <v>#REF!</v>
      </c>
      <c r="AB930" s="234" t="str">
        <f t="shared" ca="1" si="12"/>
        <v>#REF!</v>
      </c>
      <c r="AC930" s="234" t="str">
        <f t="shared" ca="1" si="13"/>
        <v>#REF!</v>
      </c>
      <c r="AD930" s="101" t="str">
        <f t="shared" ca="1" si="14"/>
        <v>#REF!</v>
      </c>
      <c r="AE930" s="101" t="str">
        <f t="shared" ca="1" si="15"/>
        <v>#REF!</v>
      </c>
      <c r="AF930" s="235" t="str">
        <f t="shared" ref="AF930:AG930" ca="1" si="1007">AD930/U930</f>
        <v>#REF!</v>
      </c>
      <c r="AG930" s="235" t="str">
        <f t="shared" ca="1" si="1007"/>
        <v>#REF!</v>
      </c>
      <c r="AH930" s="212"/>
      <c r="AI930" s="213"/>
      <c r="AJ930" s="4"/>
      <c r="AK930" s="4"/>
      <c r="AL930" s="4"/>
      <c r="AM930" s="4"/>
      <c r="AN930" s="4"/>
      <c r="AO930" s="4"/>
      <c r="AP930" s="4"/>
      <c r="AQ930" s="4"/>
      <c r="AR930" s="4"/>
      <c r="AS930" s="4"/>
      <c r="AT930" s="4"/>
      <c r="AU930" s="4"/>
    </row>
    <row r="931" spans="1:47" ht="13.2">
      <c r="A931" s="120"/>
      <c r="B931" s="113"/>
      <c r="C931" s="117"/>
      <c r="D931" s="117"/>
      <c r="E931" s="117"/>
      <c r="F931" s="123"/>
      <c r="G931" s="93" t="s">
        <v>145</v>
      </c>
      <c r="H931" s="125"/>
      <c r="I931" s="125"/>
      <c r="J931" s="82" t="str">
        <f t="shared" ca="1" si="147"/>
        <v>#REF!</v>
      </c>
      <c r="K931" s="82" t="str">
        <f t="shared" ca="1" si="256"/>
        <v>#REF!</v>
      </c>
      <c r="L931" s="82" t="str">
        <f t="shared" ca="1" si="199"/>
        <v>#REF!</v>
      </c>
      <c r="M931" s="125"/>
      <c r="N931" s="125"/>
      <c r="O931" s="230">
        <f t="shared" si="2"/>
        <v>0</v>
      </c>
      <c r="P931" s="231">
        <f t="shared" si="3"/>
        <v>0</v>
      </c>
      <c r="Q931" s="232" t="str">
        <f ca="1">ROUNDUP(HLOOKUP(IF(CEILING(L931,0.5)&lt;1,1,CEILING(L931,0.5)),'배송비 조회'!A$32:AY$36,2,0),-2)</f>
        <v>#REF!</v>
      </c>
      <c r="R931" s="232">
        <v>0</v>
      </c>
      <c r="S931" s="231" t="str">
        <f t="shared" ca="1" si="250"/>
        <v>#REF!</v>
      </c>
      <c r="T931" s="231" t="str">
        <f t="shared" ca="1" si="200"/>
        <v>#REF!</v>
      </c>
      <c r="U931" s="233" t="str">
        <f t="shared" ca="1" si="142"/>
        <v>#REF!</v>
      </c>
      <c r="V931" s="233" t="str">
        <f t="shared" ca="1" si="7"/>
        <v>#REF!</v>
      </c>
      <c r="W931" s="234">
        <v>0</v>
      </c>
      <c r="X931" s="234" t="str">
        <f t="shared" ca="1" si="8"/>
        <v>#REF!</v>
      </c>
      <c r="Y931" s="234" t="str">
        <f t="shared" ca="1" si="9"/>
        <v>#REF!</v>
      </c>
      <c r="Z931" s="234" t="str">
        <f t="shared" ca="1" si="10"/>
        <v>#REF!</v>
      </c>
      <c r="AA931" s="234" t="str">
        <f t="shared" ca="1" si="11"/>
        <v>#REF!</v>
      </c>
      <c r="AB931" s="234" t="str">
        <f t="shared" ca="1" si="12"/>
        <v>#REF!</v>
      </c>
      <c r="AC931" s="234" t="str">
        <f t="shared" ca="1" si="13"/>
        <v>#REF!</v>
      </c>
      <c r="AD931" s="101" t="str">
        <f t="shared" ca="1" si="14"/>
        <v>#REF!</v>
      </c>
      <c r="AE931" s="101" t="str">
        <f t="shared" ca="1" si="15"/>
        <v>#REF!</v>
      </c>
      <c r="AF931" s="235" t="str">
        <f t="shared" ref="AF931:AG931" ca="1" si="1008">AD931/U931</f>
        <v>#REF!</v>
      </c>
      <c r="AG931" s="235" t="str">
        <f t="shared" ca="1" si="1008"/>
        <v>#REF!</v>
      </c>
      <c r="AH931" s="212"/>
      <c r="AI931" s="213"/>
      <c r="AJ931" s="4"/>
      <c r="AK931" s="4"/>
      <c r="AL931" s="4"/>
      <c r="AM931" s="4"/>
      <c r="AN931" s="4"/>
      <c r="AO931" s="4"/>
      <c r="AP931" s="4"/>
      <c r="AQ931" s="4"/>
      <c r="AR931" s="4"/>
      <c r="AS931" s="4"/>
      <c r="AT931" s="4"/>
      <c r="AU931" s="4"/>
    </row>
    <row r="932" spans="1:47" ht="13.2">
      <c r="A932" s="120"/>
      <c r="B932" s="113"/>
      <c r="C932" s="117"/>
      <c r="D932" s="117"/>
      <c r="E932" s="117"/>
      <c r="F932" s="123"/>
      <c r="G932" s="93" t="s">
        <v>145</v>
      </c>
      <c r="H932" s="125"/>
      <c r="I932" s="125"/>
      <c r="J932" s="82" t="str">
        <f t="shared" ca="1" si="147"/>
        <v>#REF!</v>
      </c>
      <c r="K932" s="82" t="str">
        <f t="shared" ca="1" si="256"/>
        <v>#REF!</v>
      </c>
      <c r="L932" s="82" t="str">
        <f t="shared" ca="1" si="199"/>
        <v>#REF!</v>
      </c>
      <c r="M932" s="125"/>
      <c r="N932" s="125"/>
      <c r="O932" s="230">
        <f t="shared" si="2"/>
        <v>0</v>
      </c>
      <c r="P932" s="231">
        <f t="shared" si="3"/>
        <v>0</v>
      </c>
      <c r="Q932" s="232" t="str">
        <f ca="1">ROUNDUP(HLOOKUP(IF(CEILING(L932,0.5)&lt;1,1,CEILING(L932,0.5)),'배송비 조회'!A$32:AY$36,2,0),-2)</f>
        <v>#REF!</v>
      </c>
      <c r="R932" s="232">
        <v>0</v>
      </c>
      <c r="S932" s="231" t="str">
        <f t="shared" ca="1" si="250"/>
        <v>#REF!</v>
      </c>
      <c r="T932" s="231" t="str">
        <f t="shared" ca="1" si="200"/>
        <v>#REF!</v>
      </c>
      <c r="U932" s="233" t="str">
        <f t="shared" ca="1" si="142"/>
        <v>#REF!</v>
      </c>
      <c r="V932" s="233" t="str">
        <f t="shared" ca="1" si="7"/>
        <v>#REF!</v>
      </c>
      <c r="W932" s="234">
        <v>0</v>
      </c>
      <c r="X932" s="234" t="str">
        <f t="shared" ca="1" si="8"/>
        <v>#REF!</v>
      </c>
      <c r="Y932" s="234" t="str">
        <f t="shared" ca="1" si="9"/>
        <v>#REF!</v>
      </c>
      <c r="Z932" s="234" t="str">
        <f t="shared" ca="1" si="10"/>
        <v>#REF!</v>
      </c>
      <c r="AA932" s="234" t="str">
        <f t="shared" ca="1" si="11"/>
        <v>#REF!</v>
      </c>
      <c r="AB932" s="234" t="str">
        <f t="shared" ca="1" si="12"/>
        <v>#REF!</v>
      </c>
      <c r="AC932" s="234" t="str">
        <f t="shared" ca="1" si="13"/>
        <v>#REF!</v>
      </c>
      <c r="AD932" s="101" t="str">
        <f t="shared" ca="1" si="14"/>
        <v>#REF!</v>
      </c>
      <c r="AE932" s="101" t="str">
        <f t="shared" ca="1" si="15"/>
        <v>#REF!</v>
      </c>
      <c r="AF932" s="235" t="str">
        <f t="shared" ref="AF932:AG932" ca="1" si="1009">AD932/U932</f>
        <v>#REF!</v>
      </c>
      <c r="AG932" s="235" t="str">
        <f t="shared" ca="1" si="1009"/>
        <v>#REF!</v>
      </c>
      <c r="AH932" s="212"/>
      <c r="AI932" s="213"/>
      <c r="AJ932" s="4"/>
      <c r="AK932" s="4"/>
      <c r="AL932" s="4"/>
      <c r="AM932" s="4"/>
      <c r="AN932" s="4"/>
      <c r="AO932" s="4"/>
      <c r="AP932" s="4"/>
      <c r="AQ932" s="4"/>
      <c r="AR932" s="4"/>
      <c r="AS932" s="4"/>
      <c r="AT932" s="4"/>
      <c r="AU932" s="4"/>
    </row>
    <row r="933" spans="1:47" ht="13.2">
      <c r="A933" s="120"/>
      <c r="B933" s="113"/>
      <c r="C933" s="117"/>
      <c r="D933" s="117"/>
      <c r="E933" s="117"/>
      <c r="F933" s="123"/>
      <c r="G933" s="93" t="s">
        <v>145</v>
      </c>
      <c r="H933" s="125"/>
      <c r="I933" s="125"/>
      <c r="J933" s="82" t="str">
        <f t="shared" ca="1" si="147"/>
        <v>#REF!</v>
      </c>
      <c r="K933" s="82" t="str">
        <f t="shared" ca="1" si="256"/>
        <v>#REF!</v>
      </c>
      <c r="L933" s="82" t="str">
        <f t="shared" ca="1" si="199"/>
        <v>#REF!</v>
      </c>
      <c r="M933" s="125"/>
      <c r="N933" s="125"/>
      <c r="O933" s="230">
        <f t="shared" si="2"/>
        <v>0</v>
      </c>
      <c r="P933" s="231">
        <f t="shared" si="3"/>
        <v>0</v>
      </c>
      <c r="Q933" s="232" t="str">
        <f ca="1">ROUNDUP(HLOOKUP(IF(CEILING(L933,0.5)&lt;1,1,CEILING(L933,0.5)),'배송비 조회'!A$32:AY$36,2,0),-2)</f>
        <v>#REF!</v>
      </c>
      <c r="R933" s="232">
        <v>0</v>
      </c>
      <c r="S933" s="231" t="str">
        <f t="shared" ca="1" si="250"/>
        <v>#REF!</v>
      </c>
      <c r="T933" s="231" t="str">
        <f t="shared" ca="1" si="200"/>
        <v>#REF!</v>
      </c>
      <c r="U933" s="233" t="str">
        <f t="shared" ca="1" si="142"/>
        <v>#REF!</v>
      </c>
      <c r="V933" s="233" t="str">
        <f t="shared" ca="1" si="7"/>
        <v>#REF!</v>
      </c>
      <c r="W933" s="234">
        <v>0</v>
      </c>
      <c r="X933" s="234" t="str">
        <f t="shared" ca="1" si="8"/>
        <v>#REF!</v>
      </c>
      <c r="Y933" s="234" t="str">
        <f t="shared" ca="1" si="9"/>
        <v>#REF!</v>
      </c>
      <c r="Z933" s="234" t="str">
        <f t="shared" ca="1" si="10"/>
        <v>#REF!</v>
      </c>
      <c r="AA933" s="234" t="str">
        <f t="shared" ca="1" si="11"/>
        <v>#REF!</v>
      </c>
      <c r="AB933" s="234" t="str">
        <f t="shared" ca="1" si="12"/>
        <v>#REF!</v>
      </c>
      <c r="AC933" s="234" t="str">
        <f t="shared" ca="1" si="13"/>
        <v>#REF!</v>
      </c>
      <c r="AD933" s="101" t="str">
        <f t="shared" ca="1" si="14"/>
        <v>#REF!</v>
      </c>
      <c r="AE933" s="101" t="str">
        <f t="shared" ca="1" si="15"/>
        <v>#REF!</v>
      </c>
      <c r="AF933" s="235" t="str">
        <f t="shared" ref="AF933:AG933" ca="1" si="1010">AD933/U933</f>
        <v>#REF!</v>
      </c>
      <c r="AG933" s="235" t="str">
        <f t="shared" ca="1" si="1010"/>
        <v>#REF!</v>
      </c>
      <c r="AH933" s="212"/>
      <c r="AI933" s="213"/>
      <c r="AJ933" s="4"/>
      <c r="AK933" s="4"/>
      <c r="AL933" s="4"/>
      <c r="AM933" s="4"/>
      <c r="AN933" s="4"/>
      <c r="AO933" s="4"/>
      <c r="AP933" s="4"/>
      <c r="AQ933" s="4"/>
      <c r="AR933" s="4"/>
      <c r="AS933" s="4"/>
      <c r="AT933" s="4"/>
      <c r="AU933" s="4"/>
    </row>
    <row r="934" spans="1:47" ht="13.2">
      <c r="A934" s="120"/>
      <c r="B934" s="113"/>
      <c r="C934" s="117"/>
      <c r="D934" s="117"/>
      <c r="E934" s="117"/>
      <c r="F934" s="123"/>
      <c r="G934" s="93" t="s">
        <v>145</v>
      </c>
      <c r="H934" s="125"/>
      <c r="I934" s="125"/>
      <c r="J934" s="82" t="str">
        <f t="shared" ca="1" si="147"/>
        <v>#REF!</v>
      </c>
      <c r="K934" s="82" t="str">
        <f t="shared" ca="1" si="256"/>
        <v>#REF!</v>
      </c>
      <c r="L934" s="82" t="str">
        <f t="shared" ca="1" si="199"/>
        <v>#REF!</v>
      </c>
      <c r="M934" s="125"/>
      <c r="N934" s="125"/>
      <c r="O934" s="230">
        <f t="shared" si="2"/>
        <v>0</v>
      </c>
      <c r="P934" s="231">
        <f t="shared" si="3"/>
        <v>0</v>
      </c>
      <c r="Q934" s="232" t="str">
        <f ca="1">ROUNDUP(HLOOKUP(IF(CEILING(L934,0.5)&lt;1,1,CEILING(L934,0.5)),'배송비 조회'!A$32:AY$36,2,0),-2)</f>
        <v>#REF!</v>
      </c>
      <c r="R934" s="232">
        <v>0</v>
      </c>
      <c r="S934" s="231" t="str">
        <f t="shared" ca="1" si="250"/>
        <v>#REF!</v>
      </c>
      <c r="T934" s="231" t="str">
        <f t="shared" ca="1" si="200"/>
        <v>#REF!</v>
      </c>
      <c r="U934" s="233" t="str">
        <f t="shared" ca="1" si="142"/>
        <v>#REF!</v>
      </c>
      <c r="V934" s="233" t="str">
        <f t="shared" ca="1" si="7"/>
        <v>#REF!</v>
      </c>
      <c r="W934" s="234">
        <v>0</v>
      </c>
      <c r="X934" s="234" t="str">
        <f t="shared" ca="1" si="8"/>
        <v>#REF!</v>
      </c>
      <c r="Y934" s="234" t="str">
        <f t="shared" ca="1" si="9"/>
        <v>#REF!</v>
      </c>
      <c r="Z934" s="234" t="str">
        <f t="shared" ca="1" si="10"/>
        <v>#REF!</v>
      </c>
      <c r="AA934" s="234" t="str">
        <f t="shared" ca="1" si="11"/>
        <v>#REF!</v>
      </c>
      <c r="AB934" s="234" t="str">
        <f t="shared" ca="1" si="12"/>
        <v>#REF!</v>
      </c>
      <c r="AC934" s="234" t="str">
        <f t="shared" ca="1" si="13"/>
        <v>#REF!</v>
      </c>
      <c r="AD934" s="101" t="str">
        <f t="shared" ca="1" si="14"/>
        <v>#REF!</v>
      </c>
      <c r="AE934" s="101" t="str">
        <f t="shared" ca="1" si="15"/>
        <v>#REF!</v>
      </c>
      <c r="AF934" s="235" t="str">
        <f t="shared" ref="AF934:AG934" ca="1" si="1011">AD934/U934</f>
        <v>#REF!</v>
      </c>
      <c r="AG934" s="235" t="str">
        <f t="shared" ca="1" si="1011"/>
        <v>#REF!</v>
      </c>
      <c r="AH934" s="212"/>
      <c r="AI934" s="213"/>
      <c r="AJ934" s="4"/>
      <c r="AK934" s="4"/>
      <c r="AL934" s="4"/>
      <c r="AM934" s="4"/>
      <c r="AN934" s="4"/>
      <c r="AO934" s="4"/>
      <c r="AP934" s="4"/>
      <c r="AQ934" s="4"/>
      <c r="AR934" s="4"/>
      <c r="AS934" s="4"/>
      <c r="AT934" s="4"/>
      <c r="AU934" s="4"/>
    </row>
    <row r="935" spans="1:47" ht="13.2">
      <c r="A935" s="120"/>
      <c r="B935" s="113"/>
      <c r="C935" s="117"/>
      <c r="D935" s="117"/>
      <c r="E935" s="117"/>
      <c r="F935" s="123"/>
      <c r="G935" s="93" t="s">
        <v>145</v>
      </c>
      <c r="H935" s="125"/>
      <c r="I935" s="125"/>
      <c r="J935" s="82" t="str">
        <f t="shared" ca="1" si="147"/>
        <v>#REF!</v>
      </c>
      <c r="K935" s="82" t="str">
        <f t="shared" ca="1" si="256"/>
        <v>#REF!</v>
      </c>
      <c r="L935" s="82" t="str">
        <f t="shared" ca="1" si="199"/>
        <v>#REF!</v>
      </c>
      <c r="M935" s="125"/>
      <c r="N935" s="125"/>
      <c r="O935" s="230">
        <f t="shared" si="2"/>
        <v>0</v>
      </c>
      <c r="P935" s="231">
        <f t="shared" si="3"/>
        <v>0</v>
      </c>
      <c r="Q935" s="232" t="str">
        <f ca="1">ROUNDUP(HLOOKUP(IF(CEILING(L935,0.5)&lt;1,1,CEILING(L935,0.5)),'배송비 조회'!A$32:AY$36,2,0),-2)</f>
        <v>#REF!</v>
      </c>
      <c r="R935" s="232">
        <v>0</v>
      </c>
      <c r="S935" s="231" t="str">
        <f t="shared" ca="1" si="250"/>
        <v>#REF!</v>
      </c>
      <c r="T935" s="231" t="str">
        <f t="shared" ca="1" si="200"/>
        <v>#REF!</v>
      </c>
      <c r="U935" s="233" t="str">
        <f t="shared" ca="1" si="142"/>
        <v>#REF!</v>
      </c>
      <c r="V935" s="233" t="str">
        <f t="shared" ca="1" si="7"/>
        <v>#REF!</v>
      </c>
      <c r="W935" s="234">
        <v>0</v>
      </c>
      <c r="X935" s="234" t="str">
        <f t="shared" ca="1" si="8"/>
        <v>#REF!</v>
      </c>
      <c r="Y935" s="234" t="str">
        <f t="shared" ca="1" si="9"/>
        <v>#REF!</v>
      </c>
      <c r="Z935" s="234" t="str">
        <f t="shared" ca="1" si="10"/>
        <v>#REF!</v>
      </c>
      <c r="AA935" s="234" t="str">
        <f t="shared" ca="1" si="11"/>
        <v>#REF!</v>
      </c>
      <c r="AB935" s="234" t="str">
        <f t="shared" ca="1" si="12"/>
        <v>#REF!</v>
      </c>
      <c r="AC935" s="234" t="str">
        <f t="shared" ca="1" si="13"/>
        <v>#REF!</v>
      </c>
      <c r="AD935" s="101" t="str">
        <f t="shared" ca="1" si="14"/>
        <v>#REF!</v>
      </c>
      <c r="AE935" s="101" t="str">
        <f t="shared" ca="1" si="15"/>
        <v>#REF!</v>
      </c>
      <c r="AF935" s="235" t="str">
        <f t="shared" ref="AF935:AG935" ca="1" si="1012">AD935/U935</f>
        <v>#REF!</v>
      </c>
      <c r="AG935" s="235" t="str">
        <f t="shared" ca="1" si="1012"/>
        <v>#REF!</v>
      </c>
      <c r="AH935" s="212"/>
      <c r="AI935" s="213"/>
      <c r="AJ935" s="4"/>
      <c r="AK935" s="4"/>
      <c r="AL935" s="4"/>
      <c r="AM935" s="4"/>
      <c r="AN935" s="4"/>
      <c r="AO935" s="4"/>
      <c r="AP935" s="4"/>
      <c r="AQ935" s="4"/>
      <c r="AR935" s="4"/>
      <c r="AS935" s="4"/>
      <c r="AT935" s="4"/>
      <c r="AU935" s="4"/>
    </row>
    <row r="936" spans="1:47" ht="13.2">
      <c r="A936" s="120"/>
      <c r="B936" s="113"/>
      <c r="C936" s="117"/>
      <c r="D936" s="117"/>
      <c r="E936" s="117"/>
      <c r="F936" s="123"/>
      <c r="G936" s="93" t="s">
        <v>145</v>
      </c>
      <c r="H936" s="125"/>
      <c r="I936" s="125"/>
      <c r="J936" s="82" t="str">
        <f t="shared" ca="1" si="147"/>
        <v>#REF!</v>
      </c>
      <c r="K936" s="82" t="str">
        <f t="shared" ca="1" si="256"/>
        <v>#REF!</v>
      </c>
      <c r="L936" s="82" t="str">
        <f t="shared" ca="1" si="199"/>
        <v>#REF!</v>
      </c>
      <c r="M936" s="125"/>
      <c r="N936" s="125"/>
      <c r="O936" s="230">
        <f t="shared" si="2"/>
        <v>0</v>
      </c>
      <c r="P936" s="231">
        <f t="shared" si="3"/>
        <v>0</v>
      </c>
      <c r="Q936" s="232" t="str">
        <f ca="1">ROUNDUP(HLOOKUP(IF(CEILING(L936,0.5)&lt;1,1,CEILING(L936,0.5)),'배송비 조회'!A$32:AY$36,2,0),-2)</f>
        <v>#REF!</v>
      </c>
      <c r="R936" s="232">
        <v>0</v>
      </c>
      <c r="S936" s="231" t="str">
        <f t="shared" ca="1" si="250"/>
        <v>#REF!</v>
      </c>
      <c r="T936" s="231" t="str">
        <f t="shared" ca="1" si="200"/>
        <v>#REF!</v>
      </c>
      <c r="U936" s="233" t="str">
        <f t="shared" ca="1" si="142"/>
        <v>#REF!</v>
      </c>
      <c r="V936" s="233" t="str">
        <f t="shared" ca="1" si="7"/>
        <v>#REF!</v>
      </c>
      <c r="W936" s="234">
        <v>0</v>
      </c>
      <c r="X936" s="234" t="str">
        <f t="shared" ca="1" si="8"/>
        <v>#REF!</v>
      </c>
      <c r="Y936" s="234" t="str">
        <f t="shared" ca="1" si="9"/>
        <v>#REF!</v>
      </c>
      <c r="Z936" s="234" t="str">
        <f t="shared" ca="1" si="10"/>
        <v>#REF!</v>
      </c>
      <c r="AA936" s="234" t="str">
        <f t="shared" ca="1" si="11"/>
        <v>#REF!</v>
      </c>
      <c r="AB936" s="234" t="str">
        <f t="shared" ca="1" si="12"/>
        <v>#REF!</v>
      </c>
      <c r="AC936" s="234" t="str">
        <f t="shared" ca="1" si="13"/>
        <v>#REF!</v>
      </c>
      <c r="AD936" s="101" t="str">
        <f t="shared" ca="1" si="14"/>
        <v>#REF!</v>
      </c>
      <c r="AE936" s="101" t="str">
        <f t="shared" ca="1" si="15"/>
        <v>#REF!</v>
      </c>
      <c r="AF936" s="235" t="str">
        <f t="shared" ref="AF936:AG936" ca="1" si="1013">AD936/U936</f>
        <v>#REF!</v>
      </c>
      <c r="AG936" s="235" t="str">
        <f t="shared" ca="1" si="1013"/>
        <v>#REF!</v>
      </c>
      <c r="AH936" s="212"/>
      <c r="AI936" s="213"/>
      <c r="AJ936" s="4"/>
      <c r="AK936" s="4"/>
      <c r="AL936" s="4"/>
      <c r="AM936" s="4"/>
      <c r="AN936" s="4"/>
      <c r="AO936" s="4"/>
      <c r="AP936" s="4"/>
      <c r="AQ936" s="4"/>
      <c r="AR936" s="4"/>
      <c r="AS936" s="4"/>
      <c r="AT936" s="4"/>
      <c r="AU936" s="4"/>
    </row>
    <row r="937" spans="1:47" ht="13.2">
      <c r="A937" s="120"/>
      <c r="B937" s="113"/>
      <c r="C937" s="117"/>
      <c r="D937" s="117"/>
      <c r="E937" s="117"/>
      <c r="F937" s="123"/>
      <c r="G937" s="93" t="s">
        <v>145</v>
      </c>
      <c r="H937" s="125"/>
      <c r="I937" s="125"/>
      <c r="J937" s="82" t="str">
        <f t="shared" ca="1" si="147"/>
        <v>#REF!</v>
      </c>
      <c r="K937" s="82" t="str">
        <f t="shared" ca="1" si="256"/>
        <v>#REF!</v>
      </c>
      <c r="L937" s="82" t="str">
        <f t="shared" ca="1" si="199"/>
        <v>#REF!</v>
      </c>
      <c r="M937" s="125"/>
      <c r="N937" s="125"/>
      <c r="O937" s="230">
        <f t="shared" si="2"/>
        <v>0</v>
      </c>
      <c r="P937" s="231">
        <f t="shared" si="3"/>
        <v>0</v>
      </c>
      <c r="Q937" s="232" t="str">
        <f ca="1">ROUNDUP(HLOOKUP(IF(CEILING(L937,0.5)&lt;1,1,CEILING(L937,0.5)),'배송비 조회'!A$32:AY$36,2,0),-2)</f>
        <v>#REF!</v>
      </c>
      <c r="R937" s="232">
        <v>0</v>
      </c>
      <c r="S937" s="231" t="str">
        <f t="shared" ca="1" si="250"/>
        <v>#REF!</v>
      </c>
      <c r="T937" s="231" t="str">
        <f t="shared" ca="1" si="200"/>
        <v>#REF!</v>
      </c>
      <c r="U937" s="233" t="str">
        <f t="shared" ca="1" si="142"/>
        <v>#REF!</v>
      </c>
      <c r="V937" s="233" t="str">
        <f t="shared" ca="1" si="7"/>
        <v>#REF!</v>
      </c>
      <c r="W937" s="234">
        <v>0</v>
      </c>
      <c r="X937" s="234" t="str">
        <f t="shared" ca="1" si="8"/>
        <v>#REF!</v>
      </c>
      <c r="Y937" s="234" t="str">
        <f t="shared" ca="1" si="9"/>
        <v>#REF!</v>
      </c>
      <c r="Z937" s="234" t="str">
        <f t="shared" ca="1" si="10"/>
        <v>#REF!</v>
      </c>
      <c r="AA937" s="234" t="str">
        <f t="shared" ca="1" si="11"/>
        <v>#REF!</v>
      </c>
      <c r="AB937" s="234" t="str">
        <f t="shared" ca="1" si="12"/>
        <v>#REF!</v>
      </c>
      <c r="AC937" s="234" t="str">
        <f t="shared" ca="1" si="13"/>
        <v>#REF!</v>
      </c>
      <c r="AD937" s="101" t="str">
        <f t="shared" ca="1" si="14"/>
        <v>#REF!</v>
      </c>
      <c r="AE937" s="101" t="str">
        <f t="shared" ca="1" si="15"/>
        <v>#REF!</v>
      </c>
      <c r="AF937" s="235" t="str">
        <f t="shared" ref="AF937:AG937" ca="1" si="1014">AD937/U937</f>
        <v>#REF!</v>
      </c>
      <c r="AG937" s="235" t="str">
        <f t="shared" ca="1" si="1014"/>
        <v>#REF!</v>
      </c>
      <c r="AH937" s="212"/>
      <c r="AI937" s="213"/>
      <c r="AJ937" s="4"/>
      <c r="AK937" s="4"/>
      <c r="AL937" s="4"/>
      <c r="AM937" s="4"/>
      <c r="AN937" s="4"/>
      <c r="AO937" s="4"/>
      <c r="AP937" s="4"/>
      <c r="AQ937" s="4"/>
      <c r="AR937" s="4"/>
      <c r="AS937" s="4"/>
      <c r="AT937" s="4"/>
      <c r="AU937" s="4"/>
    </row>
    <row r="938" spans="1:47" ht="13.2">
      <c r="A938" s="120"/>
      <c r="B938" s="113"/>
      <c r="C938" s="117"/>
      <c r="D938" s="117"/>
      <c r="E938" s="117"/>
      <c r="F938" s="123"/>
      <c r="G938" s="93" t="s">
        <v>145</v>
      </c>
      <c r="H938" s="125"/>
      <c r="I938" s="125"/>
      <c r="J938" s="82" t="str">
        <f t="shared" ca="1" si="147"/>
        <v>#REF!</v>
      </c>
      <c r="K938" s="82" t="str">
        <f t="shared" ca="1" si="256"/>
        <v>#REF!</v>
      </c>
      <c r="L938" s="82" t="str">
        <f t="shared" ca="1" si="199"/>
        <v>#REF!</v>
      </c>
      <c r="M938" s="125"/>
      <c r="N938" s="125"/>
      <c r="O938" s="230">
        <f t="shared" si="2"/>
        <v>0</v>
      </c>
      <c r="P938" s="231">
        <f t="shared" si="3"/>
        <v>0</v>
      </c>
      <c r="Q938" s="232" t="str">
        <f ca="1">ROUNDUP(HLOOKUP(IF(CEILING(L938,0.5)&lt;1,1,CEILING(L938,0.5)),'배송비 조회'!A$32:AY$36,2,0),-2)</f>
        <v>#REF!</v>
      </c>
      <c r="R938" s="232">
        <v>0</v>
      </c>
      <c r="S938" s="231" t="str">
        <f t="shared" ca="1" si="250"/>
        <v>#REF!</v>
      </c>
      <c r="T938" s="231" t="str">
        <f t="shared" ca="1" si="200"/>
        <v>#REF!</v>
      </c>
      <c r="U938" s="233" t="str">
        <f t="shared" ca="1" si="142"/>
        <v>#REF!</v>
      </c>
      <c r="V938" s="233" t="str">
        <f t="shared" ca="1" si="7"/>
        <v>#REF!</v>
      </c>
      <c r="W938" s="234">
        <v>0</v>
      </c>
      <c r="X938" s="234" t="str">
        <f t="shared" ca="1" si="8"/>
        <v>#REF!</v>
      </c>
      <c r="Y938" s="234" t="str">
        <f t="shared" ca="1" si="9"/>
        <v>#REF!</v>
      </c>
      <c r="Z938" s="234" t="str">
        <f t="shared" ca="1" si="10"/>
        <v>#REF!</v>
      </c>
      <c r="AA938" s="234" t="str">
        <f t="shared" ca="1" si="11"/>
        <v>#REF!</v>
      </c>
      <c r="AB938" s="234" t="str">
        <f t="shared" ca="1" si="12"/>
        <v>#REF!</v>
      </c>
      <c r="AC938" s="234" t="str">
        <f t="shared" ca="1" si="13"/>
        <v>#REF!</v>
      </c>
      <c r="AD938" s="101" t="str">
        <f t="shared" ca="1" si="14"/>
        <v>#REF!</v>
      </c>
      <c r="AE938" s="101" t="str">
        <f t="shared" ca="1" si="15"/>
        <v>#REF!</v>
      </c>
      <c r="AF938" s="235" t="str">
        <f t="shared" ref="AF938:AG938" ca="1" si="1015">AD938/U938</f>
        <v>#REF!</v>
      </c>
      <c r="AG938" s="235" t="str">
        <f t="shared" ca="1" si="1015"/>
        <v>#REF!</v>
      </c>
      <c r="AH938" s="212"/>
      <c r="AI938" s="213"/>
      <c r="AJ938" s="4"/>
      <c r="AK938" s="4"/>
      <c r="AL938" s="4"/>
      <c r="AM938" s="4"/>
      <c r="AN938" s="4"/>
      <c r="AO938" s="4"/>
      <c r="AP938" s="4"/>
      <c r="AQ938" s="4"/>
      <c r="AR938" s="4"/>
      <c r="AS938" s="4"/>
      <c r="AT938" s="4"/>
      <c r="AU938" s="4"/>
    </row>
    <row r="939" spans="1:47" ht="13.2">
      <c r="A939" s="120"/>
      <c r="B939" s="113"/>
      <c r="C939" s="117"/>
      <c r="D939" s="117"/>
      <c r="E939" s="117"/>
      <c r="F939" s="123"/>
      <c r="G939" s="93" t="s">
        <v>145</v>
      </c>
      <c r="H939" s="125"/>
      <c r="I939" s="125"/>
      <c r="J939" s="82" t="str">
        <f t="shared" ca="1" si="147"/>
        <v>#REF!</v>
      </c>
      <c r="K939" s="82" t="str">
        <f t="shared" ca="1" si="256"/>
        <v>#REF!</v>
      </c>
      <c r="L939" s="82" t="str">
        <f t="shared" ca="1" si="199"/>
        <v>#REF!</v>
      </c>
      <c r="M939" s="125"/>
      <c r="N939" s="125"/>
      <c r="O939" s="230">
        <f t="shared" si="2"/>
        <v>0</v>
      </c>
      <c r="P939" s="231">
        <f t="shared" si="3"/>
        <v>0</v>
      </c>
      <c r="Q939" s="232" t="str">
        <f ca="1">ROUNDUP(HLOOKUP(IF(CEILING(L939,0.5)&lt;1,1,CEILING(L939,0.5)),'배송비 조회'!A$32:AY$36,2,0),-2)</f>
        <v>#REF!</v>
      </c>
      <c r="R939" s="232">
        <v>0</v>
      </c>
      <c r="S939" s="231" t="str">
        <f t="shared" ca="1" si="250"/>
        <v>#REF!</v>
      </c>
      <c r="T939" s="231" t="str">
        <f t="shared" ca="1" si="200"/>
        <v>#REF!</v>
      </c>
      <c r="U939" s="233" t="str">
        <f t="shared" ca="1" si="142"/>
        <v>#REF!</v>
      </c>
      <c r="V939" s="233" t="str">
        <f t="shared" ca="1" si="7"/>
        <v>#REF!</v>
      </c>
      <c r="W939" s="234">
        <v>0</v>
      </c>
      <c r="X939" s="234" t="str">
        <f t="shared" ca="1" si="8"/>
        <v>#REF!</v>
      </c>
      <c r="Y939" s="234" t="str">
        <f t="shared" ca="1" si="9"/>
        <v>#REF!</v>
      </c>
      <c r="Z939" s="234" t="str">
        <f t="shared" ca="1" si="10"/>
        <v>#REF!</v>
      </c>
      <c r="AA939" s="234" t="str">
        <f t="shared" ca="1" si="11"/>
        <v>#REF!</v>
      </c>
      <c r="AB939" s="234" t="str">
        <f t="shared" ca="1" si="12"/>
        <v>#REF!</v>
      </c>
      <c r="AC939" s="234" t="str">
        <f t="shared" ca="1" si="13"/>
        <v>#REF!</v>
      </c>
      <c r="AD939" s="101" t="str">
        <f t="shared" ca="1" si="14"/>
        <v>#REF!</v>
      </c>
      <c r="AE939" s="101" t="str">
        <f t="shared" ca="1" si="15"/>
        <v>#REF!</v>
      </c>
      <c r="AF939" s="235" t="str">
        <f t="shared" ref="AF939:AG939" ca="1" si="1016">AD939/U939</f>
        <v>#REF!</v>
      </c>
      <c r="AG939" s="235" t="str">
        <f t="shared" ca="1" si="1016"/>
        <v>#REF!</v>
      </c>
      <c r="AH939" s="212"/>
      <c r="AI939" s="213"/>
      <c r="AJ939" s="4"/>
      <c r="AK939" s="4"/>
      <c r="AL939" s="4"/>
      <c r="AM939" s="4"/>
      <c r="AN939" s="4"/>
      <c r="AO939" s="4"/>
      <c r="AP939" s="4"/>
      <c r="AQ939" s="4"/>
      <c r="AR939" s="4"/>
      <c r="AS939" s="4"/>
      <c r="AT939" s="4"/>
      <c r="AU939" s="4"/>
    </row>
    <row r="940" spans="1:47" ht="13.2">
      <c r="A940" s="120"/>
      <c r="B940" s="113"/>
      <c r="C940" s="117"/>
      <c r="D940" s="117"/>
      <c r="E940" s="117"/>
      <c r="F940" s="123"/>
      <c r="G940" s="93" t="s">
        <v>145</v>
      </c>
      <c r="H940" s="125"/>
      <c r="I940" s="125"/>
      <c r="J940" s="82" t="str">
        <f t="shared" ca="1" si="147"/>
        <v>#REF!</v>
      </c>
      <c r="K940" s="82" t="str">
        <f t="shared" ca="1" si="256"/>
        <v>#REF!</v>
      </c>
      <c r="L940" s="82" t="str">
        <f t="shared" ca="1" si="199"/>
        <v>#REF!</v>
      </c>
      <c r="M940" s="125"/>
      <c r="N940" s="125"/>
      <c r="O940" s="230">
        <f t="shared" si="2"/>
        <v>0</v>
      </c>
      <c r="P940" s="231">
        <f t="shared" si="3"/>
        <v>0</v>
      </c>
      <c r="Q940" s="232" t="str">
        <f ca="1">ROUNDUP(HLOOKUP(IF(CEILING(L940,0.5)&lt;1,1,CEILING(L940,0.5)),'배송비 조회'!A$32:AY$36,2,0),-2)</f>
        <v>#REF!</v>
      </c>
      <c r="R940" s="232">
        <v>0</v>
      </c>
      <c r="S940" s="231" t="str">
        <f t="shared" ca="1" si="250"/>
        <v>#REF!</v>
      </c>
      <c r="T940" s="231" t="str">
        <f t="shared" ca="1" si="200"/>
        <v>#REF!</v>
      </c>
      <c r="U940" s="233" t="str">
        <f t="shared" ca="1" si="142"/>
        <v>#REF!</v>
      </c>
      <c r="V940" s="233" t="str">
        <f t="shared" ca="1" si="7"/>
        <v>#REF!</v>
      </c>
      <c r="W940" s="234">
        <v>0</v>
      </c>
      <c r="X940" s="234" t="str">
        <f t="shared" ca="1" si="8"/>
        <v>#REF!</v>
      </c>
      <c r="Y940" s="234" t="str">
        <f t="shared" ca="1" si="9"/>
        <v>#REF!</v>
      </c>
      <c r="Z940" s="234" t="str">
        <f t="shared" ca="1" si="10"/>
        <v>#REF!</v>
      </c>
      <c r="AA940" s="234" t="str">
        <f t="shared" ca="1" si="11"/>
        <v>#REF!</v>
      </c>
      <c r="AB940" s="234" t="str">
        <f t="shared" ca="1" si="12"/>
        <v>#REF!</v>
      </c>
      <c r="AC940" s="234" t="str">
        <f t="shared" ca="1" si="13"/>
        <v>#REF!</v>
      </c>
      <c r="AD940" s="101" t="str">
        <f t="shared" ca="1" si="14"/>
        <v>#REF!</v>
      </c>
      <c r="AE940" s="101" t="str">
        <f t="shared" ca="1" si="15"/>
        <v>#REF!</v>
      </c>
      <c r="AF940" s="235" t="str">
        <f t="shared" ref="AF940:AG940" ca="1" si="1017">AD940/U940</f>
        <v>#REF!</v>
      </c>
      <c r="AG940" s="235" t="str">
        <f t="shared" ca="1" si="1017"/>
        <v>#REF!</v>
      </c>
      <c r="AH940" s="212"/>
      <c r="AI940" s="213"/>
      <c r="AJ940" s="4"/>
      <c r="AK940" s="4"/>
      <c r="AL940" s="4"/>
      <c r="AM940" s="4"/>
      <c r="AN940" s="4"/>
      <c r="AO940" s="4"/>
      <c r="AP940" s="4"/>
      <c r="AQ940" s="4"/>
      <c r="AR940" s="4"/>
      <c r="AS940" s="4"/>
      <c r="AT940" s="4"/>
      <c r="AU940" s="4"/>
    </row>
    <row r="941" spans="1:47" ht="13.2">
      <c r="A941" s="120"/>
      <c r="B941" s="113"/>
      <c r="C941" s="117"/>
      <c r="D941" s="117"/>
      <c r="E941" s="117"/>
      <c r="F941" s="123"/>
      <c r="G941" s="93" t="s">
        <v>145</v>
      </c>
      <c r="H941" s="125"/>
      <c r="I941" s="125"/>
      <c r="J941" s="82" t="str">
        <f t="shared" ca="1" si="147"/>
        <v>#REF!</v>
      </c>
      <c r="K941" s="82" t="str">
        <f t="shared" ca="1" si="256"/>
        <v>#REF!</v>
      </c>
      <c r="L941" s="82" t="str">
        <f t="shared" ca="1" si="199"/>
        <v>#REF!</v>
      </c>
      <c r="M941" s="125"/>
      <c r="N941" s="125"/>
      <c r="O941" s="230">
        <f t="shared" si="2"/>
        <v>0</v>
      </c>
      <c r="P941" s="231">
        <f t="shared" si="3"/>
        <v>0</v>
      </c>
      <c r="Q941" s="232" t="str">
        <f ca="1">ROUNDUP(HLOOKUP(IF(CEILING(L941,0.5)&lt;1,1,CEILING(L941,0.5)),'배송비 조회'!A$32:AY$36,2,0),-2)</f>
        <v>#REF!</v>
      </c>
      <c r="R941" s="232">
        <v>0</v>
      </c>
      <c r="S941" s="231" t="str">
        <f t="shared" ca="1" si="250"/>
        <v>#REF!</v>
      </c>
      <c r="T941" s="231" t="str">
        <f t="shared" ca="1" si="200"/>
        <v>#REF!</v>
      </c>
      <c r="U941" s="233" t="str">
        <f t="shared" ca="1" si="142"/>
        <v>#REF!</v>
      </c>
      <c r="V941" s="233" t="str">
        <f t="shared" ca="1" si="7"/>
        <v>#REF!</v>
      </c>
      <c r="W941" s="234">
        <v>0</v>
      </c>
      <c r="X941" s="234" t="str">
        <f t="shared" ca="1" si="8"/>
        <v>#REF!</v>
      </c>
      <c r="Y941" s="234" t="str">
        <f t="shared" ca="1" si="9"/>
        <v>#REF!</v>
      </c>
      <c r="Z941" s="234" t="str">
        <f t="shared" ca="1" si="10"/>
        <v>#REF!</v>
      </c>
      <c r="AA941" s="234" t="str">
        <f t="shared" ca="1" si="11"/>
        <v>#REF!</v>
      </c>
      <c r="AB941" s="234" t="str">
        <f t="shared" ca="1" si="12"/>
        <v>#REF!</v>
      </c>
      <c r="AC941" s="234" t="str">
        <f t="shared" ca="1" si="13"/>
        <v>#REF!</v>
      </c>
      <c r="AD941" s="101" t="str">
        <f t="shared" ca="1" si="14"/>
        <v>#REF!</v>
      </c>
      <c r="AE941" s="101" t="str">
        <f t="shared" ca="1" si="15"/>
        <v>#REF!</v>
      </c>
      <c r="AF941" s="235" t="str">
        <f t="shared" ref="AF941:AG941" ca="1" si="1018">AD941/U941</f>
        <v>#REF!</v>
      </c>
      <c r="AG941" s="235" t="str">
        <f t="shared" ca="1" si="1018"/>
        <v>#REF!</v>
      </c>
      <c r="AH941" s="212"/>
      <c r="AI941" s="213"/>
      <c r="AJ941" s="4"/>
      <c r="AK941" s="4"/>
      <c r="AL941" s="4"/>
      <c r="AM941" s="4"/>
      <c r="AN941" s="4"/>
      <c r="AO941" s="4"/>
      <c r="AP941" s="4"/>
      <c r="AQ941" s="4"/>
      <c r="AR941" s="4"/>
      <c r="AS941" s="4"/>
      <c r="AT941" s="4"/>
      <c r="AU941" s="4"/>
    </row>
    <row r="942" spans="1:47" ht="13.2">
      <c r="A942" s="120"/>
      <c r="B942" s="113"/>
      <c r="C942" s="117"/>
      <c r="D942" s="117"/>
      <c r="E942" s="117"/>
      <c r="F942" s="123"/>
      <c r="G942" s="93" t="s">
        <v>145</v>
      </c>
      <c r="H942" s="125"/>
      <c r="I942" s="125"/>
      <c r="J942" s="82" t="str">
        <f t="shared" ca="1" si="147"/>
        <v>#REF!</v>
      </c>
      <c r="K942" s="82" t="str">
        <f t="shared" ca="1" si="256"/>
        <v>#REF!</v>
      </c>
      <c r="L942" s="82" t="str">
        <f t="shared" ca="1" si="199"/>
        <v>#REF!</v>
      </c>
      <c r="M942" s="125"/>
      <c r="N942" s="125"/>
      <c r="O942" s="230">
        <f t="shared" si="2"/>
        <v>0</v>
      </c>
      <c r="P942" s="231">
        <f t="shared" si="3"/>
        <v>0</v>
      </c>
      <c r="Q942" s="232" t="str">
        <f ca="1">ROUNDUP(HLOOKUP(IF(CEILING(L942,0.5)&lt;1,1,CEILING(L942,0.5)),'배송비 조회'!A$32:AY$36,2,0),-2)</f>
        <v>#REF!</v>
      </c>
      <c r="R942" s="232">
        <v>0</v>
      </c>
      <c r="S942" s="231" t="str">
        <f t="shared" ca="1" si="250"/>
        <v>#REF!</v>
      </c>
      <c r="T942" s="231" t="str">
        <f t="shared" ca="1" si="200"/>
        <v>#REF!</v>
      </c>
      <c r="U942" s="233" t="str">
        <f t="shared" ca="1" si="142"/>
        <v>#REF!</v>
      </c>
      <c r="V942" s="233" t="str">
        <f t="shared" ca="1" si="7"/>
        <v>#REF!</v>
      </c>
      <c r="W942" s="234">
        <v>0</v>
      </c>
      <c r="X942" s="234" t="str">
        <f t="shared" ca="1" si="8"/>
        <v>#REF!</v>
      </c>
      <c r="Y942" s="234" t="str">
        <f t="shared" ca="1" si="9"/>
        <v>#REF!</v>
      </c>
      <c r="Z942" s="234" t="str">
        <f t="shared" ca="1" si="10"/>
        <v>#REF!</v>
      </c>
      <c r="AA942" s="234" t="str">
        <f t="shared" ca="1" si="11"/>
        <v>#REF!</v>
      </c>
      <c r="AB942" s="234" t="str">
        <f t="shared" ca="1" si="12"/>
        <v>#REF!</v>
      </c>
      <c r="AC942" s="234" t="str">
        <f t="shared" ca="1" si="13"/>
        <v>#REF!</v>
      </c>
      <c r="AD942" s="101" t="str">
        <f t="shared" ca="1" si="14"/>
        <v>#REF!</v>
      </c>
      <c r="AE942" s="101" t="str">
        <f t="shared" ca="1" si="15"/>
        <v>#REF!</v>
      </c>
      <c r="AF942" s="235" t="str">
        <f t="shared" ref="AF942:AG942" ca="1" si="1019">AD942/U942</f>
        <v>#REF!</v>
      </c>
      <c r="AG942" s="235" t="str">
        <f t="shared" ca="1" si="1019"/>
        <v>#REF!</v>
      </c>
      <c r="AH942" s="212"/>
      <c r="AI942" s="213"/>
      <c r="AJ942" s="4"/>
      <c r="AK942" s="4"/>
      <c r="AL942" s="4"/>
      <c r="AM942" s="4"/>
      <c r="AN942" s="4"/>
      <c r="AO942" s="4"/>
      <c r="AP942" s="4"/>
      <c r="AQ942" s="4"/>
      <c r="AR942" s="4"/>
      <c r="AS942" s="4"/>
      <c r="AT942" s="4"/>
      <c r="AU942" s="4"/>
    </row>
    <row r="943" spans="1:47" ht="13.2">
      <c r="A943" s="120"/>
      <c r="B943" s="113"/>
      <c r="C943" s="117"/>
      <c r="D943" s="117"/>
      <c r="E943" s="117"/>
      <c r="F943" s="123"/>
      <c r="G943" s="93" t="s">
        <v>145</v>
      </c>
      <c r="H943" s="125"/>
      <c r="I943" s="125"/>
      <c r="J943" s="82" t="str">
        <f t="shared" ca="1" si="147"/>
        <v>#REF!</v>
      </c>
      <c r="K943" s="82" t="str">
        <f t="shared" ca="1" si="256"/>
        <v>#REF!</v>
      </c>
      <c r="L943" s="82" t="str">
        <f t="shared" ca="1" si="199"/>
        <v>#REF!</v>
      </c>
      <c r="M943" s="125"/>
      <c r="N943" s="125"/>
      <c r="O943" s="230">
        <f t="shared" si="2"/>
        <v>0</v>
      </c>
      <c r="P943" s="231">
        <f t="shared" si="3"/>
        <v>0</v>
      </c>
      <c r="Q943" s="232" t="str">
        <f ca="1">ROUNDUP(HLOOKUP(IF(CEILING(L943,0.5)&lt;1,1,CEILING(L943,0.5)),'배송비 조회'!A$32:AY$36,2,0),-2)</f>
        <v>#REF!</v>
      </c>
      <c r="R943" s="232">
        <v>0</v>
      </c>
      <c r="S943" s="231" t="str">
        <f t="shared" ca="1" si="250"/>
        <v>#REF!</v>
      </c>
      <c r="T943" s="231" t="str">
        <f t="shared" ca="1" si="200"/>
        <v>#REF!</v>
      </c>
      <c r="U943" s="233" t="str">
        <f t="shared" ca="1" si="142"/>
        <v>#REF!</v>
      </c>
      <c r="V943" s="233" t="str">
        <f t="shared" ca="1" si="7"/>
        <v>#REF!</v>
      </c>
      <c r="W943" s="234">
        <v>0</v>
      </c>
      <c r="X943" s="234" t="str">
        <f t="shared" ca="1" si="8"/>
        <v>#REF!</v>
      </c>
      <c r="Y943" s="234" t="str">
        <f t="shared" ca="1" si="9"/>
        <v>#REF!</v>
      </c>
      <c r="Z943" s="234" t="str">
        <f t="shared" ca="1" si="10"/>
        <v>#REF!</v>
      </c>
      <c r="AA943" s="234" t="str">
        <f t="shared" ca="1" si="11"/>
        <v>#REF!</v>
      </c>
      <c r="AB943" s="234" t="str">
        <f t="shared" ca="1" si="12"/>
        <v>#REF!</v>
      </c>
      <c r="AC943" s="234" t="str">
        <f t="shared" ca="1" si="13"/>
        <v>#REF!</v>
      </c>
      <c r="AD943" s="101" t="str">
        <f t="shared" ca="1" si="14"/>
        <v>#REF!</v>
      </c>
      <c r="AE943" s="101" t="str">
        <f t="shared" ca="1" si="15"/>
        <v>#REF!</v>
      </c>
      <c r="AF943" s="235" t="str">
        <f t="shared" ref="AF943:AG943" ca="1" si="1020">AD943/U943</f>
        <v>#REF!</v>
      </c>
      <c r="AG943" s="235" t="str">
        <f t="shared" ca="1" si="1020"/>
        <v>#REF!</v>
      </c>
      <c r="AH943" s="212"/>
      <c r="AI943" s="213"/>
      <c r="AJ943" s="4"/>
      <c r="AK943" s="4"/>
      <c r="AL943" s="4"/>
      <c r="AM943" s="4"/>
      <c r="AN943" s="4"/>
      <c r="AO943" s="4"/>
      <c r="AP943" s="4"/>
      <c r="AQ943" s="4"/>
      <c r="AR943" s="4"/>
      <c r="AS943" s="4"/>
      <c r="AT943" s="4"/>
      <c r="AU943" s="4"/>
    </row>
    <row r="944" spans="1:47" ht="13.2">
      <c r="A944" s="120"/>
      <c r="B944" s="113"/>
      <c r="C944" s="117"/>
      <c r="D944" s="117"/>
      <c r="E944" s="117"/>
      <c r="F944" s="123"/>
      <c r="G944" s="93" t="s">
        <v>145</v>
      </c>
      <c r="H944" s="125"/>
      <c r="I944" s="125"/>
      <c r="J944" s="82" t="str">
        <f t="shared" ca="1" si="147"/>
        <v>#REF!</v>
      </c>
      <c r="K944" s="82" t="str">
        <f t="shared" ca="1" si="256"/>
        <v>#REF!</v>
      </c>
      <c r="L944" s="82" t="str">
        <f t="shared" ca="1" si="199"/>
        <v>#REF!</v>
      </c>
      <c r="M944" s="125"/>
      <c r="N944" s="125"/>
      <c r="O944" s="230">
        <f t="shared" si="2"/>
        <v>0</v>
      </c>
      <c r="P944" s="231">
        <f t="shared" si="3"/>
        <v>0</v>
      </c>
      <c r="Q944" s="232" t="str">
        <f ca="1">ROUNDUP(HLOOKUP(IF(CEILING(L944,0.5)&lt;1,1,CEILING(L944,0.5)),'배송비 조회'!A$32:AY$36,2,0),-2)</f>
        <v>#REF!</v>
      </c>
      <c r="R944" s="232">
        <v>0</v>
      </c>
      <c r="S944" s="231" t="str">
        <f t="shared" ca="1" si="250"/>
        <v>#REF!</v>
      </c>
      <c r="T944" s="231" t="str">
        <f t="shared" ca="1" si="200"/>
        <v>#REF!</v>
      </c>
      <c r="U944" s="233" t="str">
        <f t="shared" ca="1" si="142"/>
        <v>#REF!</v>
      </c>
      <c r="V944" s="233" t="str">
        <f t="shared" ca="1" si="7"/>
        <v>#REF!</v>
      </c>
      <c r="W944" s="234">
        <v>0</v>
      </c>
      <c r="X944" s="234" t="str">
        <f t="shared" ca="1" si="8"/>
        <v>#REF!</v>
      </c>
      <c r="Y944" s="234" t="str">
        <f t="shared" ca="1" si="9"/>
        <v>#REF!</v>
      </c>
      <c r="Z944" s="234" t="str">
        <f t="shared" ca="1" si="10"/>
        <v>#REF!</v>
      </c>
      <c r="AA944" s="234" t="str">
        <f t="shared" ca="1" si="11"/>
        <v>#REF!</v>
      </c>
      <c r="AB944" s="234" t="str">
        <f t="shared" ca="1" si="12"/>
        <v>#REF!</v>
      </c>
      <c r="AC944" s="234" t="str">
        <f t="shared" ca="1" si="13"/>
        <v>#REF!</v>
      </c>
      <c r="AD944" s="101" t="str">
        <f t="shared" ca="1" si="14"/>
        <v>#REF!</v>
      </c>
      <c r="AE944" s="101" t="str">
        <f t="shared" ca="1" si="15"/>
        <v>#REF!</v>
      </c>
      <c r="AF944" s="235" t="str">
        <f t="shared" ref="AF944:AG944" ca="1" si="1021">AD944/U944</f>
        <v>#REF!</v>
      </c>
      <c r="AG944" s="235" t="str">
        <f t="shared" ca="1" si="1021"/>
        <v>#REF!</v>
      </c>
      <c r="AH944" s="212"/>
      <c r="AI944" s="213"/>
      <c r="AJ944" s="4"/>
      <c r="AK944" s="4"/>
      <c r="AL944" s="4"/>
      <c r="AM944" s="4"/>
      <c r="AN944" s="4"/>
      <c r="AO944" s="4"/>
      <c r="AP944" s="4"/>
      <c r="AQ944" s="4"/>
      <c r="AR944" s="4"/>
      <c r="AS944" s="4"/>
      <c r="AT944" s="4"/>
      <c r="AU944" s="4"/>
    </row>
    <row r="945" spans="1:47" ht="13.2">
      <c r="A945" s="120"/>
      <c r="B945" s="113"/>
      <c r="C945" s="117"/>
      <c r="D945" s="117"/>
      <c r="E945" s="117"/>
      <c r="F945" s="123"/>
      <c r="G945" s="93" t="s">
        <v>145</v>
      </c>
      <c r="H945" s="125"/>
      <c r="I945" s="125"/>
      <c r="J945" s="82" t="str">
        <f t="shared" ca="1" si="147"/>
        <v>#REF!</v>
      </c>
      <c r="K945" s="82" t="str">
        <f t="shared" ca="1" si="256"/>
        <v>#REF!</v>
      </c>
      <c r="L945" s="82" t="str">
        <f t="shared" ca="1" si="199"/>
        <v>#REF!</v>
      </c>
      <c r="M945" s="125"/>
      <c r="N945" s="125"/>
      <c r="O945" s="230">
        <f t="shared" si="2"/>
        <v>0</v>
      </c>
      <c r="P945" s="231">
        <f t="shared" si="3"/>
        <v>0</v>
      </c>
      <c r="Q945" s="232" t="str">
        <f ca="1">ROUNDUP(HLOOKUP(IF(CEILING(L945,0.5)&lt;1,1,CEILING(L945,0.5)),'배송비 조회'!A$32:AY$36,2,0),-2)</f>
        <v>#REF!</v>
      </c>
      <c r="R945" s="232">
        <v>0</v>
      </c>
      <c r="S945" s="231" t="str">
        <f t="shared" ca="1" si="250"/>
        <v>#REF!</v>
      </c>
      <c r="T945" s="231" t="str">
        <f t="shared" ca="1" si="200"/>
        <v>#REF!</v>
      </c>
      <c r="U945" s="233" t="str">
        <f t="shared" ca="1" si="142"/>
        <v>#REF!</v>
      </c>
      <c r="V945" s="233" t="str">
        <f t="shared" ca="1" si="7"/>
        <v>#REF!</v>
      </c>
      <c r="W945" s="234">
        <v>0</v>
      </c>
      <c r="X945" s="234" t="str">
        <f t="shared" ca="1" si="8"/>
        <v>#REF!</v>
      </c>
      <c r="Y945" s="234" t="str">
        <f t="shared" ca="1" si="9"/>
        <v>#REF!</v>
      </c>
      <c r="Z945" s="234" t="str">
        <f t="shared" ca="1" si="10"/>
        <v>#REF!</v>
      </c>
      <c r="AA945" s="234" t="str">
        <f t="shared" ca="1" si="11"/>
        <v>#REF!</v>
      </c>
      <c r="AB945" s="234" t="str">
        <f t="shared" ca="1" si="12"/>
        <v>#REF!</v>
      </c>
      <c r="AC945" s="234" t="str">
        <f t="shared" ca="1" si="13"/>
        <v>#REF!</v>
      </c>
      <c r="AD945" s="101" t="str">
        <f t="shared" ca="1" si="14"/>
        <v>#REF!</v>
      </c>
      <c r="AE945" s="101" t="str">
        <f t="shared" ca="1" si="15"/>
        <v>#REF!</v>
      </c>
      <c r="AF945" s="235" t="str">
        <f t="shared" ref="AF945:AG945" ca="1" si="1022">AD945/U945</f>
        <v>#REF!</v>
      </c>
      <c r="AG945" s="235" t="str">
        <f t="shared" ca="1" si="1022"/>
        <v>#REF!</v>
      </c>
      <c r="AH945" s="212"/>
      <c r="AI945" s="213"/>
      <c r="AJ945" s="4"/>
      <c r="AK945" s="4"/>
      <c r="AL945" s="4"/>
      <c r="AM945" s="4"/>
      <c r="AN945" s="4"/>
      <c r="AO945" s="4"/>
      <c r="AP945" s="4"/>
      <c r="AQ945" s="4"/>
      <c r="AR945" s="4"/>
      <c r="AS945" s="4"/>
      <c r="AT945" s="4"/>
      <c r="AU945" s="4"/>
    </row>
    <row r="946" spans="1:47" ht="13.2">
      <c r="A946" s="120"/>
      <c r="B946" s="113"/>
      <c r="C946" s="117"/>
      <c r="D946" s="117"/>
      <c r="E946" s="117"/>
      <c r="F946" s="123"/>
      <c r="G946" s="93" t="s">
        <v>145</v>
      </c>
      <c r="H946" s="125"/>
      <c r="I946" s="125"/>
      <c r="J946" s="82" t="str">
        <f t="shared" ca="1" si="147"/>
        <v>#REF!</v>
      </c>
      <c r="K946" s="82" t="str">
        <f t="shared" ca="1" si="256"/>
        <v>#REF!</v>
      </c>
      <c r="L946" s="82" t="str">
        <f t="shared" ca="1" si="199"/>
        <v>#REF!</v>
      </c>
      <c r="M946" s="125"/>
      <c r="N946" s="125"/>
      <c r="O946" s="230">
        <f t="shared" si="2"/>
        <v>0</v>
      </c>
      <c r="P946" s="231">
        <f t="shared" si="3"/>
        <v>0</v>
      </c>
      <c r="Q946" s="232" t="str">
        <f ca="1">ROUNDUP(HLOOKUP(IF(CEILING(L946,0.5)&lt;1,1,CEILING(L946,0.5)),'배송비 조회'!A$32:AY$36,2,0),-2)</f>
        <v>#REF!</v>
      </c>
      <c r="R946" s="232">
        <v>0</v>
      </c>
      <c r="S946" s="231" t="str">
        <f t="shared" ca="1" si="250"/>
        <v>#REF!</v>
      </c>
      <c r="T946" s="231" t="str">
        <f t="shared" ca="1" si="200"/>
        <v>#REF!</v>
      </c>
      <c r="U946" s="233" t="str">
        <f t="shared" ca="1" si="142"/>
        <v>#REF!</v>
      </c>
      <c r="V946" s="233" t="str">
        <f t="shared" ca="1" si="7"/>
        <v>#REF!</v>
      </c>
      <c r="W946" s="234">
        <v>0</v>
      </c>
      <c r="X946" s="234" t="str">
        <f t="shared" ca="1" si="8"/>
        <v>#REF!</v>
      </c>
      <c r="Y946" s="234" t="str">
        <f t="shared" ca="1" si="9"/>
        <v>#REF!</v>
      </c>
      <c r="Z946" s="234" t="str">
        <f t="shared" ca="1" si="10"/>
        <v>#REF!</v>
      </c>
      <c r="AA946" s="234" t="str">
        <f t="shared" ca="1" si="11"/>
        <v>#REF!</v>
      </c>
      <c r="AB946" s="234" t="str">
        <f t="shared" ca="1" si="12"/>
        <v>#REF!</v>
      </c>
      <c r="AC946" s="234" t="str">
        <f t="shared" ca="1" si="13"/>
        <v>#REF!</v>
      </c>
      <c r="AD946" s="101" t="str">
        <f t="shared" ca="1" si="14"/>
        <v>#REF!</v>
      </c>
      <c r="AE946" s="101" t="str">
        <f t="shared" ca="1" si="15"/>
        <v>#REF!</v>
      </c>
      <c r="AF946" s="235" t="str">
        <f t="shared" ref="AF946:AG946" ca="1" si="1023">AD946/U946</f>
        <v>#REF!</v>
      </c>
      <c r="AG946" s="235" t="str">
        <f t="shared" ca="1" si="1023"/>
        <v>#REF!</v>
      </c>
      <c r="AH946" s="212"/>
      <c r="AI946" s="213"/>
      <c r="AJ946" s="4"/>
      <c r="AK946" s="4"/>
      <c r="AL946" s="4"/>
      <c r="AM946" s="4"/>
      <c r="AN946" s="4"/>
      <c r="AO946" s="4"/>
      <c r="AP946" s="4"/>
      <c r="AQ946" s="4"/>
      <c r="AR946" s="4"/>
      <c r="AS946" s="4"/>
      <c r="AT946" s="4"/>
      <c r="AU946" s="4"/>
    </row>
    <row r="947" spans="1:47" ht="13.2">
      <c r="A947" s="120"/>
      <c r="B947" s="113"/>
      <c r="C947" s="117"/>
      <c r="D947" s="117"/>
      <c r="E947" s="117"/>
      <c r="F947" s="123"/>
      <c r="G947" s="93" t="s">
        <v>145</v>
      </c>
      <c r="H947" s="125"/>
      <c r="I947" s="125"/>
      <c r="J947" s="82" t="str">
        <f t="shared" ca="1" si="147"/>
        <v>#REF!</v>
      </c>
      <c r="K947" s="82" t="str">
        <f t="shared" ca="1" si="256"/>
        <v>#REF!</v>
      </c>
      <c r="L947" s="82" t="str">
        <f t="shared" ca="1" si="199"/>
        <v>#REF!</v>
      </c>
      <c r="M947" s="125"/>
      <c r="N947" s="125"/>
      <c r="O947" s="230">
        <f t="shared" si="2"/>
        <v>0</v>
      </c>
      <c r="P947" s="231">
        <f t="shared" si="3"/>
        <v>0</v>
      </c>
      <c r="Q947" s="232" t="str">
        <f ca="1">ROUNDUP(HLOOKUP(IF(CEILING(L947,0.5)&lt;1,1,CEILING(L947,0.5)),'배송비 조회'!A$32:AY$36,2,0),-2)</f>
        <v>#REF!</v>
      </c>
      <c r="R947" s="232">
        <v>0</v>
      </c>
      <c r="S947" s="231" t="str">
        <f t="shared" ca="1" si="250"/>
        <v>#REF!</v>
      </c>
      <c r="T947" s="231" t="str">
        <f t="shared" ca="1" si="200"/>
        <v>#REF!</v>
      </c>
      <c r="U947" s="233" t="str">
        <f t="shared" ca="1" si="142"/>
        <v>#REF!</v>
      </c>
      <c r="V947" s="233" t="str">
        <f t="shared" ca="1" si="7"/>
        <v>#REF!</v>
      </c>
      <c r="W947" s="234">
        <v>0</v>
      </c>
      <c r="X947" s="234" t="str">
        <f t="shared" ca="1" si="8"/>
        <v>#REF!</v>
      </c>
      <c r="Y947" s="234" t="str">
        <f t="shared" ca="1" si="9"/>
        <v>#REF!</v>
      </c>
      <c r="Z947" s="234" t="str">
        <f t="shared" ca="1" si="10"/>
        <v>#REF!</v>
      </c>
      <c r="AA947" s="234" t="str">
        <f t="shared" ca="1" si="11"/>
        <v>#REF!</v>
      </c>
      <c r="AB947" s="234" t="str">
        <f t="shared" ca="1" si="12"/>
        <v>#REF!</v>
      </c>
      <c r="AC947" s="234" t="str">
        <f t="shared" ca="1" si="13"/>
        <v>#REF!</v>
      </c>
      <c r="AD947" s="101" t="str">
        <f t="shared" ca="1" si="14"/>
        <v>#REF!</v>
      </c>
      <c r="AE947" s="101" t="str">
        <f t="shared" ca="1" si="15"/>
        <v>#REF!</v>
      </c>
      <c r="AF947" s="235" t="str">
        <f t="shared" ref="AF947:AG947" ca="1" si="1024">AD947/U947</f>
        <v>#REF!</v>
      </c>
      <c r="AG947" s="235" t="str">
        <f t="shared" ca="1" si="1024"/>
        <v>#REF!</v>
      </c>
      <c r="AH947" s="212"/>
      <c r="AI947" s="213"/>
      <c r="AJ947" s="4"/>
      <c r="AK947" s="4"/>
      <c r="AL947" s="4"/>
      <c r="AM947" s="4"/>
      <c r="AN947" s="4"/>
      <c r="AO947" s="4"/>
      <c r="AP947" s="4"/>
      <c r="AQ947" s="4"/>
      <c r="AR947" s="4"/>
      <c r="AS947" s="4"/>
      <c r="AT947" s="4"/>
      <c r="AU947" s="4"/>
    </row>
    <row r="948" spans="1:47" ht="13.2">
      <c r="A948" s="120"/>
      <c r="B948" s="113"/>
      <c r="C948" s="117"/>
      <c r="D948" s="117"/>
      <c r="E948" s="117"/>
      <c r="F948" s="123"/>
      <c r="G948" s="93" t="s">
        <v>145</v>
      </c>
      <c r="H948" s="125"/>
      <c r="I948" s="125"/>
      <c r="J948" s="82" t="str">
        <f t="shared" ca="1" si="147"/>
        <v>#REF!</v>
      </c>
      <c r="K948" s="82" t="str">
        <f t="shared" ca="1" si="256"/>
        <v>#REF!</v>
      </c>
      <c r="L948" s="82" t="str">
        <f t="shared" ca="1" si="199"/>
        <v>#REF!</v>
      </c>
      <c r="M948" s="125"/>
      <c r="N948" s="125"/>
      <c r="O948" s="230">
        <f t="shared" si="2"/>
        <v>0</v>
      </c>
      <c r="P948" s="231">
        <f t="shared" si="3"/>
        <v>0</v>
      </c>
      <c r="Q948" s="232" t="str">
        <f ca="1">ROUNDUP(HLOOKUP(IF(CEILING(L948,0.5)&lt;1,1,CEILING(L948,0.5)),'배송비 조회'!A$32:AY$36,2,0),-2)</f>
        <v>#REF!</v>
      </c>
      <c r="R948" s="232">
        <v>0</v>
      </c>
      <c r="S948" s="231" t="str">
        <f t="shared" ca="1" si="250"/>
        <v>#REF!</v>
      </c>
      <c r="T948" s="231" t="str">
        <f t="shared" ca="1" si="200"/>
        <v>#REF!</v>
      </c>
      <c r="U948" s="233" t="str">
        <f t="shared" ca="1" si="142"/>
        <v>#REF!</v>
      </c>
      <c r="V948" s="233" t="str">
        <f t="shared" ca="1" si="7"/>
        <v>#REF!</v>
      </c>
      <c r="W948" s="234">
        <v>0</v>
      </c>
      <c r="X948" s="234" t="str">
        <f t="shared" ca="1" si="8"/>
        <v>#REF!</v>
      </c>
      <c r="Y948" s="234" t="str">
        <f t="shared" ca="1" si="9"/>
        <v>#REF!</v>
      </c>
      <c r="Z948" s="234" t="str">
        <f t="shared" ca="1" si="10"/>
        <v>#REF!</v>
      </c>
      <c r="AA948" s="234" t="str">
        <f t="shared" ca="1" si="11"/>
        <v>#REF!</v>
      </c>
      <c r="AB948" s="234" t="str">
        <f t="shared" ca="1" si="12"/>
        <v>#REF!</v>
      </c>
      <c r="AC948" s="234" t="str">
        <f t="shared" ca="1" si="13"/>
        <v>#REF!</v>
      </c>
      <c r="AD948" s="101" t="str">
        <f t="shared" ca="1" si="14"/>
        <v>#REF!</v>
      </c>
      <c r="AE948" s="101" t="str">
        <f t="shared" ca="1" si="15"/>
        <v>#REF!</v>
      </c>
      <c r="AF948" s="235" t="str">
        <f t="shared" ref="AF948:AG948" ca="1" si="1025">AD948/U948</f>
        <v>#REF!</v>
      </c>
      <c r="AG948" s="235" t="str">
        <f t="shared" ca="1" si="1025"/>
        <v>#REF!</v>
      </c>
      <c r="AH948" s="212"/>
      <c r="AI948" s="213"/>
      <c r="AJ948" s="4"/>
      <c r="AK948" s="4"/>
      <c r="AL948" s="4"/>
      <c r="AM948" s="4"/>
      <c r="AN948" s="4"/>
      <c r="AO948" s="4"/>
      <c r="AP948" s="4"/>
      <c r="AQ948" s="4"/>
      <c r="AR948" s="4"/>
      <c r="AS948" s="4"/>
      <c r="AT948" s="4"/>
      <c r="AU948" s="4"/>
    </row>
    <row r="949" spans="1:47" ht="13.2">
      <c r="A949" s="120"/>
      <c r="B949" s="113"/>
      <c r="C949" s="117"/>
      <c r="D949" s="117"/>
      <c r="E949" s="117"/>
      <c r="F949" s="123"/>
      <c r="G949" s="93" t="s">
        <v>145</v>
      </c>
      <c r="H949" s="125"/>
      <c r="I949" s="125"/>
      <c r="J949" s="82" t="str">
        <f t="shared" ca="1" si="147"/>
        <v>#REF!</v>
      </c>
      <c r="K949" s="82" t="str">
        <f t="shared" ca="1" si="256"/>
        <v>#REF!</v>
      </c>
      <c r="L949" s="82" t="str">
        <f t="shared" ca="1" si="199"/>
        <v>#REF!</v>
      </c>
      <c r="M949" s="125"/>
      <c r="N949" s="125"/>
      <c r="O949" s="230">
        <f t="shared" si="2"/>
        <v>0</v>
      </c>
      <c r="P949" s="231">
        <f t="shared" si="3"/>
        <v>0</v>
      </c>
      <c r="Q949" s="232" t="str">
        <f ca="1">ROUNDUP(HLOOKUP(IF(CEILING(L949,0.5)&lt;1,1,CEILING(L949,0.5)),'배송비 조회'!A$32:AY$36,2,0),-2)</f>
        <v>#REF!</v>
      </c>
      <c r="R949" s="232">
        <v>0</v>
      </c>
      <c r="S949" s="231" t="str">
        <f t="shared" ca="1" si="250"/>
        <v>#REF!</v>
      </c>
      <c r="T949" s="231" t="str">
        <f t="shared" ca="1" si="200"/>
        <v>#REF!</v>
      </c>
      <c r="U949" s="233" t="str">
        <f t="shared" ca="1" si="142"/>
        <v>#REF!</v>
      </c>
      <c r="V949" s="233" t="str">
        <f t="shared" ca="1" si="7"/>
        <v>#REF!</v>
      </c>
      <c r="W949" s="234">
        <v>0</v>
      </c>
      <c r="X949" s="234" t="str">
        <f t="shared" ca="1" si="8"/>
        <v>#REF!</v>
      </c>
      <c r="Y949" s="234" t="str">
        <f t="shared" ca="1" si="9"/>
        <v>#REF!</v>
      </c>
      <c r="Z949" s="234" t="str">
        <f t="shared" ca="1" si="10"/>
        <v>#REF!</v>
      </c>
      <c r="AA949" s="234" t="str">
        <f t="shared" ca="1" si="11"/>
        <v>#REF!</v>
      </c>
      <c r="AB949" s="234" t="str">
        <f t="shared" ca="1" si="12"/>
        <v>#REF!</v>
      </c>
      <c r="AC949" s="234" t="str">
        <f t="shared" ca="1" si="13"/>
        <v>#REF!</v>
      </c>
      <c r="AD949" s="101" t="str">
        <f t="shared" ca="1" si="14"/>
        <v>#REF!</v>
      </c>
      <c r="AE949" s="101" t="str">
        <f t="shared" ca="1" si="15"/>
        <v>#REF!</v>
      </c>
      <c r="AF949" s="235" t="str">
        <f t="shared" ref="AF949:AG949" ca="1" si="1026">AD949/U949</f>
        <v>#REF!</v>
      </c>
      <c r="AG949" s="235" t="str">
        <f t="shared" ca="1" si="1026"/>
        <v>#REF!</v>
      </c>
      <c r="AH949" s="212"/>
      <c r="AI949" s="213"/>
      <c r="AJ949" s="4"/>
      <c r="AK949" s="4"/>
      <c r="AL949" s="4"/>
      <c r="AM949" s="4"/>
      <c r="AN949" s="4"/>
      <c r="AO949" s="4"/>
      <c r="AP949" s="4"/>
      <c r="AQ949" s="4"/>
      <c r="AR949" s="4"/>
      <c r="AS949" s="4"/>
      <c r="AT949" s="4"/>
      <c r="AU949" s="4"/>
    </row>
    <row r="950" spans="1:47" ht="13.2">
      <c r="A950" s="120"/>
      <c r="B950" s="113"/>
      <c r="C950" s="117"/>
      <c r="D950" s="117"/>
      <c r="E950" s="117"/>
      <c r="F950" s="123"/>
      <c r="G950" s="93" t="s">
        <v>145</v>
      </c>
      <c r="H950" s="125"/>
      <c r="I950" s="125"/>
      <c r="J950" s="82" t="str">
        <f t="shared" ca="1" si="147"/>
        <v>#REF!</v>
      </c>
      <c r="K950" s="82" t="str">
        <f t="shared" ca="1" si="256"/>
        <v>#REF!</v>
      </c>
      <c r="L950" s="82" t="str">
        <f t="shared" ca="1" si="199"/>
        <v>#REF!</v>
      </c>
      <c r="M950" s="125"/>
      <c r="N950" s="125"/>
      <c r="O950" s="230">
        <f t="shared" si="2"/>
        <v>0</v>
      </c>
      <c r="P950" s="231">
        <f t="shared" si="3"/>
        <v>0</v>
      </c>
      <c r="Q950" s="232" t="str">
        <f ca="1">ROUNDUP(HLOOKUP(IF(CEILING(L950,0.5)&lt;1,1,CEILING(L950,0.5)),'배송비 조회'!A$32:AY$36,2,0),-2)</f>
        <v>#REF!</v>
      </c>
      <c r="R950" s="232">
        <v>0</v>
      </c>
      <c r="S950" s="231" t="str">
        <f t="shared" ca="1" si="250"/>
        <v>#REF!</v>
      </c>
      <c r="T950" s="231" t="str">
        <f t="shared" ca="1" si="200"/>
        <v>#REF!</v>
      </c>
      <c r="U950" s="233" t="str">
        <f t="shared" ca="1" si="142"/>
        <v>#REF!</v>
      </c>
      <c r="V950" s="233" t="str">
        <f t="shared" ca="1" si="7"/>
        <v>#REF!</v>
      </c>
      <c r="W950" s="234">
        <v>0</v>
      </c>
      <c r="X950" s="234" t="str">
        <f t="shared" ca="1" si="8"/>
        <v>#REF!</v>
      </c>
      <c r="Y950" s="234" t="str">
        <f t="shared" ca="1" si="9"/>
        <v>#REF!</v>
      </c>
      <c r="Z950" s="234" t="str">
        <f t="shared" ca="1" si="10"/>
        <v>#REF!</v>
      </c>
      <c r="AA950" s="234" t="str">
        <f t="shared" ca="1" si="11"/>
        <v>#REF!</v>
      </c>
      <c r="AB950" s="234" t="str">
        <f t="shared" ca="1" si="12"/>
        <v>#REF!</v>
      </c>
      <c r="AC950" s="234" t="str">
        <f t="shared" ca="1" si="13"/>
        <v>#REF!</v>
      </c>
      <c r="AD950" s="101" t="str">
        <f t="shared" ca="1" si="14"/>
        <v>#REF!</v>
      </c>
      <c r="AE950" s="101" t="str">
        <f t="shared" ca="1" si="15"/>
        <v>#REF!</v>
      </c>
      <c r="AF950" s="235" t="str">
        <f t="shared" ref="AF950:AG950" ca="1" si="1027">AD950/U950</f>
        <v>#REF!</v>
      </c>
      <c r="AG950" s="235" t="str">
        <f t="shared" ca="1" si="1027"/>
        <v>#REF!</v>
      </c>
      <c r="AH950" s="212"/>
      <c r="AI950" s="213"/>
      <c r="AJ950" s="4"/>
      <c r="AK950" s="4"/>
      <c r="AL950" s="4"/>
      <c r="AM950" s="4"/>
      <c r="AN950" s="4"/>
      <c r="AO950" s="4"/>
      <c r="AP950" s="4"/>
      <c r="AQ950" s="4"/>
      <c r="AR950" s="4"/>
      <c r="AS950" s="4"/>
      <c r="AT950" s="4"/>
      <c r="AU950" s="4"/>
    </row>
    <row r="951" spans="1:47" ht="13.2">
      <c r="A951" s="120"/>
      <c r="B951" s="113"/>
      <c r="C951" s="117"/>
      <c r="D951" s="117"/>
      <c r="E951" s="117"/>
      <c r="F951" s="123"/>
      <c r="G951" s="93" t="s">
        <v>145</v>
      </c>
      <c r="H951" s="125"/>
      <c r="I951" s="125"/>
      <c r="J951" s="82" t="str">
        <f t="shared" ca="1" si="147"/>
        <v>#REF!</v>
      </c>
      <c r="K951" s="82" t="str">
        <f t="shared" ca="1" si="256"/>
        <v>#REF!</v>
      </c>
      <c r="L951" s="82" t="str">
        <f t="shared" ca="1" si="199"/>
        <v>#REF!</v>
      </c>
      <c r="M951" s="125"/>
      <c r="N951" s="125"/>
      <c r="O951" s="230">
        <f t="shared" si="2"/>
        <v>0</v>
      </c>
      <c r="P951" s="231">
        <f t="shared" si="3"/>
        <v>0</v>
      </c>
      <c r="Q951" s="232" t="str">
        <f ca="1">ROUNDUP(HLOOKUP(IF(CEILING(L951,0.5)&lt;1,1,CEILING(L951,0.5)),'배송비 조회'!A$32:AY$36,2,0),-2)</f>
        <v>#REF!</v>
      </c>
      <c r="R951" s="232">
        <v>0</v>
      </c>
      <c r="S951" s="231" t="str">
        <f t="shared" ca="1" si="250"/>
        <v>#REF!</v>
      </c>
      <c r="T951" s="231" t="str">
        <f t="shared" ca="1" si="200"/>
        <v>#REF!</v>
      </c>
      <c r="U951" s="233" t="str">
        <f t="shared" ca="1" si="142"/>
        <v>#REF!</v>
      </c>
      <c r="V951" s="233" t="str">
        <f t="shared" ca="1" si="7"/>
        <v>#REF!</v>
      </c>
      <c r="W951" s="234">
        <v>0</v>
      </c>
      <c r="X951" s="234" t="str">
        <f t="shared" ca="1" si="8"/>
        <v>#REF!</v>
      </c>
      <c r="Y951" s="234" t="str">
        <f t="shared" ca="1" si="9"/>
        <v>#REF!</v>
      </c>
      <c r="Z951" s="234" t="str">
        <f t="shared" ca="1" si="10"/>
        <v>#REF!</v>
      </c>
      <c r="AA951" s="234" t="str">
        <f t="shared" ca="1" si="11"/>
        <v>#REF!</v>
      </c>
      <c r="AB951" s="234" t="str">
        <f t="shared" ca="1" si="12"/>
        <v>#REF!</v>
      </c>
      <c r="AC951" s="234" t="str">
        <f t="shared" ca="1" si="13"/>
        <v>#REF!</v>
      </c>
      <c r="AD951" s="101" t="str">
        <f t="shared" ca="1" si="14"/>
        <v>#REF!</v>
      </c>
      <c r="AE951" s="101" t="str">
        <f t="shared" ca="1" si="15"/>
        <v>#REF!</v>
      </c>
      <c r="AF951" s="235" t="str">
        <f t="shared" ref="AF951:AG951" ca="1" si="1028">AD951/U951</f>
        <v>#REF!</v>
      </c>
      <c r="AG951" s="235" t="str">
        <f t="shared" ca="1" si="1028"/>
        <v>#REF!</v>
      </c>
      <c r="AH951" s="212"/>
      <c r="AI951" s="213"/>
      <c r="AJ951" s="4"/>
      <c r="AK951" s="4"/>
      <c r="AL951" s="4"/>
      <c r="AM951" s="4"/>
      <c r="AN951" s="4"/>
      <c r="AO951" s="4"/>
      <c r="AP951" s="4"/>
      <c r="AQ951" s="4"/>
      <c r="AR951" s="4"/>
      <c r="AS951" s="4"/>
      <c r="AT951" s="4"/>
      <c r="AU951" s="4"/>
    </row>
    <row r="952" spans="1:47" ht="13.2">
      <c r="A952" s="120"/>
      <c r="B952" s="113"/>
      <c r="C952" s="117"/>
      <c r="D952" s="117"/>
      <c r="E952" s="117"/>
      <c r="F952" s="123"/>
      <c r="G952" s="93" t="s">
        <v>145</v>
      </c>
      <c r="H952" s="125"/>
      <c r="I952" s="125"/>
      <c r="J952" s="82" t="str">
        <f t="shared" ca="1" si="147"/>
        <v>#REF!</v>
      </c>
      <c r="K952" s="82" t="str">
        <f t="shared" ca="1" si="256"/>
        <v>#REF!</v>
      </c>
      <c r="L952" s="82" t="str">
        <f t="shared" ca="1" si="199"/>
        <v>#REF!</v>
      </c>
      <c r="M952" s="125"/>
      <c r="N952" s="125"/>
      <c r="O952" s="230">
        <f t="shared" si="2"/>
        <v>0</v>
      </c>
      <c r="P952" s="231">
        <f t="shared" si="3"/>
        <v>0</v>
      </c>
      <c r="Q952" s="232" t="str">
        <f ca="1">ROUNDUP(HLOOKUP(IF(CEILING(L952,0.5)&lt;1,1,CEILING(L952,0.5)),'배송비 조회'!A$32:AY$36,2,0),-2)</f>
        <v>#REF!</v>
      </c>
      <c r="R952" s="232">
        <v>0</v>
      </c>
      <c r="S952" s="231" t="str">
        <f t="shared" ca="1" si="250"/>
        <v>#REF!</v>
      </c>
      <c r="T952" s="231" t="str">
        <f t="shared" ca="1" si="200"/>
        <v>#REF!</v>
      </c>
      <c r="U952" s="233" t="str">
        <f t="shared" ca="1" si="142"/>
        <v>#REF!</v>
      </c>
      <c r="V952" s="233" t="str">
        <f t="shared" ca="1" si="7"/>
        <v>#REF!</v>
      </c>
      <c r="W952" s="234">
        <v>0</v>
      </c>
      <c r="X952" s="234" t="str">
        <f t="shared" ca="1" si="8"/>
        <v>#REF!</v>
      </c>
      <c r="Y952" s="234" t="str">
        <f t="shared" ca="1" si="9"/>
        <v>#REF!</v>
      </c>
      <c r="Z952" s="234" t="str">
        <f t="shared" ca="1" si="10"/>
        <v>#REF!</v>
      </c>
      <c r="AA952" s="234" t="str">
        <f t="shared" ca="1" si="11"/>
        <v>#REF!</v>
      </c>
      <c r="AB952" s="234" t="str">
        <f t="shared" ca="1" si="12"/>
        <v>#REF!</v>
      </c>
      <c r="AC952" s="234" t="str">
        <f t="shared" ca="1" si="13"/>
        <v>#REF!</v>
      </c>
      <c r="AD952" s="101" t="str">
        <f t="shared" ca="1" si="14"/>
        <v>#REF!</v>
      </c>
      <c r="AE952" s="101" t="str">
        <f t="shared" ca="1" si="15"/>
        <v>#REF!</v>
      </c>
      <c r="AF952" s="235" t="str">
        <f t="shared" ref="AF952:AG952" ca="1" si="1029">AD952/U952</f>
        <v>#REF!</v>
      </c>
      <c r="AG952" s="235" t="str">
        <f t="shared" ca="1" si="1029"/>
        <v>#REF!</v>
      </c>
      <c r="AH952" s="212"/>
      <c r="AI952" s="213"/>
      <c r="AJ952" s="4"/>
      <c r="AK952" s="4"/>
      <c r="AL952" s="4"/>
      <c r="AM952" s="4"/>
      <c r="AN952" s="4"/>
      <c r="AO952" s="4"/>
      <c r="AP952" s="4"/>
      <c r="AQ952" s="4"/>
      <c r="AR952" s="4"/>
      <c r="AS952" s="4"/>
      <c r="AT952" s="4"/>
      <c r="AU952" s="4"/>
    </row>
    <row r="953" spans="1:47" ht="13.2">
      <c r="A953" s="120"/>
      <c r="B953" s="113"/>
      <c r="C953" s="117"/>
      <c r="D953" s="117"/>
      <c r="E953" s="117"/>
      <c r="F953" s="123"/>
      <c r="G953" s="93" t="s">
        <v>145</v>
      </c>
      <c r="H953" s="125"/>
      <c r="I953" s="125"/>
      <c r="J953" s="82" t="str">
        <f t="shared" ca="1" si="147"/>
        <v>#REF!</v>
      </c>
      <c r="K953" s="82" t="str">
        <f t="shared" ca="1" si="256"/>
        <v>#REF!</v>
      </c>
      <c r="L953" s="82" t="str">
        <f t="shared" ca="1" si="199"/>
        <v>#REF!</v>
      </c>
      <c r="M953" s="125"/>
      <c r="N953" s="125"/>
      <c r="O953" s="230">
        <f t="shared" si="2"/>
        <v>0</v>
      </c>
      <c r="P953" s="231">
        <f t="shared" si="3"/>
        <v>0</v>
      </c>
      <c r="Q953" s="232" t="str">
        <f ca="1">ROUNDUP(HLOOKUP(IF(CEILING(L953,0.5)&lt;1,1,CEILING(L953,0.5)),'배송비 조회'!A$32:AY$36,2,0),-2)</f>
        <v>#REF!</v>
      </c>
      <c r="R953" s="232">
        <v>0</v>
      </c>
      <c r="S953" s="231" t="str">
        <f t="shared" ca="1" si="250"/>
        <v>#REF!</v>
      </c>
      <c r="T953" s="231" t="str">
        <f t="shared" ca="1" si="200"/>
        <v>#REF!</v>
      </c>
      <c r="U953" s="233" t="str">
        <f t="shared" ca="1" si="142"/>
        <v>#REF!</v>
      </c>
      <c r="V953" s="233" t="str">
        <f t="shared" ca="1" si="7"/>
        <v>#REF!</v>
      </c>
      <c r="W953" s="234">
        <v>0</v>
      </c>
      <c r="X953" s="234" t="str">
        <f t="shared" ca="1" si="8"/>
        <v>#REF!</v>
      </c>
      <c r="Y953" s="234" t="str">
        <f t="shared" ca="1" si="9"/>
        <v>#REF!</v>
      </c>
      <c r="Z953" s="234" t="str">
        <f t="shared" ca="1" si="10"/>
        <v>#REF!</v>
      </c>
      <c r="AA953" s="234" t="str">
        <f t="shared" ca="1" si="11"/>
        <v>#REF!</v>
      </c>
      <c r="AB953" s="234" t="str">
        <f t="shared" ca="1" si="12"/>
        <v>#REF!</v>
      </c>
      <c r="AC953" s="234" t="str">
        <f t="shared" ca="1" si="13"/>
        <v>#REF!</v>
      </c>
      <c r="AD953" s="101" t="str">
        <f t="shared" ca="1" si="14"/>
        <v>#REF!</v>
      </c>
      <c r="AE953" s="101" t="str">
        <f t="shared" ca="1" si="15"/>
        <v>#REF!</v>
      </c>
      <c r="AF953" s="235" t="str">
        <f t="shared" ref="AF953:AG953" ca="1" si="1030">AD953/U953</f>
        <v>#REF!</v>
      </c>
      <c r="AG953" s="235" t="str">
        <f t="shared" ca="1" si="1030"/>
        <v>#REF!</v>
      </c>
      <c r="AH953" s="212"/>
      <c r="AI953" s="213"/>
      <c r="AJ953" s="4"/>
      <c r="AK953" s="4"/>
      <c r="AL953" s="4"/>
      <c r="AM953" s="4"/>
      <c r="AN953" s="4"/>
      <c r="AO953" s="4"/>
      <c r="AP953" s="4"/>
      <c r="AQ953" s="4"/>
      <c r="AR953" s="4"/>
      <c r="AS953" s="4"/>
      <c r="AT953" s="4"/>
      <c r="AU953" s="4"/>
    </row>
    <row r="954" spans="1:47" ht="13.2">
      <c r="A954" s="120"/>
      <c r="B954" s="113"/>
      <c r="C954" s="117"/>
      <c r="D954" s="117"/>
      <c r="E954" s="117"/>
      <c r="F954" s="123"/>
      <c r="G954" s="93" t="s">
        <v>145</v>
      </c>
      <c r="H954" s="125"/>
      <c r="I954" s="125"/>
      <c r="J954" s="82" t="str">
        <f t="shared" ca="1" si="147"/>
        <v>#REF!</v>
      </c>
      <c r="K954" s="82" t="str">
        <f t="shared" ca="1" si="256"/>
        <v>#REF!</v>
      </c>
      <c r="L954" s="82" t="str">
        <f t="shared" ca="1" si="199"/>
        <v>#REF!</v>
      </c>
      <c r="M954" s="125"/>
      <c r="N954" s="125"/>
      <c r="O954" s="230">
        <f t="shared" si="2"/>
        <v>0</v>
      </c>
      <c r="P954" s="231">
        <f t="shared" si="3"/>
        <v>0</v>
      </c>
      <c r="Q954" s="232" t="str">
        <f ca="1">ROUNDUP(HLOOKUP(IF(CEILING(L954,0.5)&lt;1,1,CEILING(L954,0.5)),'배송비 조회'!A$32:AY$36,2,0),-2)</f>
        <v>#REF!</v>
      </c>
      <c r="R954" s="232">
        <v>0</v>
      </c>
      <c r="S954" s="231" t="str">
        <f t="shared" ca="1" si="250"/>
        <v>#REF!</v>
      </c>
      <c r="T954" s="231" t="str">
        <f t="shared" ca="1" si="200"/>
        <v>#REF!</v>
      </c>
      <c r="U954" s="233" t="str">
        <f t="shared" ca="1" si="142"/>
        <v>#REF!</v>
      </c>
      <c r="V954" s="233" t="str">
        <f t="shared" ca="1" si="7"/>
        <v>#REF!</v>
      </c>
      <c r="W954" s="234">
        <v>0</v>
      </c>
      <c r="X954" s="234" t="str">
        <f t="shared" ca="1" si="8"/>
        <v>#REF!</v>
      </c>
      <c r="Y954" s="234" t="str">
        <f t="shared" ca="1" si="9"/>
        <v>#REF!</v>
      </c>
      <c r="Z954" s="234" t="str">
        <f t="shared" ca="1" si="10"/>
        <v>#REF!</v>
      </c>
      <c r="AA954" s="234" t="str">
        <f t="shared" ca="1" si="11"/>
        <v>#REF!</v>
      </c>
      <c r="AB954" s="234" t="str">
        <f t="shared" ca="1" si="12"/>
        <v>#REF!</v>
      </c>
      <c r="AC954" s="234" t="str">
        <f t="shared" ca="1" si="13"/>
        <v>#REF!</v>
      </c>
      <c r="AD954" s="101" t="str">
        <f t="shared" ca="1" si="14"/>
        <v>#REF!</v>
      </c>
      <c r="AE954" s="101" t="str">
        <f t="shared" ca="1" si="15"/>
        <v>#REF!</v>
      </c>
      <c r="AF954" s="235" t="str">
        <f t="shared" ref="AF954:AG954" ca="1" si="1031">AD954/U954</f>
        <v>#REF!</v>
      </c>
      <c r="AG954" s="235" t="str">
        <f t="shared" ca="1" si="1031"/>
        <v>#REF!</v>
      </c>
      <c r="AH954" s="212"/>
      <c r="AI954" s="213"/>
      <c r="AJ954" s="4"/>
      <c r="AK954" s="4"/>
      <c r="AL954" s="4"/>
      <c r="AM954" s="4"/>
      <c r="AN954" s="4"/>
      <c r="AO954" s="4"/>
      <c r="AP954" s="4"/>
      <c r="AQ954" s="4"/>
      <c r="AR954" s="4"/>
      <c r="AS954" s="4"/>
      <c r="AT954" s="4"/>
      <c r="AU954" s="4"/>
    </row>
    <row r="955" spans="1:47" ht="13.2">
      <c r="A955" s="120"/>
      <c r="B955" s="113"/>
      <c r="C955" s="117"/>
      <c r="D955" s="117"/>
      <c r="E955" s="117"/>
      <c r="F955" s="123"/>
      <c r="G955" s="93" t="s">
        <v>145</v>
      </c>
      <c r="H955" s="125"/>
      <c r="I955" s="125"/>
      <c r="J955" s="82" t="str">
        <f t="shared" ca="1" si="147"/>
        <v>#REF!</v>
      </c>
      <c r="K955" s="82" t="str">
        <f t="shared" ca="1" si="256"/>
        <v>#REF!</v>
      </c>
      <c r="L955" s="82" t="str">
        <f t="shared" ca="1" si="199"/>
        <v>#REF!</v>
      </c>
      <c r="M955" s="125"/>
      <c r="N955" s="125"/>
      <c r="O955" s="230">
        <f t="shared" si="2"/>
        <v>0</v>
      </c>
      <c r="P955" s="231">
        <f t="shared" si="3"/>
        <v>0</v>
      </c>
      <c r="Q955" s="232" t="str">
        <f ca="1">ROUNDUP(HLOOKUP(IF(CEILING(L955,0.5)&lt;1,1,CEILING(L955,0.5)),'배송비 조회'!A$32:AY$36,2,0),-2)</f>
        <v>#REF!</v>
      </c>
      <c r="R955" s="232">
        <v>0</v>
      </c>
      <c r="S955" s="231" t="str">
        <f t="shared" ca="1" si="250"/>
        <v>#REF!</v>
      </c>
      <c r="T955" s="231" t="str">
        <f t="shared" ca="1" si="200"/>
        <v>#REF!</v>
      </c>
      <c r="U955" s="233" t="str">
        <f t="shared" ca="1" si="142"/>
        <v>#REF!</v>
      </c>
      <c r="V955" s="233" t="str">
        <f t="shared" ca="1" si="7"/>
        <v>#REF!</v>
      </c>
      <c r="W955" s="234">
        <v>0</v>
      </c>
      <c r="X955" s="234" t="str">
        <f t="shared" ca="1" si="8"/>
        <v>#REF!</v>
      </c>
      <c r="Y955" s="234" t="str">
        <f t="shared" ca="1" si="9"/>
        <v>#REF!</v>
      </c>
      <c r="Z955" s="234" t="str">
        <f t="shared" ca="1" si="10"/>
        <v>#REF!</v>
      </c>
      <c r="AA955" s="234" t="str">
        <f t="shared" ca="1" si="11"/>
        <v>#REF!</v>
      </c>
      <c r="AB955" s="234" t="str">
        <f t="shared" ca="1" si="12"/>
        <v>#REF!</v>
      </c>
      <c r="AC955" s="234" t="str">
        <f t="shared" ca="1" si="13"/>
        <v>#REF!</v>
      </c>
      <c r="AD955" s="101" t="str">
        <f t="shared" ca="1" si="14"/>
        <v>#REF!</v>
      </c>
      <c r="AE955" s="101" t="str">
        <f t="shared" ca="1" si="15"/>
        <v>#REF!</v>
      </c>
      <c r="AF955" s="235" t="str">
        <f t="shared" ref="AF955:AG955" ca="1" si="1032">AD955/U955</f>
        <v>#REF!</v>
      </c>
      <c r="AG955" s="235" t="str">
        <f t="shared" ca="1" si="1032"/>
        <v>#REF!</v>
      </c>
      <c r="AH955" s="212"/>
      <c r="AI955" s="213"/>
      <c r="AJ955" s="4"/>
      <c r="AK955" s="4"/>
      <c r="AL955" s="4"/>
      <c r="AM955" s="4"/>
      <c r="AN955" s="4"/>
      <c r="AO955" s="4"/>
      <c r="AP955" s="4"/>
      <c r="AQ955" s="4"/>
      <c r="AR955" s="4"/>
      <c r="AS955" s="4"/>
      <c r="AT955" s="4"/>
      <c r="AU955" s="4"/>
    </row>
    <row r="956" spans="1:47" ht="13.2">
      <c r="A956" s="120"/>
      <c r="B956" s="113"/>
      <c r="C956" s="117"/>
      <c r="D956" s="117"/>
      <c r="E956" s="117"/>
      <c r="F956" s="123"/>
      <c r="G956" s="93" t="s">
        <v>145</v>
      </c>
      <c r="H956" s="125"/>
      <c r="I956" s="125"/>
      <c r="J956" s="82" t="str">
        <f t="shared" ca="1" si="147"/>
        <v>#REF!</v>
      </c>
      <c r="K956" s="82" t="str">
        <f t="shared" ca="1" si="256"/>
        <v>#REF!</v>
      </c>
      <c r="L956" s="82" t="str">
        <f t="shared" ca="1" si="199"/>
        <v>#REF!</v>
      </c>
      <c r="M956" s="125"/>
      <c r="N956" s="125"/>
      <c r="O956" s="230">
        <f t="shared" si="2"/>
        <v>0</v>
      </c>
      <c r="P956" s="231">
        <f t="shared" si="3"/>
        <v>0</v>
      </c>
      <c r="Q956" s="232" t="str">
        <f ca="1">ROUNDUP(HLOOKUP(IF(CEILING(L956,0.5)&lt;1,1,CEILING(L956,0.5)),'배송비 조회'!A$32:AY$36,2,0),-2)</f>
        <v>#REF!</v>
      </c>
      <c r="R956" s="232">
        <v>0</v>
      </c>
      <c r="S956" s="231" t="str">
        <f t="shared" ca="1" si="250"/>
        <v>#REF!</v>
      </c>
      <c r="T956" s="231" t="str">
        <f t="shared" ca="1" si="200"/>
        <v>#REF!</v>
      </c>
      <c r="U956" s="233" t="str">
        <f t="shared" ca="1" si="142"/>
        <v>#REF!</v>
      </c>
      <c r="V956" s="233" t="str">
        <f t="shared" ca="1" si="7"/>
        <v>#REF!</v>
      </c>
      <c r="W956" s="234">
        <v>0</v>
      </c>
      <c r="X956" s="234" t="str">
        <f t="shared" ca="1" si="8"/>
        <v>#REF!</v>
      </c>
      <c r="Y956" s="234" t="str">
        <f t="shared" ca="1" si="9"/>
        <v>#REF!</v>
      </c>
      <c r="Z956" s="234" t="str">
        <f t="shared" ca="1" si="10"/>
        <v>#REF!</v>
      </c>
      <c r="AA956" s="234" t="str">
        <f t="shared" ca="1" si="11"/>
        <v>#REF!</v>
      </c>
      <c r="AB956" s="234" t="str">
        <f t="shared" ca="1" si="12"/>
        <v>#REF!</v>
      </c>
      <c r="AC956" s="234" t="str">
        <f t="shared" ca="1" si="13"/>
        <v>#REF!</v>
      </c>
      <c r="AD956" s="101" t="str">
        <f t="shared" ca="1" si="14"/>
        <v>#REF!</v>
      </c>
      <c r="AE956" s="101" t="str">
        <f t="shared" ca="1" si="15"/>
        <v>#REF!</v>
      </c>
      <c r="AF956" s="235" t="str">
        <f t="shared" ref="AF956:AG956" ca="1" si="1033">AD956/U956</f>
        <v>#REF!</v>
      </c>
      <c r="AG956" s="235" t="str">
        <f t="shared" ca="1" si="1033"/>
        <v>#REF!</v>
      </c>
      <c r="AH956" s="212"/>
      <c r="AI956" s="213"/>
      <c r="AJ956" s="4"/>
      <c r="AK956" s="4"/>
      <c r="AL956" s="4"/>
      <c r="AM956" s="4"/>
      <c r="AN956" s="4"/>
      <c r="AO956" s="4"/>
      <c r="AP956" s="4"/>
      <c r="AQ956" s="4"/>
      <c r="AR956" s="4"/>
      <c r="AS956" s="4"/>
      <c r="AT956" s="4"/>
      <c r="AU956" s="4"/>
    </row>
    <row r="957" spans="1:47" ht="13.2">
      <c r="A957" s="120"/>
      <c r="B957" s="113"/>
      <c r="C957" s="117"/>
      <c r="D957" s="117"/>
      <c r="E957" s="117"/>
      <c r="F957" s="123"/>
      <c r="G957" s="93" t="s">
        <v>145</v>
      </c>
      <c r="H957" s="125"/>
      <c r="I957" s="125"/>
      <c r="J957" s="82" t="str">
        <f t="shared" ca="1" si="147"/>
        <v>#REF!</v>
      </c>
      <c r="K957" s="82" t="str">
        <f t="shared" ca="1" si="256"/>
        <v>#REF!</v>
      </c>
      <c r="L957" s="82" t="str">
        <f t="shared" ca="1" si="199"/>
        <v>#REF!</v>
      </c>
      <c r="M957" s="125"/>
      <c r="N957" s="125"/>
      <c r="O957" s="230">
        <f t="shared" si="2"/>
        <v>0</v>
      </c>
      <c r="P957" s="231">
        <f t="shared" si="3"/>
        <v>0</v>
      </c>
      <c r="Q957" s="232" t="str">
        <f ca="1">ROUNDUP(HLOOKUP(IF(CEILING(L957,0.5)&lt;1,1,CEILING(L957,0.5)),'배송비 조회'!A$32:AY$36,2,0),-2)</f>
        <v>#REF!</v>
      </c>
      <c r="R957" s="232">
        <v>0</v>
      </c>
      <c r="S957" s="231" t="str">
        <f t="shared" ca="1" si="250"/>
        <v>#REF!</v>
      </c>
      <c r="T957" s="231" t="str">
        <f t="shared" ca="1" si="200"/>
        <v>#REF!</v>
      </c>
      <c r="U957" s="233" t="str">
        <f t="shared" ca="1" si="142"/>
        <v>#REF!</v>
      </c>
      <c r="V957" s="233" t="str">
        <f t="shared" ca="1" si="7"/>
        <v>#REF!</v>
      </c>
      <c r="W957" s="234">
        <v>0</v>
      </c>
      <c r="X957" s="234" t="str">
        <f t="shared" ca="1" si="8"/>
        <v>#REF!</v>
      </c>
      <c r="Y957" s="234" t="str">
        <f t="shared" ca="1" si="9"/>
        <v>#REF!</v>
      </c>
      <c r="Z957" s="234" t="str">
        <f t="shared" ca="1" si="10"/>
        <v>#REF!</v>
      </c>
      <c r="AA957" s="234" t="str">
        <f t="shared" ca="1" si="11"/>
        <v>#REF!</v>
      </c>
      <c r="AB957" s="234" t="str">
        <f t="shared" ca="1" si="12"/>
        <v>#REF!</v>
      </c>
      <c r="AC957" s="234" t="str">
        <f t="shared" ca="1" si="13"/>
        <v>#REF!</v>
      </c>
      <c r="AD957" s="101" t="str">
        <f t="shared" ca="1" si="14"/>
        <v>#REF!</v>
      </c>
      <c r="AE957" s="101" t="str">
        <f t="shared" ca="1" si="15"/>
        <v>#REF!</v>
      </c>
      <c r="AF957" s="235" t="str">
        <f t="shared" ref="AF957:AG957" ca="1" si="1034">AD957/U957</f>
        <v>#REF!</v>
      </c>
      <c r="AG957" s="235" t="str">
        <f t="shared" ca="1" si="1034"/>
        <v>#REF!</v>
      </c>
      <c r="AH957" s="212"/>
      <c r="AI957" s="213"/>
      <c r="AJ957" s="4"/>
      <c r="AK957" s="4"/>
      <c r="AL957" s="4"/>
      <c r="AM957" s="4"/>
      <c r="AN957" s="4"/>
      <c r="AO957" s="4"/>
      <c r="AP957" s="4"/>
      <c r="AQ957" s="4"/>
      <c r="AR957" s="4"/>
      <c r="AS957" s="4"/>
      <c r="AT957" s="4"/>
      <c r="AU957" s="4"/>
    </row>
    <row r="958" spans="1:47" ht="13.2">
      <c r="A958" s="120"/>
      <c r="B958" s="113"/>
      <c r="C958" s="117"/>
      <c r="D958" s="117"/>
      <c r="E958" s="117"/>
      <c r="F958" s="123"/>
      <c r="G958" s="93" t="s">
        <v>145</v>
      </c>
      <c r="H958" s="125"/>
      <c r="I958" s="125"/>
      <c r="J958" s="82" t="str">
        <f t="shared" ca="1" si="147"/>
        <v>#REF!</v>
      </c>
      <c r="K958" s="82" t="str">
        <f t="shared" ca="1" si="256"/>
        <v>#REF!</v>
      </c>
      <c r="L958" s="82" t="str">
        <f t="shared" ca="1" si="199"/>
        <v>#REF!</v>
      </c>
      <c r="M958" s="125"/>
      <c r="N958" s="125"/>
      <c r="O958" s="230">
        <f t="shared" si="2"/>
        <v>0</v>
      </c>
      <c r="P958" s="231">
        <f t="shared" si="3"/>
        <v>0</v>
      </c>
      <c r="Q958" s="232" t="str">
        <f ca="1">ROUNDUP(HLOOKUP(IF(CEILING(L958,0.5)&lt;1,1,CEILING(L958,0.5)),'배송비 조회'!A$32:AY$36,2,0),-2)</f>
        <v>#REF!</v>
      </c>
      <c r="R958" s="232">
        <v>0</v>
      </c>
      <c r="S958" s="231" t="str">
        <f t="shared" ca="1" si="250"/>
        <v>#REF!</v>
      </c>
      <c r="T958" s="231" t="str">
        <f t="shared" ca="1" si="200"/>
        <v>#REF!</v>
      </c>
      <c r="U958" s="233" t="str">
        <f t="shared" ca="1" si="142"/>
        <v>#REF!</v>
      </c>
      <c r="V958" s="233" t="str">
        <f t="shared" ca="1" si="7"/>
        <v>#REF!</v>
      </c>
      <c r="W958" s="234">
        <v>0</v>
      </c>
      <c r="X958" s="234" t="str">
        <f t="shared" ca="1" si="8"/>
        <v>#REF!</v>
      </c>
      <c r="Y958" s="234" t="str">
        <f t="shared" ca="1" si="9"/>
        <v>#REF!</v>
      </c>
      <c r="Z958" s="234" t="str">
        <f t="shared" ca="1" si="10"/>
        <v>#REF!</v>
      </c>
      <c r="AA958" s="234" t="str">
        <f t="shared" ca="1" si="11"/>
        <v>#REF!</v>
      </c>
      <c r="AB958" s="234" t="str">
        <f t="shared" ca="1" si="12"/>
        <v>#REF!</v>
      </c>
      <c r="AC958" s="234" t="str">
        <f t="shared" ca="1" si="13"/>
        <v>#REF!</v>
      </c>
      <c r="AD958" s="101" t="str">
        <f t="shared" ca="1" si="14"/>
        <v>#REF!</v>
      </c>
      <c r="AE958" s="101" t="str">
        <f t="shared" ca="1" si="15"/>
        <v>#REF!</v>
      </c>
      <c r="AF958" s="235" t="str">
        <f t="shared" ref="AF958:AG958" ca="1" si="1035">AD958/U958</f>
        <v>#REF!</v>
      </c>
      <c r="AG958" s="235" t="str">
        <f t="shared" ca="1" si="1035"/>
        <v>#REF!</v>
      </c>
      <c r="AH958" s="212"/>
      <c r="AI958" s="213"/>
      <c r="AJ958" s="4"/>
      <c r="AK958" s="4"/>
      <c r="AL958" s="4"/>
      <c r="AM958" s="4"/>
      <c r="AN958" s="4"/>
      <c r="AO958" s="4"/>
      <c r="AP958" s="4"/>
      <c r="AQ958" s="4"/>
      <c r="AR958" s="4"/>
      <c r="AS958" s="4"/>
      <c r="AT958" s="4"/>
      <c r="AU958" s="4"/>
    </row>
    <row r="959" spans="1:47" ht="13.2">
      <c r="A959" s="120"/>
      <c r="B959" s="113"/>
      <c r="C959" s="117"/>
      <c r="D959" s="117"/>
      <c r="E959" s="117"/>
      <c r="F959" s="123"/>
      <c r="G959" s="93" t="s">
        <v>145</v>
      </c>
      <c r="H959" s="125"/>
      <c r="I959" s="125"/>
      <c r="J959" s="82" t="str">
        <f t="shared" ca="1" si="147"/>
        <v>#REF!</v>
      </c>
      <c r="K959" s="82" t="str">
        <f t="shared" ca="1" si="256"/>
        <v>#REF!</v>
      </c>
      <c r="L959" s="82" t="str">
        <f t="shared" ca="1" si="199"/>
        <v>#REF!</v>
      </c>
      <c r="M959" s="125"/>
      <c r="N959" s="125"/>
      <c r="O959" s="230">
        <f t="shared" si="2"/>
        <v>0</v>
      </c>
      <c r="P959" s="231">
        <f t="shared" si="3"/>
        <v>0</v>
      </c>
      <c r="Q959" s="232" t="str">
        <f ca="1">ROUNDUP(HLOOKUP(IF(CEILING(L959,0.5)&lt;1,1,CEILING(L959,0.5)),'배송비 조회'!A$32:AY$36,2,0),-2)</f>
        <v>#REF!</v>
      </c>
      <c r="R959" s="232">
        <v>0</v>
      </c>
      <c r="S959" s="231" t="str">
        <f t="shared" ca="1" si="250"/>
        <v>#REF!</v>
      </c>
      <c r="T959" s="231" t="str">
        <f t="shared" ca="1" si="200"/>
        <v>#REF!</v>
      </c>
      <c r="U959" s="233" t="str">
        <f t="shared" ca="1" si="142"/>
        <v>#REF!</v>
      </c>
      <c r="V959" s="233" t="str">
        <f t="shared" ca="1" si="7"/>
        <v>#REF!</v>
      </c>
      <c r="W959" s="234">
        <v>0</v>
      </c>
      <c r="X959" s="234" t="str">
        <f t="shared" ca="1" si="8"/>
        <v>#REF!</v>
      </c>
      <c r="Y959" s="234" t="str">
        <f t="shared" ca="1" si="9"/>
        <v>#REF!</v>
      </c>
      <c r="Z959" s="234" t="str">
        <f t="shared" ca="1" si="10"/>
        <v>#REF!</v>
      </c>
      <c r="AA959" s="234" t="str">
        <f t="shared" ca="1" si="11"/>
        <v>#REF!</v>
      </c>
      <c r="AB959" s="234" t="str">
        <f t="shared" ca="1" si="12"/>
        <v>#REF!</v>
      </c>
      <c r="AC959" s="234" t="str">
        <f t="shared" ca="1" si="13"/>
        <v>#REF!</v>
      </c>
      <c r="AD959" s="101" t="str">
        <f t="shared" ca="1" si="14"/>
        <v>#REF!</v>
      </c>
      <c r="AE959" s="101" t="str">
        <f t="shared" ca="1" si="15"/>
        <v>#REF!</v>
      </c>
      <c r="AF959" s="235" t="str">
        <f t="shared" ref="AF959:AG959" ca="1" si="1036">AD959/U959</f>
        <v>#REF!</v>
      </c>
      <c r="AG959" s="235" t="str">
        <f t="shared" ca="1" si="1036"/>
        <v>#REF!</v>
      </c>
      <c r="AH959" s="212"/>
      <c r="AI959" s="213"/>
      <c r="AJ959" s="4"/>
      <c r="AK959" s="4"/>
      <c r="AL959" s="4"/>
      <c r="AM959" s="4"/>
      <c r="AN959" s="4"/>
      <c r="AO959" s="4"/>
      <c r="AP959" s="4"/>
      <c r="AQ959" s="4"/>
      <c r="AR959" s="4"/>
      <c r="AS959" s="4"/>
      <c r="AT959" s="4"/>
      <c r="AU959" s="4"/>
    </row>
    <row r="960" spans="1:47" ht="13.2">
      <c r="A960" s="120"/>
      <c r="B960" s="113"/>
      <c r="C960" s="117"/>
      <c r="D960" s="117"/>
      <c r="E960" s="117"/>
      <c r="F960" s="123"/>
      <c r="G960" s="93" t="s">
        <v>145</v>
      </c>
      <c r="H960" s="125"/>
      <c r="I960" s="125"/>
      <c r="J960" s="82" t="str">
        <f t="shared" ca="1" si="147"/>
        <v>#REF!</v>
      </c>
      <c r="K960" s="82" t="str">
        <f t="shared" ca="1" si="256"/>
        <v>#REF!</v>
      </c>
      <c r="L960" s="82" t="str">
        <f t="shared" ca="1" si="199"/>
        <v>#REF!</v>
      </c>
      <c r="M960" s="125"/>
      <c r="N960" s="125"/>
      <c r="O960" s="230">
        <f t="shared" si="2"/>
        <v>0</v>
      </c>
      <c r="P960" s="231">
        <f t="shared" si="3"/>
        <v>0</v>
      </c>
      <c r="Q960" s="232" t="str">
        <f ca="1">ROUNDUP(HLOOKUP(IF(CEILING(L960,0.5)&lt;1,1,CEILING(L960,0.5)),'배송비 조회'!A$32:AY$36,2,0),-2)</f>
        <v>#REF!</v>
      </c>
      <c r="R960" s="232">
        <v>0</v>
      </c>
      <c r="S960" s="231" t="str">
        <f t="shared" ca="1" si="250"/>
        <v>#REF!</v>
      </c>
      <c r="T960" s="231" t="str">
        <f t="shared" ca="1" si="200"/>
        <v>#REF!</v>
      </c>
      <c r="U960" s="233" t="str">
        <f t="shared" ca="1" si="142"/>
        <v>#REF!</v>
      </c>
      <c r="V960" s="233" t="str">
        <f t="shared" ca="1" si="7"/>
        <v>#REF!</v>
      </c>
      <c r="W960" s="234">
        <v>0</v>
      </c>
      <c r="X960" s="234" t="str">
        <f t="shared" ca="1" si="8"/>
        <v>#REF!</v>
      </c>
      <c r="Y960" s="234" t="str">
        <f t="shared" ca="1" si="9"/>
        <v>#REF!</v>
      </c>
      <c r="Z960" s="234" t="str">
        <f t="shared" ca="1" si="10"/>
        <v>#REF!</v>
      </c>
      <c r="AA960" s="234" t="str">
        <f t="shared" ca="1" si="11"/>
        <v>#REF!</v>
      </c>
      <c r="AB960" s="234" t="str">
        <f t="shared" ca="1" si="12"/>
        <v>#REF!</v>
      </c>
      <c r="AC960" s="234" t="str">
        <f t="shared" ca="1" si="13"/>
        <v>#REF!</v>
      </c>
      <c r="AD960" s="101" t="str">
        <f t="shared" ca="1" si="14"/>
        <v>#REF!</v>
      </c>
      <c r="AE960" s="101" t="str">
        <f t="shared" ca="1" si="15"/>
        <v>#REF!</v>
      </c>
      <c r="AF960" s="235" t="str">
        <f t="shared" ref="AF960:AG960" ca="1" si="1037">AD960/U960</f>
        <v>#REF!</v>
      </c>
      <c r="AG960" s="235" t="str">
        <f t="shared" ca="1" si="1037"/>
        <v>#REF!</v>
      </c>
      <c r="AH960" s="212"/>
      <c r="AI960" s="213"/>
      <c r="AJ960" s="4"/>
      <c r="AK960" s="4"/>
      <c r="AL960" s="4"/>
      <c r="AM960" s="4"/>
      <c r="AN960" s="4"/>
      <c r="AO960" s="4"/>
      <c r="AP960" s="4"/>
      <c r="AQ960" s="4"/>
      <c r="AR960" s="4"/>
      <c r="AS960" s="4"/>
      <c r="AT960" s="4"/>
      <c r="AU960" s="4"/>
    </row>
    <row r="961" spans="1:47" ht="13.2">
      <c r="A961" s="120"/>
      <c r="B961" s="113"/>
      <c r="C961" s="117"/>
      <c r="D961" s="117"/>
      <c r="E961" s="117"/>
      <c r="F961" s="123"/>
      <c r="G961" s="93" t="s">
        <v>145</v>
      </c>
      <c r="H961" s="125"/>
      <c r="I961" s="125"/>
      <c r="J961" s="82" t="str">
        <f t="shared" ca="1" si="147"/>
        <v>#REF!</v>
      </c>
      <c r="K961" s="82" t="str">
        <f t="shared" ca="1" si="256"/>
        <v>#REF!</v>
      </c>
      <c r="L961" s="82" t="str">
        <f t="shared" ca="1" si="199"/>
        <v>#REF!</v>
      </c>
      <c r="M961" s="125"/>
      <c r="N961" s="125"/>
      <c r="O961" s="230">
        <f t="shared" si="2"/>
        <v>0</v>
      </c>
      <c r="P961" s="231">
        <f t="shared" si="3"/>
        <v>0</v>
      </c>
      <c r="Q961" s="232" t="str">
        <f ca="1">ROUNDUP(HLOOKUP(IF(CEILING(L961,0.5)&lt;1,1,CEILING(L961,0.5)),'배송비 조회'!A$32:AY$36,2,0),-2)</f>
        <v>#REF!</v>
      </c>
      <c r="R961" s="232">
        <v>0</v>
      </c>
      <c r="S961" s="231" t="str">
        <f t="shared" ca="1" si="250"/>
        <v>#REF!</v>
      </c>
      <c r="T961" s="231" t="str">
        <f t="shared" ca="1" si="200"/>
        <v>#REF!</v>
      </c>
      <c r="U961" s="233" t="str">
        <f t="shared" ca="1" si="142"/>
        <v>#REF!</v>
      </c>
      <c r="V961" s="233" t="str">
        <f t="shared" ca="1" si="7"/>
        <v>#REF!</v>
      </c>
      <c r="W961" s="234">
        <v>0</v>
      </c>
      <c r="X961" s="234" t="str">
        <f t="shared" ca="1" si="8"/>
        <v>#REF!</v>
      </c>
      <c r="Y961" s="234" t="str">
        <f t="shared" ca="1" si="9"/>
        <v>#REF!</v>
      </c>
      <c r="Z961" s="234" t="str">
        <f t="shared" ca="1" si="10"/>
        <v>#REF!</v>
      </c>
      <c r="AA961" s="234" t="str">
        <f t="shared" ca="1" si="11"/>
        <v>#REF!</v>
      </c>
      <c r="AB961" s="234" t="str">
        <f t="shared" ca="1" si="12"/>
        <v>#REF!</v>
      </c>
      <c r="AC961" s="234" t="str">
        <f t="shared" ca="1" si="13"/>
        <v>#REF!</v>
      </c>
      <c r="AD961" s="101" t="str">
        <f t="shared" ca="1" si="14"/>
        <v>#REF!</v>
      </c>
      <c r="AE961" s="101" t="str">
        <f t="shared" ca="1" si="15"/>
        <v>#REF!</v>
      </c>
      <c r="AF961" s="235" t="str">
        <f t="shared" ref="AF961:AG961" ca="1" si="1038">AD961/U961</f>
        <v>#REF!</v>
      </c>
      <c r="AG961" s="235" t="str">
        <f t="shared" ca="1" si="1038"/>
        <v>#REF!</v>
      </c>
      <c r="AH961" s="212"/>
      <c r="AI961" s="213"/>
      <c r="AJ961" s="4"/>
      <c r="AK961" s="4"/>
      <c r="AL961" s="4"/>
      <c r="AM961" s="4"/>
      <c r="AN961" s="4"/>
      <c r="AO961" s="4"/>
      <c r="AP961" s="4"/>
      <c r="AQ961" s="4"/>
      <c r="AR961" s="4"/>
      <c r="AS961" s="4"/>
      <c r="AT961" s="4"/>
      <c r="AU961" s="4"/>
    </row>
    <row r="962" spans="1:47" ht="13.2">
      <c r="A962" s="120"/>
      <c r="B962" s="113"/>
      <c r="C962" s="117"/>
      <c r="D962" s="117"/>
      <c r="E962" s="117"/>
      <c r="F962" s="123"/>
      <c r="G962" s="93" t="s">
        <v>145</v>
      </c>
      <c r="H962" s="125"/>
      <c r="I962" s="125"/>
      <c r="J962" s="82" t="str">
        <f t="shared" ca="1" si="147"/>
        <v>#REF!</v>
      </c>
      <c r="K962" s="82" t="str">
        <f t="shared" ca="1" si="256"/>
        <v>#REF!</v>
      </c>
      <c r="L962" s="82" t="str">
        <f t="shared" ca="1" si="199"/>
        <v>#REF!</v>
      </c>
      <c r="M962" s="125"/>
      <c r="N962" s="125"/>
      <c r="O962" s="230">
        <f t="shared" si="2"/>
        <v>0</v>
      </c>
      <c r="P962" s="231">
        <f t="shared" si="3"/>
        <v>0</v>
      </c>
      <c r="Q962" s="232" t="str">
        <f ca="1">ROUNDUP(HLOOKUP(IF(CEILING(L962,0.5)&lt;1,1,CEILING(L962,0.5)),'배송비 조회'!A$32:AY$36,2,0),-2)</f>
        <v>#REF!</v>
      </c>
      <c r="R962" s="232">
        <v>0</v>
      </c>
      <c r="S962" s="231" t="str">
        <f t="shared" ca="1" si="250"/>
        <v>#REF!</v>
      </c>
      <c r="T962" s="231" t="str">
        <f t="shared" ca="1" si="200"/>
        <v>#REF!</v>
      </c>
      <c r="U962" s="233" t="str">
        <f t="shared" ca="1" si="142"/>
        <v>#REF!</v>
      </c>
      <c r="V962" s="233" t="str">
        <f t="shared" ca="1" si="7"/>
        <v>#REF!</v>
      </c>
      <c r="W962" s="234">
        <v>0</v>
      </c>
      <c r="X962" s="234" t="str">
        <f t="shared" ca="1" si="8"/>
        <v>#REF!</v>
      </c>
      <c r="Y962" s="234" t="str">
        <f t="shared" ca="1" si="9"/>
        <v>#REF!</v>
      </c>
      <c r="Z962" s="234" t="str">
        <f t="shared" ca="1" si="10"/>
        <v>#REF!</v>
      </c>
      <c r="AA962" s="234" t="str">
        <f t="shared" ca="1" si="11"/>
        <v>#REF!</v>
      </c>
      <c r="AB962" s="234" t="str">
        <f t="shared" ca="1" si="12"/>
        <v>#REF!</v>
      </c>
      <c r="AC962" s="234" t="str">
        <f t="shared" ca="1" si="13"/>
        <v>#REF!</v>
      </c>
      <c r="AD962" s="101" t="str">
        <f t="shared" ca="1" si="14"/>
        <v>#REF!</v>
      </c>
      <c r="AE962" s="101" t="str">
        <f t="shared" ca="1" si="15"/>
        <v>#REF!</v>
      </c>
      <c r="AF962" s="235" t="str">
        <f t="shared" ref="AF962:AG962" ca="1" si="1039">AD962/U962</f>
        <v>#REF!</v>
      </c>
      <c r="AG962" s="235" t="str">
        <f t="shared" ca="1" si="1039"/>
        <v>#REF!</v>
      </c>
      <c r="AH962" s="212"/>
      <c r="AI962" s="213"/>
      <c r="AJ962" s="4"/>
      <c r="AK962" s="4"/>
      <c r="AL962" s="4"/>
      <c r="AM962" s="4"/>
      <c r="AN962" s="4"/>
      <c r="AO962" s="4"/>
      <c r="AP962" s="4"/>
      <c r="AQ962" s="4"/>
      <c r="AR962" s="4"/>
      <c r="AS962" s="4"/>
      <c r="AT962" s="4"/>
      <c r="AU962" s="4"/>
    </row>
    <row r="963" spans="1:47" ht="13.2">
      <c r="A963" s="120"/>
      <c r="B963" s="113"/>
      <c r="C963" s="117"/>
      <c r="D963" s="117"/>
      <c r="E963" s="117"/>
      <c r="F963" s="123"/>
      <c r="G963" s="93" t="s">
        <v>145</v>
      </c>
      <c r="H963" s="125"/>
      <c r="I963" s="125"/>
      <c r="J963" s="82" t="str">
        <f t="shared" ca="1" si="147"/>
        <v>#REF!</v>
      </c>
      <c r="K963" s="82" t="str">
        <f t="shared" ca="1" si="256"/>
        <v>#REF!</v>
      </c>
      <c r="L963" s="82" t="str">
        <f t="shared" ca="1" si="199"/>
        <v>#REF!</v>
      </c>
      <c r="M963" s="125"/>
      <c r="N963" s="125"/>
      <c r="O963" s="230">
        <f t="shared" si="2"/>
        <v>0</v>
      </c>
      <c r="P963" s="231">
        <f t="shared" si="3"/>
        <v>0</v>
      </c>
      <c r="Q963" s="232" t="str">
        <f ca="1">ROUNDUP(HLOOKUP(IF(CEILING(L963,0.5)&lt;1,1,CEILING(L963,0.5)),'배송비 조회'!A$32:AY$36,2,0),-2)</f>
        <v>#REF!</v>
      </c>
      <c r="R963" s="232">
        <v>0</v>
      </c>
      <c r="S963" s="231" t="str">
        <f t="shared" ca="1" si="250"/>
        <v>#REF!</v>
      </c>
      <c r="T963" s="231" t="str">
        <f t="shared" ca="1" si="200"/>
        <v>#REF!</v>
      </c>
      <c r="U963" s="233" t="str">
        <f t="shared" ca="1" si="142"/>
        <v>#REF!</v>
      </c>
      <c r="V963" s="233" t="str">
        <f t="shared" ca="1" si="7"/>
        <v>#REF!</v>
      </c>
      <c r="W963" s="234">
        <v>0</v>
      </c>
      <c r="X963" s="234" t="str">
        <f t="shared" ca="1" si="8"/>
        <v>#REF!</v>
      </c>
      <c r="Y963" s="234" t="str">
        <f t="shared" ca="1" si="9"/>
        <v>#REF!</v>
      </c>
      <c r="Z963" s="234" t="str">
        <f t="shared" ca="1" si="10"/>
        <v>#REF!</v>
      </c>
      <c r="AA963" s="234" t="str">
        <f t="shared" ca="1" si="11"/>
        <v>#REF!</v>
      </c>
      <c r="AB963" s="234" t="str">
        <f t="shared" ca="1" si="12"/>
        <v>#REF!</v>
      </c>
      <c r="AC963" s="234" t="str">
        <f t="shared" ca="1" si="13"/>
        <v>#REF!</v>
      </c>
      <c r="AD963" s="101" t="str">
        <f t="shared" ca="1" si="14"/>
        <v>#REF!</v>
      </c>
      <c r="AE963" s="101" t="str">
        <f t="shared" ca="1" si="15"/>
        <v>#REF!</v>
      </c>
      <c r="AF963" s="235" t="str">
        <f t="shared" ref="AF963:AG963" ca="1" si="1040">AD963/U963</f>
        <v>#REF!</v>
      </c>
      <c r="AG963" s="235" t="str">
        <f t="shared" ca="1" si="1040"/>
        <v>#REF!</v>
      </c>
      <c r="AH963" s="212"/>
      <c r="AI963" s="213"/>
      <c r="AJ963" s="4"/>
      <c r="AK963" s="4"/>
      <c r="AL963" s="4"/>
      <c r="AM963" s="4"/>
      <c r="AN963" s="4"/>
      <c r="AO963" s="4"/>
      <c r="AP963" s="4"/>
      <c r="AQ963" s="4"/>
      <c r="AR963" s="4"/>
      <c r="AS963" s="4"/>
      <c r="AT963" s="4"/>
      <c r="AU963" s="4"/>
    </row>
    <row r="964" spans="1:47" ht="13.2">
      <c r="A964" s="120"/>
      <c r="B964" s="113"/>
      <c r="C964" s="117"/>
      <c r="D964" s="117"/>
      <c r="E964" s="117"/>
      <c r="F964" s="123"/>
      <c r="G964" s="93" t="s">
        <v>145</v>
      </c>
      <c r="H964" s="125"/>
      <c r="I964" s="125"/>
      <c r="J964" s="82" t="str">
        <f t="shared" ca="1" si="147"/>
        <v>#REF!</v>
      </c>
      <c r="K964" s="82" t="str">
        <f t="shared" ca="1" si="256"/>
        <v>#REF!</v>
      </c>
      <c r="L964" s="82" t="str">
        <f t="shared" ca="1" si="199"/>
        <v>#REF!</v>
      </c>
      <c r="M964" s="125"/>
      <c r="N964" s="125"/>
      <c r="O964" s="230">
        <f t="shared" si="2"/>
        <v>0</v>
      </c>
      <c r="P964" s="231">
        <f t="shared" si="3"/>
        <v>0</v>
      </c>
      <c r="Q964" s="232" t="str">
        <f ca="1">ROUNDUP(HLOOKUP(IF(CEILING(L964,0.5)&lt;1,1,CEILING(L964,0.5)),'배송비 조회'!A$32:AY$36,2,0),-2)</f>
        <v>#REF!</v>
      </c>
      <c r="R964" s="232">
        <v>0</v>
      </c>
      <c r="S964" s="231" t="str">
        <f t="shared" ca="1" si="250"/>
        <v>#REF!</v>
      </c>
      <c r="T964" s="231" t="str">
        <f t="shared" ca="1" si="200"/>
        <v>#REF!</v>
      </c>
      <c r="U964" s="233" t="str">
        <f t="shared" ca="1" si="142"/>
        <v>#REF!</v>
      </c>
      <c r="V964" s="233" t="str">
        <f t="shared" ca="1" si="7"/>
        <v>#REF!</v>
      </c>
      <c r="W964" s="234">
        <v>0</v>
      </c>
      <c r="X964" s="234" t="str">
        <f t="shared" ca="1" si="8"/>
        <v>#REF!</v>
      </c>
      <c r="Y964" s="234" t="str">
        <f t="shared" ca="1" si="9"/>
        <v>#REF!</v>
      </c>
      <c r="Z964" s="234" t="str">
        <f t="shared" ca="1" si="10"/>
        <v>#REF!</v>
      </c>
      <c r="AA964" s="234" t="str">
        <f t="shared" ca="1" si="11"/>
        <v>#REF!</v>
      </c>
      <c r="AB964" s="234" t="str">
        <f t="shared" ca="1" si="12"/>
        <v>#REF!</v>
      </c>
      <c r="AC964" s="234" t="str">
        <f t="shared" ca="1" si="13"/>
        <v>#REF!</v>
      </c>
      <c r="AD964" s="101" t="str">
        <f t="shared" ca="1" si="14"/>
        <v>#REF!</v>
      </c>
      <c r="AE964" s="101" t="str">
        <f t="shared" ca="1" si="15"/>
        <v>#REF!</v>
      </c>
      <c r="AF964" s="235" t="str">
        <f t="shared" ref="AF964:AG964" ca="1" si="1041">AD964/U964</f>
        <v>#REF!</v>
      </c>
      <c r="AG964" s="235" t="str">
        <f t="shared" ca="1" si="1041"/>
        <v>#REF!</v>
      </c>
      <c r="AH964" s="212"/>
      <c r="AI964" s="213"/>
      <c r="AJ964" s="4"/>
      <c r="AK964" s="4"/>
      <c r="AL964" s="4"/>
      <c r="AM964" s="4"/>
      <c r="AN964" s="4"/>
      <c r="AO964" s="4"/>
      <c r="AP964" s="4"/>
      <c r="AQ964" s="4"/>
      <c r="AR964" s="4"/>
      <c r="AS964" s="4"/>
      <c r="AT964" s="4"/>
      <c r="AU964" s="4"/>
    </row>
    <row r="965" spans="1:47" ht="13.2">
      <c r="A965" s="120"/>
      <c r="B965" s="113"/>
      <c r="C965" s="117"/>
      <c r="D965" s="117"/>
      <c r="E965" s="117"/>
      <c r="F965" s="123"/>
      <c r="G965" s="93" t="s">
        <v>145</v>
      </c>
      <c r="H965" s="125"/>
      <c r="I965" s="125"/>
      <c r="J965" s="82" t="str">
        <f t="shared" ca="1" si="147"/>
        <v>#REF!</v>
      </c>
      <c r="K965" s="82" t="str">
        <f t="shared" ca="1" si="256"/>
        <v>#REF!</v>
      </c>
      <c r="L965" s="82" t="str">
        <f t="shared" ca="1" si="199"/>
        <v>#REF!</v>
      </c>
      <c r="M965" s="125"/>
      <c r="N965" s="125"/>
      <c r="O965" s="230">
        <f t="shared" si="2"/>
        <v>0</v>
      </c>
      <c r="P965" s="231">
        <f t="shared" si="3"/>
        <v>0</v>
      </c>
      <c r="Q965" s="232" t="str">
        <f ca="1">ROUNDUP(HLOOKUP(IF(CEILING(L965,0.5)&lt;1,1,CEILING(L965,0.5)),'배송비 조회'!A$32:AY$36,2,0),-2)</f>
        <v>#REF!</v>
      </c>
      <c r="R965" s="232">
        <v>0</v>
      </c>
      <c r="S965" s="231" t="str">
        <f t="shared" ca="1" si="250"/>
        <v>#REF!</v>
      </c>
      <c r="T965" s="231" t="str">
        <f t="shared" ca="1" si="200"/>
        <v>#REF!</v>
      </c>
      <c r="U965" s="233" t="str">
        <f t="shared" ca="1" si="142"/>
        <v>#REF!</v>
      </c>
      <c r="V965" s="233" t="str">
        <f t="shared" ca="1" si="7"/>
        <v>#REF!</v>
      </c>
      <c r="W965" s="234">
        <v>0</v>
      </c>
      <c r="X965" s="234" t="str">
        <f t="shared" ca="1" si="8"/>
        <v>#REF!</v>
      </c>
      <c r="Y965" s="234" t="str">
        <f t="shared" ca="1" si="9"/>
        <v>#REF!</v>
      </c>
      <c r="Z965" s="234" t="str">
        <f t="shared" ca="1" si="10"/>
        <v>#REF!</v>
      </c>
      <c r="AA965" s="234" t="str">
        <f t="shared" ca="1" si="11"/>
        <v>#REF!</v>
      </c>
      <c r="AB965" s="234" t="str">
        <f t="shared" ca="1" si="12"/>
        <v>#REF!</v>
      </c>
      <c r="AC965" s="234" t="str">
        <f t="shared" ca="1" si="13"/>
        <v>#REF!</v>
      </c>
      <c r="AD965" s="101" t="str">
        <f t="shared" ca="1" si="14"/>
        <v>#REF!</v>
      </c>
      <c r="AE965" s="101" t="str">
        <f t="shared" ca="1" si="15"/>
        <v>#REF!</v>
      </c>
      <c r="AF965" s="235" t="str">
        <f t="shared" ref="AF965:AG965" ca="1" si="1042">AD965/U965</f>
        <v>#REF!</v>
      </c>
      <c r="AG965" s="235" t="str">
        <f t="shared" ca="1" si="1042"/>
        <v>#REF!</v>
      </c>
      <c r="AH965" s="212"/>
      <c r="AI965" s="213"/>
      <c r="AJ965" s="4"/>
      <c r="AK965" s="4"/>
      <c r="AL965" s="4"/>
      <c r="AM965" s="4"/>
      <c r="AN965" s="4"/>
      <c r="AO965" s="4"/>
      <c r="AP965" s="4"/>
      <c r="AQ965" s="4"/>
      <c r="AR965" s="4"/>
      <c r="AS965" s="4"/>
      <c r="AT965" s="4"/>
      <c r="AU965" s="4"/>
    </row>
    <row r="966" spans="1:47" ht="13.2">
      <c r="A966" s="120"/>
      <c r="B966" s="113"/>
      <c r="C966" s="117"/>
      <c r="D966" s="117"/>
      <c r="E966" s="117"/>
      <c r="F966" s="123"/>
      <c r="G966" s="93" t="s">
        <v>145</v>
      </c>
      <c r="H966" s="125"/>
      <c r="I966" s="125"/>
      <c r="J966" s="82" t="str">
        <f t="shared" ca="1" si="147"/>
        <v>#REF!</v>
      </c>
      <c r="K966" s="82" t="str">
        <f t="shared" ca="1" si="256"/>
        <v>#REF!</v>
      </c>
      <c r="L966" s="82" t="str">
        <f t="shared" ca="1" si="199"/>
        <v>#REF!</v>
      </c>
      <c r="M966" s="125"/>
      <c r="N966" s="125"/>
      <c r="O966" s="230">
        <f t="shared" si="2"/>
        <v>0</v>
      </c>
      <c r="P966" s="231">
        <f t="shared" si="3"/>
        <v>0</v>
      </c>
      <c r="Q966" s="232" t="str">
        <f ca="1">ROUNDUP(HLOOKUP(IF(CEILING(L966,0.5)&lt;1,1,CEILING(L966,0.5)),'배송비 조회'!A$32:AY$36,2,0),-2)</f>
        <v>#REF!</v>
      </c>
      <c r="R966" s="232">
        <v>0</v>
      </c>
      <c r="S966" s="231" t="str">
        <f t="shared" ca="1" si="250"/>
        <v>#REF!</v>
      </c>
      <c r="T966" s="231" t="str">
        <f t="shared" ca="1" si="200"/>
        <v>#REF!</v>
      </c>
      <c r="U966" s="233" t="str">
        <f t="shared" ca="1" si="142"/>
        <v>#REF!</v>
      </c>
      <c r="V966" s="233" t="str">
        <f t="shared" ca="1" si="7"/>
        <v>#REF!</v>
      </c>
      <c r="W966" s="234">
        <v>0</v>
      </c>
      <c r="X966" s="234" t="str">
        <f t="shared" ca="1" si="8"/>
        <v>#REF!</v>
      </c>
      <c r="Y966" s="234" t="str">
        <f t="shared" ca="1" si="9"/>
        <v>#REF!</v>
      </c>
      <c r="Z966" s="234" t="str">
        <f t="shared" ca="1" si="10"/>
        <v>#REF!</v>
      </c>
      <c r="AA966" s="234" t="str">
        <f t="shared" ca="1" si="11"/>
        <v>#REF!</v>
      </c>
      <c r="AB966" s="234" t="str">
        <f t="shared" ca="1" si="12"/>
        <v>#REF!</v>
      </c>
      <c r="AC966" s="234" t="str">
        <f t="shared" ca="1" si="13"/>
        <v>#REF!</v>
      </c>
      <c r="AD966" s="101" t="str">
        <f t="shared" ca="1" si="14"/>
        <v>#REF!</v>
      </c>
      <c r="AE966" s="101" t="str">
        <f t="shared" ca="1" si="15"/>
        <v>#REF!</v>
      </c>
      <c r="AF966" s="235" t="str">
        <f t="shared" ref="AF966:AG966" ca="1" si="1043">AD966/U966</f>
        <v>#REF!</v>
      </c>
      <c r="AG966" s="235" t="str">
        <f t="shared" ca="1" si="1043"/>
        <v>#REF!</v>
      </c>
      <c r="AH966" s="212"/>
      <c r="AI966" s="213"/>
      <c r="AJ966" s="4"/>
      <c r="AK966" s="4"/>
      <c r="AL966" s="4"/>
      <c r="AM966" s="4"/>
      <c r="AN966" s="4"/>
      <c r="AO966" s="4"/>
      <c r="AP966" s="4"/>
      <c r="AQ966" s="4"/>
      <c r="AR966" s="4"/>
      <c r="AS966" s="4"/>
      <c r="AT966" s="4"/>
      <c r="AU966" s="4"/>
    </row>
    <row r="967" spans="1:47" ht="13.2">
      <c r="A967" s="120"/>
      <c r="B967" s="113"/>
      <c r="C967" s="117"/>
      <c r="D967" s="117"/>
      <c r="E967" s="117"/>
      <c r="F967" s="123"/>
      <c r="G967" s="93" t="s">
        <v>145</v>
      </c>
      <c r="H967" s="125"/>
      <c r="I967" s="125"/>
      <c r="J967" s="82" t="str">
        <f t="shared" ca="1" si="147"/>
        <v>#REF!</v>
      </c>
      <c r="K967" s="82" t="str">
        <f t="shared" ca="1" si="256"/>
        <v>#REF!</v>
      </c>
      <c r="L967" s="82" t="str">
        <f t="shared" ca="1" si="199"/>
        <v>#REF!</v>
      </c>
      <c r="M967" s="125"/>
      <c r="N967" s="125"/>
      <c r="O967" s="230">
        <f t="shared" si="2"/>
        <v>0</v>
      </c>
      <c r="P967" s="231">
        <f t="shared" si="3"/>
        <v>0</v>
      </c>
      <c r="Q967" s="232" t="str">
        <f ca="1">ROUNDUP(HLOOKUP(IF(CEILING(L967,0.5)&lt;1,1,CEILING(L967,0.5)),'배송비 조회'!A$32:AY$36,2,0),-2)</f>
        <v>#REF!</v>
      </c>
      <c r="R967" s="232">
        <v>0</v>
      </c>
      <c r="S967" s="231" t="str">
        <f t="shared" ca="1" si="250"/>
        <v>#REF!</v>
      </c>
      <c r="T967" s="231" t="str">
        <f t="shared" ca="1" si="200"/>
        <v>#REF!</v>
      </c>
      <c r="U967" s="233" t="str">
        <f t="shared" ca="1" si="142"/>
        <v>#REF!</v>
      </c>
      <c r="V967" s="233" t="str">
        <f t="shared" ca="1" si="7"/>
        <v>#REF!</v>
      </c>
      <c r="W967" s="234">
        <v>0</v>
      </c>
      <c r="X967" s="234" t="str">
        <f t="shared" ca="1" si="8"/>
        <v>#REF!</v>
      </c>
      <c r="Y967" s="234" t="str">
        <f t="shared" ca="1" si="9"/>
        <v>#REF!</v>
      </c>
      <c r="Z967" s="234" t="str">
        <f t="shared" ca="1" si="10"/>
        <v>#REF!</v>
      </c>
      <c r="AA967" s="234" t="str">
        <f t="shared" ca="1" si="11"/>
        <v>#REF!</v>
      </c>
      <c r="AB967" s="234" t="str">
        <f t="shared" ca="1" si="12"/>
        <v>#REF!</v>
      </c>
      <c r="AC967" s="234" t="str">
        <f t="shared" ca="1" si="13"/>
        <v>#REF!</v>
      </c>
      <c r="AD967" s="101" t="str">
        <f t="shared" ca="1" si="14"/>
        <v>#REF!</v>
      </c>
      <c r="AE967" s="101" t="str">
        <f t="shared" ca="1" si="15"/>
        <v>#REF!</v>
      </c>
      <c r="AF967" s="235" t="str">
        <f t="shared" ref="AF967:AG967" ca="1" si="1044">AD967/U967</f>
        <v>#REF!</v>
      </c>
      <c r="AG967" s="235" t="str">
        <f t="shared" ca="1" si="1044"/>
        <v>#REF!</v>
      </c>
      <c r="AH967" s="212"/>
      <c r="AI967" s="213"/>
      <c r="AJ967" s="4"/>
      <c r="AK967" s="4"/>
      <c r="AL967" s="4"/>
      <c r="AM967" s="4"/>
      <c r="AN967" s="4"/>
      <c r="AO967" s="4"/>
      <c r="AP967" s="4"/>
      <c r="AQ967" s="4"/>
      <c r="AR967" s="4"/>
      <c r="AS967" s="4"/>
      <c r="AT967" s="4"/>
      <c r="AU967" s="4"/>
    </row>
    <row r="968" spans="1:47" ht="13.2">
      <c r="A968" s="120"/>
      <c r="B968" s="113"/>
      <c r="C968" s="117"/>
      <c r="D968" s="117"/>
      <c r="E968" s="117"/>
      <c r="F968" s="123"/>
      <c r="G968" s="93" t="s">
        <v>145</v>
      </c>
      <c r="H968" s="125"/>
      <c r="I968" s="125"/>
      <c r="J968" s="82" t="str">
        <f t="shared" ca="1" si="147"/>
        <v>#REF!</v>
      </c>
      <c r="K968" s="82" t="str">
        <f t="shared" ca="1" si="256"/>
        <v>#REF!</v>
      </c>
      <c r="L968" s="82" t="str">
        <f t="shared" ca="1" si="199"/>
        <v>#REF!</v>
      </c>
      <c r="M968" s="125"/>
      <c r="N968" s="125"/>
      <c r="O968" s="230">
        <f t="shared" si="2"/>
        <v>0</v>
      </c>
      <c r="P968" s="231">
        <f t="shared" si="3"/>
        <v>0</v>
      </c>
      <c r="Q968" s="232" t="str">
        <f ca="1">ROUNDUP(HLOOKUP(IF(CEILING(L968,0.5)&lt;1,1,CEILING(L968,0.5)),'배송비 조회'!A$32:AY$36,2,0),-2)</f>
        <v>#REF!</v>
      </c>
      <c r="R968" s="232">
        <v>0</v>
      </c>
      <c r="S968" s="231" t="str">
        <f t="shared" ca="1" si="250"/>
        <v>#REF!</v>
      </c>
      <c r="T968" s="231" t="str">
        <f t="shared" ca="1" si="200"/>
        <v>#REF!</v>
      </c>
      <c r="U968" s="233" t="str">
        <f t="shared" ca="1" si="142"/>
        <v>#REF!</v>
      </c>
      <c r="V968" s="233" t="str">
        <f t="shared" ca="1" si="7"/>
        <v>#REF!</v>
      </c>
      <c r="W968" s="234">
        <v>0</v>
      </c>
      <c r="X968" s="234" t="str">
        <f t="shared" ca="1" si="8"/>
        <v>#REF!</v>
      </c>
      <c r="Y968" s="234" t="str">
        <f t="shared" ca="1" si="9"/>
        <v>#REF!</v>
      </c>
      <c r="Z968" s="234" t="str">
        <f t="shared" ca="1" si="10"/>
        <v>#REF!</v>
      </c>
      <c r="AA968" s="234" t="str">
        <f t="shared" ca="1" si="11"/>
        <v>#REF!</v>
      </c>
      <c r="AB968" s="234" t="str">
        <f t="shared" ca="1" si="12"/>
        <v>#REF!</v>
      </c>
      <c r="AC968" s="234" t="str">
        <f t="shared" ca="1" si="13"/>
        <v>#REF!</v>
      </c>
      <c r="AD968" s="101" t="str">
        <f t="shared" ca="1" si="14"/>
        <v>#REF!</v>
      </c>
      <c r="AE968" s="101" t="str">
        <f t="shared" ca="1" si="15"/>
        <v>#REF!</v>
      </c>
      <c r="AF968" s="235" t="str">
        <f t="shared" ref="AF968:AG968" ca="1" si="1045">AD968/U968</f>
        <v>#REF!</v>
      </c>
      <c r="AG968" s="235" t="str">
        <f t="shared" ca="1" si="1045"/>
        <v>#REF!</v>
      </c>
      <c r="AH968" s="212"/>
      <c r="AI968" s="213"/>
      <c r="AJ968" s="4"/>
      <c r="AK968" s="4"/>
      <c r="AL968" s="4"/>
      <c r="AM968" s="4"/>
      <c r="AN968" s="4"/>
      <c r="AO968" s="4"/>
      <c r="AP968" s="4"/>
      <c r="AQ968" s="4"/>
      <c r="AR968" s="4"/>
      <c r="AS968" s="4"/>
      <c r="AT968" s="4"/>
      <c r="AU968" s="4"/>
    </row>
    <row r="969" spans="1:47" ht="13.2">
      <c r="A969" s="120"/>
      <c r="B969" s="113"/>
      <c r="C969" s="117"/>
      <c r="D969" s="117"/>
      <c r="E969" s="117"/>
      <c r="F969" s="123"/>
      <c r="G969" s="93" t="s">
        <v>145</v>
      </c>
      <c r="H969" s="125"/>
      <c r="I969" s="125"/>
      <c r="J969" s="82" t="str">
        <f t="shared" ca="1" si="147"/>
        <v>#REF!</v>
      </c>
      <c r="K969" s="82" t="str">
        <f t="shared" ca="1" si="256"/>
        <v>#REF!</v>
      </c>
      <c r="L969" s="82" t="str">
        <f t="shared" ca="1" si="199"/>
        <v>#REF!</v>
      </c>
      <c r="M969" s="125"/>
      <c r="N969" s="125"/>
      <c r="O969" s="230">
        <f t="shared" si="2"/>
        <v>0</v>
      </c>
      <c r="P969" s="231">
        <f t="shared" si="3"/>
        <v>0</v>
      </c>
      <c r="Q969" s="232" t="str">
        <f ca="1">ROUNDUP(HLOOKUP(IF(CEILING(L969,0.5)&lt;1,1,CEILING(L969,0.5)),'배송비 조회'!A$32:AY$36,2,0),-2)</f>
        <v>#REF!</v>
      </c>
      <c r="R969" s="232">
        <v>0</v>
      </c>
      <c r="S969" s="231" t="str">
        <f t="shared" ca="1" si="250"/>
        <v>#REF!</v>
      </c>
      <c r="T969" s="231" t="str">
        <f t="shared" ca="1" si="200"/>
        <v>#REF!</v>
      </c>
      <c r="U969" s="233" t="str">
        <f t="shared" ca="1" si="142"/>
        <v>#REF!</v>
      </c>
      <c r="V969" s="233" t="str">
        <f t="shared" ca="1" si="7"/>
        <v>#REF!</v>
      </c>
      <c r="W969" s="234">
        <v>0</v>
      </c>
      <c r="X969" s="234" t="str">
        <f t="shared" ca="1" si="8"/>
        <v>#REF!</v>
      </c>
      <c r="Y969" s="234" t="str">
        <f t="shared" ca="1" si="9"/>
        <v>#REF!</v>
      </c>
      <c r="Z969" s="234" t="str">
        <f t="shared" ca="1" si="10"/>
        <v>#REF!</v>
      </c>
      <c r="AA969" s="234" t="str">
        <f t="shared" ca="1" si="11"/>
        <v>#REF!</v>
      </c>
      <c r="AB969" s="234" t="str">
        <f t="shared" ca="1" si="12"/>
        <v>#REF!</v>
      </c>
      <c r="AC969" s="234" t="str">
        <f t="shared" ca="1" si="13"/>
        <v>#REF!</v>
      </c>
      <c r="AD969" s="101" t="str">
        <f t="shared" ca="1" si="14"/>
        <v>#REF!</v>
      </c>
      <c r="AE969" s="101" t="str">
        <f t="shared" ca="1" si="15"/>
        <v>#REF!</v>
      </c>
      <c r="AF969" s="235" t="str">
        <f t="shared" ref="AF969:AG969" ca="1" si="1046">AD969/U969</f>
        <v>#REF!</v>
      </c>
      <c r="AG969" s="235" t="str">
        <f t="shared" ca="1" si="1046"/>
        <v>#REF!</v>
      </c>
      <c r="AH969" s="212"/>
      <c r="AI969" s="213"/>
      <c r="AJ969" s="4"/>
      <c r="AK969" s="4"/>
      <c r="AL969" s="4"/>
      <c r="AM969" s="4"/>
      <c r="AN969" s="4"/>
      <c r="AO969" s="4"/>
      <c r="AP969" s="4"/>
      <c r="AQ969" s="4"/>
      <c r="AR969" s="4"/>
      <c r="AS969" s="4"/>
      <c r="AT969" s="4"/>
      <c r="AU969" s="4"/>
    </row>
    <row r="970" spans="1:47" ht="13.2">
      <c r="A970" s="120"/>
      <c r="B970" s="113"/>
      <c r="C970" s="117"/>
      <c r="D970" s="117"/>
      <c r="E970" s="117"/>
      <c r="F970" s="123"/>
      <c r="G970" s="93" t="s">
        <v>145</v>
      </c>
      <c r="H970" s="125"/>
      <c r="I970" s="125"/>
      <c r="J970" s="82" t="str">
        <f t="shared" ca="1" si="147"/>
        <v>#REF!</v>
      </c>
      <c r="K970" s="82" t="str">
        <f t="shared" ca="1" si="256"/>
        <v>#REF!</v>
      </c>
      <c r="L970" s="82" t="str">
        <f t="shared" ca="1" si="199"/>
        <v>#REF!</v>
      </c>
      <c r="M970" s="125"/>
      <c r="N970" s="125"/>
      <c r="O970" s="230">
        <f t="shared" si="2"/>
        <v>0</v>
      </c>
      <c r="P970" s="231">
        <f t="shared" si="3"/>
        <v>0</v>
      </c>
      <c r="Q970" s="232" t="str">
        <f ca="1">ROUNDUP(HLOOKUP(IF(CEILING(L970,0.5)&lt;1,1,CEILING(L970,0.5)),'배송비 조회'!A$32:AY$36,2,0),-2)</f>
        <v>#REF!</v>
      </c>
      <c r="R970" s="232">
        <v>0</v>
      </c>
      <c r="S970" s="231" t="str">
        <f t="shared" ca="1" si="250"/>
        <v>#REF!</v>
      </c>
      <c r="T970" s="231" t="str">
        <f t="shared" ca="1" si="200"/>
        <v>#REF!</v>
      </c>
      <c r="U970" s="233" t="str">
        <f t="shared" ca="1" si="142"/>
        <v>#REF!</v>
      </c>
      <c r="V970" s="233" t="str">
        <f t="shared" ca="1" si="7"/>
        <v>#REF!</v>
      </c>
      <c r="W970" s="234">
        <v>0</v>
      </c>
      <c r="X970" s="234" t="str">
        <f t="shared" ca="1" si="8"/>
        <v>#REF!</v>
      </c>
      <c r="Y970" s="234" t="str">
        <f t="shared" ca="1" si="9"/>
        <v>#REF!</v>
      </c>
      <c r="Z970" s="234" t="str">
        <f t="shared" ca="1" si="10"/>
        <v>#REF!</v>
      </c>
      <c r="AA970" s="234" t="str">
        <f t="shared" ca="1" si="11"/>
        <v>#REF!</v>
      </c>
      <c r="AB970" s="234" t="str">
        <f t="shared" ca="1" si="12"/>
        <v>#REF!</v>
      </c>
      <c r="AC970" s="234" t="str">
        <f t="shared" ca="1" si="13"/>
        <v>#REF!</v>
      </c>
      <c r="AD970" s="101" t="str">
        <f t="shared" ca="1" si="14"/>
        <v>#REF!</v>
      </c>
      <c r="AE970" s="101" t="str">
        <f t="shared" ca="1" si="15"/>
        <v>#REF!</v>
      </c>
      <c r="AF970" s="235" t="str">
        <f t="shared" ref="AF970:AG970" ca="1" si="1047">AD970/U970</f>
        <v>#REF!</v>
      </c>
      <c r="AG970" s="235" t="str">
        <f t="shared" ca="1" si="1047"/>
        <v>#REF!</v>
      </c>
      <c r="AH970" s="212"/>
      <c r="AI970" s="213"/>
      <c r="AJ970" s="4"/>
      <c r="AK970" s="4"/>
      <c r="AL970" s="4"/>
      <c r="AM970" s="4"/>
      <c r="AN970" s="4"/>
      <c r="AO970" s="4"/>
      <c r="AP970" s="4"/>
      <c r="AQ970" s="4"/>
      <c r="AR970" s="4"/>
      <c r="AS970" s="4"/>
      <c r="AT970" s="4"/>
      <c r="AU970" s="4"/>
    </row>
    <row r="971" spans="1:47" ht="13.2">
      <c r="A971" s="120"/>
      <c r="B971" s="113"/>
      <c r="C971" s="117"/>
      <c r="D971" s="117"/>
      <c r="E971" s="117"/>
      <c r="F971" s="123"/>
      <c r="G971" s="93" t="s">
        <v>145</v>
      </c>
      <c r="H971" s="125"/>
      <c r="I971" s="125"/>
      <c r="J971" s="82" t="str">
        <f t="shared" ca="1" si="147"/>
        <v>#REF!</v>
      </c>
      <c r="K971" s="82" t="str">
        <f t="shared" ca="1" si="256"/>
        <v>#REF!</v>
      </c>
      <c r="L971" s="82" t="str">
        <f t="shared" ca="1" si="199"/>
        <v>#REF!</v>
      </c>
      <c r="M971" s="125"/>
      <c r="N971" s="125"/>
      <c r="O971" s="230">
        <f t="shared" si="2"/>
        <v>0</v>
      </c>
      <c r="P971" s="231">
        <f t="shared" si="3"/>
        <v>0</v>
      </c>
      <c r="Q971" s="232" t="str">
        <f ca="1">ROUNDUP(HLOOKUP(IF(CEILING(L971,0.5)&lt;1,1,CEILING(L971,0.5)),'배송비 조회'!A$32:AY$36,2,0),-2)</f>
        <v>#REF!</v>
      </c>
      <c r="R971" s="232">
        <v>0</v>
      </c>
      <c r="S971" s="231" t="str">
        <f t="shared" ca="1" si="250"/>
        <v>#REF!</v>
      </c>
      <c r="T971" s="231" t="str">
        <f t="shared" ca="1" si="200"/>
        <v>#REF!</v>
      </c>
      <c r="U971" s="233" t="str">
        <f t="shared" ca="1" si="142"/>
        <v>#REF!</v>
      </c>
      <c r="V971" s="233" t="str">
        <f t="shared" ca="1" si="7"/>
        <v>#REF!</v>
      </c>
      <c r="W971" s="234">
        <v>0</v>
      </c>
      <c r="X971" s="234" t="str">
        <f t="shared" ca="1" si="8"/>
        <v>#REF!</v>
      </c>
      <c r="Y971" s="234" t="str">
        <f t="shared" ca="1" si="9"/>
        <v>#REF!</v>
      </c>
      <c r="Z971" s="234" t="str">
        <f t="shared" ca="1" si="10"/>
        <v>#REF!</v>
      </c>
      <c r="AA971" s="234" t="str">
        <f t="shared" ca="1" si="11"/>
        <v>#REF!</v>
      </c>
      <c r="AB971" s="234" t="str">
        <f t="shared" ca="1" si="12"/>
        <v>#REF!</v>
      </c>
      <c r="AC971" s="234" t="str">
        <f t="shared" ca="1" si="13"/>
        <v>#REF!</v>
      </c>
      <c r="AD971" s="101" t="str">
        <f t="shared" ca="1" si="14"/>
        <v>#REF!</v>
      </c>
      <c r="AE971" s="101" t="str">
        <f t="shared" ca="1" si="15"/>
        <v>#REF!</v>
      </c>
      <c r="AF971" s="235" t="str">
        <f t="shared" ref="AF971:AG971" ca="1" si="1048">AD971/U971</f>
        <v>#REF!</v>
      </c>
      <c r="AG971" s="235" t="str">
        <f t="shared" ca="1" si="1048"/>
        <v>#REF!</v>
      </c>
      <c r="AH971" s="212"/>
      <c r="AI971" s="213"/>
      <c r="AJ971" s="4"/>
      <c r="AK971" s="4"/>
      <c r="AL971" s="4"/>
      <c r="AM971" s="4"/>
      <c r="AN971" s="4"/>
      <c r="AO971" s="4"/>
      <c r="AP971" s="4"/>
      <c r="AQ971" s="4"/>
      <c r="AR971" s="4"/>
      <c r="AS971" s="4"/>
      <c r="AT971" s="4"/>
      <c r="AU971" s="4"/>
    </row>
    <row r="972" spans="1:47" ht="13.2">
      <c r="A972" s="120"/>
      <c r="B972" s="113"/>
      <c r="C972" s="117"/>
      <c r="D972" s="117"/>
      <c r="E972" s="117"/>
      <c r="F972" s="123"/>
      <c r="G972" s="93" t="s">
        <v>145</v>
      </c>
      <c r="H972" s="125"/>
      <c r="I972" s="125"/>
      <c r="J972" s="82" t="str">
        <f t="shared" ca="1" si="147"/>
        <v>#REF!</v>
      </c>
      <c r="K972" s="82" t="str">
        <f t="shared" ca="1" si="256"/>
        <v>#REF!</v>
      </c>
      <c r="L972" s="82" t="str">
        <f t="shared" ca="1" si="199"/>
        <v>#REF!</v>
      </c>
      <c r="M972" s="125"/>
      <c r="N972" s="125"/>
      <c r="O972" s="230">
        <f t="shared" si="2"/>
        <v>0</v>
      </c>
      <c r="P972" s="231">
        <f t="shared" si="3"/>
        <v>0</v>
      </c>
      <c r="Q972" s="232" t="str">
        <f ca="1">ROUNDUP(HLOOKUP(IF(CEILING(L972,0.5)&lt;1,1,CEILING(L972,0.5)),'배송비 조회'!A$32:AY$36,2,0),-2)</f>
        <v>#REF!</v>
      </c>
      <c r="R972" s="232">
        <v>0</v>
      </c>
      <c r="S972" s="231" t="str">
        <f t="shared" ca="1" si="250"/>
        <v>#REF!</v>
      </c>
      <c r="T972" s="231" t="str">
        <f t="shared" ca="1" si="200"/>
        <v>#REF!</v>
      </c>
      <c r="U972" s="233" t="str">
        <f t="shared" ca="1" si="142"/>
        <v>#REF!</v>
      </c>
      <c r="V972" s="233" t="str">
        <f t="shared" ca="1" si="7"/>
        <v>#REF!</v>
      </c>
      <c r="W972" s="234">
        <v>0</v>
      </c>
      <c r="X972" s="234" t="str">
        <f t="shared" ca="1" si="8"/>
        <v>#REF!</v>
      </c>
      <c r="Y972" s="234" t="str">
        <f t="shared" ca="1" si="9"/>
        <v>#REF!</v>
      </c>
      <c r="Z972" s="234" t="str">
        <f t="shared" ca="1" si="10"/>
        <v>#REF!</v>
      </c>
      <c r="AA972" s="234" t="str">
        <f t="shared" ca="1" si="11"/>
        <v>#REF!</v>
      </c>
      <c r="AB972" s="234" t="str">
        <f t="shared" ca="1" si="12"/>
        <v>#REF!</v>
      </c>
      <c r="AC972" s="234" t="str">
        <f t="shared" ca="1" si="13"/>
        <v>#REF!</v>
      </c>
      <c r="AD972" s="101" t="str">
        <f t="shared" ca="1" si="14"/>
        <v>#REF!</v>
      </c>
      <c r="AE972" s="101" t="str">
        <f t="shared" ca="1" si="15"/>
        <v>#REF!</v>
      </c>
      <c r="AF972" s="235" t="str">
        <f t="shared" ref="AF972:AG972" ca="1" si="1049">AD972/U972</f>
        <v>#REF!</v>
      </c>
      <c r="AG972" s="235" t="str">
        <f t="shared" ca="1" si="1049"/>
        <v>#REF!</v>
      </c>
      <c r="AH972" s="212"/>
      <c r="AI972" s="213"/>
      <c r="AJ972" s="4"/>
      <c r="AK972" s="4"/>
      <c r="AL972" s="4"/>
      <c r="AM972" s="4"/>
      <c r="AN972" s="4"/>
      <c r="AO972" s="4"/>
      <c r="AP972" s="4"/>
      <c r="AQ972" s="4"/>
      <c r="AR972" s="4"/>
      <c r="AS972" s="4"/>
      <c r="AT972" s="4"/>
      <c r="AU972" s="4"/>
    </row>
    <row r="973" spans="1:47" ht="13.2">
      <c r="A973" s="120"/>
      <c r="B973" s="113"/>
      <c r="C973" s="117"/>
      <c r="D973" s="117"/>
      <c r="E973" s="117"/>
      <c r="F973" s="123"/>
      <c r="G973" s="93" t="s">
        <v>145</v>
      </c>
      <c r="H973" s="125"/>
      <c r="I973" s="125"/>
      <c r="J973" s="82" t="str">
        <f t="shared" ca="1" si="147"/>
        <v>#REF!</v>
      </c>
      <c r="K973" s="82" t="str">
        <f t="shared" ca="1" si="256"/>
        <v>#REF!</v>
      </c>
      <c r="L973" s="82" t="str">
        <f t="shared" ca="1" si="199"/>
        <v>#REF!</v>
      </c>
      <c r="M973" s="125"/>
      <c r="N973" s="125"/>
      <c r="O973" s="230">
        <f t="shared" si="2"/>
        <v>0</v>
      </c>
      <c r="P973" s="231">
        <f t="shared" si="3"/>
        <v>0</v>
      </c>
      <c r="Q973" s="232" t="str">
        <f ca="1">ROUNDUP(HLOOKUP(IF(CEILING(L973,0.5)&lt;1,1,CEILING(L973,0.5)),'배송비 조회'!A$32:AY$36,2,0),-2)</f>
        <v>#REF!</v>
      </c>
      <c r="R973" s="232">
        <v>0</v>
      </c>
      <c r="S973" s="231" t="str">
        <f t="shared" ca="1" si="250"/>
        <v>#REF!</v>
      </c>
      <c r="T973" s="231" t="str">
        <f t="shared" ca="1" si="200"/>
        <v>#REF!</v>
      </c>
      <c r="U973" s="233" t="str">
        <f t="shared" ca="1" si="142"/>
        <v>#REF!</v>
      </c>
      <c r="V973" s="233" t="str">
        <f t="shared" ca="1" si="7"/>
        <v>#REF!</v>
      </c>
      <c r="W973" s="234">
        <v>0</v>
      </c>
      <c r="X973" s="234" t="str">
        <f t="shared" ca="1" si="8"/>
        <v>#REF!</v>
      </c>
      <c r="Y973" s="234" t="str">
        <f t="shared" ca="1" si="9"/>
        <v>#REF!</v>
      </c>
      <c r="Z973" s="234" t="str">
        <f t="shared" ca="1" si="10"/>
        <v>#REF!</v>
      </c>
      <c r="AA973" s="234" t="str">
        <f t="shared" ca="1" si="11"/>
        <v>#REF!</v>
      </c>
      <c r="AB973" s="234" t="str">
        <f t="shared" ca="1" si="12"/>
        <v>#REF!</v>
      </c>
      <c r="AC973" s="234" t="str">
        <f t="shared" ca="1" si="13"/>
        <v>#REF!</v>
      </c>
      <c r="AD973" s="101" t="str">
        <f t="shared" ca="1" si="14"/>
        <v>#REF!</v>
      </c>
      <c r="AE973" s="101" t="str">
        <f t="shared" ca="1" si="15"/>
        <v>#REF!</v>
      </c>
      <c r="AF973" s="235" t="str">
        <f t="shared" ref="AF973:AG973" ca="1" si="1050">AD973/U973</f>
        <v>#REF!</v>
      </c>
      <c r="AG973" s="235" t="str">
        <f t="shared" ca="1" si="1050"/>
        <v>#REF!</v>
      </c>
      <c r="AH973" s="212"/>
      <c r="AI973" s="213"/>
      <c r="AJ973" s="4"/>
      <c r="AK973" s="4"/>
      <c r="AL973" s="4"/>
      <c r="AM973" s="4"/>
      <c r="AN973" s="4"/>
      <c r="AO973" s="4"/>
      <c r="AP973" s="4"/>
      <c r="AQ973" s="4"/>
      <c r="AR973" s="4"/>
      <c r="AS973" s="4"/>
      <c r="AT973" s="4"/>
      <c r="AU973" s="4"/>
    </row>
    <row r="974" spans="1:47" ht="13.2">
      <c r="A974" s="120"/>
      <c r="B974" s="113"/>
      <c r="C974" s="117"/>
      <c r="D974" s="117"/>
      <c r="E974" s="117"/>
      <c r="F974" s="123"/>
      <c r="G974" s="93" t="s">
        <v>145</v>
      </c>
      <c r="H974" s="125"/>
      <c r="I974" s="125"/>
      <c r="J974" s="82" t="str">
        <f t="shared" ca="1" si="147"/>
        <v>#REF!</v>
      </c>
      <c r="K974" s="82" t="str">
        <f t="shared" ca="1" si="256"/>
        <v>#REF!</v>
      </c>
      <c r="L974" s="82" t="str">
        <f t="shared" ca="1" si="199"/>
        <v>#REF!</v>
      </c>
      <c r="M974" s="125"/>
      <c r="N974" s="125"/>
      <c r="O974" s="230">
        <f t="shared" si="2"/>
        <v>0</v>
      </c>
      <c r="P974" s="231">
        <f t="shared" si="3"/>
        <v>0</v>
      </c>
      <c r="Q974" s="232" t="str">
        <f ca="1">ROUNDUP(HLOOKUP(IF(CEILING(L974,0.5)&lt;1,1,CEILING(L974,0.5)),'배송비 조회'!A$32:AY$36,2,0),-2)</f>
        <v>#REF!</v>
      </c>
      <c r="R974" s="232">
        <v>0</v>
      </c>
      <c r="S974" s="231" t="str">
        <f t="shared" ca="1" si="250"/>
        <v>#REF!</v>
      </c>
      <c r="T974" s="231" t="str">
        <f t="shared" ca="1" si="200"/>
        <v>#REF!</v>
      </c>
      <c r="U974" s="233" t="str">
        <f t="shared" ca="1" si="142"/>
        <v>#REF!</v>
      </c>
      <c r="V974" s="233" t="str">
        <f t="shared" ca="1" si="7"/>
        <v>#REF!</v>
      </c>
      <c r="W974" s="234">
        <v>0</v>
      </c>
      <c r="X974" s="234" t="str">
        <f t="shared" ca="1" si="8"/>
        <v>#REF!</v>
      </c>
      <c r="Y974" s="234" t="str">
        <f t="shared" ca="1" si="9"/>
        <v>#REF!</v>
      </c>
      <c r="Z974" s="234" t="str">
        <f t="shared" ca="1" si="10"/>
        <v>#REF!</v>
      </c>
      <c r="AA974" s="234" t="str">
        <f t="shared" ca="1" si="11"/>
        <v>#REF!</v>
      </c>
      <c r="AB974" s="234" t="str">
        <f t="shared" ca="1" si="12"/>
        <v>#REF!</v>
      </c>
      <c r="AC974" s="234" t="str">
        <f t="shared" ca="1" si="13"/>
        <v>#REF!</v>
      </c>
      <c r="AD974" s="101" t="str">
        <f t="shared" ca="1" si="14"/>
        <v>#REF!</v>
      </c>
      <c r="AE974" s="101" t="str">
        <f t="shared" ca="1" si="15"/>
        <v>#REF!</v>
      </c>
      <c r="AF974" s="235" t="str">
        <f t="shared" ref="AF974:AG974" ca="1" si="1051">AD974/U974</f>
        <v>#REF!</v>
      </c>
      <c r="AG974" s="235" t="str">
        <f t="shared" ca="1" si="1051"/>
        <v>#REF!</v>
      </c>
      <c r="AH974" s="212"/>
      <c r="AI974" s="213"/>
      <c r="AJ974" s="4"/>
      <c r="AK974" s="4"/>
      <c r="AL974" s="4"/>
      <c r="AM974" s="4"/>
      <c r="AN974" s="4"/>
      <c r="AO974" s="4"/>
      <c r="AP974" s="4"/>
      <c r="AQ974" s="4"/>
      <c r="AR974" s="4"/>
      <c r="AS974" s="4"/>
      <c r="AT974" s="4"/>
      <c r="AU974" s="4"/>
    </row>
    <row r="975" spans="1:47" ht="13.2">
      <c r="A975" s="120"/>
      <c r="B975" s="113"/>
      <c r="C975" s="117"/>
      <c r="D975" s="117"/>
      <c r="E975" s="117"/>
      <c r="F975" s="123"/>
      <c r="G975" s="93" t="s">
        <v>145</v>
      </c>
      <c r="H975" s="125"/>
      <c r="I975" s="125"/>
      <c r="J975" s="82" t="str">
        <f t="shared" ca="1" si="147"/>
        <v>#REF!</v>
      </c>
      <c r="K975" s="82" t="str">
        <f t="shared" ca="1" si="256"/>
        <v>#REF!</v>
      </c>
      <c r="L975" s="82" t="str">
        <f t="shared" ca="1" si="199"/>
        <v>#REF!</v>
      </c>
      <c r="M975" s="125"/>
      <c r="N975" s="125"/>
      <c r="O975" s="230">
        <f t="shared" si="2"/>
        <v>0</v>
      </c>
      <c r="P975" s="231">
        <f t="shared" si="3"/>
        <v>0</v>
      </c>
      <c r="Q975" s="232" t="str">
        <f ca="1">ROUNDUP(HLOOKUP(IF(CEILING(L975,0.5)&lt;1,1,CEILING(L975,0.5)),'배송비 조회'!A$32:AY$36,2,0),-2)</f>
        <v>#REF!</v>
      </c>
      <c r="R975" s="232">
        <v>0</v>
      </c>
      <c r="S975" s="231" t="str">
        <f t="shared" ca="1" si="250"/>
        <v>#REF!</v>
      </c>
      <c r="T975" s="231" t="str">
        <f t="shared" ca="1" si="200"/>
        <v>#REF!</v>
      </c>
      <c r="U975" s="233" t="str">
        <f t="shared" ca="1" si="142"/>
        <v>#REF!</v>
      </c>
      <c r="V975" s="233" t="str">
        <f t="shared" ca="1" si="7"/>
        <v>#REF!</v>
      </c>
      <c r="W975" s="234">
        <v>0</v>
      </c>
      <c r="X975" s="234" t="str">
        <f t="shared" ca="1" si="8"/>
        <v>#REF!</v>
      </c>
      <c r="Y975" s="234" t="str">
        <f t="shared" ca="1" si="9"/>
        <v>#REF!</v>
      </c>
      <c r="Z975" s="234" t="str">
        <f t="shared" ca="1" si="10"/>
        <v>#REF!</v>
      </c>
      <c r="AA975" s="234" t="str">
        <f t="shared" ca="1" si="11"/>
        <v>#REF!</v>
      </c>
      <c r="AB975" s="234" t="str">
        <f t="shared" ca="1" si="12"/>
        <v>#REF!</v>
      </c>
      <c r="AC975" s="234" t="str">
        <f t="shared" ca="1" si="13"/>
        <v>#REF!</v>
      </c>
      <c r="AD975" s="101" t="str">
        <f t="shared" ca="1" si="14"/>
        <v>#REF!</v>
      </c>
      <c r="AE975" s="101" t="str">
        <f t="shared" ca="1" si="15"/>
        <v>#REF!</v>
      </c>
      <c r="AF975" s="235" t="str">
        <f t="shared" ref="AF975:AG975" ca="1" si="1052">AD975/U975</f>
        <v>#REF!</v>
      </c>
      <c r="AG975" s="235" t="str">
        <f t="shared" ca="1" si="1052"/>
        <v>#REF!</v>
      </c>
      <c r="AH975" s="212"/>
      <c r="AI975" s="213"/>
      <c r="AJ975" s="4"/>
      <c r="AK975" s="4"/>
      <c r="AL975" s="4"/>
      <c r="AM975" s="4"/>
      <c r="AN975" s="4"/>
      <c r="AO975" s="4"/>
      <c r="AP975" s="4"/>
      <c r="AQ975" s="4"/>
      <c r="AR975" s="4"/>
      <c r="AS975" s="4"/>
      <c r="AT975" s="4"/>
      <c r="AU975" s="4"/>
    </row>
    <row r="976" spans="1:47" ht="13.2">
      <c r="A976" s="120"/>
      <c r="B976" s="113"/>
      <c r="C976" s="117"/>
      <c r="D976" s="117"/>
      <c r="E976" s="117"/>
      <c r="F976" s="123"/>
      <c r="G976" s="93" t="s">
        <v>145</v>
      </c>
      <c r="H976" s="125"/>
      <c r="I976" s="125"/>
      <c r="J976" s="82" t="str">
        <f t="shared" ca="1" si="147"/>
        <v>#REF!</v>
      </c>
      <c r="K976" s="82" t="str">
        <f t="shared" ca="1" si="256"/>
        <v>#REF!</v>
      </c>
      <c r="L976" s="82" t="str">
        <f t="shared" ca="1" si="199"/>
        <v>#REF!</v>
      </c>
      <c r="M976" s="125"/>
      <c r="N976" s="125"/>
      <c r="O976" s="230">
        <f t="shared" si="2"/>
        <v>0</v>
      </c>
      <c r="P976" s="231">
        <f t="shared" si="3"/>
        <v>0</v>
      </c>
      <c r="Q976" s="232" t="str">
        <f ca="1">ROUNDUP(HLOOKUP(IF(CEILING(L976,0.5)&lt;1,1,CEILING(L976,0.5)),'배송비 조회'!A$32:AY$36,2,0),-2)</f>
        <v>#REF!</v>
      </c>
      <c r="R976" s="232">
        <v>0</v>
      </c>
      <c r="S976" s="231" t="str">
        <f t="shared" ca="1" si="250"/>
        <v>#REF!</v>
      </c>
      <c r="T976" s="231" t="str">
        <f t="shared" ca="1" si="200"/>
        <v>#REF!</v>
      </c>
      <c r="U976" s="233" t="str">
        <f t="shared" ca="1" si="142"/>
        <v>#REF!</v>
      </c>
      <c r="V976" s="233" t="str">
        <f t="shared" ca="1" si="7"/>
        <v>#REF!</v>
      </c>
      <c r="W976" s="234">
        <v>0</v>
      </c>
      <c r="X976" s="234" t="str">
        <f t="shared" ca="1" si="8"/>
        <v>#REF!</v>
      </c>
      <c r="Y976" s="234" t="str">
        <f t="shared" ca="1" si="9"/>
        <v>#REF!</v>
      </c>
      <c r="Z976" s="234" t="str">
        <f t="shared" ca="1" si="10"/>
        <v>#REF!</v>
      </c>
      <c r="AA976" s="234" t="str">
        <f t="shared" ca="1" si="11"/>
        <v>#REF!</v>
      </c>
      <c r="AB976" s="234" t="str">
        <f t="shared" ca="1" si="12"/>
        <v>#REF!</v>
      </c>
      <c r="AC976" s="234" t="str">
        <f t="shared" ca="1" si="13"/>
        <v>#REF!</v>
      </c>
      <c r="AD976" s="101" t="str">
        <f t="shared" ca="1" si="14"/>
        <v>#REF!</v>
      </c>
      <c r="AE976" s="101" t="str">
        <f t="shared" ca="1" si="15"/>
        <v>#REF!</v>
      </c>
      <c r="AF976" s="235" t="str">
        <f t="shared" ref="AF976:AG976" ca="1" si="1053">AD976/U976</f>
        <v>#REF!</v>
      </c>
      <c r="AG976" s="235" t="str">
        <f t="shared" ca="1" si="1053"/>
        <v>#REF!</v>
      </c>
      <c r="AH976" s="212"/>
      <c r="AI976" s="213"/>
      <c r="AJ976" s="4"/>
      <c r="AK976" s="4"/>
      <c r="AL976" s="4"/>
      <c r="AM976" s="4"/>
      <c r="AN976" s="4"/>
      <c r="AO976" s="4"/>
      <c r="AP976" s="4"/>
      <c r="AQ976" s="4"/>
      <c r="AR976" s="4"/>
      <c r="AS976" s="4"/>
      <c r="AT976" s="4"/>
      <c r="AU976" s="4"/>
    </row>
    <row r="977" spans="1:47" ht="13.2">
      <c r="A977" s="120"/>
      <c r="B977" s="113"/>
      <c r="C977" s="117"/>
      <c r="D977" s="117"/>
      <c r="E977" s="117"/>
      <c r="F977" s="123"/>
      <c r="G977" s="93" t="s">
        <v>145</v>
      </c>
      <c r="H977" s="125"/>
      <c r="I977" s="125"/>
      <c r="J977" s="82" t="str">
        <f t="shared" ca="1" si="147"/>
        <v>#REF!</v>
      </c>
      <c r="K977" s="82" t="str">
        <f t="shared" ca="1" si="256"/>
        <v>#REF!</v>
      </c>
      <c r="L977" s="82" t="str">
        <f t="shared" ca="1" si="199"/>
        <v>#REF!</v>
      </c>
      <c r="M977" s="125"/>
      <c r="N977" s="125"/>
      <c r="O977" s="230">
        <f t="shared" si="2"/>
        <v>0</v>
      </c>
      <c r="P977" s="231">
        <f t="shared" si="3"/>
        <v>0</v>
      </c>
      <c r="Q977" s="232" t="str">
        <f ca="1">ROUNDUP(HLOOKUP(IF(CEILING(L977,0.5)&lt;1,1,CEILING(L977,0.5)),'배송비 조회'!A$32:AY$36,2,0),-2)</f>
        <v>#REF!</v>
      </c>
      <c r="R977" s="232">
        <v>0</v>
      </c>
      <c r="S977" s="231" t="str">
        <f t="shared" ca="1" si="250"/>
        <v>#REF!</v>
      </c>
      <c r="T977" s="231" t="str">
        <f t="shared" ca="1" si="200"/>
        <v>#REF!</v>
      </c>
      <c r="U977" s="233" t="str">
        <f t="shared" ca="1" si="142"/>
        <v>#REF!</v>
      </c>
      <c r="V977" s="233" t="str">
        <f t="shared" ca="1" si="7"/>
        <v>#REF!</v>
      </c>
      <c r="W977" s="234">
        <v>0</v>
      </c>
      <c r="X977" s="234" t="str">
        <f t="shared" ca="1" si="8"/>
        <v>#REF!</v>
      </c>
      <c r="Y977" s="234" t="str">
        <f t="shared" ca="1" si="9"/>
        <v>#REF!</v>
      </c>
      <c r="Z977" s="234" t="str">
        <f t="shared" ca="1" si="10"/>
        <v>#REF!</v>
      </c>
      <c r="AA977" s="234" t="str">
        <f t="shared" ca="1" si="11"/>
        <v>#REF!</v>
      </c>
      <c r="AB977" s="234" t="str">
        <f t="shared" ca="1" si="12"/>
        <v>#REF!</v>
      </c>
      <c r="AC977" s="234" t="str">
        <f t="shared" ca="1" si="13"/>
        <v>#REF!</v>
      </c>
      <c r="AD977" s="101" t="str">
        <f t="shared" ca="1" si="14"/>
        <v>#REF!</v>
      </c>
      <c r="AE977" s="101" t="str">
        <f t="shared" ca="1" si="15"/>
        <v>#REF!</v>
      </c>
      <c r="AF977" s="235" t="str">
        <f t="shared" ref="AF977:AG977" ca="1" si="1054">AD977/U977</f>
        <v>#REF!</v>
      </c>
      <c r="AG977" s="235" t="str">
        <f t="shared" ca="1" si="1054"/>
        <v>#REF!</v>
      </c>
      <c r="AH977" s="212"/>
      <c r="AI977" s="213"/>
      <c r="AJ977" s="4"/>
      <c r="AK977" s="4"/>
      <c r="AL977" s="4"/>
      <c r="AM977" s="4"/>
      <c r="AN977" s="4"/>
      <c r="AO977" s="4"/>
      <c r="AP977" s="4"/>
      <c r="AQ977" s="4"/>
      <c r="AR977" s="4"/>
      <c r="AS977" s="4"/>
      <c r="AT977" s="4"/>
      <c r="AU977" s="4"/>
    </row>
    <row r="978" spans="1:47" ht="13.2">
      <c r="A978" s="120"/>
      <c r="B978" s="113"/>
      <c r="C978" s="117"/>
      <c r="D978" s="117"/>
      <c r="E978" s="117"/>
      <c r="F978" s="123"/>
      <c r="G978" s="93" t="s">
        <v>145</v>
      </c>
      <c r="H978" s="125"/>
      <c r="I978" s="125"/>
      <c r="J978" s="82" t="str">
        <f t="shared" ca="1" si="147"/>
        <v>#REF!</v>
      </c>
      <c r="K978" s="82" t="str">
        <f t="shared" ca="1" si="256"/>
        <v>#REF!</v>
      </c>
      <c r="L978" s="82" t="str">
        <f t="shared" ca="1" si="199"/>
        <v>#REF!</v>
      </c>
      <c r="M978" s="125"/>
      <c r="N978" s="125"/>
      <c r="O978" s="230">
        <f t="shared" si="2"/>
        <v>0</v>
      </c>
      <c r="P978" s="231">
        <f t="shared" si="3"/>
        <v>0</v>
      </c>
      <c r="Q978" s="232" t="str">
        <f ca="1">ROUNDUP(HLOOKUP(IF(CEILING(L978,0.5)&lt;1,1,CEILING(L978,0.5)),'배송비 조회'!A$32:AY$36,2,0),-2)</f>
        <v>#REF!</v>
      </c>
      <c r="R978" s="232">
        <v>0</v>
      </c>
      <c r="S978" s="231" t="str">
        <f t="shared" ca="1" si="250"/>
        <v>#REF!</v>
      </c>
      <c r="T978" s="231" t="str">
        <f t="shared" ca="1" si="200"/>
        <v>#REF!</v>
      </c>
      <c r="U978" s="233" t="str">
        <f t="shared" ca="1" si="142"/>
        <v>#REF!</v>
      </c>
      <c r="V978" s="233" t="str">
        <f t="shared" ca="1" si="7"/>
        <v>#REF!</v>
      </c>
      <c r="W978" s="234">
        <v>0</v>
      </c>
      <c r="X978" s="234" t="str">
        <f t="shared" ca="1" si="8"/>
        <v>#REF!</v>
      </c>
      <c r="Y978" s="234" t="str">
        <f t="shared" ca="1" si="9"/>
        <v>#REF!</v>
      </c>
      <c r="Z978" s="234" t="str">
        <f t="shared" ca="1" si="10"/>
        <v>#REF!</v>
      </c>
      <c r="AA978" s="234" t="str">
        <f t="shared" ca="1" si="11"/>
        <v>#REF!</v>
      </c>
      <c r="AB978" s="234" t="str">
        <f t="shared" ca="1" si="12"/>
        <v>#REF!</v>
      </c>
      <c r="AC978" s="234" t="str">
        <f t="shared" ca="1" si="13"/>
        <v>#REF!</v>
      </c>
      <c r="AD978" s="101" t="str">
        <f t="shared" ca="1" si="14"/>
        <v>#REF!</v>
      </c>
      <c r="AE978" s="101" t="str">
        <f t="shared" ca="1" si="15"/>
        <v>#REF!</v>
      </c>
      <c r="AF978" s="235" t="str">
        <f t="shared" ref="AF978:AG978" ca="1" si="1055">AD978/U978</f>
        <v>#REF!</v>
      </c>
      <c r="AG978" s="235" t="str">
        <f t="shared" ca="1" si="1055"/>
        <v>#REF!</v>
      </c>
      <c r="AH978" s="212"/>
      <c r="AI978" s="213"/>
      <c r="AJ978" s="4"/>
      <c r="AK978" s="4"/>
      <c r="AL978" s="4"/>
      <c r="AM978" s="4"/>
      <c r="AN978" s="4"/>
      <c r="AO978" s="4"/>
      <c r="AP978" s="4"/>
      <c r="AQ978" s="4"/>
      <c r="AR978" s="4"/>
      <c r="AS978" s="4"/>
      <c r="AT978" s="4"/>
      <c r="AU978" s="4"/>
    </row>
    <row r="979" spans="1:47" ht="13.2">
      <c r="A979" s="120"/>
      <c r="B979" s="113"/>
      <c r="C979" s="117"/>
      <c r="D979" s="117"/>
      <c r="E979" s="117"/>
      <c r="F979" s="123"/>
      <c r="G979" s="93" t="s">
        <v>145</v>
      </c>
      <c r="H979" s="125"/>
      <c r="I979" s="125"/>
      <c r="J979" s="82" t="str">
        <f t="shared" ca="1" si="147"/>
        <v>#REF!</v>
      </c>
      <c r="K979" s="82" t="str">
        <f t="shared" ca="1" si="256"/>
        <v>#REF!</v>
      </c>
      <c r="L979" s="82" t="str">
        <f t="shared" ca="1" si="199"/>
        <v>#REF!</v>
      </c>
      <c r="M979" s="125"/>
      <c r="N979" s="125"/>
      <c r="O979" s="230">
        <f t="shared" si="2"/>
        <v>0</v>
      </c>
      <c r="P979" s="231">
        <f t="shared" si="3"/>
        <v>0</v>
      </c>
      <c r="Q979" s="232" t="str">
        <f ca="1">ROUNDUP(HLOOKUP(IF(CEILING(L979,0.5)&lt;1,1,CEILING(L979,0.5)),'배송비 조회'!A$32:AY$36,2,0),-2)</f>
        <v>#REF!</v>
      </c>
      <c r="R979" s="232">
        <v>0</v>
      </c>
      <c r="S979" s="231" t="str">
        <f t="shared" ca="1" si="250"/>
        <v>#REF!</v>
      </c>
      <c r="T979" s="231" t="str">
        <f t="shared" ca="1" si="200"/>
        <v>#REF!</v>
      </c>
      <c r="U979" s="233" t="str">
        <f t="shared" ca="1" si="142"/>
        <v>#REF!</v>
      </c>
      <c r="V979" s="233" t="str">
        <f t="shared" ca="1" si="7"/>
        <v>#REF!</v>
      </c>
      <c r="W979" s="234">
        <v>0</v>
      </c>
      <c r="X979" s="234" t="str">
        <f t="shared" ca="1" si="8"/>
        <v>#REF!</v>
      </c>
      <c r="Y979" s="234" t="str">
        <f t="shared" ca="1" si="9"/>
        <v>#REF!</v>
      </c>
      <c r="Z979" s="234" t="str">
        <f t="shared" ca="1" si="10"/>
        <v>#REF!</v>
      </c>
      <c r="AA979" s="234" t="str">
        <f t="shared" ca="1" si="11"/>
        <v>#REF!</v>
      </c>
      <c r="AB979" s="234" t="str">
        <f t="shared" ca="1" si="12"/>
        <v>#REF!</v>
      </c>
      <c r="AC979" s="234" t="str">
        <f t="shared" ca="1" si="13"/>
        <v>#REF!</v>
      </c>
      <c r="AD979" s="101" t="str">
        <f t="shared" ca="1" si="14"/>
        <v>#REF!</v>
      </c>
      <c r="AE979" s="101" t="str">
        <f t="shared" ca="1" si="15"/>
        <v>#REF!</v>
      </c>
      <c r="AF979" s="235" t="str">
        <f t="shared" ref="AF979:AG979" ca="1" si="1056">AD979/U979</f>
        <v>#REF!</v>
      </c>
      <c r="AG979" s="235" t="str">
        <f t="shared" ca="1" si="1056"/>
        <v>#REF!</v>
      </c>
      <c r="AH979" s="212"/>
      <c r="AI979" s="213"/>
      <c r="AJ979" s="4"/>
      <c r="AK979" s="4"/>
      <c r="AL979" s="4"/>
      <c r="AM979" s="4"/>
      <c r="AN979" s="4"/>
      <c r="AO979" s="4"/>
      <c r="AP979" s="4"/>
      <c r="AQ979" s="4"/>
      <c r="AR979" s="4"/>
      <c r="AS979" s="4"/>
      <c r="AT979" s="4"/>
      <c r="AU979" s="4"/>
    </row>
    <row r="980" spans="1:47" ht="13.2">
      <c r="A980" s="120"/>
      <c r="B980" s="113"/>
      <c r="C980" s="117"/>
      <c r="D980" s="117"/>
      <c r="E980" s="117"/>
      <c r="F980" s="123"/>
      <c r="G980" s="93" t="s">
        <v>145</v>
      </c>
      <c r="H980" s="125"/>
      <c r="I980" s="125"/>
      <c r="J980" s="82" t="str">
        <f t="shared" ca="1" si="147"/>
        <v>#REF!</v>
      </c>
      <c r="K980" s="82" t="str">
        <f t="shared" ca="1" si="256"/>
        <v>#REF!</v>
      </c>
      <c r="L980" s="82" t="str">
        <f t="shared" ca="1" si="199"/>
        <v>#REF!</v>
      </c>
      <c r="M980" s="125"/>
      <c r="N980" s="125"/>
      <c r="O980" s="230">
        <f t="shared" si="2"/>
        <v>0</v>
      </c>
      <c r="P980" s="231">
        <f t="shared" si="3"/>
        <v>0</v>
      </c>
      <c r="Q980" s="232" t="str">
        <f ca="1">ROUNDUP(HLOOKUP(IF(CEILING(L980,0.5)&lt;1,1,CEILING(L980,0.5)),'배송비 조회'!A$32:AY$36,2,0),-2)</f>
        <v>#REF!</v>
      </c>
      <c r="R980" s="232">
        <v>0</v>
      </c>
      <c r="S980" s="231" t="str">
        <f t="shared" ca="1" si="250"/>
        <v>#REF!</v>
      </c>
      <c r="T980" s="231" t="str">
        <f t="shared" ca="1" si="200"/>
        <v>#REF!</v>
      </c>
      <c r="U980" s="233" t="str">
        <f t="shared" ca="1" si="142"/>
        <v>#REF!</v>
      </c>
      <c r="V980" s="233" t="str">
        <f t="shared" ca="1" si="7"/>
        <v>#REF!</v>
      </c>
      <c r="W980" s="234">
        <v>0</v>
      </c>
      <c r="X980" s="234" t="str">
        <f t="shared" ca="1" si="8"/>
        <v>#REF!</v>
      </c>
      <c r="Y980" s="234" t="str">
        <f t="shared" ca="1" si="9"/>
        <v>#REF!</v>
      </c>
      <c r="Z980" s="234" t="str">
        <f t="shared" ca="1" si="10"/>
        <v>#REF!</v>
      </c>
      <c r="AA980" s="234" t="str">
        <f t="shared" ca="1" si="11"/>
        <v>#REF!</v>
      </c>
      <c r="AB980" s="234" t="str">
        <f t="shared" ca="1" si="12"/>
        <v>#REF!</v>
      </c>
      <c r="AC980" s="234" t="str">
        <f t="shared" ca="1" si="13"/>
        <v>#REF!</v>
      </c>
      <c r="AD980" s="101" t="str">
        <f t="shared" ca="1" si="14"/>
        <v>#REF!</v>
      </c>
      <c r="AE980" s="101" t="str">
        <f t="shared" ca="1" si="15"/>
        <v>#REF!</v>
      </c>
      <c r="AF980" s="235" t="str">
        <f t="shared" ref="AF980:AG980" ca="1" si="1057">AD980/U980</f>
        <v>#REF!</v>
      </c>
      <c r="AG980" s="235" t="str">
        <f t="shared" ca="1" si="1057"/>
        <v>#REF!</v>
      </c>
      <c r="AH980" s="212"/>
      <c r="AI980" s="213"/>
      <c r="AJ980" s="4"/>
      <c r="AK980" s="4"/>
      <c r="AL980" s="4"/>
      <c r="AM980" s="4"/>
      <c r="AN980" s="4"/>
      <c r="AO980" s="4"/>
      <c r="AP980" s="4"/>
      <c r="AQ980" s="4"/>
      <c r="AR980" s="4"/>
      <c r="AS980" s="4"/>
      <c r="AT980" s="4"/>
      <c r="AU980" s="4"/>
    </row>
    <row r="981" spans="1:47" ht="13.2">
      <c r="A981" s="120"/>
      <c r="B981" s="113"/>
      <c r="C981" s="117"/>
      <c r="D981" s="117"/>
      <c r="E981" s="117"/>
      <c r="F981" s="123"/>
      <c r="G981" s="93" t="s">
        <v>145</v>
      </c>
      <c r="H981" s="125"/>
      <c r="I981" s="125"/>
      <c r="J981" s="82" t="str">
        <f t="shared" ca="1" si="147"/>
        <v>#REF!</v>
      </c>
      <c r="K981" s="82" t="str">
        <f t="shared" ca="1" si="256"/>
        <v>#REF!</v>
      </c>
      <c r="L981" s="82" t="str">
        <f t="shared" ca="1" si="199"/>
        <v>#REF!</v>
      </c>
      <c r="M981" s="125"/>
      <c r="N981" s="125"/>
      <c r="O981" s="230">
        <f t="shared" si="2"/>
        <v>0</v>
      </c>
      <c r="P981" s="231">
        <f t="shared" si="3"/>
        <v>0</v>
      </c>
      <c r="Q981" s="232" t="str">
        <f ca="1">ROUNDUP(HLOOKUP(IF(CEILING(L981,0.5)&lt;1,1,CEILING(L981,0.5)),'배송비 조회'!A$32:AY$36,2,0),-2)</f>
        <v>#REF!</v>
      </c>
      <c r="R981" s="232">
        <v>0</v>
      </c>
      <c r="S981" s="231" t="str">
        <f t="shared" ca="1" si="250"/>
        <v>#REF!</v>
      </c>
      <c r="T981" s="231" t="str">
        <f t="shared" ca="1" si="200"/>
        <v>#REF!</v>
      </c>
      <c r="U981" s="233" t="str">
        <f t="shared" ca="1" si="142"/>
        <v>#REF!</v>
      </c>
      <c r="V981" s="233" t="str">
        <f t="shared" ca="1" si="7"/>
        <v>#REF!</v>
      </c>
      <c r="W981" s="234">
        <v>0</v>
      </c>
      <c r="X981" s="234" t="str">
        <f t="shared" ca="1" si="8"/>
        <v>#REF!</v>
      </c>
      <c r="Y981" s="234" t="str">
        <f t="shared" ca="1" si="9"/>
        <v>#REF!</v>
      </c>
      <c r="Z981" s="234" t="str">
        <f t="shared" ca="1" si="10"/>
        <v>#REF!</v>
      </c>
      <c r="AA981" s="234" t="str">
        <f t="shared" ca="1" si="11"/>
        <v>#REF!</v>
      </c>
      <c r="AB981" s="234" t="str">
        <f t="shared" ca="1" si="12"/>
        <v>#REF!</v>
      </c>
      <c r="AC981" s="234" t="str">
        <f t="shared" ca="1" si="13"/>
        <v>#REF!</v>
      </c>
      <c r="AD981" s="101" t="str">
        <f t="shared" ca="1" si="14"/>
        <v>#REF!</v>
      </c>
      <c r="AE981" s="101" t="str">
        <f t="shared" ca="1" si="15"/>
        <v>#REF!</v>
      </c>
      <c r="AF981" s="235" t="str">
        <f t="shared" ref="AF981:AG981" ca="1" si="1058">AD981/U981</f>
        <v>#REF!</v>
      </c>
      <c r="AG981" s="235" t="str">
        <f t="shared" ca="1" si="1058"/>
        <v>#REF!</v>
      </c>
      <c r="AH981" s="212"/>
      <c r="AI981" s="213"/>
      <c r="AJ981" s="4"/>
      <c r="AK981" s="4"/>
      <c r="AL981" s="4"/>
      <c r="AM981" s="4"/>
      <c r="AN981" s="4"/>
      <c r="AO981" s="4"/>
      <c r="AP981" s="4"/>
      <c r="AQ981" s="4"/>
      <c r="AR981" s="4"/>
      <c r="AS981" s="4"/>
      <c r="AT981" s="4"/>
      <c r="AU981" s="4"/>
    </row>
    <row r="982" spans="1:47" ht="13.2">
      <c r="A982" s="120"/>
      <c r="B982" s="113"/>
      <c r="C982" s="117"/>
      <c r="D982" s="117"/>
      <c r="E982" s="117"/>
      <c r="F982" s="123"/>
      <c r="G982" s="93" t="s">
        <v>145</v>
      </c>
      <c r="H982" s="125"/>
      <c r="I982" s="125"/>
      <c r="J982" s="82" t="str">
        <f t="shared" ca="1" si="147"/>
        <v>#REF!</v>
      </c>
      <c r="K982" s="82" t="str">
        <f t="shared" ca="1" si="256"/>
        <v>#REF!</v>
      </c>
      <c r="L982" s="82" t="str">
        <f t="shared" ca="1" si="199"/>
        <v>#REF!</v>
      </c>
      <c r="M982" s="125"/>
      <c r="N982" s="125"/>
      <c r="O982" s="230">
        <f t="shared" si="2"/>
        <v>0</v>
      </c>
      <c r="P982" s="231">
        <f t="shared" si="3"/>
        <v>0</v>
      </c>
      <c r="Q982" s="232" t="str">
        <f ca="1">ROUNDUP(HLOOKUP(IF(CEILING(L982,0.5)&lt;1,1,CEILING(L982,0.5)),'배송비 조회'!A$32:AY$36,2,0),-2)</f>
        <v>#REF!</v>
      </c>
      <c r="R982" s="232">
        <v>0</v>
      </c>
      <c r="S982" s="231" t="str">
        <f t="shared" ca="1" si="250"/>
        <v>#REF!</v>
      </c>
      <c r="T982" s="231" t="str">
        <f t="shared" ca="1" si="200"/>
        <v>#REF!</v>
      </c>
      <c r="U982" s="233" t="str">
        <f t="shared" ca="1" si="142"/>
        <v>#REF!</v>
      </c>
      <c r="V982" s="233" t="str">
        <f t="shared" ca="1" si="7"/>
        <v>#REF!</v>
      </c>
      <c r="W982" s="234">
        <v>0</v>
      </c>
      <c r="X982" s="234" t="str">
        <f t="shared" ca="1" si="8"/>
        <v>#REF!</v>
      </c>
      <c r="Y982" s="234" t="str">
        <f t="shared" ca="1" si="9"/>
        <v>#REF!</v>
      </c>
      <c r="Z982" s="234" t="str">
        <f t="shared" ca="1" si="10"/>
        <v>#REF!</v>
      </c>
      <c r="AA982" s="234" t="str">
        <f t="shared" ca="1" si="11"/>
        <v>#REF!</v>
      </c>
      <c r="AB982" s="234" t="str">
        <f t="shared" ca="1" si="12"/>
        <v>#REF!</v>
      </c>
      <c r="AC982" s="234" t="str">
        <f t="shared" ca="1" si="13"/>
        <v>#REF!</v>
      </c>
      <c r="AD982" s="101" t="str">
        <f t="shared" ca="1" si="14"/>
        <v>#REF!</v>
      </c>
      <c r="AE982" s="101" t="str">
        <f t="shared" ca="1" si="15"/>
        <v>#REF!</v>
      </c>
      <c r="AF982" s="235" t="str">
        <f t="shared" ref="AF982:AG982" ca="1" si="1059">AD982/U982</f>
        <v>#REF!</v>
      </c>
      <c r="AG982" s="235" t="str">
        <f t="shared" ca="1" si="1059"/>
        <v>#REF!</v>
      </c>
      <c r="AH982" s="212"/>
      <c r="AI982" s="213"/>
      <c r="AJ982" s="4"/>
      <c r="AK982" s="4"/>
      <c r="AL982" s="4"/>
      <c r="AM982" s="4"/>
      <c r="AN982" s="4"/>
      <c r="AO982" s="4"/>
      <c r="AP982" s="4"/>
      <c r="AQ982" s="4"/>
      <c r="AR982" s="4"/>
      <c r="AS982" s="4"/>
      <c r="AT982" s="4"/>
      <c r="AU982" s="4"/>
    </row>
    <row r="983" spans="1:47" ht="13.2">
      <c r="A983" s="120"/>
      <c r="B983" s="113"/>
      <c r="C983" s="117"/>
      <c r="D983" s="117"/>
      <c r="E983" s="117"/>
      <c r="F983" s="123"/>
      <c r="G983" s="93" t="s">
        <v>145</v>
      </c>
      <c r="H983" s="125"/>
      <c r="I983" s="125"/>
      <c r="J983" s="82" t="str">
        <f t="shared" ca="1" si="147"/>
        <v>#REF!</v>
      </c>
      <c r="K983" s="82" t="str">
        <f t="shared" ca="1" si="256"/>
        <v>#REF!</v>
      </c>
      <c r="L983" s="82" t="str">
        <f t="shared" ca="1" si="199"/>
        <v>#REF!</v>
      </c>
      <c r="M983" s="125"/>
      <c r="N983" s="125"/>
      <c r="O983" s="230">
        <f t="shared" si="2"/>
        <v>0</v>
      </c>
      <c r="P983" s="231">
        <f t="shared" si="3"/>
        <v>0</v>
      </c>
      <c r="Q983" s="232" t="str">
        <f ca="1">ROUNDUP(HLOOKUP(IF(CEILING(L983,0.5)&lt;1,1,CEILING(L983,0.5)),'배송비 조회'!A$32:AY$36,2,0),-2)</f>
        <v>#REF!</v>
      </c>
      <c r="R983" s="232">
        <v>0</v>
      </c>
      <c r="S983" s="231" t="str">
        <f t="shared" ca="1" si="250"/>
        <v>#REF!</v>
      </c>
      <c r="T983" s="231" t="str">
        <f t="shared" ca="1" si="200"/>
        <v>#REF!</v>
      </c>
      <c r="U983" s="233" t="str">
        <f t="shared" ca="1" si="142"/>
        <v>#REF!</v>
      </c>
      <c r="V983" s="233" t="str">
        <f t="shared" ca="1" si="7"/>
        <v>#REF!</v>
      </c>
      <c r="W983" s="234">
        <v>0</v>
      </c>
      <c r="X983" s="234" t="str">
        <f t="shared" ca="1" si="8"/>
        <v>#REF!</v>
      </c>
      <c r="Y983" s="234" t="str">
        <f t="shared" ca="1" si="9"/>
        <v>#REF!</v>
      </c>
      <c r="Z983" s="234" t="str">
        <f t="shared" ca="1" si="10"/>
        <v>#REF!</v>
      </c>
      <c r="AA983" s="234" t="str">
        <f t="shared" ca="1" si="11"/>
        <v>#REF!</v>
      </c>
      <c r="AB983" s="234" t="str">
        <f t="shared" ca="1" si="12"/>
        <v>#REF!</v>
      </c>
      <c r="AC983" s="234" t="str">
        <f t="shared" ca="1" si="13"/>
        <v>#REF!</v>
      </c>
      <c r="AD983" s="101" t="str">
        <f t="shared" ca="1" si="14"/>
        <v>#REF!</v>
      </c>
      <c r="AE983" s="101" t="str">
        <f t="shared" ca="1" si="15"/>
        <v>#REF!</v>
      </c>
      <c r="AF983" s="235" t="str">
        <f t="shared" ref="AF983:AG983" ca="1" si="1060">AD983/U983</f>
        <v>#REF!</v>
      </c>
      <c r="AG983" s="235" t="str">
        <f t="shared" ca="1" si="1060"/>
        <v>#REF!</v>
      </c>
      <c r="AH983" s="212"/>
      <c r="AI983" s="213"/>
      <c r="AJ983" s="4"/>
      <c r="AK983" s="4"/>
      <c r="AL983" s="4"/>
      <c r="AM983" s="4"/>
      <c r="AN983" s="4"/>
      <c r="AO983" s="4"/>
      <c r="AP983" s="4"/>
      <c r="AQ983" s="4"/>
      <c r="AR983" s="4"/>
      <c r="AS983" s="4"/>
      <c r="AT983" s="4"/>
      <c r="AU983" s="4"/>
    </row>
    <row r="984" spans="1:47" ht="13.2">
      <c r="A984" s="120"/>
      <c r="B984" s="113"/>
      <c r="C984" s="117"/>
      <c r="D984" s="117"/>
      <c r="E984" s="117"/>
      <c r="F984" s="123"/>
      <c r="G984" s="93" t="s">
        <v>145</v>
      </c>
      <c r="H984" s="125"/>
      <c r="I984" s="125"/>
      <c r="J984" s="82" t="str">
        <f t="shared" ca="1" si="147"/>
        <v>#REF!</v>
      </c>
      <c r="K984" s="82" t="str">
        <f t="shared" ca="1" si="256"/>
        <v>#REF!</v>
      </c>
      <c r="L984" s="82" t="str">
        <f t="shared" ca="1" si="199"/>
        <v>#REF!</v>
      </c>
      <c r="M984" s="125"/>
      <c r="N984" s="125"/>
      <c r="O984" s="230">
        <f t="shared" si="2"/>
        <v>0</v>
      </c>
      <c r="P984" s="231">
        <f t="shared" si="3"/>
        <v>0</v>
      </c>
      <c r="Q984" s="232" t="str">
        <f ca="1">ROUNDUP(HLOOKUP(IF(CEILING(L984,0.5)&lt;1,1,CEILING(L984,0.5)),'배송비 조회'!A$32:AY$36,2,0),-2)</f>
        <v>#REF!</v>
      </c>
      <c r="R984" s="232">
        <v>0</v>
      </c>
      <c r="S984" s="231" t="str">
        <f t="shared" ca="1" si="250"/>
        <v>#REF!</v>
      </c>
      <c r="T984" s="231" t="str">
        <f t="shared" ca="1" si="200"/>
        <v>#REF!</v>
      </c>
      <c r="U984" s="233" t="str">
        <f t="shared" ca="1" si="142"/>
        <v>#REF!</v>
      </c>
      <c r="V984" s="233" t="str">
        <f t="shared" ca="1" si="7"/>
        <v>#REF!</v>
      </c>
      <c r="W984" s="234">
        <v>0</v>
      </c>
      <c r="X984" s="234" t="str">
        <f t="shared" ca="1" si="8"/>
        <v>#REF!</v>
      </c>
      <c r="Y984" s="234" t="str">
        <f t="shared" ca="1" si="9"/>
        <v>#REF!</v>
      </c>
      <c r="Z984" s="234" t="str">
        <f t="shared" ca="1" si="10"/>
        <v>#REF!</v>
      </c>
      <c r="AA984" s="234" t="str">
        <f t="shared" ca="1" si="11"/>
        <v>#REF!</v>
      </c>
      <c r="AB984" s="234" t="str">
        <f t="shared" ca="1" si="12"/>
        <v>#REF!</v>
      </c>
      <c r="AC984" s="234" t="str">
        <f t="shared" ca="1" si="13"/>
        <v>#REF!</v>
      </c>
      <c r="AD984" s="101" t="str">
        <f t="shared" ca="1" si="14"/>
        <v>#REF!</v>
      </c>
      <c r="AE984" s="101" t="str">
        <f t="shared" ca="1" si="15"/>
        <v>#REF!</v>
      </c>
      <c r="AF984" s="235" t="str">
        <f t="shared" ref="AF984:AG984" ca="1" si="1061">AD984/U984</f>
        <v>#REF!</v>
      </c>
      <c r="AG984" s="235" t="str">
        <f t="shared" ca="1" si="1061"/>
        <v>#REF!</v>
      </c>
      <c r="AH984" s="212"/>
      <c r="AI984" s="213"/>
      <c r="AJ984" s="4"/>
      <c r="AK984" s="4"/>
      <c r="AL984" s="4"/>
      <c r="AM984" s="4"/>
      <c r="AN984" s="4"/>
      <c r="AO984" s="4"/>
      <c r="AP984" s="4"/>
      <c r="AQ984" s="4"/>
      <c r="AR984" s="4"/>
      <c r="AS984" s="4"/>
      <c r="AT984" s="4"/>
      <c r="AU984" s="4"/>
    </row>
    <row r="985" spans="1:47" ht="13.2">
      <c r="A985" s="120"/>
      <c r="B985" s="113"/>
      <c r="C985" s="117"/>
      <c r="D985" s="117"/>
      <c r="E985" s="117"/>
      <c r="F985" s="123"/>
      <c r="G985" s="93" t="s">
        <v>145</v>
      </c>
      <c r="H985" s="125"/>
      <c r="I985" s="125"/>
      <c r="J985" s="82" t="str">
        <f t="shared" ca="1" si="147"/>
        <v>#REF!</v>
      </c>
      <c r="K985" s="82" t="str">
        <f t="shared" ca="1" si="256"/>
        <v>#REF!</v>
      </c>
      <c r="L985" s="82" t="str">
        <f t="shared" ca="1" si="199"/>
        <v>#REF!</v>
      </c>
      <c r="M985" s="125"/>
      <c r="N985" s="125"/>
      <c r="O985" s="230">
        <f t="shared" si="2"/>
        <v>0</v>
      </c>
      <c r="P985" s="231">
        <f t="shared" si="3"/>
        <v>0</v>
      </c>
      <c r="Q985" s="232" t="str">
        <f ca="1">ROUNDUP(HLOOKUP(IF(CEILING(L985,0.5)&lt;1,1,CEILING(L985,0.5)),'배송비 조회'!A$32:AY$36,2,0),-2)</f>
        <v>#REF!</v>
      </c>
      <c r="R985" s="232">
        <v>0</v>
      </c>
      <c r="S985" s="231" t="str">
        <f t="shared" ca="1" si="250"/>
        <v>#REF!</v>
      </c>
      <c r="T985" s="231" t="str">
        <f t="shared" ca="1" si="200"/>
        <v>#REF!</v>
      </c>
      <c r="U985" s="233" t="str">
        <f t="shared" ca="1" si="142"/>
        <v>#REF!</v>
      </c>
      <c r="V985" s="233" t="str">
        <f t="shared" ca="1" si="7"/>
        <v>#REF!</v>
      </c>
      <c r="W985" s="234">
        <v>0</v>
      </c>
      <c r="X985" s="234" t="str">
        <f t="shared" ca="1" si="8"/>
        <v>#REF!</v>
      </c>
      <c r="Y985" s="234" t="str">
        <f t="shared" ca="1" si="9"/>
        <v>#REF!</v>
      </c>
      <c r="Z985" s="234" t="str">
        <f t="shared" ca="1" si="10"/>
        <v>#REF!</v>
      </c>
      <c r="AA985" s="234" t="str">
        <f t="shared" ca="1" si="11"/>
        <v>#REF!</v>
      </c>
      <c r="AB985" s="234" t="str">
        <f t="shared" ca="1" si="12"/>
        <v>#REF!</v>
      </c>
      <c r="AC985" s="234" t="str">
        <f t="shared" ca="1" si="13"/>
        <v>#REF!</v>
      </c>
      <c r="AD985" s="101" t="str">
        <f t="shared" ca="1" si="14"/>
        <v>#REF!</v>
      </c>
      <c r="AE985" s="101" t="str">
        <f t="shared" ca="1" si="15"/>
        <v>#REF!</v>
      </c>
      <c r="AF985" s="235" t="str">
        <f t="shared" ref="AF985:AG985" ca="1" si="1062">AD985/U985</f>
        <v>#REF!</v>
      </c>
      <c r="AG985" s="235" t="str">
        <f t="shared" ca="1" si="1062"/>
        <v>#REF!</v>
      </c>
      <c r="AH985" s="212"/>
      <c r="AI985" s="213"/>
      <c r="AJ985" s="4"/>
      <c r="AK985" s="4"/>
      <c r="AL985" s="4"/>
      <c r="AM985" s="4"/>
      <c r="AN985" s="4"/>
      <c r="AO985" s="4"/>
      <c r="AP985" s="4"/>
      <c r="AQ985" s="4"/>
      <c r="AR985" s="4"/>
      <c r="AS985" s="4"/>
      <c r="AT985" s="4"/>
      <c r="AU985" s="4"/>
    </row>
    <row r="986" spans="1:47" ht="13.2">
      <c r="A986" s="120"/>
      <c r="B986" s="113"/>
      <c r="C986" s="117"/>
      <c r="D986" s="117"/>
      <c r="E986" s="117"/>
      <c r="F986" s="123"/>
      <c r="G986" s="93" t="s">
        <v>145</v>
      </c>
      <c r="H986" s="125"/>
      <c r="I986" s="125"/>
      <c r="J986" s="82" t="str">
        <f t="shared" ca="1" si="147"/>
        <v>#REF!</v>
      </c>
      <c r="K986" s="82" t="str">
        <f t="shared" ca="1" si="256"/>
        <v>#REF!</v>
      </c>
      <c r="L986" s="82" t="str">
        <f t="shared" ca="1" si="199"/>
        <v>#REF!</v>
      </c>
      <c r="M986" s="125"/>
      <c r="N986" s="125"/>
      <c r="O986" s="230">
        <f t="shared" si="2"/>
        <v>0</v>
      </c>
      <c r="P986" s="231">
        <f t="shared" si="3"/>
        <v>0</v>
      </c>
      <c r="Q986" s="232" t="str">
        <f ca="1">ROUNDUP(HLOOKUP(IF(CEILING(L986,0.5)&lt;1,1,CEILING(L986,0.5)),'배송비 조회'!A$32:AY$36,2,0),-2)</f>
        <v>#REF!</v>
      </c>
      <c r="R986" s="232">
        <v>0</v>
      </c>
      <c r="S986" s="231" t="str">
        <f t="shared" ca="1" si="250"/>
        <v>#REF!</v>
      </c>
      <c r="T986" s="231" t="str">
        <f t="shared" ca="1" si="200"/>
        <v>#REF!</v>
      </c>
      <c r="U986" s="233" t="str">
        <f t="shared" ca="1" si="142"/>
        <v>#REF!</v>
      </c>
      <c r="V986" s="233" t="str">
        <f t="shared" ca="1" si="7"/>
        <v>#REF!</v>
      </c>
      <c r="W986" s="234">
        <v>0</v>
      </c>
      <c r="X986" s="234" t="str">
        <f t="shared" ca="1" si="8"/>
        <v>#REF!</v>
      </c>
      <c r="Y986" s="234" t="str">
        <f t="shared" ca="1" si="9"/>
        <v>#REF!</v>
      </c>
      <c r="Z986" s="234" t="str">
        <f t="shared" ca="1" si="10"/>
        <v>#REF!</v>
      </c>
      <c r="AA986" s="234" t="str">
        <f t="shared" ca="1" si="11"/>
        <v>#REF!</v>
      </c>
      <c r="AB986" s="234" t="str">
        <f t="shared" ca="1" si="12"/>
        <v>#REF!</v>
      </c>
      <c r="AC986" s="234" t="str">
        <f t="shared" ca="1" si="13"/>
        <v>#REF!</v>
      </c>
      <c r="AD986" s="101" t="str">
        <f t="shared" ca="1" si="14"/>
        <v>#REF!</v>
      </c>
      <c r="AE986" s="101" t="str">
        <f t="shared" ca="1" si="15"/>
        <v>#REF!</v>
      </c>
      <c r="AF986" s="235" t="str">
        <f t="shared" ref="AF986:AG986" ca="1" si="1063">AD986/U986</f>
        <v>#REF!</v>
      </c>
      <c r="AG986" s="235" t="str">
        <f t="shared" ca="1" si="1063"/>
        <v>#REF!</v>
      </c>
      <c r="AH986" s="212"/>
      <c r="AI986" s="213"/>
      <c r="AJ986" s="4"/>
      <c r="AK986" s="4"/>
      <c r="AL986" s="4"/>
      <c r="AM986" s="4"/>
      <c r="AN986" s="4"/>
      <c r="AO986" s="4"/>
      <c r="AP986" s="4"/>
      <c r="AQ986" s="4"/>
      <c r="AR986" s="4"/>
      <c r="AS986" s="4"/>
      <c r="AT986" s="4"/>
      <c r="AU986" s="4"/>
    </row>
    <row r="987" spans="1:47" ht="13.2">
      <c r="A987" s="120"/>
      <c r="B987" s="113"/>
      <c r="C987" s="117"/>
      <c r="D987" s="117"/>
      <c r="E987" s="117"/>
      <c r="F987" s="123"/>
      <c r="G987" s="93" t="s">
        <v>145</v>
      </c>
      <c r="H987" s="125"/>
      <c r="I987" s="125"/>
      <c r="J987" s="82" t="str">
        <f t="shared" ca="1" si="147"/>
        <v>#REF!</v>
      </c>
      <c r="K987" s="82" t="str">
        <f t="shared" ca="1" si="256"/>
        <v>#REF!</v>
      </c>
      <c r="L987" s="82" t="str">
        <f t="shared" ca="1" si="199"/>
        <v>#REF!</v>
      </c>
      <c r="M987" s="125"/>
      <c r="N987" s="125"/>
      <c r="O987" s="230">
        <f t="shared" si="2"/>
        <v>0</v>
      </c>
      <c r="P987" s="231">
        <f t="shared" si="3"/>
        <v>0</v>
      </c>
      <c r="Q987" s="232" t="str">
        <f ca="1">ROUNDUP(HLOOKUP(IF(CEILING(L987,0.5)&lt;1,1,CEILING(L987,0.5)),'배송비 조회'!A$32:AY$36,2,0),-2)</f>
        <v>#REF!</v>
      </c>
      <c r="R987" s="232">
        <v>0</v>
      </c>
      <c r="S987" s="231" t="str">
        <f t="shared" ca="1" si="250"/>
        <v>#REF!</v>
      </c>
      <c r="T987" s="231" t="str">
        <f t="shared" ca="1" si="200"/>
        <v>#REF!</v>
      </c>
      <c r="U987" s="233" t="str">
        <f t="shared" ca="1" si="142"/>
        <v>#REF!</v>
      </c>
      <c r="V987" s="233" t="str">
        <f t="shared" ca="1" si="7"/>
        <v>#REF!</v>
      </c>
      <c r="W987" s="234">
        <v>0</v>
      </c>
      <c r="X987" s="234" t="str">
        <f t="shared" ca="1" si="8"/>
        <v>#REF!</v>
      </c>
      <c r="Y987" s="234" t="str">
        <f t="shared" ca="1" si="9"/>
        <v>#REF!</v>
      </c>
      <c r="Z987" s="234" t="str">
        <f t="shared" ca="1" si="10"/>
        <v>#REF!</v>
      </c>
      <c r="AA987" s="234" t="str">
        <f t="shared" ca="1" si="11"/>
        <v>#REF!</v>
      </c>
      <c r="AB987" s="234" t="str">
        <f t="shared" ca="1" si="12"/>
        <v>#REF!</v>
      </c>
      <c r="AC987" s="234" t="str">
        <f t="shared" ca="1" si="13"/>
        <v>#REF!</v>
      </c>
      <c r="AD987" s="101" t="str">
        <f t="shared" ca="1" si="14"/>
        <v>#REF!</v>
      </c>
      <c r="AE987" s="101" t="str">
        <f t="shared" ca="1" si="15"/>
        <v>#REF!</v>
      </c>
      <c r="AF987" s="235" t="str">
        <f t="shared" ref="AF987:AG987" ca="1" si="1064">AD987/U987</f>
        <v>#REF!</v>
      </c>
      <c r="AG987" s="235" t="str">
        <f t="shared" ca="1" si="1064"/>
        <v>#REF!</v>
      </c>
      <c r="AH987" s="212"/>
      <c r="AI987" s="213"/>
      <c r="AJ987" s="4"/>
      <c r="AK987" s="4"/>
      <c r="AL987" s="4"/>
      <c r="AM987" s="4"/>
      <c r="AN987" s="4"/>
      <c r="AO987" s="4"/>
      <c r="AP987" s="4"/>
      <c r="AQ987" s="4"/>
      <c r="AR987" s="4"/>
      <c r="AS987" s="4"/>
      <c r="AT987" s="4"/>
      <c r="AU987" s="4"/>
    </row>
    <row r="988" spans="1:47" ht="13.2">
      <c r="A988" s="120"/>
      <c r="B988" s="113"/>
      <c r="C988" s="117"/>
      <c r="D988" s="117"/>
      <c r="E988" s="117"/>
      <c r="F988" s="123"/>
      <c r="G988" s="93" t="s">
        <v>145</v>
      </c>
      <c r="H988" s="125"/>
      <c r="I988" s="125"/>
      <c r="J988" s="82" t="str">
        <f t="shared" ca="1" si="147"/>
        <v>#REF!</v>
      </c>
      <c r="K988" s="82" t="str">
        <f t="shared" ca="1" si="256"/>
        <v>#REF!</v>
      </c>
      <c r="L988" s="82" t="str">
        <f t="shared" ca="1" si="199"/>
        <v>#REF!</v>
      </c>
      <c r="M988" s="125"/>
      <c r="N988" s="125"/>
      <c r="O988" s="230">
        <f t="shared" si="2"/>
        <v>0</v>
      </c>
      <c r="P988" s="231">
        <f t="shared" si="3"/>
        <v>0</v>
      </c>
      <c r="Q988" s="232" t="str">
        <f ca="1">ROUNDUP(HLOOKUP(IF(CEILING(L988,0.5)&lt;1,1,CEILING(L988,0.5)),'배송비 조회'!A$32:AY$36,2,0),-2)</f>
        <v>#REF!</v>
      </c>
      <c r="R988" s="232">
        <v>0</v>
      </c>
      <c r="S988" s="231" t="str">
        <f t="shared" ca="1" si="250"/>
        <v>#REF!</v>
      </c>
      <c r="T988" s="231" t="str">
        <f t="shared" ca="1" si="200"/>
        <v>#REF!</v>
      </c>
      <c r="U988" s="233" t="str">
        <f t="shared" ca="1" si="142"/>
        <v>#REF!</v>
      </c>
      <c r="V988" s="233" t="str">
        <f t="shared" ca="1" si="7"/>
        <v>#REF!</v>
      </c>
      <c r="W988" s="234">
        <v>0</v>
      </c>
      <c r="X988" s="234" t="str">
        <f t="shared" ca="1" si="8"/>
        <v>#REF!</v>
      </c>
      <c r="Y988" s="234" t="str">
        <f t="shared" ca="1" si="9"/>
        <v>#REF!</v>
      </c>
      <c r="Z988" s="234" t="str">
        <f t="shared" ca="1" si="10"/>
        <v>#REF!</v>
      </c>
      <c r="AA988" s="234" t="str">
        <f t="shared" ca="1" si="11"/>
        <v>#REF!</v>
      </c>
      <c r="AB988" s="234" t="str">
        <f t="shared" ca="1" si="12"/>
        <v>#REF!</v>
      </c>
      <c r="AC988" s="234" t="str">
        <f t="shared" ca="1" si="13"/>
        <v>#REF!</v>
      </c>
      <c r="AD988" s="101" t="str">
        <f t="shared" ca="1" si="14"/>
        <v>#REF!</v>
      </c>
      <c r="AE988" s="101" t="str">
        <f t="shared" ca="1" si="15"/>
        <v>#REF!</v>
      </c>
      <c r="AF988" s="235" t="str">
        <f t="shared" ref="AF988:AG988" ca="1" si="1065">AD988/U988</f>
        <v>#REF!</v>
      </c>
      <c r="AG988" s="235" t="str">
        <f t="shared" ca="1" si="1065"/>
        <v>#REF!</v>
      </c>
      <c r="AH988" s="212"/>
      <c r="AI988" s="213"/>
      <c r="AJ988" s="4"/>
      <c r="AK988" s="4"/>
      <c r="AL988" s="4"/>
      <c r="AM988" s="4"/>
      <c r="AN988" s="4"/>
      <c r="AO988" s="4"/>
      <c r="AP988" s="4"/>
      <c r="AQ988" s="4"/>
      <c r="AR988" s="4"/>
      <c r="AS988" s="4"/>
      <c r="AT988" s="4"/>
      <c r="AU988" s="4"/>
    </row>
    <row r="989" spans="1:47" ht="13.2">
      <c r="A989" s="120"/>
      <c r="B989" s="113"/>
      <c r="C989" s="117"/>
      <c r="D989" s="117"/>
      <c r="E989" s="117"/>
      <c r="F989" s="123"/>
      <c r="G989" s="93" t="s">
        <v>145</v>
      </c>
      <c r="H989" s="125"/>
      <c r="I989" s="125"/>
      <c r="J989" s="82" t="str">
        <f t="shared" ca="1" si="147"/>
        <v>#REF!</v>
      </c>
      <c r="K989" s="82" t="str">
        <f t="shared" ca="1" si="256"/>
        <v>#REF!</v>
      </c>
      <c r="L989" s="82" t="str">
        <f t="shared" ca="1" si="199"/>
        <v>#REF!</v>
      </c>
      <c r="M989" s="125"/>
      <c r="N989" s="125"/>
      <c r="O989" s="230">
        <f t="shared" si="2"/>
        <v>0</v>
      </c>
      <c r="P989" s="231">
        <f t="shared" si="3"/>
        <v>0</v>
      </c>
      <c r="Q989" s="232" t="str">
        <f ca="1">ROUNDUP(HLOOKUP(IF(CEILING(L989,0.5)&lt;1,1,CEILING(L989,0.5)),'배송비 조회'!A$32:AY$36,2,0),-2)</f>
        <v>#REF!</v>
      </c>
      <c r="R989" s="232">
        <v>0</v>
      </c>
      <c r="S989" s="231" t="str">
        <f t="shared" ca="1" si="250"/>
        <v>#REF!</v>
      </c>
      <c r="T989" s="231" t="str">
        <f t="shared" ca="1" si="200"/>
        <v>#REF!</v>
      </c>
      <c r="U989" s="233" t="str">
        <f t="shared" ca="1" si="142"/>
        <v>#REF!</v>
      </c>
      <c r="V989" s="233" t="str">
        <f t="shared" ca="1" si="7"/>
        <v>#REF!</v>
      </c>
      <c r="W989" s="234">
        <v>0</v>
      </c>
      <c r="X989" s="234" t="str">
        <f t="shared" ca="1" si="8"/>
        <v>#REF!</v>
      </c>
      <c r="Y989" s="234" t="str">
        <f t="shared" ca="1" si="9"/>
        <v>#REF!</v>
      </c>
      <c r="Z989" s="234" t="str">
        <f t="shared" ca="1" si="10"/>
        <v>#REF!</v>
      </c>
      <c r="AA989" s="234" t="str">
        <f t="shared" ca="1" si="11"/>
        <v>#REF!</v>
      </c>
      <c r="AB989" s="234" t="str">
        <f t="shared" ca="1" si="12"/>
        <v>#REF!</v>
      </c>
      <c r="AC989" s="234" t="str">
        <f t="shared" ca="1" si="13"/>
        <v>#REF!</v>
      </c>
      <c r="AD989" s="101" t="str">
        <f t="shared" ca="1" si="14"/>
        <v>#REF!</v>
      </c>
      <c r="AE989" s="101" t="str">
        <f t="shared" ca="1" si="15"/>
        <v>#REF!</v>
      </c>
      <c r="AF989" s="235" t="str">
        <f t="shared" ref="AF989:AG989" ca="1" si="1066">AD989/U989</f>
        <v>#REF!</v>
      </c>
      <c r="AG989" s="235" t="str">
        <f t="shared" ca="1" si="1066"/>
        <v>#REF!</v>
      </c>
      <c r="AH989" s="212"/>
      <c r="AI989" s="213"/>
      <c r="AJ989" s="4"/>
      <c r="AK989" s="4"/>
      <c r="AL989" s="4"/>
      <c r="AM989" s="4"/>
      <c r="AN989" s="4"/>
      <c r="AO989" s="4"/>
      <c r="AP989" s="4"/>
      <c r="AQ989" s="4"/>
      <c r="AR989" s="4"/>
      <c r="AS989" s="4"/>
      <c r="AT989" s="4"/>
      <c r="AU989" s="4"/>
    </row>
    <row r="990" spans="1:47" ht="13.2">
      <c r="A990" s="120"/>
      <c r="B990" s="113"/>
      <c r="C990" s="117"/>
      <c r="D990" s="117"/>
      <c r="E990" s="117"/>
      <c r="F990" s="123"/>
      <c r="G990" s="93" t="s">
        <v>145</v>
      </c>
      <c r="H990" s="125"/>
      <c r="I990" s="125"/>
      <c r="J990" s="82" t="str">
        <f t="shared" ca="1" si="147"/>
        <v>#REF!</v>
      </c>
      <c r="K990" s="82" t="str">
        <f t="shared" ca="1" si="256"/>
        <v>#REF!</v>
      </c>
      <c r="L990" s="82" t="str">
        <f t="shared" ca="1" si="199"/>
        <v>#REF!</v>
      </c>
      <c r="M990" s="125"/>
      <c r="N990" s="125"/>
      <c r="O990" s="230">
        <f t="shared" si="2"/>
        <v>0</v>
      </c>
      <c r="P990" s="231">
        <f t="shared" si="3"/>
        <v>0</v>
      </c>
      <c r="Q990" s="232" t="str">
        <f ca="1">ROUNDUP(HLOOKUP(IF(CEILING(L990,0.5)&lt;1,1,CEILING(L990,0.5)),'배송비 조회'!A$32:AY$36,2,0),-2)</f>
        <v>#REF!</v>
      </c>
      <c r="R990" s="232">
        <v>0</v>
      </c>
      <c r="S990" s="231" t="str">
        <f t="shared" ca="1" si="250"/>
        <v>#REF!</v>
      </c>
      <c r="T990" s="231" t="str">
        <f t="shared" ca="1" si="200"/>
        <v>#REF!</v>
      </c>
      <c r="U990" s="233" t="str">
        <f t="shared" ca="1" si="142"/>
        <v>#REF!</v>
      </c>
      <c r="V990" s="233" t="str">
        <f t="shared" ca="1" si="7"/>
        <v>#REF!</v>
      </c>
      <c r="W990" s="234">
        <v>0</v>
      </c>
      <c r="X990" s="234" t="str">
        <f t="shared" ca="1" si="8"/>
        <v>#REF!</v>
      </c>
      <c r="Y990" s="234" t="str">
        <f t="shared" ca="1" si="9"/>
        <v>#REF!</v>
      </c>
      <c r="Z990" s="234" t="str">
        <f t="shared" ca="1" si="10"/>
        <v>#REF!</v>
      </c>
      <c r="AA990" s="234" t="str">
        <f t="shared" ca="1" si="11"/>
        <v>#REF!</v>
      </c>
      <c r="AB990" s="234" t="str">
        <f t="shared" ca="1" si="12"/>
        <v>#REF!</v>
      </c>
      <c r="AC990" s="234" t="str">
        <f t="shared" ca="1" si="13"/>
        <v>#REF!</v>
      </c>
      <c r="AD990" s="101" t="str">
        <f t="shared" ca="1" si="14"/>
        <v>#REF!</v>
      </c>
      <c r="AE990" s="101" t="str">
        <f t="shared" ca="1" si="15"/>
        <v>#REF!</v>
      </c>
      <c r="AF990" s="235" t="str">
        <f t="shared" ref="AF990:AG990" ca="1" si="1067">AD990/U990</f>
        <v>#REF!</v>
      </c>
      <c r="AG990" s="235" t="str">
        <f t="shared" ca="1" si="1067"/>
        <v>#REF!</v>
      </c>
      <c r="AH990" s="212"/>
      <c r="AI990" s="213"/>
      <c r="AJ990" s="4"/>
      <c r="AK990" s="4"/>
      <c r="AL990" s="4"/>
      <c r="AM990" s="4"/>
      <c r="AN990" s="4"/>
      <c r="AO990" s="4"/>
      <c r="AP990" s="4"/>
      <c r="AQ990" s="4"/>
      <c r="AR990" s="4"/>
      <c r="AS990" s="4"/>
      <c r="AT990" s="4"/>
      <c r="AU990" s="4"/>
    </row>
    <row r="991" spans="1:47" ht="13.2">
      <c r="A991" s="120"/>
      <c r="B991" s="113"/>
      <c r="C991" s="117"/>
      <c r="D991" s="117"/>
      <c r="E991" s="117"/>
      <c r="F991" s="123"/>
      <c r="G991" s="93" t="s">
        <v>145</v>
      </c>
      <c r="H991" s="125"/>
      <c r="I991" s="125"/>
      <c r="J991" s="82" t="str">
        <f t="shared" ca="1" si="147"/>
        <v>#REF!</v>
      </c>
      <c r="K991" s="82" t="str">
        <f t="shared" ca="1" si="256"/>
        <v>#REF!</v>
      </c>
      <c r="L991" s="82" t="str">
        <f t="shared" ca="1" si="199"/>
        <v>#REF!</v>
      </c>
      <c r="M991" s="125"/>
      <c r="N991" s="125"/>
      <c r="O991" s="230">
        <f t="shared" si="2"/>
        <v>0</v>
      </c>
      <c r="P991" s="231">
        <f t="shared" si="3"/>
        <v>0</v>
      </c>
      <c r="Q991" s="232" t="str">
        <f ca="1">ROUNDUP(HLOOKUP(IF(CEILING(L991,0.5)&lt;1,1,CEILING(L991,0.5)),'배송비 조회'!A$32:AY$36,2,0),-2)</f>
        <v>#REF!</v>
      </c>
      <c r="R991" s="232">
        <v>0</v>
      </c>
      <c r="S991" s="231" t="str">
        <f t="shared" ca="1" si="250"/>
        <v>#REF!</v>
      </c>
      <c r="T991" s="231" t="str">
        <f t="shared" ca="1" si="200"/>
        <v>#REF!</v>
      </c>
      <c r="U991" s="233" t="str">
        <f t="shared" ca="1" si="142"/>
        <v>#REF!</v>
      </c>
      <c r="V991" s="233" t="str">
        <f t="shared" ca="1" si="7"/>
        <v>#REF!</v>
      </c>
      <c r="W991" s="234">
        <v>0</v>
      </c>
      <c r="X991" s="234" t="str">
        <f t="shared" ca="1" si="8"/>
        <v>#REF!</v>
      </c>
      <c r="Y991" s="234" t="str">
        <f t="shared" ca="1" si="9"/>
        <v>#REF!</v>
      </c>
      <c r="Z991" s="234" t="str">
        <f t="shared" ca="1" si="10"/>
        <v>#REF!</v>
      </c>
      <c r="AA991" s="234" t="str">
        <f t="shared" ca="1" si="11"/>
        <v>#REF!</v>
      </c>
      <c r="AB991" s="234" t="str">
        <f t="shared" ca="1" si="12"/>
        <v>#REF!</v>
      </c>
      <c r="AC991" s="234" t="str">
        <f t="shared" ca="1" si="13"/>
        <v>#REF!</v>
      </c>
      <c r="AD991" s="101" t="str">
        <f t="shared" ca="1" si="14"/>
        <v>#REF!</v>
      </c>
      <c r="AE991" s="101" t="str">
        <f t="shared" ca="1" si="15"/>
        <v>#REF!</v>
      </c>
      <c r="AF991" s="235" t="str">
        <f t="shared" ref="AF991:AG991" ca="1" si="1068">AD991/U991</f>
        <v>#REF!</v>
      </c>
      <c r="AG991" s="235" t="str">
        <f t="shared" ca="1" si="1068"/>
        <v>#REF!</v>
      </c>
      <c r="AH991" s="212"/>
      <c r="AI991" s="213"/>
      <c r="AJ991" s="4"/>
      <c r="AK991" s="4"/>
      <c r="AL991" s="4"/>
      <c r="AM991" s="4"/>
      <c r="AN991" s="4"/>
      <c r="AO991" s="4"/>
      <c r="AP991" s="4"/>
      <c r="AQ991" s="4"/>
      <c r="AR991" s="4"/>
      <c r="AS991" s="4"/>
      <c r="AT991" s="4"/>
      <c r="AU991" s="4"/>
    </row>
    <row r="992" spans="1:47" ht="13.2">
      <c r="A992" s="120"/>
      <c r="B992" s="113"/>
      <c r="C992" s="117"/>
      <c r="D992" s="117"/>
      <c r="E992" s="117"/>
      <c r="F992" s="123"/>
      <c r="G992" s="93" t="s">
        <v>145</v>
      </c>
      <c r="H992" s="125"/>
      <c r="I992" s="125"/>
      <c r="J992" s="82" t="str">
        <f t="shared" ca="1" si="147"/>
        <v>#REF!</v>
      </c>
      <c r="K992" s="82" t="str">
        <f t="shared" ca="1" si="256"/>
        <v>#REF!</v>
      </c>
      <c r="L992" s="82" t="str">
        <f t="shared" ca="1" si="199"/>
        <v>#REF!</v>
      </c>
      <c r="M992" s="125"/>
      <c r="N992" s="125"/>
      <c r="O992" s="230">
        <f t="shared" si="2"/>
        <v>0</v>
      </c>
      <c r="P992" s="231">
        <f t="shared" si="3"/>
        <v>0</v>
      </c>
      <c r="Q992" s="232" t="str">
        <f ca="1">ROUNDUP(HLOOKUP(IF(CEILING(L992,0.5)&lt;1,1,CEILING(L992,0.5)),'배송비 조회'!A$32:AY$36,2,0),-2)</f>
        <v>#REF!</v>
      </c>
      <c r="R992" s="232">
        <v>0</v>
      </c>
      <c r="S992" s="231" t="str">
        <f t="shared" ca="1" si="250"/>
        <v>#REF!</v>
      </c>
      <c r="T992" s="231" t="str">
        <f t="shared" ca="1" si="200"/>
        <v>#REF!</v>
      </c>
      <c r="U992" s="233" t="str">
        <f t="shared" ca="1" si="142"/>
        <v>#REF!</v>
      </c>
      <c r="V992" s="233" t="str">
        <f t="shared" ca="1" si="7"/>
        <v>#REF!</v>
      </c>
      <c r="W992" s="234">
        <v>0</v>
      </c>
      <c r="X992" s="234" t="str">
        <f t="shared" ca="1" si="8"/>
        <v>#REF!</v>
      </c>
      <c r="Y992" s="234" t="str">
        <f t="shared" ca="1" si="9"/>
        <v>#REF!</v>
      </c>
      <c r="Z992" s="234" t="str">
        <f t="shared" ca="1" si="10"/>
        <v>#REF!</v>
      </c>
      <c r="AA992" s="234" t="str">
        <f t="shared" ca="1" si="11"/>
        <v>#REF!</v>
      </c>
      <c r="AB992" s="234" t="str">
        <f t="shared" ca="1" si="12"/>
        <v>#REF!</v>
      </c>
      <c r="AC992" s="234" t="str">
        <f t="shared" ca="1" si="13"/>
        <v>#REF!</v>
      </c>
      <c r="AD992" s="101" t="str">
        <f t="shared" ca="1" si="14"/>
        <v>#REF!</v>
      </c>
      <c r="AE992" s="101" t="str">
        <f t="shared" ca="1" si="15"/>
        <v>#REF!</v>
      </c>
      <c r="AF992" s="235" t="str">
        <f t="shared" ref="AF992:AG992" ca="1" si="1069">AD992/U992</f>
        <v>#REF!</v>
      </c>
      <c r="AG992" s="235" t="str">
        <f t="shared" ca="1" si="1069"/>
        <v>#REF!</v>
      </c>
      <c r="AH992" s="212"/>
      <c r="AI992" s="213"/>
      <c r="AJ992" s="4"/>
      <c r="AK992" s="4"/>
      <c r="AL992" s="4"/>
      <c r="AM992" s="4"/>
      <c r="AN992" s="4"/>
      <c r="AO992" s="4"/>
      <c r="AP992" s="4"/>
      <c r="AQ992" s="4"/>
      <c r="AR992" s="4"/>
      <c r="AS992" s="4"/>
      <c r="AT992" s="4"/>
      <c r="AU992" s="4"/>
    </row>
    <row r="993" spans="1:47" ht="13.2">
      <c r="A993" s="120"/>
      <c r="B993" s="113"/>
      <c r="C993" s="117"/>
      <c r="D993" s="117"/>
      <c r="E993" s="117"/>
      <c r="F993" s="123"/>
      <c r="G993" s="93" t="s">
        <v>145</v>
      </c>
      <c r="H993" s="125"/>
      <c r="I993" s="125"/>
      <c r="J993" s="82" t="str">
        <f t="shared" ca="1" si="147"/>
        <v>#REF!</v>
      </c>
      <c r="K993" s="82" t="str">
        <f t="shared" ca="1" si="256"/>
        <v>#REF!</v>
      </c>
      <c r="L993" s="82" t="str">
        <f t="shared" ca="1" si="199"/>
        <v>#REF!</v>
      </c>
      <c r="M993" s="125"/>
      <c r="N993" s="125"/>
      <c r="O993" s="230">
        <f t="shared" si="2"/>
        <v>0</v>
      </c>
      <c r="P993" s="231">
        <f t="shared" si="3"/>
        <v>0</v>
      </c>
      <c r="Q993" s="232" t="str">
        <f ca="1">ROUNDUP(HLOOKUP(IF(CEILING(L993,0.5)&lt;1,1,CEILING(L993,0.5)),'배송비 조회'!A$32:AY$36,2,0),-2)</f>
        <v>#REF!</v>
      </c>
      <c r="R993" s="232">
        <v>0</v>
      </c>
      <c r="S993" s="231" t="str">
        <f t="shared" ca="1" si="250"/>
        <v>#REF!</v>
      </c>
      <c r="T993" s="231" t="str">
        <f t="shared" ca="1" si="200"/>
        <v>#REF!</v>
      </c>
      <c r="U993" s="233" t="str">
        <f t="shared" ca="1" si="142"/>
        <v>#REF!</v>
      </c>
      <c r="V993" s="233" t="str">
        <f t="shared" ca="1" si="7"/>
        <v>#REF!</v>
      </c>
      <c r="W993" s="234">
        <v>0</v>
      </c>
      <c r="X993" s="234" t="str">
        <f t="shared" ca="1" si="8"/>
        <v>#REF!</v>
      </c>
      <c r="Y993" s="234" t="str">
        <f t="shared" ca="1" si="9"/>
        <v>#REF!</v>
      </c>
      <c r="Z993" s="234" t="str">
        <f t="shared" ca="1" si="10"/>
        <v>#REF!</v>
      </c>
      <c r="AA993" s="234" t="str">
        <f t="shared" ca="1" si="11"/>
        <v>#REF!</v>
      </c>
      <c r="AB993" s="234" t="str">
        <f t="shared" ca="1" si="12"/>
        <v>#REF!</v>
      </c>
      <c r="AC993" s="234" t="str">
        <f t="shared" ca="1" si="13"/>
        <v>#REF!</v>
      </c>
      <c r="AD993" s="101" t="str">
        <f t="shared" ca="1" si="14"/>
        <v>#REF!</v>
      </c>
      <c r="AE993" s="101" t="str">
        <f t="shared" ca="1" si="15"/>
        <v>#REF!</v>
      </c>
      <c r="AF993" s="235" t="str">
        <f t="shared" ref="AF993:AG993" ca="1" si="1070">AD993/U993</f>
        <v>#REF!</v>
      </c>
      <c r="AG993" s="235" t="str">
        <f t="shared" ca="1" si="1070"/>
        <v>#REF!</v>
      </c>
      <c r="AH993" s="212"/>
      <c r="AI993" s="213"/>
      <c r="AJ993" s="4"/>
      <c r="AK993" s="4"/>
      <c r="AL993" s="4"/>
      <c r="AM993" s="4"/>
      <c r="AN993" s="4"/>
      <c r="AO993" s="4"/>
      <c r="AP993" s="4"/>
      <c r="AQ993" s="4"/>
      <c r="AR993" s="4"/>
      <c r="AS993" s="4"/>
      <c r="AT993" s="4"/>
      <c r="AU993" s="4"/>
    </row>
    <row r="994" spans="1:47" ht="13.2">
      <c r="A994" s="120"/>
      <c r="B994" s="113"/>
      <c r="C994" s="117"/>
      <c r="D994" s="117"/>
      <c r="E994" s="117"/>
      <c r="F994" s="123"/>
      <c r="G994" s="93" t="s">
        <v>145</v>
      </c>
      <c r="H994" s="125"/>
      <c r="I994" s="125"/>
      <c r="J994" s="82" t="str">
        <f t="shared" ca="1" si="147"/>
        <v>#REF!</v>
      </c>
      <c r="K994" s="82" t="str">
        <f t="shared" ca="1" si="256"/>
        <v>#REF!</v>
      </c>
      <c r="L994" s="82" t="str">
        <f t="shared" ca="1" si="199"/>
        <v>#REF!</v>
      </c>
      <c r="M994" s="125"/>
      <c r="N994" s="125"/>
      <c r="O994" s="230">
        <f t="shared" si="2"/>
        <v>0</v>
      </c>
      <c r="P994" s="231">
        <f t="shared" si="3"/>
        <v>0</v>
      </c>
      <c r="Q994" s="232" t="str">
        <f ca="1">ROUNDUP(HLOOKUP(IF(CEILING(L994,0.5)&lt;1,1,CEILING(L994,0.5)),'배송비 조회'!A$32:AY$36,2,0),-2)</f>
        <v>#REF!</v>
      </c>
      <c r="R994" s="232">
        <v>0</v>
      </c>
      <c r="S994" s="231" t="str">
        <f t="shared" ca="1" si="250"/>
        <v>#REF!</v>
      </c>
      <c r="T994" s="231" t="str">
        <f t="shared" ca="1" si="200"/>
        <v>#REF!</v>
      </c>
      <c r="U994" s="233" t="str">
        <f t="shared" ca="1" si="142"/>
        <v>#REF!</v>
      </c>
      <c r="V994" s="233" t="str">
        <f t="shared" ca="1" si="7"/>
        <v>#REF!</v>
      </c>
      <c r="W994" s="234">
        <v>0</v>
      </c>
      <c r="X994" s="234" t="str">
        <f t="shared" ca="1" si="8"/>
        <v>#REF!</v>
      </c>
      <c r="Y994" s="234" t="str">
        <f t="shared" ca="1" si="9"/>
        <v>#REF!</v>
      </c>
      <c r="Z994" s="234" t="str">
        <f t="shared" ca="1" si="10"/>
        <v>#REF!</v>
      </c>
      <c r="AA994" s="234" t="str">
        <f t="shared" ca="1" si="11"/>
        <v>#REF!</v>
      </c>
      <c r="AB994" s="234" t="str">
        <f t="shared" ca="1" si="12"/>
        <v>#REF!</v>
      </c>
      <c r="AC994" s="234" t="str">
        <f t="shared" ca="1" si="13"/>
        <v>#REF!</v>
      </c>
      <c r="AD994" s="101" t="str">
        <f t="shared" ca="1" si="14"/>
        <v>#REF!</v>
      </c>
      <c r="AE994" s="101" t="str">
        <f t="shared" ca="1" si="15"/>
        <v>#REF!</v>
      </c>
      <c r="AF994" s="235" t="str">
        <f t="shared" ref="AF994:AG994" ca="1" si="1071">AD994/U994</f>
        <v>#REF!</v>
      </c>
      <c r="AG994" s="235" t="str">
        <f t="shared" ca="1" si="1071"/>
        <v>#REF!</v>
      </c>
      <c r="AH994" s="212"/>
      <c r="AI994" s="213"/>
      <c r="AJ994" s="4"/>
      <c r="AK994" s="4"/>
      <c r="AL994" s="4"/>
      <c r="AM994" s="4"/>
      <c r="AN994" s="4"/>
      <c r="AO994" s="4"/>
      <c r="AP994" s="4"/>
      <c r="AQ994" s="4"/>
      <c r="AR994" s="4"/>
      <c r="AS994" s="4"/>
      <c r="AT994" s="4"/>
      <c r="AU994" s="4"/>
    </row>
    <row r="995" spans="1:47" ht="13.2">
      <c r="A995" s="120"/>
      <c r="B995" s="113"/>
      <c r="C995" s="117"/>
      <c r="D995" s="117"/>
      <c r="E995" s="117"/>
      <c r="F995" s="123"/>
      <c r="G995" s="93" t="s">
        <v>145</v>
      </c>
      <c r="H995" s="125"/>
      <c r="I995" s="125"/>
      <c r="J995" s="82" t="str">
        <f t="shared" ca="1" si="147"/>
        <v>#REF!</v>
      </c>
      <c r="K995" s="82" t="str">
        <f t="shared" ca="1" si="256"/>
        <v>#REF!</v>
      </c>
      <c r="L995" s="82" t="str">
        <f t="shared" ca="1" si="199"/>
        <v>#REF!</v>
      </c>
      <c r="M995" s="125"/>
      <c r="N995" s="125"/>
      <c r="O995" s="230">
        <f t="shared" si="2"/>
        <v>0</v>
      </c>
      <c r="P995" s="231">
        <f t="shared" si="3"/>
        <v>0</v>
      </c>
      <c r="Q995" s="232" t="str">
        <f ca="1">ROUNDUP(HLOOKUP(IF(CEILING(L995,0.5)&lt;1,1,CEILING(L995,0.5)),'배송비 조회'!A$32:AY$36,2,0),-2)</f>
        <v>#REF!</v>
      </c>
      <c r="R995" s="232">
        <v>0</v>
      </c>
      <c r="S995" s="231" t="str">
        <f t="shared" ca="1" si="250"/>
        <v>#REF!</v>
      </c>
      <c r="T995" s="231" t="str">
        <f t="shared" ca="1" si="200"/>
        <v>#REF!</v>
      </c>
      <c r="U995" s="233" t="str">
        <f t="shared" ca="1" si="142"/>
        <v>#REF!</v>
      </c>
      <c r="V995" s="233" t="str">
        <f t="shared" ca="1" si="7"/>
        <v>#REF!</v>
      </c>
      <c r="W995" s="234">
        <v>0</v>
      </c>
      <c r="X995" s="234" t="str">
        <f t="shared" ca="1" si="8"/>
        <v>#REF!</v>
      </c>
      <c r="Y995" s="234" t="str">
        <f t="shared" ca="1" si="9"/>
        <v>#REF!</v>
      </c>
      <c r="Z995" s="234" t="str">
        <f t="shared" ca="1" si="10"/>
        <v>#REF!</v>
      </c>
      <c r="AA995" s="234" t="str">
        <f t="shared" ca="1" si="11"/>
        <v>#REF!</v>
      </c>
      <c r="AB995" s="234" t="str">
        <f t="shared" ca="1" si="12"/>
        <v>#REF!</v>
      </c>
      <c r="AC995" s="234" t="str">
        <f t="shared" ca="1" si="13"/>
        <v>#REF!</v>
      </c>
      <c r="AD995" s="101" t="str">
        <f t="shared" ca="1" si="14"/>
        <v>#REF!</v>
      </c>
      <c r="AE995" s="101" t="str">
        <f t="shared" ca="1" si="15"/>
        <v>#REF!</v>
      </c>
      <c r="AF995" s="235" t="str">
        <f t="shared" ref="AF995:AG995" ca="1" si="1072">AD995/U995</f>
        <v>#REF!</v>
      </c>
      <c r="AG995" s="235" t="str">
        <f t="shared" ca="1" si="1072"/>
        <v>#REF!</v>
      </c>
      <c r="AH995" s="212"/>
      <c r="AI995" s="213"/>
      <c r="AJ995" s="4"/>
      <c r="AK995" s="4"/>
      <c r="AL995" s="4"/>
      <c r="AM995" s="4"/>
      <c r="AN995" s="4"/>
      <c r="AO995" s="4"/>
      <c r="AP995" s="4"/>
      <c r="AQ995" s="4"/>
      <c r="AR995" s="4"/>
      <c r="AS995" s="4"/>
      <c r="AT995" s="4"/>
      <c r="AU995" s="4"/>
    </row>
    <row r="996" spans="1:47" ht="13.2">
      <c r="A996" s="120"/>
      <c r="B996" s="113"/>
      <c r="C996" s="117"/>
      <c r="D996" s="117"/>
      <c r="E996" s="117"/>
      <c r="F996" s="123"/>
      <c r="G996" s="93" t="s">
        <v>145</v>
      </c>
      <c r="H996" s="125"/>
      <c r="I996" s="125"/>
      <c r="J996" s="82" t="str">
        <f t="shared" ca="1" si="147"/>
        <v>#REF!</v>
      </c>
      <c r="K996" s="82" t="str">
        <f t="shared" ca="1" si="256"/>
        <v>#REF!</v>
      </c>
      <c r="L996" s="82" t="str">
        <f t="shared" ca="1" si="199"/>
        <v>#REF!</v>
      </c>
      <c r="M996" s="125"/>
      <c r="N996" s="125"/>
      <c r="O996" s="230">
        <f t="shared" si="2"/>
        <v>0</v>
      </c>
      <c r="P996" s="231">
        <f t="shared" si="3"/>
        <v>0</v>
      </c>
      <c r="Q996" s="232" t="str">
        <f ca="1">ROUNDUP(HLOOKUP(IF(CEILING(L996,0.5)&lt;1,1,CEILING(L996,0.5)),'배송비 조회'!A$32:AY$36,2,0),-2)</f>
        <v>#REF!</v>
      </c>
      <c r="R996" s="232">
        <v>0</v>
      </c>
      <c r="S996" s="231" t="str">
        <f t="shared" ca="1" si="250"/>
        <v>#REF!</v>
      </c>
      <c r="T996" s="231" t="str">
        <f t="shared" ca="1" si="200"/>
        <v>#REF!</v>
      </c>
      <c r="U996" s="233" t="str">
        <f t="shared" ca="1" si="142"/>
        <v>#REF!</v>
      </c>
      <c r="V996" s="233" t="str">
        <f t="shared" ca="1" si="7"/>
        <v>#REF!</v>
      </c>
      <c r="W996" s="234">
        <v>0</v>
      </c>
      <c r="X996" s="234" t="str">
        <f t="shared" ca="1" si="8"/>
        <v>#REF!</v>
      </c>
      <c r="Y996" s="234" t="str">
        <f t="shared" ca="1" si="9"/>
        <v>#REF!</v>
      </c>
      <c r="Z996" s="234" t="str">
        <f t="shared" ca="1" si="10"/>
        <v>#REF!</v>
      </c>
      <c r="AA996" s="234" t="str">
        <f t="shared" ca="1" si="11"/>
        <v>#REF!</v>
      </c>
      <c r="AB996" s="234" t="str">
        <f t="shared" ca="1" si="12"/>
        <v>#REF!</v>
      </c>
      <c r="AC996" s="234" t="str">
        <f t="shared" ca="1" si="13"/>
        <v>#REF!</v>
      </c>
      <c r="AD996" s="101" t="str">
        <f t="shared" ca="1" si="14"/>
        <v>#REF!</v>
      </c>
      <c r="AE996" s="101" t="str">
        <f t="shared" ca="1" si="15"/>
        <v>#REF!</v>
      </c>
      <c r="AF996" s="235" t="str">
        <f t="shared" ref="AF996:AG996" ca="1" si="1073">AD996/U996</f>
        <v>#REF!</v>
      </c>
      <c r="AG996" s="235" t="str">
        <f t="shared" ca="1" si="1073"/>
        <v>#REF!</v>
      </c>
      <c r="AH996" s="212"/>
      <c r="AI996" s="213"/>
      <c r="AJ996" s="4"/>
      <c r="AK996" s="4"/>
      <c r="AL996" s="4"/>
      <c r="AM996" s="4"/>
      <c r="AN996" s="4"/>
      <c r="AO996" s="4"/>
      <c r="AP996" s="4"/>
      <c r="AQ996" s="4"/>
      <c r="AR996" s="4"/>
      <c r="AS996" s="4"/>
      <c r="AT996" s="4"/>
      <c r="AU996" s="4"/>
    </row>
    <row r="997" spans="1:47" ht="13.2">
      <c r="A997" s="120"/>
      <c r="B997" s="113"/>
      <c r="C997" s="117"/>
      <c r="D997" s="117"/>
      <c r="E997" s="117"/>
      <c r="F997" s="123"/>
      <c r="G997" s="93" t="s">
        <v>145</v>
      </c>
      <c r="H997" s="125"/>
      <c r="I997" s="125"/>
      <c r="J997" s="82" t="str">
        <f t="shared" ca="1" si="147"/>
        <v>#REF!</v>
      </c>
      <c r="K997" s="82" t="str">
        <f t="shared" ca="1" si="256"/>
        <v>#REF!</v>
      </c>
      <c r="L997" s="82" t="str">
        <f t="shared" ca="1" si="199"/>
        <v>#REF!</v>
      </c>
      <c r="M997" s="125"/>
      <c r="N997" s="125"/>
      <c r="O997" s="230">
        <f t="shared" si="2"/>
        <v>0</v>
      </c>
      <c r="P997" s="231">
        <f t="shared" si="3"/>
        <v>0</v>
      </c>
      <c r="Q997" s="232" t="str">
        <f ca="1">ROUNDUP(HLOOKUP(IF(CEILING(L997,0.5)&lt;1,1,CEILING(L997,0.5)),'배송비 조회'!A$32:AY$36,2,0),-2)</f>
        <v>#REF!</v>
      </c>
      <c r="R997" s="232">
        <v>0</v>
      </c>
      <c r="S997" s="231" t="str">
        <f t="shared" ca="1" si="250"/>
        <v>#REF!</v>
      </c>
      <c r="T997" s="231" t="str">
        <f t="shared" ca="1" si="200"/>
        <v>#REF!</v>
      </c>
      <c r="U997" s="233" t="str">
        <f t="shared" ca="1" si="142"/>
        <v>#REF!</v>
      </c>
      <c r="V997" s="233" t="str">
        <f t="shared" ca="1" si="7"/>
        <v>#REF!</v>
      </c>
      <c r="W997" s="234">
        <v>0</v>
      </c>
      <c r="X997" s="234" t="str">
        <f t="shared" ca="1" si="8"/>
        <v>#REF!</v>
      </c>
      <c r="Y997" s="234" t="str">
        <f t="shared" ca="1" si="9"/>
        <v>#REF!</v>
      </c>
      <c r="Z997" s="234" t="str">
        <f t="shared" ca="1" si="10"/>
        <v>#REF!</v>
      </c>
      <c r="AA997" s="234" t="str">
        <f t="shared" ca="1" si="11"/>
        <v>#REF!</v>
      </c>
      <c r="AB997" s="234" t="str">
        <f t="shared" ca="1" si="12"/>
        <v>#REF!</v>
      </c>
      <c r="AC997" s="234" t="str">
        <f t="shared" ca="1" si="13"/>
        <v>#REF!</v>
      </c>
      <c r="AD997" s="101" t="str">
        <f t="shared" ca="1" si="14"/>
        <v>#REF!</v>
      </c>
      <c r="AE997" s="101" t="str">
        <f t="shared" ca="1" si="15"/>
        <v>#REF!</v>
      </c>
      <c r="AF997" s="235" t="str">
        <f t="shared" ref="AF997:AG997" ca="1" si="1074">AD997/U997</f>
        <v>#REF!</v>
      </c>
      <c r="AG997" s="235" t="str">
        <f t="shared" ca="1" si="1074"/>
        <v>#REF!</v>
      </c>
      <c r="AH997" s="212"/>
      <c r="AI997" s="213"/>
      <c r="AJ997" s="4"/>
      <c r="AK997" s="4"/>
      <c r="AL997" s="4"/>
      <c r="AM997" s="4"/>
      <c r="AN997" s="4"/>
      <c r="AO997" s="4"/>
      <c r="AP997" s="4"/>
      <c r="AQ997" s="4"/>
      <c r="AR997" s="4"/>
      <c r="AS997" s="4"/>
      <c r="AT997" s="4"/>
      <c r="AU997" s="4"/>
    </row>
    <row r="998" spans="1:47" ht="13.2">
      <c r="A998" s="120"/>
      <c r="B998" s="113"/>
      <c r="C998" s="117"/>
      <c r="D998" s="117"/>
      <c r="E998" s="117"/>
      <c r="F998" s="123"/>
      <c r="G998" s="93" t="s">
        <v>145</v>
      </c>
      <c r="H998" s="125"/>
      <c r="I998" s="125"/>
      <c r="J998" s="82" t="str">
        <f t="shared" ca="1" si="147"/>
        <v>#REF!</v>
      </c>
      <c r="K998" s="82" t="str">
        <f t="shared" ca="1" si="256"/>
        <v>#REF!</v>
      </c>
      <c r="L998" s="82" t="str">
        <f t="shared" ca="1" si="199"/>
        <v>#REF!</v>
      </c>
      <c r="M998" s="125"/>
      <c r="N998" s="125"/>
      <c r="O998" s="230">
        <f t="shared" si="2"/>
        <v>0</v>
      </c>
      <c r="P998" s="231">
        <f t="shared" si="3"/>
        <v>0</v>
      </c>
      <c r="Q998" s="232" t="str">
        <f ca="1">ROUNDUP(HLOOKUP(IF(CEILING(L998,0.5)&lt;1,1,CEILING(L998,0.5)),'배송비 조회'!A$32:AY$36,2,0),-2)</f>
        <v>#REF!</v>
      </c>
      <c r="R998" s="232">
        <v>0</v>
      </c>
      <c r="S998" s="231" t="str">
        <f t="shared" ca="1" si="250"/>
        <v>#REF!</v>
      </c>
      <c r="T998" s="231" t="str">
        <f t="shared" ca="1" si="200"/>
        <v>#REF!</v>
      </c>
      <c r="U998" s="233" t="str">
        <f t="shared" ca="1" si="142"/>
        <v>#REF!</v>
      </c>
      <c r="V998" s="233" t="str">
        <f t="shared" ca="1" si="7"/>
        <v>#REF!</v>
      </c>
      <c r="W998" s="234">
        <v>0</v>
      </c>
      <c r="X998" s="234" t="str">
        <f t="shared" ca="1" si="8"/>
        <v>#REF!</v>
      </c>
      <c r="Y998" s="234" t="str">
        <f t="shared" ca="1" si="9"/>
        <v>#REF!</v>
      </c>
      <c r="Z998" s="234" t="str">
        <f t="shared" ca="1" si="10"/>
        <v>#REF!</v>
      </c>
      <c r="AA998" s="234" t="str">
        <f t="shared" ca="1" si="11"/>
        <v>#REF!</v>
      </c>
      <c r="AB998" s="234" t="str">
        <f t="shared" ca="1" si="12"/>
        <v>#REF!</v>
      </c>
      <c r="AC998" s="234" t="str">
        <f t="shared" ca="1" si="13"/>
        <v>#REF!</v>
      </c>
      <c r="AD998" s="101" t="str">
        <f t="shared" ca="1" si="14"/>
        <v>#REF!</v>
      </c>
      <c r="AE998" s="101" t="str">
        <f t="shared" ca="1" si="15"/>
        <v>#REF!</v>
      </c>
      <c r="AF998" s="235" t="str">
        <f t="shared" ref="AF998:AG998" ca="1" si="1075">AD998/U998</f>
        <v>#REF!</v>
      </c>
      <c r="AG998" s="235" t="str">
        <f t="shared" ca="1" si="1075"/>
        <v>#REF!</v>
      </c>
      <c r="AH998" s="212"/>
      <c r="AI998" s="213"/>
      <c r="AJ998" s="4"/>
      <c r="AK998" s="4"/>
      <c r="AL998" s="4"/>
      <c r="AM998" s="4"/>
      <c r="AN998" s="4"/>
      <c r="AO998" s="4"/>
      <c r="AP998" s="4"/>
      <c r="AQ998" s="4"/>
      <c r="AR998" s="4"/>
      <c r="AS998" s="4"/>
      <c r="AT998" s="4"/>
      <c r="AU998" s="4"/>
    </row>
    <row r="999" spans="1:47" ht="13.2">
      <c r="A999" s="120"/>
      <c r="B999" s="113"/>
      <c r="C999" s="117"/>
      <c r="D999" s="117"/>
      <c r="E999" s="117"/>
      <c r="F999" s="123"/>
      <c r="G999" s="93" t="s">
        <v>145</v>
      </c>
      <c r="H999" s="125"/>
      <c r="I999" s="125"/>
      <c r="J999" s="82" t="str">
        <f t="shared" ca="1" si="147"/>
        <v>#REF!</v>
      </c>
      <c r="K999" s="82" t="str">
        <f t="shared" ca="1" si="256"/>
        <v>#REF!</v>
      </c>
      <c r="L999" s="82" t="str">
        <f t="shared" ca="1" si="199"/>
        <v>#REF!</v>
      </c>
      <c r="M999" s="125"/>
      <c r="N999" s="125"/>
      <c r="O999" s="230">
        <f t="shared" si="2"/>
        <v>0</v>
      </c>
      <c r="P999" s="231">
        <f t="shared" si="3"/>
        <v>0</v>
      </c>
      <c r="Q999" s="232" t="str">
        <f ca="1">ROUNDUP(HLOOKUP(IF(CEILING(L999,0.5)&lt;1,1,CEILING(L999,0.5)),'배송비 조회'!A$32:AY$36,2,0),-2)</f>
        <v>#REF!</v>
      </c>
      <c r="R999" s="232">
        <v>0</v>
      </c>
      <c r="S999" s="231" t="str">
        <f t="shared" ca="1" si="250"/>
        <v>#REF!</v>
      </c>
      <c r="T999" s="231" t="str">
        <f t="shared" ca="1" si="200"/>
        <v>#REF!</v>
      </c>
      <c r="U999" s="233" t="str">
        <f t="shared" ca="1" si="142"/>
        <v>#REF!</v>
      </c>
      <c r="V999" s="233" t="str">
        <f t="shared" ca="1" si="7"/>
        <v>#REF!</v>
      </c>
      <c r="W999" s="234">
        <v>0</v>
      </c>
      <c r="X999" s="234" t="str">
        <f t="shared" ca="1" si="8"/>
        <v>#REF!</v>
      </c>
      <c r="Y999" s="234" t="str">
        <f t="shared" ca="1" si="9"/>
        <v>#REF!</v>
      </c>
      <c r="Z999" s="234" t="str">
        <f t="shared" ca="1" si="10"/>
        <v>#REF!</v>
      </c>
      <c r="AA999" s="234" t="str">
        <f t="shared" ca="1" si="11"/>
        <v>#REF!</v>
      </c>
      <c r="AB999" s="234" t="str">
        <f t="shared" ca="1" si="12"/>
        <v>#REF!</v>
      </c>
      <c r="AC999" s="234" t="str">
        <f t="shared" ca="1" si="13"/>
        <v>#REF!</v>
      </c>
      <c r="AD999" s="101" t="str">
        <f t="shared" ca="1" si="14"/>
        <v>#REF!</v>
      </c>
      <c r="AE999" s="101" t="str">
        <f t="shared" ca="1" si="15"/>
        <v>#REF!</v>
      </c>
      <c r="AF999" s="235" t="str">
        <f t="shared" ref="AF999:AG999" ca="1" si="1076">AD999/U999</f>
        <v>#REF!</v>
      </c>
      <c r="AG999" s="235" t="str">
        <f t="shared" ca="1" si="1076"/>
        <v>#REF!</v>
      </c>
      <c r="AH999" s="212"/>
      <c r="AI999" s="213"/>
      <c r="AJ999" s="4"/>
      <c r="AK999" s="4"/>
      <c r="AL999" s="4"/>
      <c r="AM999" s="4"/>
      <c r="AN999" s="4"/>
      <c r="AO999" s="4"/>
      <c r="AP999" s="4"/>
      <c r="AQ999" s="4"/>
      <c r="AR999" s="4"/>
      <c r="AS999" s="4"/>
      <c r="AT999" s="4"/>
      <c r="AU999" s="4"/>
    </row>
    <row r="1000" spans="1:47" ht="13.2">
      <c r="A1000" s="120"/>
      <c r="B1000" s="113"/>
      <c r="C1000" s="117"/>
      <c r="D1000" s="117"/>
      <c r="E1000" s="117"/>
      <c r="F1000" s="123"/>
      <c r="G1000" s="93" t="s">
        <v>145</v>
      </c>
      <c r="H1000" s="125"/>
      <c r="I1000" s="125"/>
      <c r="J1000" s="82" t="str">
        <f t="shared" ca="1" si="147"/>
        <v>#REF!</v>
      </c>
      <c r="K1000" s="82" t="str">
        <f t="shared" ca="1" si="256"/>
        <v>#REF!</v>
      </c>
      <c r="L1000" s="82" t="str">
        <f t="shared" ca="1" si="199"/>
        <v>#REF!</v>
      </c>
      <c r="M1000" s="125"/>
      <c r="N1000" s="125"/>
      <c r="O1000" s="230">
        <f t="shared" si="2"/>
        <v>0</v>
      </c>
      <c r="P1000" s="231">
        <f t="shared" si="3"/>
        <v>0</v>
      </c>
      <c r="Q1000" s="232" t="str">
        <f ca="1">ROUNDUP(HLOOKUP(IF(CEILING(L1000,0.5)&lt;1,1,CEILING(L1000,0.5)),'배송비 조회'!A$32:AY$36,2,0),-2)</f>
        <v>#REF!</v>
      </c>
      <c r="R1000" s="232">
        <v>0</v>
      </c>
      <c r="S1000" s="231" t="str">
        <f t="shared" ca="1" si="250"/>
        <v>#REF!</v>
      </c>
      <c r="T1000" s="231" t="str">
        <f t="shared" ca="1" si="200"/>
        <v>#REF!</v>
      </c>
      <c r="U1000" s="233" t="str">
        <f t="shared" ca="1" si="142"/>
        <v>#REF!</v>
      </c>
      <c r="V1000" s="233" t="str">
        <f t="shared" ca="1" si="7"/>
        <v>#REF!</v>
      </c>
      <c r="W1000" s="234">
        <v>0</v>
      </c>
      <c r="X1000" s="234" t="str">
        <f t="shared" ca="1" si="8"/>
        <v>#REF!</v>
      </c>
      <c r="Y1000" s="234" t="str">
        <f t="shared" ca="1" si="9"/>
        <v>#REF!</v>
      </c>
      <c r="Z1000" s="234" t="str">
        <f t="shared" ca="1" si="10"/>
        <v>#REF!</v>
      </c>
      <c r="AA1000" s="234" t="str">
        <f t="shared" ca="1" si="11"/>
        <v>#REF!</v>
      </c>
      <c r="AB1000" s="234" t="str">
        <f t="shared" ca="1" si="12"/>
        <v>#REF!</v>
      </c>
      <c r="AC1000" s="234" t="str">
        <f t="shared" ca="1" si="13"/>
        <v>#REF!</v>
      </c>
      <c r="AD1000" s="101" t="str">
        <f t="shared" ca="1" si="14"/>
        <v>#REF!</v>
      </c>
      <c r="AE1000" s="101" t="str">
        <f t="shared" ca="1" si="15"/>
        <v>#REF!</v>
      </c>
      <c r="AF1000" s="235" t="str">
        <f t="shared" ref="AF1000:AG1000" ca="1" si="1077">AD1000/U1000</f>
        <v>#REF!</v>
      </c>
      <c r="AG1000" s="235" t="str">
        <f t="shared" ca="1" si="1077"/>
        <v>#REF!</v>
      </c>
      <c r="AH1000" s="212"/>
      <c r="AI1000" s="213"/>
      <c r="AJ1000" s="4"/>
      <c r="AK1000" s="4"/>
      <c r="AL1000" s="4"/>
      <c r="AM1000" s="4"/>
      <c r="AN1000" s="4"/>
      <c r="AO1000" s="4"/>
      <c r="AP1000" s="4"/>
      <c r="AQ1000" s="4"/>
      <c r="AR1000" s="4"/>
      <c r="AS1000" s="4"/>
      <c r="AT1000" s="4"/>
      <c r="AU1000" s="4"/>
    </row>
    <row r="1001" spans="1:47" ht="13.2">
      <c r="A1001" s="120"/>
      <c r="B1001" s="113"/>
      <c r="C1001" s="117"/>
      <c r="D1001" s="117"/>
      <c r="E1001" s="117"/>
      <c r="F1001" s="123"/>
      <c r="G1001" s="93" t="s">
        <v>145</v>
      </c>
      <c r="H1001" s="125"/>
      <c r="I1001" s="125"/>
      <c r="J1001" s="82" t="str">
        <f t="shared" ca="1" si="147"/>
        <v>#REF!</v>
      </c>
      <c r="K1001" s="82" t="str">
        <f t="shared" ca="1" si="256"/>
        <v>#REF!</v>
      </c>
      <c r="L1001" s="82" t="str">
        <f t="shared" ca="1" si="199"/>
        <v>#REF!</v>
      </c>
      <c r="M1001" s="125"/>
      <c r="N1001" s="125"/>
      <c r="O1001" s="230">
        <f t="shared" si="2"/>
        <v>0</v>
      </c>
      <c r="P1001" s="231">
        <f t="shared" si="3"/>
        <v>0</v>
      </c>
      <c r="Q1001" s="232" t="str">
        <f ca="1">ROUNDUP(HLOOKUP(IF(CEILING(L1001,0.5)&lt;1,1,CEILING(L1001,0.5)),'배송비 조회'!A$32:AY$36,2,0),-2)</f>
        <v>#REF!</v>
      </c>
      <c r="R1001" s="232">
        <v>0</v>
      </c>
      <c r="S1001" s="231" t="str">
        <f t="shared" ca="1" si="250"/>
        <v>#REF!</v>
      </c>
      <c r="T1001" s="231" t="str">
        <f t="shared" ca="1" si="200"/>
        <v>#REF!</v>
      </c>
      <c r="U1001" s="233" t="str">
        <f t="shared" ca="1" si="142"/>
        <v>#REF!</v>
      </c>
      <c r="V1001" s="233" t="str">
        <f t="shared" ca="1" si="7"/>
        <v>#REF!</v>
      </c>
      <c r="W1001" s="234">
        <v>0</v>
      </c>
      <c r="X1001" s="234" t="str">
        <f t="shared" ca="1" si="8"/>
        <v>#REF!</v>
      </c>
      <c r="Y1001" s="234" t="str">
        <f t="shared" ca="1" si="9"/>
        <v>#REF!</v>
      </c>
      <c r="Z1001" s="234" t="str">
        <f t="shared" ca="1" si="10"/>
        <v>#REF!</v>
      </c>
      <c r="AA1001" s="234" t="str">
        <f t="shared" ca="1" si="11"/>
        <v>#REF!</v>
      </c>
      <c r="AB1001" s="234" t="str">
        <f t="shared" ca="1" si="12"/>
        <v>#REF!</v>
      </c>
      <c r="AC1001" s="234" t="str">
        <f t="shared" ca="1" si="13"/>
        <v>#REF!</v>
      </c>
      <c r="AD1001" s="101" t="str">
        <f t="shared" ca="1" si="14"/>
        <v>#REF!</v>
      </c>
      <c r="AE1001" s="101" t="str">
        <f t="shared" ca="1" si="15"/>
        <v>#REF!</v>
      </c>
      <c r="AF1001" s="235" t="str">
        <f t="shared" ref="AF1001:AG1001" ca="1" si="1078">AD1001/U1001</f>
        <v>#REF!</v>
      </c>
      <c r="AG1001" s="235" t="str">
        <f t="shared" ca="1" si="1078"/>
        <v>#REF!</v>
      </c>
      <c r="AH1001" s="212"/>
      <c r="AI1001" s="213"/>
      <c r="AJ1001" s="4"/>
      <c r="AK1001" s="4"/>
      <c r="AL1001" s="4"/>
      <c r="AM1001" s="4"/>
      <c r="AN1001" s="4"/>
      <c r="AO1001" s="4"/>
      <c r="AP1001" s="4"/>
      <c r="AQ1001" s="4"/>
      <c r="AR1001" s="4"/>
      <c r="AS1001" s="4"/>
      <c r="AT1001" s="4"/>
      <c r="AU1001" s="4"/>
    </row>
    <row r="1002" spans="1:47" ht="13.2">
      <c r="A1002" s="120"/>
      <c r="B1002" s="113"/>
      <c r="C1002" s="117"/>
      <c r="D1002" s="117"/>
      <c r="E1002" s="117"/>
      <c r="F1002" s="123"/>
      <c r="G1002" s="93" t="s">
        <v>145</v>
      </c>
      <c r="H1002" s="125"/>
      <c r="I1002" s="125"/>
      <c r="J1002" s="82" t="str">
        <f t="shared" ca="1" si="147"/>
        <v>#REF!</v>
      </c>
      <c r="K1002" s="82" t="str">
        <f t="shared" ca="1" si="256"/>
        <v>#REF!</v>
      </c>
      <c r="L1002" s="82" t="str">
        <f t="shared" ca="1" si="199"/>
        <v>#REF!</v>
      </c>
      <c r="M1002" s="125"/>
      <c r="N1002" s="125"/>
      <c r="O1002" s="230">
        <f t="shared" si="2"/>
        <v>0</v>
      </c>
      <c r="P1002" s="231">
        <f t="shared" si="3"/>
        <v>0</v>
      </c>
      <c r="Q1002" s="232" t="str">
        <f ca="1">ROUNDUP(HLOOKUP(IF(CEILING(L1002,0.5)&lt;1,1,CEILING(L1002,0.5)),'배송비 조회'!A$32:AY$36,2,0),-2)</f>
        <v>#REF!</v>
      </c>
      <c r="R1002" s="232">
        <v>0</v>
      </c>
      <c r="S1002" s="231" t="str">
        <f t="shared" ca="1" si="250"/>
        <v>#REF!</v>
      </c>
      <c r="T1002" s="231" t="str">
        <f t="shared" ca="1" si="200"/>
        <v>#REF!</v>
      </c>
      <c r="U1002" s="233" t="str">
        <f t="shared" ca="1" si="142"/>
        <v>#REF!</v>
      </c>
      <c r="V1002" s="233" t="str">
        <f t="shared" ca="1" si="7"/>
        <v>#REF!</v>
      </c>
      <c r="W1002" s="234">
        <v>0</v>
      </c>
      <c r="X1002" s="234" t="str">
        <f t="shared" ca="1" si="8"/>
        <v>#REF!</v>
      </c>
      <c r="Y1002" s="234" t="str">
        <f t="shared" ca="1" si="9"/>
        <v>#REF!</v>
      </c>
      <c r="Z1002" s="234" t="str">
        <f t="shared" ca="1" si="10"/>
        <v>#REF!</v>
      </c>
      <c r="AA1002" s="234" t="str">
        <f t="shared" ca="1" si="11"/>
        <v>#REF!</v>
      </c>
      <c r="AB1002" s="234" t="str">
        <f t="shared" ca="1" si="12"/>
        <v>#REF!</v>
      </c>
      <c r="AC1002" s="234" t="str">
        <f t="shared" ca="1" si="13"/>
        <v>#REF!</v>
      </c>
      <c r="AD1002" s="101" t="str">
        <f t="shared" ca="1" si="14"/>
        <v>#REF!</v>
      </c>
      <c r="AE1002" s="101" t="str">
        <f t="shared" ca="1" si="15"/>
        <v>#REF!</v>
      </c>
      <c r="AF1002" s="235" t="str">
        <f t="shared" ref="AF1002:AG1002" ca="1" si="1079">AD1002/U1002</f>
        <v>#REF!</v>
      </c>
      <c r="AG1002" s="235" t="str">
        <f t="shared" ca="1" si="1079"/>
        <v>#REF!</v>
      </c>
      <c r="AH1002" s="212"/>
      <c r="AI1002" s="213"/>
      <c r="AJ1002" s="4"/>
      <c r="AK1002" s="4"/>
      <c r="AL1002" s="4"/>
      <c r="AM1002" s="4"/>
      <c r="AN1002" s="4"/>
      <c r="AO1002" s="4"/>
      <c r="AP1002" s="4"/>
      <c r="AQ1002" s="4"/>
      <c r="AR1002" s="4"/>
      <c r="AS1002" s="4"/>
      <c r="AT1002" s="4"/>
      <c r="AU1002" s="4"/>
    </row>
    <row r="1003" spans="1:47" ht="13.2">
      <c r="A1003" s="120"/>
      <c r="B1003" s="113"/>
      <c r="C1003" s="117"/>
      <c r="D1003" s="117"/>
      <c r="E1003" s="117"/>
      <c r="F1003" s="123"/>
      <c r="G1003" s="93" t="s">
        <v>145</v>
      </c>
      <c r="H1003" s="125"/>
      <c r="I1003" s="125"/>
      <c r="J1003" s="82" t="str">
        <f t="shared" ca="1" si="147"/>
        <v>#REF!</v>
      </c>
      <c r="K1003" s="82" t="str">
        <f t="shared" ca="1" si="256"/>
        <v>#REF!</v>
      </c>
      <c r="L1003" s="82" t="str">
        <f t="shared" ca="1" si="199"/>
        <v>#REF!</v>
      </c>
      <c r="M1003" s="125"/>
      <c r="N1003" s="125"/>
      <c r="O1003" s="230">
        <f t="shared" si="2"/>
        <v>0</v>
      </c>
      <c r="P1003" s="231">
        <f t="shared" si="3"/>
        <v>0</v>
      </c>
      <c r="Q1003" s="232" t="str">
        <f ca="1">ROUNDUP(HLOOKUP(IF(CEILING(L1003,0.5)&lt;1,1,CEILING(L1003,0.5)),'배송비 조회'!A$32:AY$36,2,0),-2)</f>
        <v>#REF!</v>
      </c>
      <c r="R1003" s="232">
        <v>0</v>
      </c>
      <c r="S1003" s="231" t="str">
        <f t="shared" ca="1" si="250"/>
        <v>#REF!</v>
      </c>
      <c r="T1003" s="231" t="str">
        <f t="shared" ca="1" si="200"/>
        <v>#REF!</v>
      </c>
      <c r="U1003" s="233" t="str">
        <f t="shared" ca="1" si="142"/>
        <v>#REF!</v>
      </c>
      <c r="V1003" s="233" t="str">
        <f t="shared" ca="1" si="7"/>
        <v>#REF!</v>
      </c>
      <c r="W1003" s="234">
        <v>0</v>
      </c>
      <c r="X1003" s="234" t="str">
        <f t="shared" ca="1" si="8"/>
        <v>#REF!</v>
      </c>
      <c r="Y1003" s="234" t="str">
        <f t="shared" ca="1" si="9"/>
        <v>#REF!</v>
      </c>
      <c r="Z1003" s="234" t="str">
        <f t="shared" ca="1" si="10"/>
        <v>#REF!</v>
      </c>
      <c r="AA1003" s="234" t="str">
        <f t="shared" ca="1" si="11"/>
        <v>#REF!</v>
      </c>
      <c r="AB1003" s="234" t="str">
        <f t="shared" ca="1" si="12"/>
        <v>#REF!</v>
      </c>
      <c r="AC1003" s="234" t="str">
        <f t="shared" ca="1" si="13"/>
        <v>#REF!</v>
      </c>
      <c r="AD1003" s="101" t="str">
        <f t="shared" ca="1" si="14"/>
        <v>#REF!</v>
      </c>
      <c r="AE1003" s="101" t="str">
        <f t="shared" ca="1" si="15"/>
        <v>#REF!</v>
      </c>
      <c r="AF1003" s="235" t="str">
        <f t="shared" ref="AF1003:AG1003" ca="1" si="1080">AD1003/U1003</f>
        <v>#REF!</v>
      </c>
      <c r="AG1003" s="235" t="str">
        <f t="shared" ca="1" si="1080"/>
        <v>#REF!</v>
      </c>
      <c r="AH1003" s="212"/>
      <c r="AI1003" s="213"/>
      <c r="AJ1003" s="4"/>
      <c r="AK1003" s="4"/>
      <c r="AL1003" s="4"/>
      <c r="AM1003" s="4"/>
      <c r="AN1003" s="4"/>
      <c r="AO1003" s="4"/>
      <c r="AP1003" s="4"/>
      <c r="AQ1003" s="4"/>
      <c r="AR1003" s="4"/>
      <c r="AS1003" s="4"/>
      <c r="AT1003" s="4"/>
      <c r="AU1003" s="4"/>
    </row>
    <row r="1004" spans="1:47" ht="13.2">
      <c r="A1004" s="120"/>
      <c r="B1004" s="113"/>
      <c r="C1004" s="117"/>
      <c r="D1004" s="117"/>
      <c r="E1004" s="117"/>
      <c r="F1004" s="123"/>
      <c r="G1004" s="93" t="s">
        <v>145</v>
      </c>
      <c r="H1004" s="125"/>
      <c r="I1004" s="125"/>
      <c r="J1004" s="82" t="str">
        <f t="shared" ca="1" si="147"/>
        <v>#REF!</v>
      </c>
      <c r="K1004" s="82" t="str">
        <f t="shared" ca="1" si="256"/>
        <v>#REF!</v>
      </c>
      <c r="L1004" s="82" t="str">
        <f t="shared" ca="1" si="199"/>
        <v>#REF!</v>
      </c>
      <c r="M1004" s="125"/>
      <c r="N1004" s="125"/>
      <c r="O1004" s="230">
        <f t="shared" si="2"/>
        <v>0</v>
      </c>
      <c r="P1004" s="231">
        <f t="shared" si="3"/>
        <v>0</v>
      </c>
      <c r="Q1004" s="232" t="str">
        <f ca="1">ROUNDUP(HLOOKUP(IF(CEILING(L1004,0.5)&lt;1,1,CEILING(L1004,0.5)),'배송비 조회'!A$32:AY$36,2,0),-2)</f>
        <v>#REF!</v>
      </c>
      <c r="R1004" s="232">
        <v>0</v>
      </c>
      <c r="S1004" s="231" t="str">
        <f t="shared" ca="1" si="250"/>
        <v>#REF!</v>
      </c>
      <c r="T1004" s="231" t="str">
        <f t="shared" ca="1" si="200"/>
        <v>#REF!</v>
      </c>
      <c r="U1004" s="233" t="str">
        <f t="shared" ca="1" si="142"/>
        <v>#REF!</v>
      </c>
      <c r="V1004" s="233" t="str">
        <f t="shared" ca="1" si="7"/>
        <v>#REF!</v>
      </c>
      <c r="W1004" s="234">
        <v>0</v>
      </c>
      <c r="X1004" s="234" t="str">
        <f t="shared" ca="1" si="8"/>
        <v>#REF!</v>
      </c>
      <c r="Y1004" s="234" t="str">
        <f t="shared" ca="1" si="9"/>
        <v>#REF!</v>
      </c>
      <c r="Z1004" s="234" t="str">
        <f t="shared" ca="1" si="10"/>
        <v>#REF!</v>
      </c>
      <c r="AA1004" s="234" t="str">
        <f t="shared" ca="1" si="11"/>
        <v>#REF!</v>
      </c>
      <c r="AB1004" s="234" t="str">
        <f t="shared" ca="1" si="12"/>
        <v>#REF!</v>
      </c>
      <c r="AC1004" s="234" t="str">
        <f t="shared" ca="1" si="13"/>
        <v>#REF!</v>
      </c>
      <c r="AD1004" s="101" t="str">
        <f t="shared" ca="1" si="14"/>
        <v>#REF!</v>
      </c>
      <c r="AE1004" s="101" t="str">
        <f t="shared" ca="1" si="15"/>
        <v>#REF!</v>
      </c>
      <c r="AF1004" s="235" t="str">
        <f t="shared" ref="AF1004:AG1004" ca="1" si="1081">AD1004/U1004</f>
        <v>#REF!</v>
      </c>
      <c r="AG1004" s="235" t="str">
        <f t="shared" ca="1" si="1081"/>
        <v>#REF!</v>
      </c>
      <c r="AH1004" s="212"/>
      <c r="AI1004" s="213"/>
      <c r="AJ1004" s="4"/>
      <c r="AK1004" s="4"/>
      <c r="AL1004" s="4"/>
      <c r="AM1004" s="4"/>
      <c r="AN1004" s="4"/>
      <c r="AO1004" s="4"/>
      <c r="AP1004" s="4"/>
      <c r="AQ1004" s="4"/>
      <c r="AR1004" s="4"/>
      <c r="AS1004" s="4"/>
      <c r="AT1004" s="4"/>
      <c r="AU1004" s="4"/>
    </row>
    <row r="1005" spans="1:47" ht="13.2">
      <c r="A1005" s="120"/>
      <c r="B1005" s="113"/>
      <c r="C1005" s="117"/>
      <c r="D1005" s="117"/>
      <c r="E1005" s="117"/>
      <c r="F1005" s="123"/>
      <c r="G1005" s="93" t="s">
        <v>145</v>
      </c>
      <c r="H1005" s="125"/>
      <c r="I1005" s="125"/>
      <c r="J1005" s="82" t="str">
        <f t="shared" ca="1" si="147"/>
        <v>#REF!</v>
      </c>
      <c r="K1005" s="82" t="str">
        <f t="shared" ca="1" si="256"/>
        <v>#REF!</v>
      </c>
      <c r="L1005" s="82" t="str">
        <f t="shared" ca="1" si="199"/>
        <v>#REF!</v>
      </c>
      <c r="M1005" s="125"/>
      <c r="N1005" s="125"/>
      <c r="O1005" s="230">
        <f t="shared" si="2"/>
        <v>0</v>
      </c>
      <c r="P1005" s="231">
        <f t="shared" si="3"/>
        <v>0</v>
      </c>
      <c r="Q1005" s="232" t="str">
        <f ca="1">ROUNDUP(HLOOKUP(IF(CEILING(L1005,0.5)&lt;1,1,CEILING(L1005,0.5)),'배송비 조회'!A$32:AY$36,2,0),-2)</f>
        <v>#REF!</v>
      </c>
      <c r="R1005" s="232">
        <v>0</v>
      </c>
      <c r="S1005" s="231" t="str">
        <f t="shared" ca="1" si="250"/>
        <v>#REF!</v>
      </c>
      <c r="T1005" s="231" t="str">
        <f t="shared" ca="1" si="200"/>
        <v>#REF!</v>
      </c>
      <c r="U1005" s="233" t="str">
        <f t="shared" ca="1" si="142"/>
        <v>#REF!</v>
      </c>
      <c r="V1005" s="233" t="str">
        <f t="shared" ca="1" si="7"/>
        <v>#REF!</v>
      </c>
      <c r="W1005" s="234">
        <v>0</v>
      </c>
      <c r="X1005" s="234" t="str">
        <f t="shared" ca="1" si="8"/>
        <v>#REF!</v>
      </c>
      <c r="Y1005" s="234" t="str">
        <f t="shared" ca="1" si="9"/>
        <v>#REF!</v>
      </c>
      <c r="Z1005" s="234" t="str">
        <f t="shared" ca="1" si="10"/>
        <v>#REF!</v>
      </c>
      <c r="AA1005" s="234" t="str">
        <f t="shared" ca="1" si="11"/>
        <v>#REF!</v>
      </c>
      <c r="AB1005" s="234" t="str">
        <f t="shared" ca="1" si="12"/>
        <v>#REF!</v>
      </c>
      <c r="AC1005" s="234" t="str">
        <f t="shared" ca="1" si="13"/>
        <v>#REF!</v>
      </c>
      <c r="AD1005" s="101" t="str">
        <f t="shared" ca="1" si="14"/>
        <v>#REF!</v>
      </c>
      <c r="AE1005" s="101" t="str">
        <f t="shared" ca="1" si="15"/>
        <v>#REF!</v>
      </c>
      <c r="AF1005" s="235" t="str">
        <f t="shared" ref="AF1005:AG1005" ca="1" si="1082">AD1005/U1005</f>
        <v>#REF!</v>
      </c>
      <c r="AG1005" s="235" t="str">
        <f t="shared" ca="1" si="1082"/>
        <v>#REF!</v>
      </c>
      <c r="AH1005" s="212"/>
      <c r="AI1005" s="213"/>
      <c r="AJ1005" s="4"/>
      <c r="AK1005" s="4"/>
      <c r="AL1005" s="4"/>
      <c r="AM1005" s="4"/>
      <c r="AN1005" s="4"/>
      <c r="AO1005" s="4"/>
      <c r="AP1005" s="4"/>
      <c r="AQ1005" s="4"/>
      <c r="AR1005" s="4"/>
      <c r="AS1005" s="4"/>
      <c r="AT1005" s="4"/>
      <c r="AU1005" s="4"/>
    </row>
    <row r="1006" spans="1:47" ht="13.2">
      <c r="A1006" s="120"/>
      <c r="B1006" s="113"/>
      <c r="C1006" s="117"/>
      <c r="D1006" s="117"/>
      <c r="E1006" s="117"/>
      <c r="F1006" s="123"/>
      <c r="G1006" s="93" t="s">
        <v>145</v>
      </c>
      <c r="H1006" s="125"/>
      <c r="I1006" s="125"/>
      <c r="J1006" s="82" t="str">
        <f t="shared" ca="1" si="147"/>
        <v>#REF!</v>
      </c>
      <c r="K1006" s="82" t="str">
        <f t="shared" ca="1" si="256"/>
        <v>#REF!</v>
      </c>
      <c r="L1006" s="82" t="str">
        <f t="shared" ca="1" si="199"/>
        <v>#REF!</v>
      </c>
      <c r="M1006" s="125"/>
      <c r="N1006" s="125"/>
      <c r="O1006" s="230">
        <f t="shared" si="2"/>
        <v>0</v>
      </c>
      <c r="P1006" s="231">
        <f t="shared" si="3"/>
        <v>0</v>
      </c>
      <c r="Q1006" s="232" t="str">
        <f ca="1">ROUNDUP(HLOOKUP(IF(CEILING(L1006,0.5)&lt;1,1,CEILING(L1006,0.5)),'배송비 조회'!A$32:AY$36,2,0),-2)</f>
        <v>#REF!</v>
      </c>
      <c r="R1006" s="232">
        <v>0</v>
      </c>
      <c r="S1006" s="231" t="str">
        <f t="shared" ca="1" si="250"/>
        <v>#REF!</v>
      </c>
      <c r="T1006" s="231" t="str">
        <f t="shared" ca="1" si="200"/>
        <v>#REF!</v>
      </c>
      <c r="U1006" s="233" t="str">
        <f t="shared" ca="1" si="142"/>
        <v>#REF!</v>
      </c>
      <c r="V1006" s="233" t="str">
        <f t="shared" ca="1" si="7"/>
        <v>#REF!</v>
      </c>
      <c r="W1006" s="234">
        <v>0</v>
      </c>
      <c r="X1006" s="234" t="str">
        <f t="shared" ca="1" si="8"/>
        <v>#REF!</v>
      </c>
      <c r="Y1006" s="234" t="str">
        <f t="shared" ca="1" si="9"/>
        <v>#REF!</v>
      </c>
      <c r="Z1006" s="234" t="str">
        <f t="shared" ca="1" si="10"/>
        <v>#REF!</v>
      </c>
      <c r="AA1006" s="234" t="str">
        <f t="shared" ca="1" si="11"/>
        <v>#REF!</v>
      </c>
      <c r="AB1006" s="234" t="str">
        <f t="shared" ca="1" si="12"/>
        <v>#REF!</v>
      </c>
      <c r="AC1006" s="234" t="str">
        <f t="shared" ca="1" si="13"/>
        <v>#REF!</v>
      </c>
      <c r="AD1006" s="101" t="str">
        <f t="shared" ca="1" si="14"/>
        <v>#REF!</v>
      </c>
      <c r="AE1006" s="101" t="str">
        <f t="shared" ca="1" si="15"/>
        <v>#REF!</v>
      </c>
      <c r="AF1006" s="235" t="str">
        <f t="shared" ref="AF1006:AG1006" ca="1" si="1083">AD1006/U1006</f>
        <v>#REF!</v>
      </c>
      <c r="AG1006" s="235" t="str">
        <f t="shared" ca="1" si="1083"/>
        <v>#REF!</v>
      </c>
      <c r="AH1006" s="212"/>
      <c r="AI1006" s="213"/>
      <c r="AJ1006" s="4"/>
      <c r="AK1006" s="4"/>
      <c r="AL1006" s="4"/>
      <c r="AM1006" s="4"/>
      <c r="AN1006" s="4"/>
      <c r="AO1006" s="4"/>
      <c r="AP1006" s="4"/>
      <c r="AQ1006" s="4"/>
      <c r="AR1006" s="4"/>
      <c r="AS1006" s="4"/>
      <c r="AT1006" s="4"/>
      <c r="AU1006" s="4"/>
    </row>
    <row r="1007" spans="1:47" ht="13.2">
      <c r="A1007" s="120"/>
      <c r="B1007" s="113"/>
      <c r="C1007" s="117"/>
      <c r="D1007" s="117"/>
      <c r="E1007" s="117"/>
      <c r="F1007" s="123"/>
      <c r="G1007" s="93" t="s">
        <v>145</v>
      </c>
      <c r="H1007" s="125"/>
      <c r="I1007" s="125"/>
      <c r="J1007" s="82" t="str">
        <f t="shared" ca="1" si="147"/>
        <v>#REF!</v>
      </c>
      <c r="K1007" s="82" t="str">
        <f t="shared" ca="1" si="256"/>
        <v>#REF!</v>
      </c>
      <c r="L1007" s="82" t="str">
        <f t="shared" ca="1" si="199"/>
        <v>#REF!</v>
      </c>
      <c r="M1007" s="125"/>
      <c r="N1007" s="125"/>
      <c r="O1007" s="230">
        <f t="shared" si="2"/>
        <v>0</v>
      </c>
      <c r="P1007" s="231">
        <f t="shared" si="3"/>
        <v>0</v>
      </c>
      <c r="Q1007" s="232" t="str">
        <f ca="1">ROUNDUP(HLOOKUP(IF(CEILING(L1007,0.5)&lt;1,1,CEILING(L1007,0.5)),'배송비 조회'!A$32:AY$36,2,0),-2)</f>
        <v>#REF!</v>
      </c>
      <c r="R1007" s="232">
        <v>0</v>
      </c>
      <c r="S1007" s="231" t="str">
        <f t="shared" ca="1" si="250"/>
        <v>#REF!</v>
      </c>
      <c r="T1007" s="231" t="str">
        <f t="shared" ca="1" si="200"/>
        <v>#REF!</v>
      </c>
      <c r="U1007" s="233" t="str">
        <f t="shared" ca="1" si="142"/>
        <v>#REF!</v>
      </c>
      <c r="V1007" s="233" t="str">
        <f t="shared" ca="1" si="7"/>
        <v>#REF!</v>
      </c>
      <c r="W1007" s="234">
        <v>0</v>
      </c>
      <c r="X1007" s="234" t="str">
        <f t="shared" ca="1" si="8"/>
        <v>#REF!</v>
      </c>
      <c r="Y1007" s="234" t="str">
        <f t="shared" ca="1" si="9"/>
        <v>#REF!</v>
      </c>
      <c r="Z1007" s="234" t="str">
        <f t="shared" ca="1" si="10"/>
        <v>#REF!</v>
      </c>
      <c r="AA1007" s="234" t="str">
        <f t="shared" ca="1" si="11"/>
        <v>#REF!</v>
      </c>
      <c r="AB1007" s="234" t="str">
        <f t="shared" ca="1" si="12"/>
        <v>#REF!</v>
      </c>
      <c r="AC1007" s="234" t="str">
        <f t="shared" ca="1" si="13"/>
        <v>#REF!</v>
      </c>
      <c r="AD1007" s="101" t="str">
        <f t="shared" ca="1" si="14"/>
        <v>#REF!</v>
      </c>
      <c r="AE1007" s="101" t="str">
        <f t="shared" ca="1" si="15"/>
        <v>#REF!</v>
      </c>
      <c r="AF1007" s="235" t="str">
        <f t="shared" ref="AF1007:AG1007" ca="1" si="1084">AD1007/U1007</f>
        <v>#REF!</v>
      </c>
      <c r="AG1007" s="235" t="str">
        <f t="shared" ca="1" si="1084"/>
        <v>#REF!</v>
      </c>
      <c r="AH1007" s="212"/>
      <c r="AI1007" s="213"/>
      <c r="AJ1007" s="4"/>
      <c r="AK1007" s="4"/>
      <c r="AL1007" s="4"/>
      <c r="AM1007" s="4"/>
      <c r="AN1007" s="4"/>
      <c r="AO1007" s="4"/>
      <c r="AP1007" s="4"/>
      <c r="AQ1007" s="4"/>
      <c r="AR1007" s="4"/>
      <c r="AS1007" s="4"/>
      <c r="AT1007" s="4"/>
      <c r="AU1007" s="4"/>
    </row>
    <row r="1008" spans="1:47" ht="13.2">
      <c r="A1008" s="120"/>
      <c r="B1008" s="113"/>
      <c r="C1008" s="117"/>
      <c r="D1008" s="117"/>
      <c r="E1008" s="117"/>
      <c r="F1008" s="123"/>
      <c r="G1008" s="93" t="s">
        <v>145</v>
      </c>
      <c r="H1008" s="125"/>
      <c r="I1008" s="125"/>
      <c r="J1008" s="82" t="str">
        <f t="shared" ca="1" si="147"/>
        <v>#REF!</v>
      </c>
      <c r="K1008" s="82" t="str">
        <f t="shared" ca="1" si="256"/>
        <v>#REF!</v>
      </c>
      <c r="L1008" s="82" t="str">
        <f t="shared" ca="1" si="199"/>
        <v>#REF!</v>
      </c>
      <c r="M1008" s="125"/>
      <c r="N1008" s="125"/>
      <c r="O1008" s="230">
        <f t="shared" si="2"/>
        <v>0</v>
      </c>
      <c r="P1008" s="231">
        <f t="shared" si="3"/>
        <v>0</v>
      </c>
      <c r="Q1008" s="232" t="str">
        <f ca="1">ROUNDUP(HLOOKUP(IF(CEILING(L1008,0.5)&lt;1,1,CEILING(L1008,0.5)),'배송비 조회'!A$32:AY$36,2,0),-2)</f>
        <v>#REF!</v>
      </c>
      <c r="R1008" s="232">
        <v>0</v>
      </c>
      <c r="S1008" s="231" t="str">
        <f t="shared" ca="1" si="250"/>
        <v>#REF!</v>
      </c>
      <c r="T1008" s="231" t="str">
        <f t="shared" ca="1" si="200"/>
        <v>#REF!</v>
      </c>
      <c r="U1008" s="233" t="str">
        <f t="shared" ca="1" si="142"/>
        <v>#REF!</v>
      </c>
      <c r="V1008" s="233" t="str">
        <f t="shared" ca="1" si="7"/>
        <v>#REF!</v>
      </c>
      <c r="W1008" s="234">
        <v>0</v>
      </c>
      <c r="X1008" s="234" t="str">
        <f t="shared" ca="1" si="8"/>
        <v>#REF!</v>
      </c>
      <c r="Y1008" s="234" t="str">
        <f t="shared" ca="1" si="9"/>
        <v>#REF!</v>
      </c>
      <c r="Z1008" s="234" t="str">
        <f t="shared" ca="1" si="10"/>
        <v>#REF!</v>
      </c>
      <c r="AA1008" s="234" t="str">
        <f t="shared" ca="1" si="11"/>
        <v>#REF!</v>
      </c>
      <c r="AB1008" s="234" t="str">
        <f t="shared" ca="1" si="12"/>
        <v>#REF!</v>
      </c>
      <c r="AC1008" s="234" t="str">
        <f t="shared" ca="1" si="13"/>
        <v>#REF!</v>
      </c>
      <c r="AD1008" s="101" t="str">
        <f t="shared" ca="1" si="14"/>
        <v>#REF!</v>
      </c>
      <c r="AE1008" s="101" t="str">
        <f t="shared" ca="1" si="15"/>
        <v>#REF!</v>
      </c>
      <c r="AF1008" s="235" t="str">
        <f t="shared" ref="AF1008:AG1008" ca="1" si="1085">AD1008/U1008</f>
        <v>#REF!</v>
      </c>
      <c r="AG1008" s="235" t="str">
        <f t="shared" ca="1" si="1085"/>
        <v>#REF!</v>
      </c>
      <c r="AH1008" s="212"/>
      <c r="AI1008" s="213"/>
      <c r="AJ1008" s="4"/>
      <c r="AK1008" s="4"/>
      <c r="AL1008" s="4"/>
      <c r="AM1008" s="4"/>
      <c r="AN1008" s="4"/>
      <c r="AO1008" s="4"/>
      <c r="AP1008" s="4"/>
      <c r="AQ1008" s="4"/>
      <c r="AR1008" s="4"/>
      <c r="AS1008" s="4"/>
      <c r="AT1008" s="4"/>
      <c r="AU1008" s="4"/>
    </row>
    <row r="1009" spans="1:47" ht="13.2">
      <c r="A1009" s="120"/>
      <c r="B1009" s="113"/>
      <c r="C1009" s="117"/>
      <c r="D1009" s="117"/>
      <c r="E1009" s="117"/>
      <c r="F1009" s="123"/>
      <c r="G1009" s="93" t="s">
        <v>145</v>
      </c>
      <c r="H1009" s="125"/>
      <c r="I1009" s="125"/>
      <c r="J1009" s="82" t="str">
        <f t="shared" ca="1" si="147"/>
        <v>#REF!</v>
      </c>
      <c r="K1009" s="82" t="str">
        <f t="shared" ca="1" si="256"/>
        <v>#REF!</v>
      </c>
      <c r="L1009" s="82" t="str">
        <f t="shared" ca="1" si="199"/>
        <v>#REF!</v>
      </c>
      <c r="M1009" s="125"/>
      <c r="N1009" s="125"/>
      <c r="O1009" s="230">
        <f t="shared" si="2"/>
        <v>0</v>
      </c>
      <c r="P1009" s="231">
        <f t="shared" si="3"/>
        <v>0</v>
      </c>
      <c r="Q1009" s="232" t="str">
        <f ca="1">ROUNDUP(HLOOKUP(IF(CEILING(L1009,0.5)&lt;1,1,CEILING(L1009,0.5)),'배송비 조회'!A$32:AY$36,2,0),-2)</f>
        <v>#REF!</v>
      </c>
      <c r="R1009" s="232">
        <v>0</v>
      </c>
      <c r="S1009" s="231" t="str">
        <f t="shared" ca="1" si="250"/>
        <v>#REF!</v>
      </c>
      <c r="T1009" s="231" t="str">
        <f t="shared" ca="1" si="200"/>
        <v>#REF!</v>
      </c>
      <c r="U1009" s="233" t="str">
        <f t="shared" ca="1" si="142"/>
        <v>#REF!</v>
      </c>
      <c r="V1009" s="233" t="str">
        <f t="shared" ca="1" si="7"/>
        <v>#REF!</v>
      </c>
      <c r="W1009" s="234">
        <v>0</v>
      </c>
      <c r="X1009" s="234" t="str">
        <f t="shared" ca="1" si="8"/>
        <v>#REF!</v>
      </c>
      <c r="Y1009" s="234" t="str">
        <f t="shared" ca="1" si="9"/>
        <v>#REF!</v>
      </c>
      <c r="Z1009" s="234" t="str">
        <f t="shared" ca="1" si="10"/>
        <v>#REF!</v>
      </c>
      <c r="AA1009" s="234" t="str">
        <f t="shared" ca="1" si="11"/>
        <v>#REF!</v>
      </c>
      <c r="AB1009" s="234" t="str">
        <f t="shared" ca="1" si="12"/>
        <v>#REF!</v>
      </c>
      <c r="AC1009" s="234" t="str">
        <f t="shared" ca="1" si="13"/>
        <v>#REF!</v>
      </c>
      <c r="AD1009" s="101" t="str">
        <f t="shared" ca="1" si="14"/>
        <v>#REF!</v>
      </c>
      <c r="AE1009" s="101" t="str">
        <f t="shared" ca="1" si="15"/>
        <v>#REF!</v>
      </c>
      <c r="AF1009" s="235" t="str">
        <f t="shared" ref="AF1009:AG1009" ca="1" si="1086">AD1009/U1009</f>
        <v>#REF!</v>
      </c>
      <c r="AG1009" s="235" t="str">
        <f t="shared" ca="1" si="1086"/>
        <v>#REF!</v>
      </c>
      <c r="AH1009" s="212"/>
      <c r="AI1009" s="213"/>
      <c r="AJ1009" s="4"/>
      <c r="AK1009" s="4"/>
      <c r="AL1009" s="4"/>
      <c r="AM1009" s="4"/>
      <c r="AN1009" s="4"/>
      <c r="AO1009" s="4"/>
      <c r="AP1009" s="4"/>
      <c r="AQ1009" s="4"/>
      <c r="AR1009" s="4"/>
      <c r="AS1009" s="4"/>
      <c r="AT1009" s="4"/>
      <c r="AU1009" s="4"/>
    </row>
  </sheetData>
  <autoFilter ref="A2:AU1009" xr:uid="{7C01F214-301F-424F-87B1-C98BE8EF239F}">
    <filterColumn colId="6" showButton="0"/>
  </autoFilter>
  <mergeCells count="157">
    <mergeCell ref="W1:Z1"/>
    <mergeCell ref="AA1:AB1"/>
    <mergeCell ref="AC1:AC2"/>
    <mergeCell ref="AD1:AE1"/>
    <mergeCell ref="AF1:AG1"/>
    <mergeCell ref="N1:N2"/>
    <mergeCell ref="O1:O2"/>
    <mergeCell ref="P1:P2"/>
    <mergeCell ref="Q1:Q2"/>
    <mergeCell ref="R1:R2"/>
    <mergeCell ref="S1:T1"/>
    <mergeCell ref="U1:V1"/>
    <mergeCell ref="A1:B1"/>
    <mergeCell ref="C1:D1"/>
    <mergeCell ref="E1:E2"/>
    <mergeCell ref="F1:F2"/>
    <mergeCell ref="G1:H2"/>
    <mergeCell ref="I1:I2"/>
    <mergeCell ref="M1:M2"/>
    <mergeCell ref="A3:B3"/>
    <mergeCell ref="A4:B4"/>
    <mergeCell ref="A5:A8"/>
    <mergeCell ref="B5:B8"/>
    <mergeCell ref="C5:C8"/>
    <mergeCell ref="E5:E8"/>
    <mergeCell ref="A9:A11"/>
    <mergeCell ref="B9:B11"/>
    <mergeCell ref="C9:C11"/>
    <mergeCell ref="A12:A13"/>
    <mergeCell ref="B12:B13"/>
    <mergeCell ref="C12:C13"/>
    <mergeCell ref="E9:E11"/>
    <mergeCell ref="E12:E13"/>
    <mergeCell ref="B14:B15"/>
    <mergeCell ref="C14:C15"/>
    <mergeCell ref="A33:A34"/>
    <mergeCell ref="A36:A38"/>
    <mergeCell ref="B36:B38"/>
    <mergeCell ref="C36:C38"/>
    <mergeCell ref="D36:D38"/>
    <mergeCell ref="E33:E34"/>
    <mergeCell ref="E36:E38"/>
    <mergeCell ref="E14:E15"/>
    <mergeCell ref="E16:E21"/>
    <mergeCell ref="E22:E23"/>
    <mergeCell ref="E25:E26"/>
    <mergeCell ref="E27:E28"/>
    <mergeCell ref="A14:A15"/>
    <mergeCell ref="A16:A21"/>
    <mergeCell ref="B16:B21"/>
    <mergeCell ref="C16:C21"/>
    <mergeCell ref="A22:A23"/>
    <mergeCell ref="B22:B23"/>
    <mergeCell ref="C22:C23"/>
    <mergeCell ref="A25:A26"/>
    <mergeCell ref="B25:B26"/>
    <mergeCell ref="C25:C26"/>
    <mergeCell ref="A27:A28"/>
    <mergeCell ref="B27:B28"/>
    <mergeCell ref="C27:C28"/>
    <mergeCell ref="C33:C34"/>
    <mergeCell ref="A39:A40"/>
    <mergeCell ref="B39:B40"/>
    <mergeCell ref="C39:C40"/>
    <mergeCell ref="D39:D40"/>
    <mergeCell ref="E39:E40"/>
    <mergeCell ref="D59:D60"/>
    <mergeCell ref="E59:E60"/>
    <mergeCell ref="A61:A62"/>
    <mergeCell ref="B61:B62"/>
    <mergeCell ref="C61:C62"/>
    <mergeCell ref="D61:D62"/>
    <mergeCell ref="E61:E62"/>
    <mergeCell ref="B41:B46"/>
    <mergeCell ref="E41:E46"/>
    <mergeCell ref="C57:C58"/>
    <mergeCell ref="D57:D58"/>
    <mergeCell ref="E57:E58"/>
    <mergeCell ref="C41:C46"/>
    <mergeCell ref="D41:D46"/>
    <mergeCell ref="C49:C51"/>
    <mergeCell ref="D49:D51"/>
    <mergeCell ref="E49:E51"/>
    <mergeCell ref="C52:C54"/>
    <mergeCell ref="D52:D54"/>
    <mergeCell ref="A41:A46"/>
    <mergeCell ref="A49:A51"/>
    <mergeCell ref="B49:B51"/>
    <mergeCell ref="A52:A54"/>
    <mergeCell ref="B52:B54"/>
    <mergeCell ref="E134:E137"/>
    <mergeCell ref="A128:A131"/>
    <mergeCell ref="C128:C131"/>
    <mergeCell ref="D128:D131"/>
    <mergeCell ref="A132:A133"/>
    <mergeCell ref="C132:C133"/>
    <mergeCell ref="D132:D133"/>
    <mergeCell ref="D134:D137"/>
    <mergeCell ref="A134:A137"/>
    <mergeCell ref="A57:A58"/>
    <mergeCell ref="B57:B58"/>
    <mergeCell ref="C85:C86"/>
    <mergeCell ref="C147:C149"/>
    <mergeCell ref="B134:B137"/>
    <mergeCell ref="C134:C137"/>
    <mergeCell ref="C101:C124"/>
    <mergeCell ref="C125:C126"/>
    <mergeCell ref="B93:B94"/>
    <mergeCell ref="C93:C94"/>
    <mergeCell ref="A97:A100"/>
    <mergeCell ref="C97:C100"/>
    <mergeCell ref="A101:A124"/>
    <mergeCell ref="B101:B124"/>
    <mergeCell ref="A125:A126"/>
    <mergeCell ref="A59:A60"/>
    <mergeCell ref="B59:B60"/>
    <mergeCell ref="C59:C60"/>
    <mergeCell ref="A63:A84"/>
    <mergeCell ref="B63:B84"/>
    <mergeCell ref="C64:C84"/>
    <mergeCell ref="D64:D84"/>
    <mergeCell ref="E64:E84"/>
    <mergeCell ref="B85:B86"/>
    <mergeCell ref="E85:E86"/>
    <mergeCell ref="D93:D94"/>
    <mergeCell ref="E93:E94"/>
    <mergeCell ref="A85:A86"/>
    <mergeCell ref="A88:A90"/>
    <mergeCell ref="B88:B90"/>
    <mergeCell ref="C88:C90"/>
    <mergeCell ref="D88:D90"/>
    <mergeCell ref="E88:E90"/>
    <mergeCell ref="A93:A94"/>
    <mergeCell ref="D101:D124"/>
    <mergeCell ref="E101:E124"/>
    <mergeCell ref="G101:G124"/>
    <mergeCell ref="D125:D126"/>
    <mergeCell ref="A155:A158"/>
    <mergeCell ref="C155:C158"/>
    <mergeCell ref="G161:G170"/>
    <mergeCell ref="G176:G179"/>
    <mergeCell ref="D85:D86"/>
    <mergeCell ref="A139:A140"/>
    <mergeCell ref="C139:C140"/>
    <mergeCell ref="A141:A145"/>
    <mergeCell ref="C141:C145"/>
    <mergeCell ref="A147:A149"/>
    <mergeCell ref="A150:A154"/>
    <mergeCell ref="C150:C154"/>
    <mergeCell ref="A161:A170"/>
    <mergeCell ref="C161:C170"/>
    <mergeCell ref="A171:A172"/>
    <mergeCell ref="C171:C172"/>
    <mergeCell ref="A173:A174"/>
    <mergeCell ref="C173:C174"/>
    <mergeCell ref="C176:C179"/>
    <mergeCell ref="A176:A179"/>
  </mergeCells>
  <phoneticPr fontId="60" type="noConversion"/>
  <hyperlinks>
    <hyperlink ref="G96" location="중국!G96" display="A" xr:uid="{00000000-0004-0000-0100-000000000000}"/>
    <hyperlink ref="G24" r:id="rId1" xr:uid="{90CB819E-29E6-4437-95DD-57E8C6BE4C90}"/>
    <hyperlink ref="G56" r:id="rId2" xr:uid="{895D0980-0794-4741-9E66-C6F4E8857D18}"/>
  </hyperlinks>
  <pageMargins left="0.7" right="0.7" top="0.75" bottom="0.75" header="0.3" footer="0.3"/>
  <pageSetup orientation="portrait"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U994"/>
  <sheetViews>
    <sheetView workbookViewId="0">
      <pane ySplit="2" topLeftCell="A3" activePane="bottomLeft" state="frozen"/>
      <selection pane="bottomLeft" activeCell="N28" sqref="N28"/>
    </sheetView>
  </sheetViews>
  <sheetFormatPr defaultColWidth="14.44140625" defaultRowHeight="15.75" customHeight="1" outlineLevelCol="1"/>
  <cols>
    <col min="1" max="2" width="10.88671875" style="129" customWidth="1"/>
    <col min="3" max="4" width="14.44140625" style="129" customWidth="1"/>
    <col min="5" max="8" width="8.6640625" style="129" customWidth="1"/>
    <col min="9" max="9" width="8.6640625" style="129" customWidth="1" collapsed="1"/>
    <col min="10" max="12" width="8.6640625" style="129" hidden="1" customWidth="1" outlineLevel="1"/>
    <col min="13" max="23" width="8.6640625" style="129" customWidth="1"/>
    <col min="24" max="30" width="8.6640625" style="129" customWidth="1" outlineLevel="1"/>
    <col min="31" max="34" width="8.6640625" style="129" customWidth="1"/>
    <col min="35" max="35" width="14.44140625" style="129"/>
  </cols>
  <sheetData>
    <row r="1" spans="1:47" ht="18.75" customHeight="1">
      <c r="A1" s="318" t="s">
        <v>0</v>
      </c>
      <c r="B1" s="302"/>
      <c r="C1" s="318" t="s">
        <v>1</v>
      </c>
      <c r="D1" s="302"/>
      <c r="E1" s="318" t="s">
        <v>2</v>
      </c>
      <c r="F1" s="318" t="s">
        <v>3</v>
      </c>
      <c r="G1" s="318" t="s">
        <v>4</v>
      </c>
      <c r="H1" s="302"/>
      <c r="I1" s="318" t="s">
        <v>5</v>
      </c>
      <c r="J1" s="318" t="s">
        <v>6</v>
      </c>
      <c r="K1" s="302"/>
      <c r="L1" s="302"/>
      <c r="M1" s="318" t="s">
        <v>7</v>
      </c>
      <c r="N1" s="318" t="s">
        <v>8</v>
      </c>
      <c r="O1" s="318" t="s">
        <v>9</v>
      </c>
      <c r="P1" s="324" t="s">
        <v>10</v>
      </c>
      <c r="Q1" s="324" t="s">
        <v>12</v>
      </c>
      <c r="R1" s="324" t="s">
        <v>8</v>
      </c>
      <c r="S1" s="324" t="s">
        <v>13</v>
      </c>
      <c r="T1" s="324" t="s">
        <v>14</v>
      </c>
      <c r="U1" s="302"/>
      <c r="V1" s="324" t="s">
        <v>15</v>
      </c>
      <c r="W1" s="302"/>
      <c r="X1" s="324" t="s">
        <v>16</v>
      </c>
      <c r="Y1" s="302"/>
      <c r="Z1" s="302"/>
      <c r="AA1" s="302"/>
      <c r="AB1" s="324" t="s">
        <v>17</v>
      </c>
      <c r="AC1" s="302"/>
      <c r="AD1" s="71"/>
      <c r="AE1" s="324" t="s">
        <v>18</v>
      </c>
      <c r="AF1" s="302"/>
      <c r="AG1" s="325" t="s">
        <v>19</v>
      </c>
      <c r="AH1" s="302"/>
      <c r="AI1" s="73"/>
      <c r="AJ1" s="1"/>
      <c r="AK1" s="2"/>
      <c r="AL1" s="2"/>
      <c r="AM1" s="2"/>
      <c r="AN1" s="2"/>
      <c r="AO1" s="2"/>
      <c r="AP1" s="2"/>
      <c r="AQ1" s="2"/>
      <c r="AR1" s="2"/>
      <c r="AS1" s="2"/>
      <c r="AT1" s="2"/>
      <c r="AU1" s="2"/>
    </row>
    <row r="2" spans="1:47" ht="18.75" customHeight="1">
      <c r="A2" s="74" t="s">
        <v>21</v>
      </c>
      <c r="B2" s="74" t="s">
        <v>22</v>
      </c>
      <c r="C2" s="74" t="s">
        <v>21</v>
      </c>
      <c r="D2" s="74" t="s">
        <v>22</v>
      </c>
      <c r="E2" s="302"/>
      <c r="F2" s="302"/>
      <c r="G2" s="302"/>
      <c r="H2" s="302"/>
      <c r="I2" s="302"/>
      <c r="J2" s="74" t="s">
        <v>23</v>
      </c>
      <c r="K2" s="74" t="s">
        <v>24</v>
      </c>
      <c r="L2" s="74" t="s">
        <v>25</v>
      </c>
      <c r="M2" s="302"/>
      <c r="N2" s="302"/>
      <c r="O2" s="302"/>
      <c r="P2" s="302"/>
      <c r="Q2" s="302"/>
      <c r="R2" s="302"/>
      <c r="S2" s="302"/>
      <c r="T2" s="71" t="s">
        <v>21</v>
      </c>
      <c r="U2" s="71" t="s">
        <v>22</v>
      </c>
      <c r="V2" s="71" t="s">
        <v>21</v>
      </c>
      <c r="W2" s="71" t="s">
        <v>22</v>
      </c>
      <c r="X2" s="71" t="s">
        <v>26</v>
      </c>
      <c r="Y2" s="71" t="s">
        <v>27</v>
      </c>
      <c r="Z2" s="71" t="s">
        <v>28</v>
      </c>
      <c r="AA2" s="71" t="s">
        <v>29</v>
      </c>
      <c r="AB2" s="71" t="s">
        <v>21</v>
      </c>
      <c r="AC2" s="71" t="s">
        <v>22</v>
      </c>
      <c r="AD2" s="71" t="s">
        <v>30</v>
      </c>
      <c r="AE2" s="71" t="s">
        <v>21</v>
      </c>
      <c r="AF2" s="71" t="s">
        <v>22</v>
      </c>
      <c r="AG2" s="75" t="s">
        <v>21</v>
      </c>
      <c r="AH2" s="75" t="s">
        <v>22</v>
      </c>
      <c r="AI2" s="244" t="s">
        <v>31</v>
      </c>
      <c r="AJ2" s="2"/>
      <c r="AK2" s="2"/>
      <c r="AL2" s="2"/>
      <c r="AM2" s="2"/>
      <c r="AN2" s="2"/>
      <c r="AO2" s="2"/>
      <c r="AP2" s="2"/>
      <c r="AQ2" s="2"/>
      <c r="AR2" s="2"/>
      <c r="AS2" s="2"/>
      <c r="AT2" s="2"/>
      <c r="AU2" s="2"/>
    </row>
    <row r="3" spans="1:47" ht="13.2">
      <c r="A3" s="78" t="s">
        <v>32</v>
      </c>
      <c r="B3" s="78">
        <v>1350</v>
      </c>
      <c r="C3" s="79"/>
      <c r="D3" s="79"/>
      <c r="E3" s="227"/>
      <c r="F3" s="227"/>
      <c r="G3" s="78"/>
      <c r="H3" s="245"/>
      <c r="I3" s="245"/>
      <c r="J3" s="245"/>
      <c r="K3" s="78"/>
      <c r="L3" s="78"/>
      <c r="M3" s="246"/>
      <c r="N3" s="247"/>
      <c r="O3" s="247"/>
      <c r="P3" s="247"/>
      <c r="Q3" s="247"/>
      <c r="R3" s="247"/>
      <c r="S3" s="248"/>
      <c r="T3" s="248"/>
      <c r="U3" s="248"/>
      <c r="V3" s="247"/>
      <c r="W3" s="247"/>
      <c r="X3" s="249"/>
      <c r="Y3" s="88"/>
      <c r="Z3" s="88"/>
      <c r="AA3" s="88"/>
      <c r="AB3" s="88"/>
      <c r="AC3" s="88"/>
      <c r="AD3" s="88"/>
      <c r="AE3" s="88"/>
      <c r="AF3" s="88"/>
      <c r="AG3" s="88"/>
      <c r="AH3" s="88"/>
      <c r="AI3" s="88"/>
      <c r="AJ3" s="5"/>
      <c r="AK3" s="5"/>
      <c r="AL3" s="5"/>
      <c r="AM3" s="5"/>
      <c r="AN3" s="5"/>
      <c r="AO3" s="5"/>
      <c r="AP3" s="5"/>
      <c r="AQ3" s="5"/>
      <c r="AR3" s="5"/>
      <c r="AS3" s="5"/>
      <c r="AT3" s="5"/>
      <c r="AU3" s="5"/>
    </row>
    <row r="4" spans="1:47" ht="13.2">
      <c r="A4" s="250" t="str">
        <f>HYPERLINK("https://docs.google.com/document/d/1RpgD2om0PR7FJXqJuLOndrS-94tkp7Zuxa1BcWuhHlg/edit","관련 문서")</f>
        <v>관련 문서</v>
      </c>
      <c r="B4" s="251"/>
      <c r="C4" s="252"/>
      <c r="D4" s="252"/>
      <c r="E4" s="117"/>
      <c r="F4" s="117"/>
      <c r="G4" s="251"/>
      <c r="I4" s="172"/>
      <c r="J4" s="253"/>
      <c r="K4" s="253"/>
      <c r="L4" s="253"/>
      <c r="M4" s="254"/>
      <c r="N4" s="125"/>
      <c r="O4" s="173"/>
      <c r="P4" s="255"/>
      <c r="Q4" s="255"/>
      <c r="R4" s="255"/>
      <c r="S4" s="234"/>
      <c r="T4" s="256"/>
      <c r="U4" s="256"/>
      <c r="V4" s="255"/>
      <c r="W4" s="255"/>
      <c r="X4" s="234"/>
      <c r="Y4" s="213"/>
      <c r="Z4" s="213"/>
      <c r="AA4" s="213"/>
      <c r="AB4" s="213"/>
      <c r="AC4" s="213"/>
      <c r="AD4" s="213"/>
      <c r="AE4" s="213"/>
      <c r="AF4" s="213"/>
      <c r="AG4" s="213"/>
      <c r="AH4" s="213"/>
      <c r="AI4" s="213"/>
      <c r="AJ4" s="4"/>
      <c r="AK4" s="4"/>
      <c r="AL4" s="4"/>
      <c r="AM4" s="4"/>
      <c r="AN4" s="4"/>
      <c r="AO4" s="4"/>
      <c r="AP4" s="4"/>
      <c r="AQ4" s="4"/>
      <c r="AR4" s="4"/>
      <c r="AS4" s="4"/>
      <c r="AT4" s="4"/>
      <c r="AU4" s="4"/>
    </row>
    <row r="5" spans="1:47" ht="13.2">
      <c r="A5" s="301" t="str">
        <f>HYPERLINK("https://smartstore.naver.com/brickstore2019/products/4719020898","4719020898")</f>
        <v>4719020898</v>
      </c>
      <c r="B5" s="361"/>
      <c r="C5" s="307" t="s">
        <v>51</v>
      </c>
      <c r="D5" s="307"/>
      <c r="E5" s="307" t="s">
        <v>52</v>
      </c>
      <c r="F5" s="114" t="s">
        <v>53</v>
      </c>
      <c r="G5" s="124" t="str">
        <f>HYPERLINK("https://www.amazon.de/dp/B000FVBUCQ/ref=pd_rhf_ee_p_img_2?_encoding=UTF8&amp;refRID=94KM3DQHXRM8S1TBSDR6&amp;th=1","A")</f>
        <v>A</v>
      </c>
      <c r="I5" s="172">
        <v>30.26</v>
      </c>
      <c r="J5" s="82">
        <f t="shared" ref="J5:J994" si="0">IF(K5&gt;0,K5*0.0625,IF(L5&gt;0,L5*2.204623,))</f>
        <v>0.26014546974999997</v>
      </c>
      <c r="K5" s="82">
        <f t="shared" ref="K5:K994" si="1">IF(L5&gt;0,L5*35.273962,IF(J5&gt;0,J5*16,))</f>
        <v>4.1623275159999995</v>
      </c>
      <c r="L5" s="82">
        <v>0.11799999999999999</v>
      </c>
      <c r="M5" s="93">
        <v>0</v>
      </c>
      <c r="N5" s="93">
        <v>0</v>
      </c>
      <c r="O5" s="95">
        <f t="shared" ref="O5:O994" si="2">I5+N5+M5</f>
        <v>30.26</v>
      </c>
      <c r="P5" s="96">
        <f t="shared" ref="P5:P994" si="3">O5*B$3</f>
        <v>40851</v>
      </c>
      <c r="Q5" s="97">
        <f t="shared" ref="Q5:Q994" si="4">ROUND(SUM(P5), -2)</f>
        <v>40900</v>
      </c>
      <c r="R5" s="97">
        <f>ROUNDUP(HLOOKUP(IF(CEILING(L5,0.5)&lt;1,0.5,CEILING(L5,0.5)),'배송비 조회'!A$44:AO$56,7,0)*B$3,-2)</f>
        <v>14900</v>
      </c>
      <c r="S5" s="97">
        <v>0</v>
      </c>
      <c r="T5" s="97">
        <f t="shared" ref="T5:T8" si="5">ROUND((Q5+R5)*0.3,-2)</f>
        <v>16700</v>
      </c>
      <c r="U5" s="97">
        <f t="shared" ref="U5:U8" si="6">ROUND((Q5+R5)*0.4,-2)</f>
        <v>22300</v>
      </c>
      <c r="V5" s="97">
        <f t="shared" ref="V5:V994" si="7">SUM(Q5:R5)+T5</f>
        <v>72500</v>
      </c>
      <c r="W5" s="97">
        <f t="shared" ref="W5:W994" si="8">SUM(Q5:S5)+U5</f>
        <v>78100</v>
      </c>
      <c r="X5" s="121">
        <v>0</v>
      </c>
      <c r="Y5" s="121">
        <f t="shared" ref="Y5:Y994" si="9">V5*0.038</f>
        <v>2755</v>
      </c>
      <c r="Z5" s="121">
        <f t="shared" ref="Z5:Z994" si="10">V5*0.02</f>
        <v>1450</v>
      </c>
      <c r="AA5" s="99">
        <f t="shared" ref="AA5:AA994" si="11">W5*0.1</f>
        <v>7810</v>
      </c>
      <c r="AB5" s="234">
        <f t="shared" ref="AB5:AB994" si="12">V5-Y5-Z5</f>
        <v>68295</v>
      </c>
      <c r="AC5" s="257">
        <f t="shared" ref="AC5:AC994" si="13">W5-AA5</f>
        <v>70290</v>
      </c>
      <c r="AD5" s="234">
        <f t="shared" ref="AD5:AD994" si="14">AB5*0.01</f>
        <v>682.95</v>
      </c>
      <c r="AE5" s="100">
        <f t="shared" ref="AE5:AE994" si="15">AB5-Q5-AD5-R5</f>
        <v>11812.05</v>
      </c>
      <c r="AF5" s="101">
        <f t="shared" ref="AF5:AF994" si="16">AC5-Q5-AD5-R5</f>
        <v>13807.05</v>
      </c>
      <c r="AG5" s="102">
        <f t="shared" ref="AG5:AH5" si="17">AE5/V5</f>
        <v>0.16292482758620688</v>
      </c>
      <c r="AH5" s="102">
        <f t="shared" si="17"/>
        <v>0.17678681177976951</v>
      </c>
      <c r="AI5" s="104"/>
      <c r="AJ5" s="17"/>
      <c r="AK5" s="17"/>
      <c r="AL5" s="17"/>
      <c r="AM5" s="17"/>
      <c r="AN5" s="17"/>
      <c r="AO5" s="17"/>
      <c r="AP5" s="17"/>
      <c r="AQ5" s="17"/>
      <c r="AR5" s="17"/>
      <c r="AS5" s="17"/>
      <c r="AT5" s="17"/>
      <c r="AU5" s="17"/>
    </row>
    <row r="6" spans="1:47" ht="13.2">
      <c r="A6" s="302"/>
      <c r="B6" s="302"/>
      <c r="C6" s="302"/>
      <c r="D6" s="302"/>
      <c r="E6" s="302"/>
      <c r="F6" s="252" t="s">
        <v>55</v>
      </c>
      <c r="G6" s="124" t="str">
        <f>HYPERLINK("https://www.amazon.de/dp/B000FVBUC6/ref=pd_rhf_ee_p_img_2?_encoding=UTF8&amp;refRID=94KM3DQHXRM8S1TBSDR6&amp;th=1","A")</f>
        <v>A</v>
      </c>
      <c r="I6" s="172">
        <v>37.49</v>
      </c>
      <c r="J6" s="82">
        <f t="shared" si="0"/>
        <v>0.26014546974999997</v>
      </c>
      <c r="K6" s="82">
        <f t="shared" si="1"/>
        <v>4.1623275159999995</v>
      </c>
      <c r="L6" s="82">
        <v>0.11799999999999999</v>
      </c>
      <c r="M6" s="93">
        <v>0</v>
      </c>
      <c r="N6" s="93">
        <v>0</v>
      </c>
      <c r="O6" s="95">
        <f t="shared" si="2"/>
        <v>37.49</v>
      </c>
      <c r="P6" s="96">
        <f t="shared" si="3"/>
        <v>50611.5</v>
      </c>
      <c r="Q6" s="97">
        <f t="shared" si="4"/>
        <v>50600</v>
      </c>
      <c r="R6" s="97">
        <f>ROUNDUP(HLOOKUP(IF(CEILING(L6,0.5)&lt;1,0.5,CEILING(L6,0.5)),'배송비 조회'!A$44:AO$56,7,0)*B$3,-2)</f>
        <v>14900</v>
      </c>
      <c r="S6" s="97">
        <v>0</v>
      </c>
      <c r="T6" s="97">
        <f t="shared" si="5"/>
        <v>19700</v>
      </c>
      <c r="U6" s="97">
        <f t="shared" si="6"/>
        <v>26200</v>
      </c>
      <c r="V6" s="97">
        <f t="shared" si="7"/>
        <v>85200</v>
      </c>
      <c r="W6" s="97">
        <f t="shared" si="8"/>
        <v>91700</v>
      </c>
      <c r="X6" s="121">
        <v>0</v>
      </c>
      <c r="Y6" s="121">
        <f t="shared" si="9"/>
        <v>3237.6</v>
      </c>
      <c r="Z6" s="121">
        <f t="shared" si="10"/>
        <v>1704</v>
      </c>
      <c r="AA6" s="99">
        <f t="shared" si="11"/>
        <v>9170</v>
      </c>
      <c r="AB6" s="234">
        <f t="shared" si="12"/>
        <v>80258.399999999994</v>
      </c>
      <c r="AC6" s="257">
        <f t="shared" si="13"/>
        <v>82530</v>
      </c>
      <c r="AD6" s="234">
        <f t="shared" si="14"/>
        <v>802.58399999999995</v>
      </c>
      <c r="AE6" s="100">
        <f t="shared" si="15"/>
        <v>13955.815999999995</v>
      </c>
      <c r="AF6" s="101">
        <f t="shared" si="16"/>
        <v>16227.416000000001</v>
      </c>
      <c r="AG6" s="102">
        <f t="shared" ref="AG6:AH6" si="18">AE6/V6</f>
        <v>0.16380065727699525</v>
      </c>
      <c r="AH6" s="102">
        <f t="shared" si="18"/>
        <v>0.17696200654307526</v>
      </c>
    </row>
    <row r="7" spans="1:47" ht="13.2">
      <c r="A7" s="302"/>
      <c r="B7" s="302"/>
      <c r="C7" s="302"/>
      <c r="D7" s="302"/>
      <c r="E7" s="302"/>
      <c r="F7" s="252" t="s">
        <v>58</v>
      </c>
      <c r="G7" s="124" t="str">
        <f>HYPERLINK("https://www.amazon.de/dp/B000FV8FR4/ref=pd_rhf_ee_p_img_2?_encoding=UTF8&amp;refRID=94KM3DQHXRM8S1TBSDR6&amp;th=1","A")</f>
        <v>A</v>
      </c>
      <c r="I7" s="172">
        <v>32.53</v>
      </c>
      <c r="J7" s="82">
        <f t="shared" si="0"/>
        <v>0.26014546974999997</v>
      </c>
      <c r="K7" s="82">
        <f t="shared" si="1"/>
        <v>4.1623275159999995</v>
      </c>
      <c r="L7" s="82">
        <v>0.11799999999999999</v>
      </c>
      <c r="M7" s="93">
        <v>0</v>
      </c>
      <c r="N7" s="93">
        <v>0</v>
      </c>
      <c r="O7" s="95">
        <f t="shared" si="2"/>
        <v>32.53</v>
      </c>
      <c r="P7" s="96">
        <f t="shared" si="3"/>
        <v>43915.5</v>
      </c>
      <c r="Q7" s="97">
        <f t="shared" si="4"/>
        <v>43900</v>
      </c>
      <c r="R7" s="97">
        <f>ROUNDUP(HLOOKUP(IF(CEILING(L7,0.5)&lt;1,0.5,CEILING(L7,0.5)),'배송비 조회'!A$44:AO$56,7,0)*B$3,-2)</f>
        <v>14900</v>
      </c>
      <c r="S7" s="97">
        <v>0</v>
      </c>
      <c r="T7" s="97">
        <f t="shared" si="5"/>
        <v>17600</v>
      </c>
      <c r="U7" s="97">
        <f t="shared" si="6"/>
        <v>23500</v>
      </c>
      <c r="V7" s="97">
        <f t="shared" si="7"/>
        <v>76400</v>
      </c>
      <c r="W7" s="97">
        <f t="shared" si="8"/>
        <v>82300</v>
      </c>
      <c r="X7" s="121">
        <v>0</v>
      </c>
      <c r="Y7" s="121">
        <f t="shared" si="9"/>
        <v>2903.2</v>
      </c>
      <c r="Z7" s="121">
        <f t="shared" si="10"/>
        <v>1528</v>
      </c>
      <c r="AA7" s="99">
        <f t="shared" si="11"/>
        <v>8230</v>
      </c>
      <c r="AB7" s="234">
        <f t="shared" si="12"/>
        <v>71968.800000000003</v>
      </c>
      <c r="AC7" s="257">
        <f t="shared" si="13"/>
        <v>74070</v>
      </c>
      <c r="AD7" s="234">
        <f t="shared" si="14"/>
        <v>719.68799999999999</v>
      </c>
      <c r="AE7" s="100">
        <f t="shared" si="15"/>
        <v>12449.112000000005</v>
      </c>
      <c r="AF7" s="101">
        <f t="shared" si="16"/>
        <v>14550.312000000002</v>
      </c>
      <c r="AG7" s="102">
        <f t="shared" ref="AG7:AH7" si="19">AE7/V7</f>
        <v>0.16294649214659693</v>
      </c>
      <c r="AH7" s="102">
        <f t="shared" si="19"/>
        <v>0.17679601458080196</v>
      </c>
    </row>
    <row r="8" spans="1:47" ht="13.2">
      <c r="A8" s="302"/>
      <c r="B8" s="302"/>
      <c r="C8" s="302"/>
      <c r="D8" s="302"/>
      <c r="E8" s="302"/>
      <c r="F8" s="252" t="s">
        <v>61</v>
      </c>
      <c r="G8" s="124" t="str">
        <f>HYPERLINK("https://www.amazon.de/dp/B001M8APXG/ref=pd_rhf_ee_p_img_2?_encoding=UTF8&amp;refRID=94KM3DQHXRM8S1TBSDR6&amp;th=1","A")</f>
        <v>A</v>
      </c>
      <c r="I8" s="172">
        <v>36.909999999999997</v>
      </c>
      <c r="J8" s="82">
        <f t="shared" si="0"/>
        <v>0.26014546974999997</v>
      </c>
      <c r="K8" s="82">
        <f t="shared" si="1"/>
        <v>4.1623275159999995</v>
      </c>
      <c r="L8" s="82">
        <v>0.11799999999999999</v>
      </c>
      <c r="M8" s="93">
        <v>0</v>
      </c>
      <c r="N8" s="93">
        <v>0</v>
      </c>
      <c r="O8" s="95">
        <f t="shared" si="2"/>
        <v>36.909999999999997</v>
      </c>
      <c r="P8" s="96">
        <f t="shared" si="3"/>
        <v>49828.499999999993</v>
      </c>
      <c r="Q8" s="97">
        <f t="shared" si="4"/>
        <v>49800</v>
      </c>
      <c r="R8" s="97">
        <f>ROUNDUP(HLOOKUP(IF(CEILING(L8,0.5)&lt;1,0.5,CEILING(L8,0.5)),'배송비 조회'!A$44:AO$56,7,0)*B$3,-2)</f>
        <v>14900</v>
      </c>
      <c r="S8" s="97">
        <v>0</v>
      </c>
      <c r="T8" s="97">
        <f t="shared" si="5"/>
        <v>19400</v>
      </c>
      <c r="U8" s="97">
        <f t="shared" si="6"/>
        <v>25900</v>
      </c>
      <c r="V8" s="97">
        <f t="shared" si="7"/>
        <v>84100</v>
      </c>
      <c r="W8" s="97">
        <f t="shared" si="8"/>
        <v>90600</v>
      </c>
      <c r="X8" s="121">
        <v>0</v>
      </c>
      <c r="Y8" s="121">
        <f t="shared" si="9"/>
        <v>3195.7999999999997</v>
      </c>
      <c r="Z8" s="121">
        <f t="shared" si="10"/>
        <v>1682</v>
      </c>
      <c r="AA8" s="99">
        <f t="shared" si="11"/>
        <v>9060</v>
      </c>
      <c r="AB8" s="234">
        <f t="shared" si="12"/>
        <v>79222.2</v>
      </c>
      <c r="AC8" s="257">
        <f t="shared" si="13"/>
        <v>81540</v>
      </c>
      <c r="AD8" s="234">
        <f t="shared" si="14"/>
        <v>792.22199999999998</v>
      </c>
      <c r="AE8" s="100">
        <f t="shared" si="15"/>
        <v>13729.977999999996</v>
      </c>
      <c r="AF8" s="101">
        <f t="shared" si="16"/>
        <v>16047.777999999998</v>
      </c>
      <c r="AG8" s="102">
        <f t="shared" ref="AG8:AH8" si="20">AE8/V8</f>
        <v>0.16325776456599281</v>
      </c>
      <c r="AH8" s="102">
        <f t="shared" si="20"/>
        <v>0.17712779249448121</v>
      </c>
    </row>
    <row r="9" spans="1:47" ht="13.2">
      <c r="A9" s="303" t="str">
        <f>HYPERLINK("https://smartstore.naver.com/brickstore2019/products/4719087400","4719087400")</f>
        <v>4719087400</v>
      </c>
      <c r="B9" s="370"/>
      <c r="C9" s="369" t="s">
        <v>67</v>
      </c>
      <c r="D9" s="369"/>
      <c r="E9" s="307" t="s">
        <v>68</v>
      </c>
      <c r="F9" s="252" t="s">
        <v>58</v>
      </c>
      <c r="G9" s="124" t="str">
        <f>HYPERLINK("https://www.amazon.de/dp/B000FVC2NW?ref_=ast_bbp_dp&amp;th=1","A")</f>
        <v>A</v>
      </c>
      <c r="I9" s="172">
        <v>20</v>
      </c>
      <c r="J9" s="82">
        <f t="shared" si="0"/>
        <v>0.44092452500000001</v>
      </c>
      <c r="K9" s="82">
        <f t="shared" si="1"/>
        <v>7.0547924000000002</v>
      </c>
      <c r="L9" s="82">
        <v>0.2</v>
      </c>
      <c r="M9" s="93">
        <v>0</v>
      </c>
      <c r="N9" s="93">
        <v>0</v>
      </c>
      <c r="O9" s="95">
        <f t="shared" si="2"/>
        <v>20</v>
      </c>
      <c r="P9" s="96">
        <f t="shared" si="3"/>
        <v>27000</v>
      </c>
      <c r="Q9" s="97">
        <f t="shared" si="4"/>
        <v>27000</v>
      </c>
      <c r="R9" s="97">
        <f>ROUNDUP(HLOOKUP(IF(CEILING(L9,0.5)&lt;1,0.5,CEILING(L9,0.5)),'배송비 조회'!A$44:AO$56,7,0)*B$3,-2)</f>
        <v>14900</v>
      </c>
      <c r="S9" s="97">
        <v>0</v>
      </c>
      <c r="T9" s="97">
        <f t="shared" ref="T9:T13" si="21">ROUND((Q9+R9)*0.4,-2)</f>
        <v>16800</v>
      </c>
      <c r="U9" s="97">
        <f t="shared" ref="U9:U13" si="22">ROUND((Q9+R9)*0.5,-2)</f>
        <v>21000</v>
      </c>
      <c r="V9" s="97">
        <f t="shared" si="7"/>
        <v>58700</v>
      </c>
      <c r="W9" s="97">
        <f t="shared" si="8"/>
        <v>62900</v>
      </c>
      <c r="X9" s="121">
        <v>0</v>
      </c>
      <c r="Y9" s="121">
        <f t="shared" si="9"/>
        <v>2230.6</v>
      </c>
      <c r="Z9" s="121">
        <f t="shared" si="10"/>
        <v>1174</v>
      </c>
      <c r="AA9" s="99">
        <f t="shared" si="11"/>
        <v>6290</v>
      </c>
      <c r="AB9" s="234">
        <f t="shared" si="12"/>
        <v>55295.4</v>
      </c>
      <c r="AC9" s="257">
        <f t="shared" si="13"/>
        <v>56610</v>
      </c>
      <c r="AD9" s="234">
        <f t="shared" si="14"/>
        <v>552.95400000000006</v>
      </c>
      <c r="AE9" s="100">
        <f t="shared" si="15"/>
        <v>12842.446</v>
      </c>
      <c r="AF9" s="101">
        <f t="shared" si="16"/>
        <v>14157.045999999998</v>
      </c>
      <c r="AG9" s="102">
        <f t="shared" ref="AG9:AH9" si="23">AE9/V9</f>
        <v>0.21878102214650766</v>
      </c>
      <c r="AH9" s="102">
        <f t="shared" si="23"/>
        <v>0.22507227344992048</v>
      </c>
    </row>
    <row r="10" spans="1:47" ht="13.2">
      <c r="A10" s="302"/>
      <c r="B10" s="302"/>
      <c r="C10" s="302"/>
      <c r="D10" s="302"/>
      <c r="E10" s="302"/>
      <c r="F10" s="252" t="s">
        <v>70</v>
      </c>
      <c r="G10" s="124" t="str">
        <f>HYPERLINK("https://www.amazon.de/dp/B000FVAJBE?ref_=ast_bbp_dp&amp;th=1","A")</f>
        <v>A</v>
      </c>
      <c r="I10" s="172">
        <v>20</v>
      </c>
      <c r="J10" s="82">
        <f t="shared" si="0"/>
        <v>0.44092452500000001</v>
      </c>
      <c r="K10" s="82">
        <f t="shared" si="1"/>
        <v>7.0547924000000002</v>
      </c>
      <c r="L10" s="82">
        <v>0.2</v>
      </c>
      <c r="M10" s="93">
        <v>0</v>
      </c>
      <c r="N10" s="93">
        <v>0</v>
      </c>
      <c r="O10" s="95">
        <f t="shared" si="2"/>
        <v>20</v>
      </c>
      <c r="P10" s="96">
        <f t="shared" si="3"/>
        <v>27000</v>
      </c>
      <c r="Q10" s="97">
        <f t="shared" si="4"/>
        <v>27000</v>
      </c>
      <c r="R10" s="97">
        <f>ROUNDUP(HLOOKUP(IF(CEILING(L10,0.5)&lt;1,0.5,CEILING(L10,0.5)),'배송비 조회'!A$44:AO$56,7,0)*B$3,-2)</f>
        <v>14900</v>
      </c>
      <c r="S10" s="97">
        <v>0</v>
      </c>
      <c r="T10" s="97">
        <f t="shared" si="21"/>
        <v>16800</v>
      </c>
      <c r="U10" s="97">
        <f t="shared" si="22"/>
        <v>21000</v>
      </c>
      <c r="V10" s="97">
        <f t="shared" si="7"/>
        <v>58700</v>
      </c>
      <c r="W10" s="97">
        <f t="shared" si="8"/>
        <v>62900</v>
      </c>
      <c r="X10" s="121">
        <v>0</v>
      </c>
      <c r="Y10" s="121">
        <f t="shared" si="9"/>
        <v>2230.6</v>
      </c>
      <c r="Z10" s="121">
        <f t="shared" si="10"/>
        <v>1174</v>
      </c>
      <c r="AA10" s="99">
        <f t="shared" si="11"/>
        <v>6290</v>
      </c>
      <c r="AB10" s="234">
        <f t="shared" si="12"/>
        <v>55295.4</v>
      </c>
      <c r="AC10" s="257">
        <f t="shared" si="13"/>
        <v>56610</v>
      </c>
      <c r="AD10" s="234">
        <f t="shared" si="14"/>
        <v>552.95400000000006</v>
      </c>
      <c r="AE10" s="100">
        <f t="shared" si="15"/>
        <v>12842.446</v>
      </c>
      <c r="AF10" s="101">
        <f t="shared" si="16"/>
        <v>14157.045999999998</v>
      </c>
      <c r="AG10" s="102">
        <f t="shared" ref="AG10:AH10" si="24">AE10/V10</f>
        <v>0.21878102214650766</v>
      </c>
      <c r="AH10" s="102">
        <f t="shared" si="24"/>
        <v>0.22507227344992048</v>
      </c>
    </row>
    <row r="11" spans="1:47" ht="13.2">
      <c r="A11" s="302"/>
      <c r="B11" s="302"/>
      <c r="C11" s="302"/>
      <c r="D11" s="302"/>
      <c r="E11" s="302"/>
      <c r="F11" s="252" t="s">
        <v>53</v>
      </c>
      <c r="G11" s="124" t="str">
        <f>HYPERLINK("https://www.amazon.de/dp/B000FVC2OG?ref_=ast_bbp_dp&amp;th=1","A")</f>
        <v>A</v>
      </c>
      <c r="I11" s="172">
        <v>20</v>
      </c>
      <c r="J11" s="82">
        <f t="shared" si="0"/>
        <v>0.44092452500000001</v>
      </c>
      <c r="K11" s="82">
        <f t="shared" si="1"/>
        <v>7.0547924000000002</v>
      </c>
      <c r="L11" s="82">
        <v>0.2</v>
      </c>
      <c r="M11" s="93">
        <v>0</v>
      </c>
      <c r="N11" s="93">
        <v>0</v>
      </c>
      <c r="O11" s="95">
        <f t="shared" si="2"/>
        <v>20</v>
      </c>
      <c r="P11" s="96">
        <f t="shared" si="3"/>
        <v>27000</v>
      </c>
      <c r="Q11" s="97">
        <f t="shared" si="4"/>
        <v>27000</v>
      </c>
      <c r="R11" s="97">
        <f>ROUNDUP(HLOOKUP(IF(CEILING(L11,0.5)&lt;1,0.5,CEILING(L11,0.5)),'배송비 조회'!A$44:AO$56,7,0)*B$3,-2)</f>
        <v>14900</v>
      </c>
      <c r="S11" s="97">
        <v>0</v>
      </c>
      <c r="T11" s="97">
        <f t="shared" si="21"/>
        <v>16800</v>
      </c>
      <c r="U11" s="97">
        <f t="shared" si="22"/>
        <v>21000</v>
      </c>
      <c r="V11" s="97">
        <f t="shared" si="7"/>
        <v>58700</v>
      </c>
      <c r="W11" s="97">
        <f t="shared" si="8"/>
        <v>62900</v>
      </c>
      <c r="X11" s="121">
        <v>0</v>
      </c>
      <c r="Y11" s="121">
        <f t="shared" si="9"/>
        <v>2230.6</v>
      </c>
      <c r="Z11" s="121">
        <f t="shared" si="10"/>
        <v>1174</v>
      </c>
      <c r="AA11" s="99">
        <f t="shared" si="11"/>
        <v>6290</v>
      </c>
      <c r="AB11" s="234">
        <f t="shared" si="12"/>
        <v>55295.4</v>
      </c>
      <c r="AC11" s="257">
        <f t="shared" si="13"/>
        <v>56610</v>
      </c>
      <c r="AD11" s="234">
        <f t="shared" si="14"/>
        <v>552.95400000000006</v>
      </c>
      <c r="AE11" s="100">
        <f t="shared" si="15"/>
        <v>12842.446</v>
      </c>
      <c r="AF11" s="101">
        <f t="shared" si="16"/>
        <v>14157.045999999998</v>
      </c>
      <c r="AG11" s="102">
        <f t="shared" ref="AG11:AH11" si="25">AE11/V11</f>
        <v>0.21878102214650766</v>
      </c>
      <c r="AH11" s="102">
        <f t="shared" si="25"/>
        <v>0.22507227344992048</v>
      </c>
    </row>
    <row r="12" spans="1:47" ht="13.2">
      <c r="A12" s="302"/>
      <c r="B12" s="302"/>
      <c r="C12" s="302"/>
      <c r="D12" s="302"/>
      <c r="E12" s="302"/>
      <c r="F12" s="252" t="s">
        <v>77</v>
      </c>
      <c r="G12" s="124" t="str">
        <f>HYPERLINK("https://www.amazon.de/dp/B000FVE0ZU?ref_=ast_bbp_dp&amp;th=1","A")</f>
        <v>A</v>
      </c>
      <c r="I12" s="172">
        <v>20</v>
      </c>
      <c r="J12" s="82">
        <f t="shared" si="0"/>
        <v>0.44092452500000001</v>
      </c>
      <c r="K12" s="82">
        <f t="shared" si="1"/>
        <v>7.0547924000000002</v>
      </c>
      <c r="L12" s="82">
        <v>0.2</v>
      </c>
      <c r="M12" s="93">
        <v>0</v>
      </c>
      <c r="N12" s="93">
        <v>0</v>
      </c>
      <c r="O12" s="95">
        <f t="shared" si="2"/>
        <v>20</v>
      </c>
      <c r="P12" s="96">
        <f t="shared" si="3"/>
        <v>27000</v>
      </c>
      <c r="Q12" s="97">
        <f t="shared" si="4"/>
        <v>27000</v>
      </c>
      <c r="R12" s="97">
        <f>ROUNDUP(HLOOKUP(IF(CEILING(L12,0.5)&lt;1,0.5,CEILING(L12,0.5)),'배송비 조회'!A$44:AO$56,7,0)*B$3,-2)</f>
        <v>14900</v>
      </c>
      <c r="S12" s="97">
        <v>0</v>
      </c>
      <c r="T12" s="97">
        <f t="shared" si="21"/>
        <v>16800</v>
      </c>
      <c r="U12" s="97">
        <f t="shared" si="22"/>
        <v>21000</v>
      </c>
      <c r="V12" s="97">
        <f t="shared" si="7"/>
        <v>58700</v>
      </c>
      <c r="W12" s="97">
        <f t="shared" si="8"/>
        <v>62900</v>
      </c>
      <c r="X12" s="121">
        <v>0</v>
      </c>
      <c r="Y12" s="121">
        <f t="shared" si="9"/>
        <v>2230.6</v>
      </c>
      <c r="Z12" s="121">
        <f t="shared" si="10"/>
        <v>1174</v>
      </c>
      <c r="AA12" s="99">
        <f t="shared" si="11"/>
        <v>6290</v>
      </c>
      <c r="AB12" s="234">
        <f t="shared" si="12"/>
        <v>55295.4</v>
      </c>
      <c r="AC12" s="257">
        <f t="shared" si="13"/>
        <v>56610</v>
      </c>
      <c r="AD12" s="234">
        <f t="shared" si="14"/>
        <v>552.95400000000006</v>
      </c>
      <c r="AE12" s="100">
        <f t="shared" si="15"/>
        <v>12842.446</v>
      </c>
      <c r="AF12" s="101">
        <f t="shared" si="16"/>
        <v>14157.045999999998</v>
      </c>
      <c r="AG12" s="102">
        <f t="shared" ref="AG12:AH12" si="26">AE12/V12</f>
        <v>0.21878102214650766</v>
      </c>
      <c r="AH12" s="102">
        <f t="shared" si="26"/>
        <v>0.22507227344992048</v>
      </c>
    </row>
    <row r="13" spans="1:47" ht="13.2">
      <c r="A13" s="302"/>
      <c r="B13" s="302"/>
      <c r="C13" s="302"/>
      <c r="D13" s="302"/>
      <c r="E13" s="302"/>
      <c r="F13" s="252" t="s">
        <v>55</v>
      </c>
      <c r="G13" s="124" t="str">
        <f>HYPERLINK("https://www.amazon.de/dp/B002R1Y6NC?ref_=ast_bbp_dp&amp;th=1","A")</f>
        <v>A</v>
      </c>
      <c r="I13" s="172">
        <v>20</v>
      </c>
      <c r="J13" s="82">
        <f t="shared" si="0"/>
        <v>0.44092452500000001</v>
      </c>
      <c r="K13" s="82">
        <f t="shared" si="1"/>
        <v>7.0547924000000002</v>
      </c>
      <c r="L13" s="82">
        <v>0.2</v>
      </c>
      <c r="M13" s="93">
        <v>0</v>
      </c>
      <c r="N13" s="93">
        <v>0</v>
      </c>
      <c r="O13" s="95">
        <f t="shared" si="2"/>
        <v>20</v>
      </c>
      <c r="P13" s="96">
        <f t="shared" si="3"/>
        <v>27000</v>
      </c>
      <c r="Q13" s="97">
        <f t="shared" si="4"/>
        <v>27000</v>
      </c>
      <c r="R13" s="97">
        <f>ROUNDUP(HLOOKUP(IF(CEILING(L13,0.5)&lt;1,0.5,CEILING(L13,0.5)),'배송비 조회'!A$44:AO$56,7,0)*B$3,-2)</f>
        <v>14900</v>
      </c>
      <c r="S13" s="97">
        <v>0</v>
      </c>
      <c r="T13" s="97">
        <f t="shared" si="21"/>
        <v>16800</v>
      </c>
      <c r="U13" s="97">
        <f t="shared" si="22"/>
        <v>21000</v>
      </c>
      <c r="V13" s="97">
        <f t="shared" si="7"/>
        <v>58700</v>
      </c>
      <c r="W13" s="97">
        <f t="shared" si="8"/>
        <v>62900</v>
      </c>
      <c r="X13" s="121">
        <v>0</v>
      </c>
      <c r="Y13" s="121">
        <f t="shared" si="9"/>
        <v>2230.6</v>
      </c>
      <c r="Z13" s="121">
        <f t="shared" si="10"/>
        <v>1174</v>
      </c>
      <c r="AA13" s="99">
        <f t="shared" si="11"/>
        <v>6290</v>
      </c>
      <c r="AB13" s="234">
        <f t="shared" si="12"/>
        <v>55295.4</v>
      </c>
      <c r="AC13" s="257">
        <f t="shared" si="13"/>
        <v>56610</v>
      </c>
      <c r="AD13" s="234">
        <f t="shared" si="14"/>
        <v>552.95400000000006</v>
      </c>
      <c r="AE13" s="100">
        <f t="shared" si="15"/>
        <v>12842.446</v>
      </c>
      <c r="AF13" s="101">
        <f t="shared" si="16"/>
        <v>14157.045999999998</v>
      </c>
      <c r="AG13" s="102">
        <f t="shared" ref="AG13:AH13" si="27">AE13/V13</f>
        <v>0.21878102214650766</v>
      </c>
      <c r="AH13" s="102">
        <f t="shared" si="27"/>
        <v>0.22507227344992048</v>
      </c>
    </row>
    <row r="14" spans="1:47" ht="13.2">
      <c r="A14" s="303" t="str">
        <f>HYPERLINK("https://smartstore.naver.com/brickstore2019/products/4720096437","4720096437")</f>
        <v>4720096437</v>
      </c>
      <c r="B14" s="370"/>
      <c r="C14" s="371" t="s">
        <v>86</v>
      </c>
      <c r="D14" s="371"/>
      <c r="E14" s="307" t="s">
        <v>87</v>
      </c>
      <c r="F14" s="252" t="s">
        <v>55</v>
      </c>
      <c r="G14" s="124" t="str">
        <f>HYPERLINK("https://www.amazon.de/dp/B07HLSFW46?ref_=ast_bbp_dp","A")</f>
        <v>A</v>
      </c>
      <c r="I14" s="172">
        <v>78</v>
      </c>
      <c r="J14" s="82">
        <f t="shared" si="0"/>
        <v>3.5273962000000001</v>
      </c>
      <c r="K14" s="82">
        <f t="shared" si="1"/>
        <v>56.438339200000001</v>
      </c>
      <c r="L14" s="82">
        <v>1.6</v>
      </c>
      <c r="M14" s="93">
        <v>0</v>
      </c>
      <c r="N14" s="93">
        <v>0</v>
      </c>
      <c r="O14" s="95">
        <f t="shared" si="2"/>
        <v>78</v>
      </c>
      <c r="P14" s="96">
        <f t="shared" si="3"/>
        <v>105300</v>
      </c>
      <c r="Q14" s="97">
        <f t="shared" si="4"/>
        <v>105300</v>
      </c>
      <c r="R14" s="97">
        <f>ROUNDUP(HLOOKUP(IF(CEILING(L14,0.5)&lt;1,0.5,CEILING(L14,0.5)),'배송비 조회'!A$44:AO$56,7,0)*B$3,-2)</f>
        <v>23800</v>
      </c>
      <c r="S14" s="97">
        <v>0</v>
      </c>
      <c r="T14" s="97">
        <f t="shared" ref="T14:T23" si="28">ROUND((Q14+R14)*0.3,-2)</f>
        <v>38700</v>
      </c>
      <c r="U14" s="97">
        <f t="shared" ref="U14:U994" si="29">ROUND((Q14+R14)*0.4,-2)</f>
        <v>51600</v>
      </c>
      <c r="V14" s="97">
        <f t="shared" si="7"/>
        <v>167800</v>
      </c>
      <c r="W14" s="97">
        <f t="shared" si="8"/>
        <v>180700</v>
      </c>
      <c r="X14" s="121">
        <v>0</v>
      </c>
      <c r="Y14" s="121">
        <f t="shared" si="9"/>
        <v>6376.4</v>
      </c>
      <c r="Z14" s="121">
        <f t="shared" si="10"/>
        <v>3356</v>
      </c>
      <c r="AA14" s="99">
        <f t="shared" si="11"/>
        <v>18070</v>
      </c>
      <c r="AB14" s="234">
        <f t="shared" si="12"/>
        <v>158067.6</v>
      </c>
      <c r="AC14" s="257">
        <f t="shared" si="13"/>
        <v>162630</v>
      </c>
      <c r="AD14" s="234">
        <f t="shared" si="14"/>
        <v>1580.6760000000002</v>
      </c>
      <c r="AE14" s="100">
        <f t="shared" si="15"/>
        <v>27386.924000000006</v>
      </c>
      <c r="AF14" s="101">
        <f t="shared" si="16"/>
        <v>31949.324000000001</v>
      </c>
      <c r="AG14" s="102">
        <f t="shared" ref="AG14:AH14" si="30">AE14/V14</f>
        <v>0.16321170441001195</v>
      </c>
      <c r="AH14" s="102">
        <f t="shared" si="30"/>
        <v>0.17680865522966244</v>
      </c>
    </row>
    <row r="15" spans="1:47" ht="13.2">
      <c r="A15" s="302"/>
      <c r="B15" s="302"/>
      <c r="C15" s="302"/>
      <c r="D15" s="302"/>
      <c r="E15" s="302"/>
      <c r="F15" s="252" t="s">
        <v>92</v>
      </c>
      <c r="G15" s="124" t="e">
        <f>HYPERLINK("https://www.amazon.de/dp/B07HLSFL6G/ref=pd_sbs_201_1/262-8794267-6101650?_encoding=UTF8&amp;pd_rd_i=B07HLSFL6G&amp;pd_rd_r=a074a040-98cb-4dd8-a5bf-ac1d2b833dc2&amp;pd_rd_w=5Tx7d&amp;pd_rd_wg=Qrs7x&amp;pf_rd_p=184816e4-edb5-4587-8faf-776e0027d8d1&amp;pf_rd_r=KH9G3PWXTFGBX2YMY5ZP&amp;"&amp;"refRID=KH9G3PWXTFGBX2YMY5ZP&amp;th=1","A")</f>
        <v>#VALUE!</v>
      </c>
      <c r="I15" s="172">
        <v>76.5</v>
      </c>
      <c r="J15" s="82">
        <f t="shared" si="0"/>
        <v>3.5273962000000001</v>
      </c>
      <c r="K15" s="82">
        <f t="shared" si="1"/>
        <v>56.438339200000001</v>
      </c>
      <c r="L15" s="82">
        <v>1.6</v>
      </c>
      <c r="M15" s="93">
        <v>0</v>
      </c>
      <c r="N15" s="93">
        <v>0</v>
      </c>
      <c r="O15" s="95">
        <f t="shared" si="2"/>
        <v>76.5</v>
      </c>
      <c r="P15" s="96">
        <f t="shared" si="3"/>
        <v>103275</v>
      </c>
      <c r="Q15" s="97">
        <f t="shared" si="4"/>
        <v>103300</v>
      </c>
      <c r="R15" s="97">
        <f>ROUNDUP(HLOOKUP(IF(CEILING(L15,0.5)&lt;1,0.5,CEILING(L15,0.5)),'배송비 조회'!A$44:AO$56,7,0)*B$3,-2)</f>
        <v>23800</v>
      </c>
      <c r="S15" s="97">
        <v>0</v>
      </c>
      <c r="T15" s="97">
        <f t="shared" si="28"/>
        <v>38100</v>
      </c>
      <c r="U15" s="97">
        <f t="shared" si="29"/>
        <v>50800</v>
      </c>
      <c r="V15" s="97">
        <f t="shared" si="7"/>
        <v>165200</v>
      </c>
      <c r="W15" s="97">
        <f t="shared" si="8"/>
        <v>177900</v>
      </c>
      <c r="X15" s="121">
        <v>0</v>
      </c>
      <c r="Y15" s="121">
        <f t="shared" si="9"/>
        <v>6277.5999999999995</v>
      </c>
      <c r="Z15" s="121">
        <f t="shared" si="10"/>
        <v>3304</v>
      </c>
      <c r="AA15" s="99">
        <f t="shared" si="11"/>
        <v>17790</v>
      </c>
      <c r="AB15" s="234">
        <f t="shared" si="12"/>
        <v>155618.4</v>
      </c>
      <c r="AC15" s="257">
        <f t="shared" si="13"/>
        <v>160110</v>
      </c>
      <c r="AD15" s="234">
        <f t="shared" si="14"/>
        <v>1556.184</v>
      </c>
      <c r="AE15" s="100">
        <f t="shared" si="15"/>
        <v>26962.215999999993</v>
      </c>
      <c r="AF15" s="101">
        <f t="shared" si="16"/>
        <v>31453.815999999999</v>
      </c>
      <c r="AG15" s="102">
        <f t="shared" ref="AG15:AH15" si="31">AE15/V15</f>
        <v>0.16320953995157381</v>
      </c>
      <c r="AH15" s="102">
        <f t="shared" si="31"/>
        <v>0.17680616076447442</v>
      </c>
    </row>
    <row r="16" spans="1:47" ht="13.2">
      <c r="A16" s="302"/>
      <c r="B16" s="302"/>
      <c r="C16" s="302"/>
      <c r="D16" s="302"/>
      <c r="E16" s="302"/>
      <c r="F16" s="252" t="s">
        <v>98</v>
      </c>
      <c r="G16" s="124" t="e">
        <f>HYPERLINK("https://www.amazon.de/dp/B07HLVPP91/ref=pd_sbs_201_1/262-8794267-6101650?_encoding=UTF8&amp;pd_rd_i=B07HLSFL6G&amp;pd_rd_r=a074a040-98cb-4dd8-a5bf-ac1d2b833dc2&amp;pd_rd_w=5Tx7d&amp;pd_rd_wg=Qrs7x&amp;pf_rd_p=184816e4-edb5-4587-8faf-776e0027d8d1&amp;pf_rd_r=KH9G3PWXTFGBX2YMY5ZP&amp;"&amp;"refRID=KH9G3PWXTFGBX2YMY5ZP&amp;th=1","A")</f>
        <v>#VALUE!</v>
      </c>
      <c r="I16" s="172">
        <v>82.1</v>
      </c>
      <c r="J16" s="82">
        <f t="shared" si="0"/>
        <v>3.0864716749999994</v>
      </c>
      <c r="K16" s="82">
        <f t="shared" si="1"/>
        <v>49.383546799999991</v>
      </c>
      <c r="L16" s="82">
        <v>1.4</v>
      </c>
      <c r="M16" s="93">
        <v>0</v>
      </c>
      <c r="N16" s="93">
        <v>0</v>
      </c>
      <c r="O16" s="95">
        <f t="shared" si="2"/>
        <v>82.1</v>
      </c>
      <c r="P16" s="96">
        <f t="shared" si="3"/>
        <v>110834.99999999999</v>
      </c>
      <c r="Q16" s="97">
        <f t="shared" si="4"/>
        <v>110800</v>
      </c>
      <c r="R16" s="97">
        <f>ROUNDUP(HLOOKUP(IF(CEILING(L16,0.5)&lt;1,0.5,CEILING(L16,0.5)),'배송비 조회'!A$44:AO$56,7,0)*B$3,-2)</f>
        <v>20800</v>
      </c>
      <c r="S16" s="97">
        <v>0</v>
      </c>
      <c r="T16" s="97">
        <f t="shared" si="28"/>
        <v>39500</v>
      </c>
      <c r="U16" s="97">
        <f t="shared" si="29"/>
        <v>52600</v>
      </c>
      <c r="V16" s="97">
        <f t="shared" si="7"/>
        <v>171100</v>
      </c>
      <c r="W16" s="97">
        <f t="shared" si="8"/>
        <v>184200</v>
      </c>
      <c r="X16" s="121">
        <v>0</v>
      </c>
      <c r="Y16" s="121">
        <f t="shared" si="9"/>
        <v>6501.8</v>
      </c>
      <c r="Z16" s="121">
        <f t="shared" si="10"/>
        <v>3422</v>
      </c>
      <c r="AA16" s="99">
        <f t="shared" si="11"/>
        <v>18420</v>
      </c>
      <c r="AB16" s="234">
        <f t="shared" si="12"/>
        <v>161176.20000000001</v>
      </c>
      <c r="AC16" s="257">
        <f t="shared" si="13"/>
        <v>165780</v>
      </c>
      <c r="AD16" s="234">
        <f t="shared" si="14"/>
        <v>1611.7620000000002</v>
      </c>
      <c r="AE16" s="100">
        <f t="shared" si="15"/>
        <v>27964.438000000009</v>
      </c>
      <c r="AF16" s="101">
        <f t="shared" si="16"/>
        <v>32568.237999999998</v>
      </c>
      <c r="AG16" s="102">
        <f t="shared" ref="AG16:AH16" si="32">AE16/V16</f>
        <v>0.16343914669783757</v>
      </c>
      <c r="AH16" s="102">
        <f t="shared" si="32"/>
        <v>0.17680910966340932</v>
      </c>
    </row>
    <row r="17" spans="1:35" ht="13.2">
      <c r="A17" s="119" t="str">
        <f>HYPERLINK("https://smartstore.naver.com/brickstore2019/products/4720138461","4720138461")</f>
        <v>4720138461</v>
      </c>
      <c r="B17" s="251"/>
      <c r="C17" s="252" t="s">
        <v>103</v>
      </c>
      <c r="D17" s="252"/>
      <c r="E17" s="114" t="s">
        <v>104</v>
      </c>
      <c r="F17" s="252" t="s">
        <v>55</v>
      </c>
      <c r="G17" s="124" t="str">
        <f>HYPERLINK("https://www.amazon.de/dp/B01IO9DRHQ?ref_=ast_bbp_dp","A")</f>
        <v>A</v>
      </c>
      <c r="I17" s="172">
        <v>83.6</v>
      </c>
      <c r="J17" s="82">
        <f t="shared" si="0"/>
        <v>2.4250848875000002</v>
      </c>
      <c r="K17" s="82">
        <f t="shared" si="1"/>
        <v>38.801358200000003</v>
      </c>
      <c r="L17" s="82">
        <v>1.1000000000000001</v>
      </c>
      <c r="M17" s="93">
        <v>0</v>
      </c>
      <c r="N17" s="93">
        <v>0</v>
      </c>
      <c r="O17" s="95">
        <f t="shared" si="2"/>
        <v>83.6</v>
      </c>
      <c r="P17" s="96">
        <f t="shared" si="3"/>
        <v>112859.99999999999</v>
      </c>
      <c r="Q17" s="97">
        <f t="shared" si="4"/>
        <v>112900</v>
      </c>
      <c r="R17" s="97">
        <f>ROUNDUP(HLOOKUP(IF(CEILING(L17,0.5)&lt;1,0.5,CEILING(L17,0.5)),'배송비 조회'!A$44:AO$56,7,0)*B$3,-2)</f>
        <v>20800</v>
      </c>
      <c r="S17" s="97">
        <v>0</v>
      </c>
      <c r="T17" s="97">
        <f t="shared" si="28"/>
        <v>40100</v>
      </c>
      <c r="U17" s="97">
        <f t="shared" si="29"/>
        <v>53500</v>
      </c>
      <c r="V17" s="97">
        <f t="shared" si="7"/>
        <v>173800</v>
      </c>
      <c r="W17" s="97">
        <f t="shared" si="8"/>
        <v>187200</v>
      </c>
      <c r="X17" s="121">
        <v>0</v>
      </c>
      <c r="Y17" s="121">
        <f t="shared" si="9"/>
        <v>6604.4</v>
      </c>
      <c r="Z17" s="121">
        <f t="shared" si="10"/>
        <v>3476</v>
      </c>
      <c r="AA17" s="99">
        <f t="shared" si="11"/>
        <v>18720</v>
      </c>
      <c r="AB17" s="234">
        <f t="shared" si="12"/>
        <v>163719.6</v>
      </c>
      <c r="AC17" s="257">
        <f t="shared" si="13"/>
        <v>168480</v>
      </c>
      <c r="AD17" s="234">
        <f t="shared" si="14"/>
        <v>1637.1960000000001</v>
      </c>
      <c r="AE17" s="100">
        <f t="shared" si="15"/>
        <v>28382.404000000002</v>
      </c>
      <c r="AF17" s="101">
        <f t="shared" si="16"/>
        <v>33142.803999999996</v>
      </c>
      <c r="AG17" s="102">
        <f t="shared" ref="AG17:AH17" si="33">AE17/V17</f>
        <v>0.16330497123130036</v>
      </c>
      <c r="AH17" s="102">
        <f t="shared" si="33"/>
        <v>0.17704489316239314</v>
      </c>
    </row>
    <row r="18" spans="1:35" ht="13.2">
      <c r="A18" s="303" t="str">
        <f>HYPERLINK("https://smartstore.naver.com/brickstore2019/products/4720187296","4720187296")</f>
        <v>4720187296</v>
      </c>
      <c r="B18" s="370"/>
      <c r="C18" s="369" t="s">
        <v>108</v>
      </c>
      <c r="D18" s="369"/>
      <c r="E18" s="307" t="s">
        <v>109</v>
      </c>
      <c r="F18" s="252" t="s">
        <v>58</v>
      </c>
      <c r="G18" s="124" t="str">
        <f>HYPERLINK("https://www.amazon.de/dp/B000FVBU80?ref_=ast_bbp_dp&amp;th=1","A")</f>
        <v>A</v>
      </c>
      <c r="I18" s="172">
        <v>40</v>
      </c>
      <c r="J18" s="82">
        <f t="shared" si="0"/>
        <v>1.3227735749999998</v>
      </c>
      <c r="K18" s="82">
        <f t="shared" si="1"/>
        <v>21.164377199999997</v>
      </c>
      <c r="L18" s="82">
        <v>0.6</v>
      </c>
      <c r="M18" s="93">
        <v>0</v>
      </c>
      <c r="N18" s="93">
        <v>0</v>
      </c>
      <c r="O18" s="95">
        <f t="shared" si="2"/>
        <v>40</v>
      </c>
      <c r="P18" s="96">
        <f t="shared" si="3"/>
        <v>54000</v>
      </c>
      <c r="Q18" s="97">
        <f t="shared" si="4"/>
        <v>54000</v>
      </c>
      <c r="R18" s="97">
        <f>ROUNDUP(HLOOKUP(IF(CEILING(L18,0.5)&lt;1,0.5,CEILING(L18,0.5)),'배송비 조회'!A$44:AO$56,7,0)*B$3,-2)</f>
        <v>17900</v>
      </c>
      <c r="S18" s="97">
        <v>0</v>
      </c>
      <c r="T18" s="97">
        <f t="shared" si="28"/>
        <v>21600</v>
      </c>
      <c r="U18" s="97">
        <f t="shared" si="29"/>
        <v>28800</v>
      </c>
      <c r="V18" s="97">
        <f t="shared" si="7"/>
        <v>93500</v>
      </c>
      <c r="W18" s="97">
        <f t="shared" si="8"/>
        <v>100700</v>
      </c>
      <c r="X18" s="121">
        <v>0</v>
      </c>
      <c r="Y18" s="121">
        <f t="shared" si="9"/>
        <v>3553</v>
      </c>
      <c r="Z18" s="121">
        <f t="shared" si="10"/>
        <v>1870</v>
      </c>
      <c r="AA18" s="99">
        <f t="shared" si="11"/>
        <v>10070</v>
      </c>
      <c r="AB18" s="234">
        <f t="shared" si="12"/>
        <v>88077</v>
      </c>
      <c r="AC18" s="257">
        <f t="shared" si="13"/>
        <v>90630</v>
      </c>
      <c r="AD18" s="234">
        <f t="shared" si="14"/>
        <v>880.77</v>
      </c>
      <c r="AE18" s="100">
        <f t="shared" si="15"/>
        <v>15296.230000000003</v>
      </c>
      <c r="AF18" s="101">
        <f t="shared" si="16"/>
        <v>17849.230000000003</v>
      </c>
      <c r="AG18" s="102">
        <f t="shared" ref="AG18:AH18" si="34">AE18/V18</f>
        <v>0.16359604278074868</v>
      </c>
      <c r="AH18" s="102">
        <f t="shared" si="34"/>
        <v>0.17725153922542208</v>
      </c>
      <c r="AI18" s="258">
        <f>V25-V18</f>
        <v>-23400</v>
      </c>
    </row>
    <row r="19" spans="1:35" ht="13.2">
      <c r="A19" s="302"/>
      <c r="B19" s="302"/>
      <c r="C19" s="302"/>
      <c r="D19" s="302"/>
      <c r="E19" s="302"/>
      <c r="F19" s="252" t="s">
        <v>112</v>
      </c>
      <c r="G19" s="124" t="str">
        <f>HYPERLINK("https://www.amazon.de/dp/B0002BXBC6?ref_=ast_bbp_dp&amp;th=1","A")</f>
        <v>A</v>
      </c>
      <c r="I19" s="172">
        <v>37.1</v>
      </c>
      <c r="J19" s="82">
        <f t="shared" si="0"/>
        <v>1.3227735749999998</v>
      </c>
      <c r="K19" s="82">
        <f t="shared" si="1"/>
        <v>21.164377199999997</v>
      </c>
      <c r="L19" s="82">
        <v>0.6</v>
      </c>
      <c r="M19" s="93">
        <v>0</v>
      </c>
      <c r="N19" s="93">
        <v>0</v>
      </c>
      <c r="O19" s="95">
        <f t="shared" si="2"/>
        <v>37.1</v>
      </c>
      <c r="P19" s="96">
        <f t="shared" si="3"/>
        <v>50085</v>
      </c>
      <c r="Q19" s="97">
        <f t="shared" si="4"/>
        <v>50100</v>
      </c>
      <c r="R19" s="97">
        <f>ROUNDUP(HLOOKUP(IF(CEILING(L19,0.5)&lt;1,0.5,CEILING(L19,0.5)),'배송비 조회'!A$44:AO$56,7,0)*B$3,-2)</f>
        <v>17900</v>
      </c>
      <c r="S19" s="97">
        <v>0</v>
      </c>
      <c r="T19" s="97">
        <f t="shared" si="28"/>
        <v>20400</v>
      </c>
      <c r="U19" s="97">
        <f t="shared" si="29"/>
        <v>27200</v>
      </c>
      <c r="V19" s="97">
        <f t="shared" si="7"/>
        <v>88400</v>
      </c>
      <c r="W19" s="97">
        <f t="shared" si="8"/>
        <v>95200</v>
      </c>
      <c r="X19" s="121">
        <v>0</v>
      </c>
      <c r="Y19" s="121">
        <f t="shared" si="9"/>
        <v>3359.2</v>
      </c>
      <c r="Z19" s="121">
        <f t="shared" si="10"/>
        <v>1768</v>
      </c>
      <c r="AA19" s="99">
        <f t="shared" si="11"/>
        <v>9520</v>
      </c>
      <c r="AB19" s="234">
        <f t="shared" si="12"/>
        <v>83272.800000000003</v>
      </c>
      <c r="AC19" s="257">
        <f t="shared" si="13"/>
        <v>85680</v>
      </c>
      <c r="AD19" s="234">
        <f t="shared" si="14"/>
        <v>832.72800000000007</v>
      </c>
      <c r="AE19" s="100">
        <f t="shared" si="15"/>
        <v>14440.072000000004</v>
      </c>
      <c r="AF19" s="101">
        <f t="shared" si="16"/>
        <v>16847.271999999997</v>
      </c>
      <c r="AG19" s="102">
        <f t="shared" ref="AG19:AH19" si="35">AE19/V19</f>
        <v>0.1633492307692308</v>
      </c>
      <c r="AH19" s="102">
        <f t="shared" si="35"/>
        <v>0.17696714285714282</v>
      </c>
      <c r="AI19" s="258">
        <f>V25-V19</f>
        <v>-18300</v>
      </c>
    </row>
    <row r="20" spans="1:35" ht="13.2">
      <c r="A20" s="302"/>
      <c r="B20" s="302"/>
      <c r="C20" s="302"/>
      <c r="D20" s="302"/>
      <c r="E20" s="302"/>
      <c r="F20" s="252" t="s">
        <v>118</v>
      </c>
      <c r="G20" s="124" t="str">
        <f>HYPERLINK("https://www.amazon.de/dp/B000FV8FP6?ref_=ast_bbp_dp&amp;th=1","A")</f>
        <v>A</v>
      </c>
      <c r="I20" s="172">
        <v>48</v>
      </c>
      <c r="J20" s="82">
        <f t="shared" si="0"/>
        <v>1.3227735749999998</v>
      </c>
      <c r="K20" s="82">
        <f t="shared" si="1"/>
        <v>21.164377199999997</v>
      </c>
      <c r="L20" s="82">
        <v>0.6</v>
      </c>
      <c r="M20" s="93">
        <v>0</v>
      </c>
      <c r="N20" s="93">
        <v>0</v>
      </c>
      <c r="O20" s="95">
        <f t="shared" si="2"/>
        <v>48</v>
      </c>
      <c r="P20" s="96">
        <f t="shared" si="3"/>
        <v>64800</v>
      </c>
      <c r="Q20" s="97">
        <f t="shared" si="4"/>
        <v>64800</v>
      </c>
      <c r="R20" s="97">
        <f>ROUNDUP(HLOOKUP(IF(CEILING(L20,0.5)&lt;1,0.5,CEILING(L20,0.5)),'배송비 조회'!A$44:AO$56,7,0)*B$3,-2)</f>
        <v>17900</v>
      </c>
      <c r="S20" s="97">
        <v>0</v>
      </c>
      <c r="T20" s="97">
        <f t="shared" si="28"/>
        <v>24800</v>
      </c>
      <c r="U20" s="97">
        <f t="shared" si="29"/>
        <v>33100</v>
      </c>
      <c r="V20" s="97">
        <f t="shared" si="7"/>
        <v>107500</v>
      </c>
      <c r="W20" s="97">
        <f t="shared" si="8"/>
        <v>115800</v>
      </c>
      <c r="X20" s="121">
        <v>0</v>
      </c>
      <c r="Y20" s="121">
        <f t="shared" si="9"/>
        <v>4085</v>
      </c>
      <c r="Z20" s="121">
        <f t="shared" si="10"/>
        <v>2150</v>
      </c>
      <c r="AA20" s="99">
        <f t="shared" si="11"/>
        <v>11580</v>
      </c>
      <c r="AB20" s="234">
        <f t="shared" si="12"/>
        <v>101265</v>
      </c>
      <c r="AC20" s="257">
        <f t="shared" si="13"/>
        <v>104220</v>
      </c>
      <c r="AD20" s="234">
        <f t="shared" si="14"/>
        <v>1012.65</v>
      </c>
      <c r="AE20" s="100">
        <f t="shared" si="15"/>
        <v>17552.349999999999</v>
      </c>
      <c r="AF20" s="101">
        <f t="shared" si="16"/>
        <v>20507.349999999999</v>
      </c>
      <c r="AG20" s="102">
        <f t="shared" ref="AG20:AH20" si="36">AE20/V20</f>
        <v>0.16327767441860463</v>
      </c>
      <c r="AH20" s="102">
        <f t="shared" si="36"/>
        <v>0.17709283246977547</v>
      </c>
      <c r="AI20" s="258">
        <f>V25-V20</f>
        <v>-37400</v>
      </c>
    </row>
    <row r="21" spans="1:35" ht="13.2">
      <c r="A21" s="302"/>
      <c r="B21" s="302"/>
      <c r="C21" s="302"/>
      <c r="D21" s="302"/>
      <c r="E21" s="302"/>
      <c r="F21" s="252" t="s">
        <v>122</v>
      </c>
      <c r="G21" s="124" t="str">
        <f>HYPERLINK("https://www.amazon.de/dp/B000FVBU8K?ref_=ast_bbp_dp&amp;th=1","A")</f>
        <v>A</v>
      </c>
      <c r="I21" s="172">
        <v>40</v>
      </c>
      <c r="J21" s="82">
        <f t="shared" si="0"/>
        <v>1.3227735749999998</v>
      </c>
      <c r="K21" s="82">
        <f t="shared" si="1"/>
        <v>21.164377199999997</v>
      </c>
      <c r="L21" s="82">
        <v>0.6</v>
      </c>
      <c r="M21" s="93">
        <v>0</v>
      </c>
      <c r="N21" s="93">
        <v>0</v>
      </c>
      <c r="O21" s="95">
        <f t="shared" si="2"/>
        <v>40</v>
      </c>
      <c r="P21" s="96">
        <f t="shared" si="3"/>
        <v>54000</v>
      </c>
      <c r="Q21" s="97">
        <f t="shared" si="4"/>
        <v>54000</v>
      </c>
      <c r="R21" s="97">
        <f>ROUNDUP(HLOOKUP(IF(CEILING(L21,0.5)&lt;1,0.5,CEILING(L21,0.5)),'배송비 조회'!A$44:AO$56,7,0)*B$3,-2)</f>
        <v>17900</v>
      </c>
      <c r="S21" s="97">
        <v>0</v>
      </c>
      <c r="T21" s="97">
        <f t="shared" si="28"/>
        <v>21600</v>
      </c>
      <c r="U21" s="97">
        <f t="shared" si="29"/>
        <v>28800</v>
      </c>
      <c r="V21" s="97">
        <f t="shared" si="7"/>
        <v>93500</v>
      </c>
      <c r="W21" s="97">
        <f t="shared" si="8"/>
        <v>100700</v>
      </c>
      <c r="X21" s="121">
        <v>0</v>
      </c>
      <c r="Y21" s="121">
        <f t="shared" si="9"/>
        <v>3553</v>
      </c>
      <c r="Z21" s="121">
        <f t="shared" si="10"/>
        <v>1870</v>
      </c>
      <c r="AA21" s="99">
        <f t="shared" si="11"/>
        <v>10070</v>
      </c>
      <c r="AB21" s="234">
        <f t="shared" si="12"/>
        <v>88077</v>
      </c>
      <c r="AC21" s="257">
        <f t="shared" si="13"/>
        <v>90630</v>
      </c>
      <c r="AD21" s="234">
        <f t="shared" si="14"/>
        <v>880.77</v>
      </c>
      <c r="AE21" s="100">
        <f t="shared" si="15"/>
        <v>15296.230000000003</v>
      </c>
      <c r="AF21" s="101">
        <f t="shared" si="16"/>
        <v>17849.230000000003</v>
      </c>
      <c r="AG21" s="102">
        <f t="shared" ref="AG21:AH21" si="37">AE21/V21</f>
        <v>0.16359604278074868</v>
      </c>
      <c r="AH21" s="102">
        <f t="shared" si="37"/>
        <v>0.17725153922542208</v>
      </c>
      <c r="AI21" s="258">
        <f>V25-V21</f>
        <v>-23400</v>
      </c>
    </row>
    <row r="22" spans="1:35" ht="13.2">
      <c r="A22" s="302"/>
      <c r="B22" s="302"/>
      <c r="C22" s="302"/>
      <c r="D22" s="302"/>
      <c r="E22" s="302"/>
      <c r="F22" s="252" t="s">
        <v>126</v>
      </c>
      <c r="G22" s="124" t="str">
        <f>HYPERLINK("https://www.amazon.de/dp/B000FVDT1G?ref_=ast_bbp_dp&amp;th=1","A")</f>
        <v>A</v>
      </c>
      <c r="I22" s="172">
        <v>40</v>
      </c>
      <c r="J22" s="82">
        <f t="shared" si="0"/>
        <v>1.3227735749999998</v>
      </c>
      <c r="K22" s="82">
        <f t="shared" si="1"/>
        <v>21.164377199999997</v>
      </c>
      <c r="L22" s="82">
        <v>0.6</v>
      </c>
      <c r="M22" s="93">
        <v>0</v>
      </c>
      <c r="N22" s="93">
        <v>0</v>
      </c>
      <c r="O22" s="95">
        <f t="shared" si="2"/>
        <v>40</v>
      </c>
      <c r="P22" s="96">
        <f t="shared" si="3"/>
        <v>54000</v>
      </c>
      <c r="Q22" s="97">
        <f t="shared" si="4"/>
        <v>54000</v>
      </c>
      <c r="R22" s="97">
        <f>ROUNDUP(HLOOKUP(IF(CEILING(L22,0.5)&lt;1,0.5,CEILING(L22,0.5)),'배송비 조회'!A$44:AO$56,7,0)*B$3,-2)</f>
        <v>17900</v>
      </c>
      <c r="S22" s="97">
        <v>0</v>
      </c>
      <c r="T22" s="97">
        <f t="shared" si="28"/>
        <v>21600</v>
      </c>
      <c r="U22" s="97">
        <f t="shared" si="29"/>
        <v>28800</v>
      </c>
      <c r="V22" s="97">
        <f t="shared" si="7"/>
        <v>93500</v>
      </c>
      <c r="W22" s="97">
        <f t="shared" si="8"/>
        <v>100700</v>
      </c>
      <c r="X22" s="121">
        <v>0</v>
      </c>
      <c r="Y22" s="121">
        <f t="shared" si="9"/>
        <v>3553</v>
      </c>
      <c r="Z22" s="121">
        <f t="shared" si="10"/>
        <v>1870</v>
      </c>
      <c r="AA22" s="99">
        <f t="shared" si="11"/>
        <v>10070</v>
      </c>
      <c r="AB22" s="234">
        <f t="shared" si="12"/>
        <v>88077</v>
      </c>
      <c r="AC22" s="257">
        <f t="shared" si="13"/>
        <v>90630</v>
      </c>
      <c r="AD22" s="234">
        <f t="shared" si="14"/>
        <v>880.77</v>
      </c>
      <c r="AE22" s="100">
        <f t="shared" si="15"/>
        <v>15296.230000000003</v>
      </c>
      <c r="AF22" s="101">
        <f t="shared" si="16"/>
        <v>17849.230000000003</v>
      </c>
      <c r="AG22" s="102">
        <f t="shared" ref="AG22:AH22" si="38">AE22/V22</f>
        <v>0.16359604278074868</v>
      </c>
      <c r="AH22" s="102">
        <f t="shared" si="38"/>
        <v>0.17725153922542208</v>
      </c>
      <c r="AI22" s="258">
        <f>V25-V22</f>
        <v>-23400</v>
      </c>
    </row>
    <row r="23" spans="1:35" ht="13.2">
      <c r="A23" s="302"/>
      <c r="B23" s="302"/>
      <c r="C23" s="302"/>
      <c r="D23" s="302"/>
      <c r="E23" s="302"/>
      <c r="F23" s="252" t="s">
        <v>55</v>
      </c>
      <c r="G23" s="124" t="str">
        <f>HYPERLINK("https://www.amazon.de/dp/B000FVBU8A?ref_=ast_bbp_dp&amp;th=1","A")</f>
        <v>A</v>
      </c>
      <c r="I23" s="172">
        <v>35.32</v>
      </c>
      <c r="J23" s="82">
        <f t="shared" si="0"/>
        <v>1.3227735749999998</v>
      </c>
      <c r="K23" s="82">
        <f t="shared" si="1"/>
        <v>21.164377199999997</v>
      </c>
      <c r="L23" s="82">
        <v>0.6</v>
      </c>
      <c r="M23" s="93">
        <v>0</v>
      </c>
      <c r="N23" s="93">
        <v>0</v>
      </c>
      <c r="O23" s="95">
        <f t="shared" si="2"/>
        <v>35.32</v>
      </c>
      <c r="P23" s="96">
        <f t="shared" si="3"/>
        <v>47682</v>
      </c>
      <c r="Q23" s="97">
        <f t="shared" si="4"/>
        <v>47700</v>
      </c>
      <c r="R23" s="97">
        <f>ROUNDUP(HLOOKUP(IF(CEILING(L23,0.5)&lt;1,0.5,CEILING(L23,0.5)),'배송비 조회'!A$44:AO$56,7,0)*B$3,-2)</f>
        <v>17900</v>
      </c>
      <c r="S23" s="97">
        <v>0</v>
      </c>
      <c r="T23" s="97">
        <f t="shared" si="28"/>
        <v>19700</v>
      </c>
      <c r="U23" s="97">
        <f t="shared" si="29"/>
        <v>26200</v>
      </c>
      <c r="V23" s="97">
        <f t="shared" si="7"/>
        <v>85300</v>
      </c>
      <c r="W23" s="97">
        <f t="shared" si="8"/>
        <v>91800</v>
      </c>
      <c r="X23" s="121">
        <v>0</v>
      </c>
      <c r="Y23" s="121">
        <f t="shared" si="9"/>
        <v>3241.4</v>
      </c>
      <c r="Z23" s="121">
        <f t="shared" si="10"/>
        <v>1706</v>
      </c>
      <c r="AA23" s="99">
        <f t="shared" si="11"/>
        <v>9180</v>
      </c>
      <c r="AB23" s="234">
        <f t="shared" si="12"/>
        <v>80352.600000000006</v>
      </c>
      <c r="AC23" s="257">
        <f t="shared" si="13"/>
        <v>82620</v>
      </c>
      <c r="AD23" s="234">
        <f t="shared" si="14"/>
        <v>803.52600000000007</v>
      </c>
      <c r="AE23" s="100">
        <f t="shared" si="15"/>
        <v>13949.074000000004</v>
      </c>
      <c r="AF23" s="101">
        <f t="shared" si="16"/>
        <v>16216.474000000002</v>
      </c>
      <c r="AG23" s="102">
        <f t="shared" ref="AG23:AH23" si="39">AE23/V23</f>
        <v>0.16352958968347014</v>
      </c>
      <c r="AH23" s="102">
        <f t="shared" si="39"/>
        <v>0.17665004357298478</v>
      </c>
      <c r="AI23" s="258">
        <f>V25-V23</f>
        <v>-15200</v>
      </c>
    </row>
    <row r="24" spans="1:35" ht="13.2">
      <c r="A24" s="302"/>
      <c r="B24" s="302"/>
      <c r="C24" s="302"/>
      <c r="D24" s="302"/>
      <c r="E24" s="302"/>
      <c r="F24" s="252" t="s">
        <v>135</v>
      </c>
      <c r="G24" s="124" t="str">
        <f>HYPERLINK("https://www.amazon.de/dp/B0002BYEJA?ref_=ast_bbp_dp&amp;th=1","A")</f>
        <v>A</v>
      </c>
      <c r="I24" s="172">
        <v>56.1</v>
      </c>
      <c r="J24" s="82">
        <f t="shared" si="0"/>
        <v>1.3227735749999998</v>
      </c>
      <c r="K24" s="82">
        <f t="shared" si="1"/>
        <v>21.164377199999997</v>
      </c>
      <c r="L24" s="82">
        <v>0.6</v>
      </c>
      <c r="M24" s="93">
        <v>0</v>
      </c>
      <c r="N24" s="93">
        <v>0</v>
      </c>
      <c r="O24" s="95">
        <f t="shared" si="2"/>
        <v>56.1</v>
      </c>
      <c r="P24" s="96">
        <f t="shared" si="3"/>
        <v>75735</v>
      </c>
      <c r="Q24" s="97">
        <f t="shared" si="4"/>
        <v>75700</v>
      </c>
      <c r="R24" s="97">
        <f>ROUNDUP(HLOOKUP(IF(CEILING(L24,0.5)&lt;1,0.5,CEILING(L24,0.5)),'배송비 조회'!A$44:AO$56,7,0)*B$3,-2)</f>
        <v>17900</v>
      </c>
      <c r="S24" s="97">
        <v>0</v>
      </c>
      <c r="T24" s="97">
        <f>ROUND((Q24+R24)*0.15,-2)</f>
        <v>14000</v>
      </c>
      <c r="U24" s="97">
        <f t="shared" si="29"/>
        <v>37400</v>
      </c>
      <c r="V24" s="97">
        <f t="shared" si="7"/>
        <v>107600</v>
      </c>
      <c r="W24" s="97">
        <f t="shared" si="8"/>
        <v>131000</v>
      </c>
      <c r="X24" s="121">
        <v>0</v>
      </c>
      <c r="Y24" s="121">
        <f t="shared" si="9"/>
        <v>4088.7999999999997</v>
      </c>
      <c r="Z24" s="121">
        <f t="shared" si="10"/>
        <v>2152</v>
      </c>
      <c r="AA24" s="99">
        <f t="shared" si="11"/>
        <v>13100</v>
      </c>
      <c r="AB24" s="234">
        <f t="shared" si="12"/>
        <v>101359.2</v>
      </c>
      <c r="AC24" s="257">
        <f t="shared" si="13"/>
        <v>117900</v>
      </c>
      <c r="AD24" s="234">
        <f t="shared" si="14"/>
        <v>1013.592</v>
      </c>
      <c r="AE24" s="100">
        <f t="shared" si="15"/>
        <v>6745.6079999999965</v>
      </c>
      <c r="AF24" s="101">
        <f t="shared" si="16"/>
        <v>23286.408000000003</v>
      </c>
      <c r="AG24" s="102">
        <f t="shared" ref="AG24:AH24" si="40">AE24/V24</f>
        <v>6.269152416356874E-2</v>
      </c>
      <c r="AH24" s="102">
        <f t="shared" si="40"/>
        <v>0.1777588396946565</v>
      </c>
      <c r="AI24" s="258">
        <f>V25-V24</f>
        <v>-37500</v>
      </c>
    </row>
    <row r="25" spans="1:35" ht="13.2">
      <c r="A25" s="302"/>
      <c r="B25" s="302"/>
      <c r="C25" s="302"/>
      <c r="D25" s="302"/>
      <c r="E25" s="302"/>
      <c r="F25" s="252" t="s">
        <v>77</v>
      </c>
      <c r="G25" s="124" t="str">
        <f>HYPERLINK("https://www.amazon.de/dp/B00AC7WIVA?ref_=ast_bbp_dp&amp;th=1","A")</f>
        <v>A</v>
      </c>
      <c r="I25" s="172">
        <v>30</v>
      </c>
      <c r="J25" s="82">
        <f t="shared" si="0"/>
        <v>1.3227735749999998</v>
      </c>
      <c r="K25" s="82">
        <f t="shared" si="1"/>
        <v>21.164377199999997</v>
      </c>
      <c r="L25" s="82">
        <v>0.6</v>
      </c>
      <c r="M25" s="93">
        <v>0</v>
      </c>
      <c r="N25" s="93">
        <v>0</v>
      </c>
      <c r="O25" s="95">
        <f t="shared" si="2"/>
        <v>30</v>
      </c>
      <c r="P25" s="96">
        <f t="shared" si="3"/>
        <v>40500</v>
      </c>
      <c r="Q25" s="97">
        <f t="shared" si="4"/>
        <v>40500</v>
      </c>
      <c r="R25" s="97">
        <f>ROUNDUP(HLOOKUP(IF(CEILING(L25,0.5)&lt;1,0.5,CEILING(L25,0.5)),'배송비 조회'!A$44:AO$56,7,0)*B$3,-2)</f>
        <v>17900</v>
      </c>
      <c r="S25" s="97">
        <v>0</v>
      </c>
      <c r="T25" s="97">
        <f>ROUND((Q25+R25)*0.2,-2)</f>
        <v>11700</v>
      </c>
      <c r="U25" s="97">
        <f t="shared" si="29"/>
        <v>23400</v>
      </c>
      <c r="V25" s="97">
        <f t="shared" si="7"/>
        <v>70100</v>
      </c>
      <c r="W25" s="97">
        <f t="shared" si="8"/>
        <v>81800</v>
      </c>
      <c r="X25" s="121">
        <v>0</v>
      </c>
      <c r="Y25" s="121">
        <f t="shared" si="9"/>
        <v>2663.7999999999997</v>
      </c>
      <c r="Z25" s="121">
        <f t="shared" si="10"/>
        <v>1402</v>
      </c>
      <c r="AA25" s="99">
        <f t="shared" si="11"/>
        <v>8180</v>
      </c>
      <c r="AB25" s="234">
        <f t="shared" si="12"/>
        <v>66034.2</v>
      </c>
      <c r="AC25" s="257">
        <f t="shared" si="13"/>
        <v>73620</v>
      </c>
      <c r="AD25" s="234">
        <f t="shared" si="14"/>
        <v>660.34199999999998</v>
      </c>
      <c r="AE25" s="100">
        <f t="shared" si="15"/>
        <v>6973.8579999999965</v>
      </c>
      <c r="AF25" s="101">
        <f t="shared" si="16"/>
        <v>14559.657999999999</v>
      </c>
      <c r="AG25" s="102">
        <f t="shared" ref="AG25:AH25" si="41">AE25/V25</f>
        <v>9.9484422253922913E-2</v>
      </c>
      <c r="AH25" s="102">
        <f t="shared" si="41"/>
        <v>0.17799092909535452</v>
      </c>
    </row>
    <row r="26" spans="1:35" ht="13.2">
      <c r="A26" s="251"/>
      <c r="B26" s="251"/>
      <c r="C26" s="252"/>
      <c r="D26" s="252"/>
      <c r="E26" s="114"/>
      <c r="F26" s="252"/>
      <c r="G26" s="124" t="str">
        <f>HYPERLINK("https://www.amazon.de/SEVERIN-Raclette-Grill-Pf%C3%A4nnchen-RG-2686/dp/B00EFEZ4EY/ref=sr_1_4?__mk_de_DE=%C3%85M%C3%85%C5%BD%C3%95%C3%91&amp;keywords=Severin+Raclette+Grill&amp;qid=1571110498&amp;refinements=p_89%3ASEVERIN&amp;rnid=669059031&amp;sr=8-4","A")</f>
        <v>A</v>
      </c>
      <c r="I26" s="172">
        <v>19.989999999999998</v>
      </c>
      <c r="J26" s="82">
        <f t="shared" si="0"/>
        <v>3.5273962000000001</v>
      </c>
      <c r="K26" s="82">
        <f t="shared" si="1"/>
        <v>56.438339200000001</v>
      </c>
      <c r="L26" s="82">
        <v>1.6</v>
      </c>
      <c r="M26" s="93">
        <v>0</v>
      </c>
      <c r="N26" s="93">
        <v>0</v>
      </c>
      <c r="O26" s="95">
        <f t="shared" si="2"/>
        <v>19.989999999999998</v>
      </c>
      <c r="P26" s="96">
        <f t="shared" si="3"/>
        <v>26986.499999999996</v>
      </c>
      <c r="Q26" s="97">
        <f t="shared" si="4"/>
        <v>27000</v>
      </c>
      <c r="R26" s="97">
        <f>ROUNDUP(HLOOKUP(IF(CEILING(L26,0.5)&lt;1,0.5,CEILING(L26,0.5)),'배송비 조회'!A$44:AO$56,7,0)*B$3,-2)</f>
        <v>23800</v>
      </c>
      <c r="S26" s="97">
        <v>0</v>
      </c>
      <c r="T26" s="97">
        <f t="shared" ref="T26:T994" si="42">ROUND((Q26+R26)*0.3,-2)</f>
        <v>15200</v>
      </c>
      <c r="U26" s="97">
        <f t="shared" si="29"/>
        <v>20300</v>
      </c>
      <c r="V26" s="97">
        <f t="shared" si="7"/>
        <v>66000</v>
      </c>
      <c r="W26" s="97">
        <f t="shared" si="8"/>
        <v>71100</v>
      </c>
      <c r="X26" s="121">
        <v>0</v>
      </c>
      <c r="Y26" s="121">
        <f t="shared" si="9"/>
        <v>2508</v>
      </c>
      <c r="Z26" s="121">
        <f t="shared" si="10"/>
        <v>1320</v>
      </c>
      <c r="AA26" s="99">
        <f t="shared" si="11"/>
        <v>7110</v>
      </c>
      <c r="AB26" s="234">
        <f t="shared" si="12"/>
        <v>62172</v>
      </c>
      <c r="AC26" s="257">
        <f t="shared" si="13"/>
        <v>63990</v>
      </c>
      <c r="AD26" s="234">
        <f t="shared" si="14"/>
        <v>621.72</v>
      </c>
      <c r="AE26" s="100">
        <f t="shared" si="15"/>
        <v>10750.279999999999</v>
      </c>
      <c r="AF26" s="101">
        <f t="shared" si="16"/>
        <v>12568.279999999999</v>
      </c>
      <c r="AG26" s="102">
        <f t="shared" ref="AG26:AH26" si="43">AE26/V26</f>
        <v>0.16288303030303028</v>
      </c>
      <c r="AH26" s="102">
        <f t="shared" si="43"/>
        <v>0.17676905766526019</v>
      </c>
    </row>
    <row r="27" spans="1:35" ht="13.2">
      <c r="A27" s="251"/>
      <c r="B27" s="251"/>
      <c r="C27" s="252"/>
      <c r="D27" s="252"/>
      <c r="E27" s="114"/>
      <c r="F27" s="252"/>
      <c r="G27" s="125" t="s">
        <v>145</v>
      </c>
      <c r="I27" s="172"/>
      <c r="J27" s="82" t="str">
        <f t="shared" ca="1" si="0"/>
        <v>#REF!</v>
      </c>
      <c r="K27" s="82" t="str">
        <f t="shared" ca="1" si="1"/>
        <v>#REF!</v>
      </c>
      <c r="L27" s="82" t="str">
        <f t="shared" ref="L27:L994" ca="1" si="44">IF(J27&gt;0,J27*0.453592,IF(K27&gt;0,K27*0.02835,))</f>
        <v>#REF!</v>
      </c>
      <c r="M27" s="93"/>
      <c r="N27" s="93"/>
      <c r="O27" s="95">
        <f t="shared" si="2"/>
        <v>0</v>
      </c>
      <c r="P27" s="96">
        <f t="shared" si="3"/>
        <v>0</v>
      </c>
      <c r="Q27" s="97">
        <f t="shared" si="4"/>
        <v>0</v>
      </c>
      <c r="R27" s="97" t="str">
        <f ca="1">ROUNDUP(HLOOKUP(IF(CEILING(L27,0.5)&lt;1,0.5,CEILING(L27,0.5)),'배송비 조회'!A$44:AO$56,7,0)*B$3,-2)</f>
        <v>#REF!</v>
      </c>
      <c r="S27" s="97">
        <v>0</v>
      </c>
      <c r="T27" s="97" t="str">
        <f t="shared" ca="1" si="42"/>
        <v>#REF!</v>
      </c>
      <c r="U27" s="97" t="str">
        <f t="shared" ca="1" si="29"/>
        <v>#REF!</v>
      </c>
      <c r="V27" s="97" t="str">
        <f t="shared" ca="1" si="7"/>
        <v>#REF!</v>
      </c>
      <c r="W27" s="97" t="str">
        <f t="shared" ca="1" si="8"/>
        <v>#REF!</v>
      </c>
      <c r="X27" s="121">
        <v>0</v>
      </c>
      <c r="Y27" s="121" t="str">
        <f t="shared" ca="1" si="9"/>
        <v>#REF!</v>
      </c>
      <c r="Z27" s="121" t="str">
        <f t="shared" ca="1" si="10"/>
        <v>#REF!</v>
      </c>
      <c r="AA27" s="99" t="str">
        <f t="shared" ca="1" si="11"/>
        <v>#REF!</v>
      </c>
      <c r="AB27" s="234" t="str">
        <f t="shared" ca="1" si="12"/>
        <v>#REF!</v>
      </c>
      <c r="AC27" s="257" t="str">
        <f t="shared" ca="1" si="13"/>
        <v>#REF!</v>
      </c>
      <c r="AD27" s="234" t="str">
        <f t="shared" ca="1" si="14"/>
        <v>#REF!</v>
      </c>
      <c r="AE27" s="100" t="str">
        <f t="shared" ca="1" si="15"/>
        <v>#REF!</v>
      </c>
      <c r="AF27" s="101" t="str">
        <f t="shared" ca="1" si="16"/>
        <v>#REF!</v>
      </c>
      <c r="AG27" s="102" t="str">
        <f t="shared" ref="AG27:AH27" ca="1" si="45">AE27/V27</f>
        <v>#REF!</v>
      </c>
      <c r="AH27" s="102" t="str">
        <f t="shared" ca="1" si="45"/>
        <v>#REF!</v>
      </c>
    </row>
    <row r="28" spans="1:35" ht="13.2">
      <c r="A28" s="251"/>
      <c r="B28" s="251"/>
      <c r="C28" s="252"/>
      <c r="D28" s="252"/>
      <c r="E28" s="114"/>
      <c r="F28" s="252"/>
      <c r="G28" s="125" t="s">
        <v>145</v>
      </c>
      <c r="I28" s="172"/>
      <c r="J28" s="82" t="str">
        <f t="shared" ca="1" si="0"/>
        <v>#REF!</v>
      </c>
      <c r="K28" s="82" t="str">
        <f t="shared" ca="1" si="1"/>
        <v>#REF!</v>
      </c>
      <c r="L28" s="82" t="str">
        <f t="shared" ca="1" si="44"/>
        <v>#REF!</v>
      </c>
      <c r="M28" s="93"/>
      <c r="N28" s="93"/>
      <c r="O28" s="95">
        <f t="shared" si="2"/>
        <v>0</v>
      </c>
      <c r="P28" s="96">
        <f t="shared" si="3"/>
        <v>0</v>
      </c>
      <c r="Q28" s="97">
        <f t="shared" si="4"/>
        <v>0</v>
      </c>
      <c r="R28" s="97" t="str">
        <f ca="1">ROUNDUP(HLOOKUP(IF(CEILING(L28,0.5)&lt;1,0.5,CEILING(L28,0.5)),'배송비 조회'!A$44:AO$56,7,0)*B$3,-2)</f>
        <v>#REF!</v>
      </c>
      <c r="S28" s="97">
        <v>0</v>
      </c>
      <c r="T28" s="97" t="str">
        <f t="shared" ca="1" si="42"/>
        <v>#REF!</v>
      </c>
      <c r="U28" s="97" t="str">
        <f t="shared" ca="1" si="29"/>
        <v>#REF!</v>
      </c>
      <c r="V28" s="97" t="str">
        <f t="shared" ca="1" si="7"/>
        <v>#REF!</v>
      </c>
      <c r="W28" s="97" t="str">
        <f t="shared" ca="1" si="8"/>
        <v>#REF!</v>
      </c>
      <c r="X28" s="121">
        <v>0</v>
      </c>
      <c r="Y28" s="121" t="str">
        <f t="shared" ca="1" si="9"/>
        <v>#REF!</v>
      </c>
      <c r="Z28" s="121" t="str">
        <f t="shared" ca="1" si="10"/>
        <v>#REF!</v>
      </c>
      <c r="AA28" s="99" t="str">
        <f t="shared" ca="1" si="11"/>
        <v>#REF!</v>
      </c>
      <c r="AB28" s="234" t="str">
        <f t="shared" ca="1" si="12"/>
        <v>#REF!</v>
      </c>
      <c r="AC28" s="257" t="str">
        <f t="shared" ca="1" si="13"/>
        <v>#REF!</v>
      </c>
      <c r="AD28" s="234" t="str">
        <f t="shared" ca="1" si="14"/>
        <v>#REF!</v>
      </c>
      <c r="AE28" s="100" t="str">
        <f t="shared" ca="1" si="15"/>
        <v>#REF!</v>
      </c>
      <c r="AF28" s="101" t="str">
        <f t="shared" ca="1" si="16"/>
        <v>#REF!</v>
      </c>
      <c r="AG28" s="102" t="str">
        <f t="shared" ref="AG28:AH28" ca="1" si="46">AE28/V28</f>
        <v>#REF!</v>
      </c>
      <c r="AH28" s="102" t="str">
        <f t="shared" ca="1" si="46"/>
        <v>#REF!</v>
      </c>
    </row>
    <row r="29" spans="1:35" ht="13.2">
      <c r="A29" s="251"/>
      <c r="B29" s="251"/>
      <c r="C29" s="252"/>
      <c r="D29" s="252"/>
      <c r="E29" s="114"/>
      <c r="F29" s="252"/>
      <c r="G29" s="125" t="s">
        <v>145</v>
      </c>
      <c r="I29" s="172"/>
      <c r="J29" s="82" t="str">
        <f t="shared" ca="1" si="0"/>
        <v>#REF!</v>
      </c>
      <c r="K29" s="82" t="str">
        <f t="shared" ca="1" si="1"/>
        <v>#REF!</v>
      </c>
      <c r="L29" s="82" t="str">
        <f t="shared" ca="1" si="44"/>
        <v>#REF!</v>
      </c>
      <c r="M29" s="93"/>
      <c r="N29" s="93"/>
      <c r="O29" s="95">
        <f t="shared" si="2"/>
        <v>0</v>
      </c>
      <c r="P29" s="96">
        <f t="shared" si="3"/>
        <v>0</v>
      </c>
      <c r="Q29" s="97">
        <f t="shared" si="4"/>
        <v>0</v>
      </c>
      <c r="R29" s="97" t="str">
        <f ca="1">ROUNDUP(HLOOKUP(IF(CEILING(L29,0.5)&lt;1,0.5,CEILING(L29,0.5)),'배송비 조회'!A$44:AO$56,7,0)*B$3,-2)</f>
        <v>#REF!</v>
      </c>
      <c r="S29" s="97">
        <v>0</v>
      </c>
      <c r="T29" s="97" t="str">
        <f t="shared" ca="1" si="42"/>
        <v>#REF!</v>
      </c>
      <c r="U29" s="97" t="str">
        <f t="shared" ca="1" si="29"/>
        <v>#REF!</v>
      </c>
      <c r="V29" s="97" t="str">
        <f t="shared" ca="1" si="7"/>
        <v>#REF!</v>
      </c>
      <c r="W29" s="97" t="str">
        <f t="shared" ca="1" si="8"/>
        <v>#REF!</v>
      </c>
      <c r="X29" s="121">
        <v>0</v>
      </c>
      <c r="Y29" s="121" t="str">
        <f t="shared" ca="1" si="9"/>
        <v>#REF!</v>
      </c>
      <c r="Z29" s="121" t="str">
        <f t="shared" ca="1" si="10"/>
        <v>#REF!</v>
      </c>
      <c r="AA29" s="99" t="str">
        <f t="shared" ca="1" si="11"/>
        <v>#REF!</v>
      </c>
      <c r="AB29" s="234" t="str">
        <f t="shared" ca="1" si="12"/>
        <v>#REF!</v>
      </c>
      <c r="AC29" s="257" t="str">
        <f t="shared" ca="1" si="13"/>
        <v>#REF!</v>
      </c>
      <c r="AD29" s="234" t="str">
        <f t="shared" ca="1" si="14"/>
        <v>#REF!</v>
      </c>
      <c r="AE29" s="100" t="str">
        <f t="shared" ca="1" si="15"/>
        <v>#REF!</v>
      </c>
      <c r="AF29" s="101" t="str">
        <f t="shared" ca="1" si="16"/>
        <v>#REF!</v>
      </c>
      <c r="AG29" s="102" t="str">
        <f t="shared" ref="AG29:AH29" ca="1" si="47">AE29/V29</f>
        <v>#REF!</v>
      </c>
      <c r="AH29" s="102" t="str">
        <f t="shared" ca="1" si="47"/>
        <v>#REF!</v>
      </c>
    </row>
    <row r="30" spans="1:35" ht="13.2">
      <c r="A30" s="251"/>
      <c r="B30" s="251"/>
      <c r="C30" s="252"/>
      <c r="D30" s="252"/>
      <c r="E30" s="114"/>
      <c r="F30" s="252"/>
      <c r="G30" s="125" t="s">
        <v>145</v>
      </c>
      <c r="I30" s="172"/>
      <c r="J30" s="82" t="str">
        <f t="shared" ca="1" si="0"/>
        <v>#REF!</v>
      </c>
      <c r="K30" s="82" t="str">
        <f t="shared" ca="1" si="1"/>
        <v>#REF!</v>
      </c>
      <c r="L30" s="82" t="str">
        <f t="shared" ca="1" si="44"/>
        <v>#REF!</v>
      </c>
      <c r="M30" s="93"/>
      <c r="N30" s="93"/>
      <c r="O30" s="95">
        <f t="shared" si="2"/>
        <v>0</v>
      </c>
      <c r="P30" s="96">
        <f t="shared" si="3"/>
        <v>0</v>
      </c>
      <c r="Q30" s="97">
        <f t="shared" si="4"/>
        <v>0</v>
      </c>
      <c r="R30" s="97" t="str">
        <f ca="1">ROUNDUP(HLOOKUP(IF(CEILING(L30,0.5)&lt;1,0.5,CEILING(L30,0.5)),'배송비 조회'!A$44:AO$56,7,0)*B$3,-2)</f>
        <v>#REF!</v>
      </c>
      <c r="S30" s="97">
        <v>0</v>
      </c>
      <c r="T30" s="97" t="str">
        <f t="shared" ca="1" si="42"/>
        <v>#REF!</v>
      </c>
      <c r="U30" s="97" t="str">
        <f t="shared" ca="1" si="29"/>
        <v>#REF!</v>
      </c>
      <c r="V30" s="97" t="str">
        <f t="shared" ca="1" si="7"/>
        <v>#REF!</v>
      </c>
      <c r="W30" s="97" t="str">
        <f t="shared" ca="1" si="8"/>
        <v>#REF!</v>
      </c>
      <c r="X30" s="121">
        <v>0</v>
      </c>
      <c r="Y30" s="121" t="str">
        <f t="shared" ca="1" si="9"/>
        <v>#REF!</v>
      </c>
      <c r="Z30" s="121" t="str">
        <f t="shared" ca="1" si="10"/>
        <v>#REF!</v>
      </c>
      <c r="AA30" s="99" t="str">
        <f t="shared" ca="1" si="11"/>
        <v>#REF!</v>
      </c>
      <c r="AB30" s="234" t="str">
        <f t="shared" ca="1" si="12"/>
        <v>#REF!</v>
      </c>
      <c r="AC30" s="257" t="str">
        <f t="shared" ca="1" si="13"/>
        <v>#REF!</v>
      </c>
      <c r="AD30" s="234" t="str">
        <f t="shared" ca="1" si="14"/>
        <v>#REF!</v>
      </c>
      <c r="AE30" s="100" t="str">
        <f t="shared" ca="1" si="15"/>
        <v>#REF!</v>
      </c>
      <c r="AF30" s="101" t="str">
        <f t="shared" ca="1" si="16"/>
        <v>#REF!</v>
      </c>
      <c r="AG30" s="102" t="str">
        <f t="shared" ref="AG30:AH30" ca="1" si="48">AE30/V30</f>
        <v>#REF!</v>
      </c>
      <c r="AH30" s="102" t="str">
        <f t="shared" ca="1" si="48"/>
        <v>#REF!</v>
      </c>
    </row>
    <row r="31" spans="1:35" ht="13.2">
      <c r="A31" s="251"/>
      <c r="B31" s="251"/>
      <c r="C31" s="252"/>
      <c r="D31" s="252"/>
      <c r="E31" s="114"/>
      <c r="F31" s="252"/>
      <c r="G31" s="125" t="s">
        <v>145</v>
      </c>
      <c r="I31" s="172"/>
      <c r="J31" s="82" t="str">
        <f t="shared" ca="1" si="0"/>
        <v>#REF!</v>
      </c>
      <c r="K31" s="82" t="str">
        <f t="shared" ca="1" si="1"/>
        <v>#REF!</v>
      </c>
      <c r="L31" s="82" t="str">
        <f t="shared" ca="1" si="44"/>
        <v>#REF!</v>
      </c>
      <c r="M31" s="93"/>
      <c r="N31" s="93"/>
      <c r="O31" s="95">
        <f t="shared" si="2"/>
        <v>0</v>
      </c>
      <c r="P31" s="96">
        <f t="shared" si="3"/>
        <v>0</v>
      </c>
      <c r="Q31" s="97">
        <f t="shared" si="4"/>
        <v>0</v>
      </c>
      <c r="R31" s="97" t="str">
        <f ca="1">ROUNDUP(HLOOKUP(IF(CEILING(L31,0.5)&lt;1,0.5,CEILING(L31,0.5)),'배송비 조회'!A$44:AO$56,7,0)*B$3,-2)</f>
        <v>#REF!</v>
      </c>
      <c r="S31" s="97">
        <v>0</v>
      </c>
      <c r="T31" s="97" t="str">
        <f t="shared" ca="1" si="42"/>
        <v>#REF!</v>
      </c>
      <c r="U31" s="97" t="str">
        <f t="shared" ca="1" si="29"/>
        <v>#REF!</v>
      </c>
      <c r="V31" s="97" t="str">
        <f t="shared" ca="1" si="7"/>
        <v>#REF!</v>
      </c>
      <c r="W31" s="97" t="str">
        <f t="shared" ca="1" si="8"/>
        <v>#REF!</v>
      </c>
      <c r="X31" s="121">
        <v>0</v>
      </c>
      <c r="Y31" s="121" t="str">
        <f t="shared" ca="1" si="9"/>
        <v>#REF!</v>
      </c>
      <c r="Z31" s="121" t="str">
        <f t="shared" ca="1" si="10"/>
        <v>#REF!</v>
      </c>
      <c r="AA31" s="99" t="str">
        <f t="shared" ca="1" si="11"/>
        <v>#REF!</v>
      </c>
      <c r="AB31" s="234" t="str">
        <f t="shared" ca="1" si="12"/>
        <v>#REF!</v>
      </c>
      <c r="AC31" s="257" t="str">
        <f t="shared" ca="1" si="13"/>
        <v>#REF!</v>
      </c>
      <c r="AD31" s="234" t="str">
        <f t="shared" ca="1" si="14"/>
        <v>#REF!</v>
      </c>
      <c r="AE31" s="100" t="str">
        <f t="shared" ca="1" si="15"/>
        <v>#REF!</v>
      </c>
      <c r="AF31" s="101" t="str">
        <f t="shared" ca="1" si="16"/>
        <v>#REF!</v>
      </c>
      <c r="AG31" s="102" t="str">
        <f t="shared" ref="AG31:AH31" ca="1" si="49">AE31/V31</f>
        <v>#REF!</v>
      </c>
      <c r="AH31" s="102" t="str">
        <f t="shared" ca="1" si="49"/>
        <v>#REF!</v>
      </c>
    </row>
    <row r="32" spans="1:35" ht="13.2">
      <c r="A32" s="251"/>
      <c r="B32" s="251"/>
      <c r="C32" s="252"/>
      <c r="D32" s="252"/>
      <c r="E32" s="114"/>
      <c r="F32" s="252"/>
      <c r="G32" s="125" t="s">
        <v>145</v>
      </c>
      <c r="I32" s="172"/>
      <c r="J32" s="82" t="str">
        <f t="shared" ca="1" si="0"/>
        <v>#REF!</v>
      </c>
      <c r="K32" s="82" t="str">
        <f t="shared" ca="1" si="1"/>
        <v>#REF!</v>
      </c>
      <c r="L32" s="82" t="str">
        <f t="shared" ca="1" si="44"/>
        <v>#REF!</v>
      </c>
      <c r="M32" s="93"/>
      <c r="N32" s="93"/>
      <c r="O32" s="95">
        <f t="shared" si="2"/>
        <v>0</v>
      </c>
      <c r="P32" s="96">
        <f t="shared" si="3"/>
        <v>0</v>
      </c>
      <c r="Q32" s="97">
        <f t="shared" si="4"/>
        <v>0</v>
      </c>
      <c r="R32" s="97" t="str">
        <f ca="1">ROUNDUP(HLOOKUP(IF(CEILING(L32,0.5)&lt;1,0.5,CEILING(L32,0.5)),'배송비 조회'!A$44:AO$56,7,0)*B$3,-2)</f>
        <v>#REF!</v>
      </c>
      <c r="S32" s="97">
        <v>0</v>
      </c>
      <c r="T32" s="97" t="str">
        <f t="shared" ca="1" si="42"/>
        <v>#REF!</v>
      </c>
      <c r="U32" s="97" t="str">
        <f t="shared" ca="1" si="29"/>
        <v>#REF!</v>
      </c>
      <c r="V32" s="97" t="str">
        <f t="shared" ca="1" si="7"/>
        <v>#REF!</v>
      </c>
      <c r="W32" s="97" t="str">
        <f t="shared" ca="1" si="8"/>
        <v>#REF!</v>
      </c>
      <c r="X32" s="121">
        <v>0</v>
      </c>
      <c r="Y32" s="121" t="str">
        <f t="shared" ca="1" si="9"/>
        <v>#REF!</v>
      </c>
      <c r="Z32" s="121" t="str">
        <f t="shared" ca="1" si="10"/>
        <v>#REF!</v>
      </c>
      <c r="AA32" s="99" t="str">
        <f t="shared" ca="1" si="11"/>
        <v>#REF!</v>
      </c>
      <c r="AB32" s="234" t="str">
        <f t="shared" ca="1" si="12"/>
        <v>#REF!</v>
      </c>
      <c r="AC32" s="257" t="str">
        <f t="shared" ca="1" si="13"/>
        <v>#REF!</v>
      </c>
      <c r="AD32" s="234" t="str">
        <f t="shared" ca="1" si="14"/>
        <v>#REF!</v>
      </c>
      <c r="AE32" s="100" t="str">
        <f t="shared" ca="1" si="15"/>
        <v>#REF!</v>
      </c>
      <c r="AF32" s="101" t="str">
        <f t="shared" ca="1" si="16"/>
        <v>#REF!</v>
      </c>
      <c r="AG32" s="102" t="str">
        <f t="shared" ref="AG32:AH32" ca="1" si="50">AE32/V32</f>
        <v>#REF!</v>
      </c>
      <c r="AH32" s="102" t="str">
        <f t="shared" ca="1" si="50"/>
        <v>#REF!</v>
      </c>
    </row>
    <row r="33" spans="1:34" ht="13.2">
      <c r="A33" s="251"/>
      <c r="B33" s="251"/>
      <c r="C33" s="252"/>
      <c r="D33" s="252"/>
      <c r="E33" s="114"/>
      <c r="F33" s="252"/>
      <c r="G33" s="125" t="s">
        <v>145</v>
      </c>
      <c r="I33" s="172"/>
      <c r="J33" s="82" t="str">
        <f t="shared" ca="1" si="0"/>
        <v>#REF!</v>
      </c>
      <c r="K33" s="82" t="str">
        <f t="shared" ca="1" si="1"/>
        <v>#REF!</v>
      </c>
      <c r="L33" s="82" t="str">
        <f t="shared" ca="1" si="44"/>
        <v>#REF!</v>
      </c>
      <c r="M33" s="93"/>
      <c r="N33" s="93"/>
      <c r="O33" s="95">
        <f t="shared" si="2"/>
        <v>0</v>
      </c>
      <c r="P33" s="96">
        <f t="shared" si="3"/>
        <v>0</v>
      </c>
      <c r="Q33" s="97">
        <f t="shared" si="4"/>
        <v>0</v>
      </c>
      <c r="R33" s="97" t="str">
        <f ca="1">ROUNDUP(HLOOKUP(IF(CEILING(L33,0.5)&lt;1,0.5,CEILING(L33,0.5)),'배송비 조회'!A$44:AO$56,7,0)*B$3,-2)</f>
        <v>#REF!</v>
      </c>
      <c r="S33" s="97">
        <v>0</v>
      </c>
      <c r="T33" s="97" t="str">
        <f t="shared" ca="1" si="42"/>
        <v>#REF!</v>
      </c>
      <c r="U33" s="97" t="str">
        <f t="shared" ca="1" si="29"/>
        <v>#REF!</v>
      </c>
      <c r="V33" s="97" t="str">
        <f t="shared" ca="1" si="7"/>
        <v>#REF!</v>
      </c>
      <c r="W33" s="97" t="str">
        <f t="shared" ca="1" si="8"/>
        <v>#REF!</v>
      </c>
      <c r="X33" s="121">
        <v>0</v>
      </c>
      <c r="Y33" s="121" t="str">
        <f t="shared" ca="1" si="9"/>
        <v>#REF!</v>
      </c>
      <c r="Z33" s="121" t="str">
        <f t="shared" ca="1" si="10"/>
        <v>#REF!</v>
      </c>
      <c r="AA33" s="99" t="str">
        <f t="shared" ca="1" si="11"/>
        <v>#REF!</v>
      </c>
      <c r="AB33" s="234" t="str">
        <f t="shared" ca="1" si="12"/>
        <v>#REF!</v>
      </c>
      <c r="AC33" s="257" t="str">
        <f t="shared" ca="1" si="13"/>
        <v>#REF!</v>
      </c>
      <c r="AD33" s="234" t="str">
        <f t="shared" ca="1" si="14"/>
        <v>#REF!</v>
      </c>
      <c r="AE33" s="100" t="str">
        <f t="shared" ca="1" si="15"/>
        <v>#REF!</v>
      </c>
      <c r="AF33" s="101" t="str">
        <f t="shared" ca="1" si="16"/>
        <v>#REF!</v>
      </c>
      <c r="AG33" s="102" t="str">
        <f t="shared" ref="AG33:AH33" ca="1" si="51">AE33/V33</f>
        <v>#REF!</v>
      </c>
      <c r="AH33" s="102" t="str">
        <f t="shared" ca="1" si="51"/>
        <v>#REF!</v>
      </c>
    </row>
    <row r="34" spans="1:34" ht="13.2">
      <c r="A34" s="251"/>
      <c r="B34" s="251"/>
      <c r="C34" s="252"/>
      <c r="D34" s="252"/>
      <c r="E34" s="114"/>
      <c r="F34" s="252"/>
      <c r="G34" s="125" t="s">
        <v>145</v>
      </c>
      <c r="I34" s="172"/>
      <c r="J34" s="82" t="str">
        <f t="shared" ca="1" si="0"/>
        <v>#REF!</v>
      </c>
      <c r="K34" s="82" t="str">
        <f t="shared" ca="1" si="1"/>
        <v>#REF!</v>
      </c>
      <c r="L34" s="82" t="str">
        <f t="shared" ca="1" si="44"/>
        <v>#REF!</v>
      </c>
      <c r="M34" s="93"/>
      <c r="N34" s="93"/>
      <c r="O34" s="95">
        <f t="shared" si="2"/>
        <v>0</v>
      </c>
      <c r="P34" s="96">
        <f t="shared" si="3"/>
        <v>0</v>
      </c>
      <c r="Q34" s="97">
        <f t="shared" si="4"/>
        <v>0</v>
      </c>
      <c r="R34" s="97" t="str">
        <f ca="1">ROUNDUP(HLOOKUP(IF(CEILING(L34,0.5)&lt;1,0.5,CEILING(L34,0.5)),'배송비 조회'!A$44:AO$56,7,0)*B$3,-2)</f>
        <v>#REF!</v>
      </c>
      <c r="S34" s="97">
        <v>0</v>
      </c>
      <c r="T34" s="97" t="str">
        <f t="shared" ca="1" si="42"/>
        <v>#REF!</v>
      </c>
      <c r="U34" s="97" t="str">
        <f t="shared" ca="1" si="29"/>
        <v>#REF!</v>
      </c>
      <c r="V34" s="97" t="str">
        <f t="shared" ca="1" si="7"/>
        <v>#REF!</v>
      </c>
      <c r="W34" s="97" t="str">
        <f t="shared" ca="1" si="8"/>
        <v>#REF!</v>
      </c>
      <c r="X34" s="121">
        <v>0</v>
      </c>
      <c r="Y34" s="121" t="str">
        <f t="shared" ca="1" si="9"/>
        <v>#REF!</v>
      </c>
      <c r="Z34" s="121" t="str">
        <f t="shared" ca="1" si="10"/>
        <v>#REF!</v>
      </c>
      <c r="AA34" s="99" t="str">
        <f t="shared" ca="1" si="11"/>
        <v>#REF!</v>
      </c>
      <c r="AB34" s="234" t="str">
        <f t="shared" ca="1" si="12"/>
        <v>#REF!</v>
      </c>
      <c r="AC34" s="257" t="str">
        <f t="shared" ca="1" si="13"/>
        <v>#REF!</v>
      </c>
      <c r="AD34" s="234" t="str">
        <f t="shared" ca="1" si="14"/>
        <v>#REF!</v>
      </c>
      <c r="AE34" s="100" t="str">
        <f t="shared" ca="1" si="15"/>
        <v>#REF!</v>
      </c>
      <c r="AF34" s="101" t="str">
        <f t="shared" ca="1" si="16"/>
        <v>#REF!</v>
      </c>
      <c r="AG34" s="102" t="str">
        <f t="shared" ref="AG34:AH34" ca="1" si="52">AE34/V34</f>
        <v>#REF!</v>
      </c>
      <c r="AH34" s="102" t="str">
        <f t="shared" ca="1" si="52"/>
        <v>#REF!</v>
      </c>
    </row>
    <row r="35" spans="1:34" ht="13.2">
      <c r="A35" s="251"/>
      <c r="B35" s="251"/>
      <c r="C35" s="252"/>
      <c r="D35" s="252"/>
      <c r="E35" s="114"/>
      <c r="F35" s="252"/>
      <c r="G35" s="125" t="s">
        <v>145</v>
      </c>
      <c r="I35" s="172"/>
      <c r="J35" s="82" t="str">
        <f t="shared" ca="1" si="0"/>
        <v>#REF!</v>
      </c>
      <c r="K35" s="82" t="str">
        <f t="shared" ca="1" si="1"/>
        <v>#REF!</v>
      </c>
      <c r="L35" s="82" t="str">
        <f t="shared" ca="1" si="44"/>
        <v>#REF!</v>
      </c>
      <c r="M35" s="93"/>
      <c r="N35" s="93"/>
      <c r="O35" s="95">
        <f t="shared" si="2"/>
        <v>0</v>
      </c>
      <c r="P35" s="96">
        <f t="shared" si="3"/>
        <v>0</v>
      </c>
      <c r="Q35" s="97">
        <f t="shared" si="4"/>
        <v>0</v>
      </c>
      <c r="R35" s="97" t="str">
        <f ca="1">ROUNDUP(HLOOKUP(IF(CEILING(L35,0.5)&lt;1,0.5,CEILING(L35,0.5)),'배송비 조회'!A$44:AO$56,7,0)*B$3,-2)</f>
        <v>#REF!</v>
      </c>
      <c r="S35" s="97">
        <v>0</v>
      </c>
      <c r="T35" s="97" t="str">
        <f t="shared" ca="1" si="42"/>
        <v>#REF!</v>
      </c>
      <c r="U35" s="97" t="str">
        <f t="shared" ca="1" si="29"/>
        <v>#REF!</v>
      </c>
      <c r="V35" s="97" t="str">
        <f t="shared" ca="1" si="7"/>
        <v>#REF!</v>
      </c>
      <c r="W35" s="97" t="str">
        <f t="shared" ca="1" si="8"/>
        <v>#REF!</v>
      </c>
      <c r="X35" s="121">
        <v>0</v>
      </c>
      <c r="Y35" s="121" t="str">
        <f t="shared" ca="1" si="9"/>
        <v>#REF!</v>
      </c>
      <c r="Z35" s="121" t="str">
        <f t="shared" ca="1" si="10"/>
        <v>#REF!</v>
      </c>
      <c r="AA35" s="99" t="str">
        <f t="shared" ca="1" si="11"/>
        <v>#REF!</v>
      </c>
      <c r="AB35" s="234" t="str">
        <f t="shared" ca="1" si="12"/>
        <v>#REF!</v>
      </c>
      <c r="AC35" s="257" t="str">
        <f t="shared" ca="1" si="13"/>
        <v>#REF!</v>
      </c>
      <c r="AD35" s="234" t="str">
        <f t="shared" ca="1" si="14"/>
        <v>#REF!</v>
      </c>
      <c r="AE35" s="100" t="str">
        <f t="shared" ca="1" si="15"/>
        <v>#REF!</v>
      </c>
      <c r="AF35" s="101" t="str">
        <f t="shared" ca="1" si="16"/>
        <v>#REF!</v>
      </c>
      <c r="AG35" s="102" t="str">
        <f t="shared" ref="AG35:AH35" ca="1" si="53">AE35/V35</f>
        <v>#REF!</v>
      </c>
      <c r="AH35" s="102" t="str">
        <f t="shared" ca="1" si="53"/>
        <v>#REF!</v>
      </c>
    </row>
    <row r="36" spans="1:34" ht="13.2">
      <c r="A36" s="251"/>
      <c r="B36" s="251"/>
      <c r="C36" s="252"/>
      <c r="D36" s="252"/>
      <c r="E36" s="114"/>
      <c r="F36" s="252"/>
      <c r="G36" s="125" t="s">
        <v>145</v>
      </c>
      <c r="I36" s="172"/>
      <c r="J36" s="82" t="str">
        <f t="shared" ca="1" si="0"/>
        <v>#REF!</v>
      </c>
      <c r="K36" s="82" t="str">
        <f t="shared" ca="1" si="1"/>
        <v>#REF!</v>
      </c>
      <c r="L36" s="82" t="str">
        <f t="shared" ca="1" si="44"/>
        <v>#REF!</v>
      </c>
      <c r="M36" s="93"/>
      <c r="N36" s="93"/>
      <c r="O36" s="95">
        <f t="shared" si="2"/>
        <v>0</v>
      </c>
      <c r="P36" s="96">
        <f t="shared" si="3"/>
        <v>0</v>
      </c>
      <c r="Q36" s="97">
        <f t="shared" si="4"/>
        <v>0</v>
      </c>
      <c r="R36" s="97" t="str">
        <f ca="1">ROUNDUP(HLOOKUP(IF(CEILING(L36,0.5)&lt;1,0.5,CEILING(L36,0.5)),'배송비 조회'!A$44:AO$56,7,0)*B$3,-2)</f>
        <v>#REF!</v>
      </c>
      <c r="S36" s="97">
        <v>0</v>
      </c>
      <c r="T36" s="97" t="str">
        <f t="shared" ca="1" si="42"/>
        <v>#REF!</v>
      </c>
      <c r="U36" s="97" t="str">
        <f t="shared" ca="1" si="29"/>
        <v>#REF!</v>
      </c>
      <c r="V36" s="97" t="str">
        <f t="shared" ca="1" si="7"/>
        <v>#REF!</v>
      </c>
      <c r="W36" s="97" t="str">
        <f t="shared" ca="1" si="8"/>
        <v>#REF!</v>
      </c>
      <c r="X36" s="121">
        <v>0</v>
      </c>
      <c r="Y36" s="121" t="str">
        <f t="shared" ca="1" si="9"/>
        <v>#REF!</v>
      </c>
      <c r="Z36" s="121" t="str">
        <f t="shared" ca="1" si="10"/>
        <v>#REF!</v>
      </c>
      <c r="AA36" s="99" t="str">
        <f t="shared" ca="1" si="11"/>
        <v>#REF!</v>
      </c>
      <c r="AB36" s="234" t="str">
        <f t="shared" ca="1" si="12"/>
        <v>#REF!</v>
      </c>
      <c r="AC36" s="257" t="str">
        <f t="shared" ca="1" si="13"/>
        <v>#REF!</v>
      </c>
      <c r="AD36" s="234" t="str">
        <f t="shared" ca="1" si="14"/>
        <v>#REF!</v>
      </c>
      <c r="AE36" s="100" t="str">
        <f t="shared" ca="1" si="15"/>
        <v>#REF!</v>
      </c>
      <c r="AF36" s="101" t="str">
        <f t="shared" ca="1" si="16"/>
        <v>#REF!</v>
      </c>
      <c r="AG36" s="102" t="str">
        <f t="shared" ref="AG36:AH36" ca="1" si="54">AE36/V36</f>
        <v>#REF!</v>
      </c>
      <c r="AH36" s="102" t="str">
        <f t="shared" ca="1" si="54"/>
        <v>#REF!</v>
      </c>
    </row>
    <row r="37" spans="1:34" ht="13.2">
      <c r="A37" s="251"/>
      <c r="B37" s="251"/>
      <c r="C37" s="252"/>
      <c r="D37" s="252"/>
      <c r="E37" s="114"/>
      <c r="F37" s="252"/>
      <c r="G37" s="125" t="s">
        <v>145</v>
      </c>
      <c r="I37" s="172"/>
      <c r="J37" s="82" t="str">
        <f t="shared" ca="1" si="0"/>
        <v>#REF!</v>
      </c>
      <c r="K37" s="82" t="str">
        <f t="shared" ca="1" si="1"/>
        <v>#REF!</v>
      </c>
      <c r="L37" s="82" t="str">
        <f t="shared" ca="1" si="44"/>
        <v>#REF!</v>
      </c>
      <c r="M37" s="93"/>
      <c r="N37" s="93"/>
      <c r="O37" s="95">
        <f t="shared" si="2"/>
        <v>0</v>
      </c>
      <c r="P37" s="96">
        <f t="shared" si="3"/>
        <v>0</v>
      </c>
      <c r="Q37" s="97">
        <f t="shared" si="4"/>
        <v>0</v>
      </c>
      <c r="R37" s="97" t="str">
        <f ca="1">ROUNDUP(HLOOKUP(IF(CEILING(L37,0.5)&lt;1,0.5,CEILING(L37,0.5)),'배송비 조회'!A$44:AO$56,7,0)*B$3,-2)</f>
        <v>#REF!</v>
      </c>
      <c r="S37" s="97">
        <v>0</v>
      </c>
      <c r="T37" s="97" t="str">
        <f t="shared" ca="1" si="42"/>
        <v>#REF!</v>
      </c>
      <c r="U37" s="97" t="str">
        <f t="shared" ca="1" si="29"/>
        <v>#REF!</v>
      </c>
      <c r="V37" s="97" t="str">
        <f t="shared" ca="1" si="7"/>
        <v>#REF!</v>
      </c>
      <c r="W37" s="97" t="str">
        <f t="shared" ca="1" si="8"/>
        <v>#REF!</v>
      </c>
      <c r="X37" s="121">
        <v>0</v>
      </c>
      <c r="Y37" s="121" t="str">
        <f t="shared" ca="1" si="9"/>
        <v>#REF!</v>
      </c>
      <c r="Z37" s="121" t="str">
        <f t="shared" ca="1" si="10"/>
        <v>#REF!</v>
      </c>
      <c r="AA37" s="99" t="str">
        <f t="shared" ca="1" si="11"/>
        <v>#REF!</v>
      </c>
      <c r="AB37" s="234" t="str">
        <f t="shared" ca="1" si="12"/>
        <v>#REF!</v>
      </c>
      <c r="AC37" s="257" t="str">
        <f t="shared" ca="1" si="13"/>
        <v>#REF!</v>
      </c>
      <c r="AD37" s="234" t="str">
        <f t="shared" ca="1" si="14"/>
        <v>#REF!</v>
      </c>
      <c r="AE37" s="100" t="str">
        <f t="shared" ca="1" si="15"/>
        <v>#REF!</v>
      </c>
      <c r="AF37" s="101" t="str">
        <f t="shared" ca="1" si="16"/>
        <v>#REF!</v>
      </c>
      <c r="AG37" s="102" t="str">
        <f t="shared" ref="AG37:AH37" ca="1" si="55">AE37/V37</f>
        <v>#REF!</v>
      </c>
      <c r="AH37" s="102" t="str">
        <f t="shared" ca="1" si="55"/>
        <v>#REF!</v>
      </c>
    </row>
    <row r="38" spans="1:34" ht="13.2">
      <c r="A38" s="251"/>
      <c r="B38" s="251"/>
      <c r="C38" s="252"/>
      <c r="D38" s="252"/>
      <c r="E38" s="114"/>
      <c r="F38" s="252"/>
      <c r="G38" s="125" t="s">
        <v>145</v>
      </c>
      <c r="I38" s="172"/>
      <c r="J38" s="82" t="str">
        <f t="shared" ca="1" si="0"/>
        <v>#REF!</v>
      </c>
      <c r="K38" s="82" t="str">
        <f t="shared" ca="1" si="1"/>
        <v>#REF!</v>
      </c>
      <c r="L38" s="82" t="str">
        <f t="shared" ca="1" si="44"/>
        <v>#REF!</v>
      </c>
      <c r="M38" s="93"/>
      <c r="N38" s="93"/>
      <c r="O38" s="95">
        <f t="shared" si="2"/>
        <v>0</v>
      </c>
      <c r="P38" s="96">
        <f t="shared" si="3"/>
        <v>0</v>
      </c>
      <c r="Q38" s="97">
        <f t="shared" si="4"/>
        <v>0</v>
      </c>
      <c r="R38" s="97" t="str">
        <f ca="1">ROUNDUP(HLOOKUP(IF(CEILING(L38,0.5)&lt;1,0.5,CEILING(L38,0.5)),'배송비 조회'!A$44:AO$56,7,0)*B$3,-2)</f>
        <v>#REF!</v>
      </c>
      <c r="S38" s="97">
        <v>0</v>
      </c>
      <c r="T38" s="97" t="str">
        <f t="shared" ca="1" si="42"/>
        <v>#REF!</v>
      </c>
      <c r="U38" s="97" t="str">
        <f t="shared" ca="1" si="29"/>
        <v>#REF!</v>
      </c>
      <c r="V38" s="97" t="str">
        <f t="shared" ca="1" si="7"/>
        <v>#REF!</v>
      </c>
      <c r="W38" s="97" t="str">
        <f t="shared" ca="1" si="8"/>
        <v>#REF!</v>
      </c>
      <c r="X38" s="121">
        <v>0</v>
      </c>
      <c r="Y38" s="121" t="str">
        <f t="shared" ca="1" si="9"/>
        <v>#REF!</v>
      </c>
      <c r="Z38" s="121" t="str">
        <f t="shared" ca="1" si="10"/>
        <v>#REF!</v>
      </c>
      <c r="AA38" s="99" t="str">
        <f t="shared" ca="1" si="11"/>
        <v>#REF!</v>
      </c>
      <c r="AB38" s="234" t="str">
        <f t="shared" ca="1" si="12"/>
        <v>#REF!</v>
      </c>
      <c r="AC38" s="257" t="str">
        <f t="shared" ca="1" si="13"/>
        <v>#REF!</v>
      </c>
      <c r="AD38" s="234" t="str">
        <f t="shared" ca="1" si="14"/>
        <v>#REF!</v>
      </c>
      <c r="AE38" s="100" t="str">
        <f t="shared" ca="1" si="15"/>
        <v>#REF!</v>
      </c>
      <c r="AF38" s="101" t="str">
        <f t="shared" ca="1" si="16"/>
        <v>#REF!</v>
      </c>
      <c r="AG38" s="102" t="str">
        <f t="shared" ref="AG38:AH38" ca="1" si="56">AE38/V38</f>
        <v>#REF!</v>
      </c>
      <c r="AH38" s="102" t="str">
        <f t="shared" ca="1" si="56"/>
        <v>#REF!</v>
      </c>
    </row>
    <row r="39" spans="1:34" ht="13.2">
      <c r="A39" s="251"/>
      <c r="B39" s="251"/>
      <c r="C39" s="252"/>
      <c r="D39" s="252"/>
      <c r="E39" s="114"/>
      <c r="F39" s="252"/>
      <c r="G39" s="125" t="s">
        <v>145</v>
      </c>
      <c r="I39" s="172"/>
      <c r="J39" s="82" t="str">
        <f t="shared" ca="1" si="0"/>
        <v>#REF!</v>
      </c>
      <c r="K39" s="82" t="str">
        <f t="shared" ca="1" si="1"/>
        <v>#REF!</v>
      </c>
      <c r="L39" s="82" t="str">
        <f t="shared" ca="1" si="44"/>
        <v>#REF!</v>
      </c>
      <c r="M39" s="93"/>
      <c r="N39" s="93"/>
      <c r="O39" s="95">
        <f t="shared" si="2"/>
        <v>0</v>
      </c>
      <c r="P39" s="96">
        <f t="shared" si="3"/>
        <v>0</v>
      </c>
      <c r="Q39" s="97">
        <f t="shared" si="4"/>
        <v>0</v>
      </c>
      <c r="R39" s="97" t="str">
        <f ca="1">ROUNDUP(HLOOKUP(IF(CEILING(L39,0.5)&lt;1,0.5,CEILING(L39,0.5)),'배송비 조회'!A$44:AO$56,7,0)*B$3,-2)</f>
        <v>#REF!</v>
      </c>
      <c r="S39" s="97">
        <v>0</v>
      </c>
      <c r="T39" s="97" t="str">
        <f t="shared" ca="1" si="42"/>
        <v>#REF!</v>
      </c>
      <c r="U39" s="97" t="str">
        <f t="shared" ca="1" si="29"/>
        <v>#REF!</v>
      </c>
      <c r="V39" s="97" t="str">
        <f t="shared" ca="1" si="7"/>
        <v>#REF!</v>
      </c>
      <c r="W39" s="97" t="str">
        <f t="shared" ca="1" si="8"/>
        <v>#REF!</v>
      </c>
      <c r="X39" s="121">
        <v>0</v>
      </c>
      <c r="Y39" s="121" t="str">
        <f t="shared" ca="1" si="9"/>
        <v>#REF!</v>
      </c>
      <c r="Z39" s="121" t="str">
        <f t="shared" ca="1" si="10"/>
        <v>#REF!</v>
      </c>
      <c r="AA39" s="99" t="str">
        <f t="shared" ca="1" si="11"/>
        <v>#REF!</v>
      </c>
      <c r="AB39" s="234" t="str">
        <f t="shared" ca="1" si="12"/>
        <v>#REF!</v>
      </c>
      <c r="AC39" s="257" t="str">
        <f t="shared" ca="1" si="13"/>
        <v>#REF!</v>
      </c>
      <c r="AD39" s="234" t="str">
        <f t="shared" ca="1" si="14"/>
        <v>#REF!</v>
      </c>
      <c r="AE39" s="100" t="str">
        <f t="shared" ca="1" si="15"/>
        <v>#REF!</v>
      </c>
      <c r="AF39" s="101" t="str">
        <f t="shared" ca="1" si="16"/>
        <v>#REF!</v>
      </c>
      <c r="AG39" s="102" t="str">
        <f t="shared" ref="AG39:AH39" ca="1" si="57">AE39/V39</f>
        <v>#REF!</v>
      </c>
      <c r="AH39" s="102" t="str">
        <f t="shared" ca="1" si="57"/>
        <v>#REF!</v>
      </c>
    </row>
    <row r="40" spans="1:34" ht="13.2">
      <c r="A40" s="251"/>
      <c r="B40" s="251"/>
      <c r="C40" s="252"/>
      <c r="D40" s="252"/>
      <c r="E40" s="114"/>
      <c r="F40" s="252"/>
      <c r="G40" s="125" t="s">
        <v>145</v>
      </c>
      <c r="I40" s="172"/>
      <c r="J40" s="82" t="str">
        <f t="shared" ca="1" si="0"/>
        <v>#REF!</v>
      </c>
      <c r="K40" s="82" t="str">
        <f t="shared" ca="1" si="1"/>
        <v>#REF!</v>
      </c>
      <c r="L40" s="82" t="str">
        <f t="shared" ca="1" si="44"/>
        <v>#REF!</v>
      </c>
      <c r="M40" s="93"/>
      <c r="N40" s="93"/>
      <c r="O40" s="95">
        <f t="shared" si="2"/>
        <v>0</v>
      </c>
      <c r="P40" s="96">
        <f t="shared" si="3"/>
        <v>0</v>
      </c>
      <c r="Q40" s="97">
        <f t="shared" si="4"/>
        <v>0</v>
      </c>
      <c r="R40" s="97" t="str">
        <f ca="1">ROUNDUP(HLOOKUP(IF(CEILING(L40,0.5)&lt;1,0.5,CEILING(L40,0.5)),'배송비 조회'!A$44:AO$56,7,0)*B$3,-2)</f>
        <v>#REF!</v>
      </c>
      <c r="S40" s="97">
        <v>0</v>
      </c>
      <c r="T40" s="97" t="str">
        <f t="shared" ca="1" si="42"/>
        <v>#REF!</v>
      </c>
      <c r="U40" s="97" t="str">
        <f t="shared" ca="1" si="29"/>
        <v>#REF!</v>
      </c>
      <c r="V40" s="97" t="str">
        <f t="shared" ca="1" si="7"/>
        <v>#REF!</v>
      </c>
      <c r="W40" s="97" t="str">
        <f t="shared" ca="1" si="8"/>
        <v>#REF!</v>
      </c>
      <c r="X40" s="121">
        <v>0</v>
      </c>
      <c r="Y40" s="121" t="str">
        <f t="shared" ca="1" si="9"/>
        <v>#REF!</v>
      </c>
      <c r="Z40" s="121" t="str">
        <f t="shared" ca="1" si="10"/>
        <v>#REF!</v>
      </c>
      <c r="AA40" s="99" t="str">
        <f t="shared" ca="1" si="11"/>
        <v>#REF!</v>
      </c>
      <c r="AB40" s="234" t="str">
        <f t="shared" ca="1" si="12"/>
        <v>#REF!</v>
      </c>
      <c r="AC40" s="257" t="str">
        <f t="shared" ca="1" si="13"/>
        <v>#REF!</v>
      </c>
      <c r="AD40" s="234" t="str">
        <f t="shared" ca="1" si="14"/>
        <v>#REF!</v>
      </c>
      <c r="AE40" s="100" t="str">
        <f t="shared" ca="1" si="15"/>
        <v>#REF!</v>
      </c>
      <c r="AF40" s="101" t="str">
        <f t="shared" ca="1" si="16"/>
        <v>#REF!</v>
      </c>
      <c r="AG40" s="102" t="str">
        <f t="shared" ref="AG40:AH40" ca="1" si="58">AE40/V40</f>
        <v>#REF!</v>
      </c>
      <c r="AH40" s="102" t="str">
        <f t="shared" ca="1" si="58"/>
        <v>#REF!</v>
      </c>
    </row>
    <row r="41" spans="1:34" ht="13.2">
      <c r="A41" s="251"/>
      <c r="B41" s="251"/>
      <c r="C41" s="252"/>
      <c r="D41" s="252"/>
      <c r="E41" s="114"/>
      <c r="F41" s="252"/>
      <c r="G41" s="125" t="s">
        <v>145</v>
      </c>
      <c r="I41" s="172"/>
      <c r="J41" s="82" t="str">
        <f t="shared" ca="1" si="0"/>
        <v>#REF!</v>
      </c>
      <c r="K41" s="82" t="str">
        <f t="shared" ca="1" si="1"/>
        <v>#REF!</v>
      </c>
      <c r="L41" s="82" t="str">
        <f t="shared" ca="1" si="44"/>
        <v>#REF!</v>
      </c>
      <c r="M41" s="93"/>
      <c r="N41" s="93"/>
      <c r="O41" s="95">
        <f t="shared" si="2"/>
        <v>0</v>
      </c>
      <c r="P41" s="96">
        <f t="shared" si="3"/>
        <v>0</v>
      </c>
      <c r="Q41" s="97">
        <f t="shared" si="4"/>
        <v>0</v>
      </c>
      <c r="R41" s="97" t="str">
        <f ca="1">ROUNDUP(HLOOKUP(IF(CEILING(L41,0.5)&lt;1,0.5,CEILING(L41,0.5)),'배송비 조회'!A$44:AO$56,7,0)*B$3,-2)</f>
        <v>#REF!</v>
      </c>
      <c r="S41" s="97">
        <v>0</v>
      </c>
      <c r="T41" s="97" t="str">
        <f t="shared" ca="1" si="42"/>
        <v>#REF!</v>
      </c>
      <c r="U41" s="97" t="str">
        <f t="shared" ca="1" si="29"/>
        <v>#REF!</v>
      </c>
      <c r="V41" s="97" t="str">
        <f t="shared" ca="1" si="7"/>
        <v>#REF!</v>
      </c>
      <c r="W41" s="97" t="str">
        <f t="shared" ca="1" si="8"/>
        <v>#REF!</v>
      </c>
      <c r="X41" s="121">
        <v>0</v>
      </c>
      <c r="Y41" s="121" t="str">
        <f t="shared" ca="1" si="9"/>
        <v>#REF!</v>
      </c>
      <c r="Z41" s="121" t="str">
        <f t="shared" ca="1" si="10"/>
        <v>#REF!</v>
      </c>
      <c r="AA41" s="99" t="str">
        <f t="shared" ca="1" si="11"/>
        <v>#REF!</v>
      </c>
      <c r="AB41" s="234" t="str">
        <f t="shared" ca="1" si="12"/>
        <v>#REF!</v>
      </c>
      <c r="AC41" s="257" t="str">
        <f t="shared" ca="1" si="13"/>
        <v>#REF!</v>
      </c>
      <c r="AD41" s="234" t="str">
        <f t="shared" ca="1" si="14"/>
        <v>#REF!</v>
      </c>
      <c r="AE41" s="100" t="str">
        <f t="shared" ca="1" si="15"/>
        <v>#REF!</v>
      </c>
      <c r="AF41" s="101" t="str">
        <f t="shared" ca="1" si="16"/>
        <v>#REF!</v>
      </c>
      <c r="AG41" s="102" t="str">
        <f t="shared" ref="AG41:AH41" ca="1" si="59">AE41/V41</f>
        <v>#REF!</v>
      </c>
      <c r="AH41" s="102" t="str">
        <f t="shared" ca="1" si="59"/>
        <v>#REF!</v>
      </c>
    </row>
    <row r="42" spans="1:34" ht="13.2">
      <c r="A42" s="251"/>
      <c r="B42" s="251"/>
      <c r="C42" s="252"/>
      <c r="D42" s="252"/>
      <c r="E42" s="114"/>
      <c r="F42" s="252"/>
      <c r="G42" s="125" t="s">
        <v>145</v>
      </c>
      <c r="I42" s="172"/>
      <c r="J42" s="82" t="str">
        <f t="shared" ca="1" si="0"/>
        <v>#REF!</v>
      </c>
      <c r="K42" s="82" t="str">
        <f t="shared" ca="1" si="1"/>
        <v>#REF!</v>
      </c>
      <c r="L42" s="82" t="str">
        <f t="shared" ca="1" si="44"/>
        <v>#REF!</v>
      </c>
      <c r="M42" s="93"/>
      <c r="N42" s="93"/>
      <c r="O42" s="95">
        <f t="shared" si="2"/>
        <v>0</v>
      </c>
      <c r="P42" s="96">
        <f t="shared" si="3"/>
        <v>0</v>
      </c>
      <c r="Q42" s="97">
        <f t="shared" si="4"/>
        <v>0</v>
      </c>
      <c r="R42" s="97" t="str">
        <f ca="1">ROUNDUP(HLOOKUP(IF(CEILING(L42,0.5)&lt;1,0.5,CEILING(L42,0.5)),'배송비 조회'!A$44:AO$56,7,0)*B$3,-2)</f>
        <v>#REF!</v>
      </c>
      <c r="S42" s="97">
        <v>0</v>
      </c>
      <c r="T42" s="97" t="str">
        <f t="shared" ca="1" si="42"/>
        <v>#REF!</v>
      </c>
      <c r="U42" s="97" t="str">
        <f t="shared" ca="1" si="29"/>
        <v>#REF!</v>
      </c>
      <c r="V42" s="97" t="str">
        <f t="shared" ca="1" si="7"/>
        <v>#REF!</v>
      </c>
      <c r="W42" s="97" t="str">
        <f t="shared" ca="1" si="8"/>
        <v>#REF!</v>
      </c>
      <c r="X42" s="121">
        <v>0</v>
      </c>
      <c r="Y42" s="121" t="str">
        <f t="shared" ca="1" si="9"/>
        <v>#REF!</v>
      </c>
      <c r="Z42" s="121" t="str">
        <f t="shared" ca="1" si="10"/>
        <v>#REF!</v>
      </c>
      <c r="AA42" s="99" t="str">
        <f t="shared" ca="1" si="11"/>
        <v>#REF!</v>
      </c>
      <c r="AB42" s="234" t="str">
        <f t="shared" ca="1" si="12"/>
        <v>#REF!</v>
      </c>
      <c r="AC42" s="257" t="str">
        <f t="shared" ca="1" si="13"/>
        <v>#REF!</v>
      </c>
      <c r="AD42" s="234" t="str">
        <f t="shared" ca="1" si="14"/>
        <v>#REF!</v>
      </c>
      <c r="AE42" s="100" t="str">
        <f t="shared" ca="1" si="15"/>
        <v>#REF!</v>
      </c>
      <c r="AF42" s="101" t="str">
        <f t="shared" ca="1" si="16"/>
        <v>#REF!</v>
      </c>
      <c r="AG42" s="102" t="str">
        <f t="shared" ref="AG42:AH42" ca="1" si="60">AE42/V42</f>
        <v>#REF!</v>
      </c>
      <c r="AH42" s="102" t="str">
        <f t="shared" ca="1" si="60"/>
        <v>#REF!</v>
      </c>
    </row>
    <row r="43" spans="1:34" ht="13.2">
      <c r="A43" s="251"/>
      <c r="B43" s="251"/>
      <c r="C43" s="252"/>
      <c r="D43" s="252"/>
      <c r="E43" s="114"/>
      <c r="F43" s="252"/>
      <c r="G43" s="125" t="s">
        <v>145</v>
      </c>
      <c r="I43" s="172"/>
      <c r="J43" s="82" t="str">
        <f t="shared" ca="1" si="0"/>
        <v>#REF!</v>
      </c>
      <c r="K43" s="82" t="str">
        <f t="shared" ca="1" si="1"/>
        <v>#REF!</v>
      </c>
      <c r="L43" s="82" t="str">
        <f t="shared" ca="1" si="44"/>
        <v>#REF!</v>
      </c>
      <c r="M43" s="93"/>
      <c r="N43" s="93"/>
      <c r="O43" s="95">
        <f t="shared" si="2"/>
        <v>0</v>
      </c>
      <c r="P43" s="96">
        <f t="shared" si="3"/>
        <v>0</v>
      </c>
      <c r="Q43" s="97">
        <f t="shared" si="4"/>
        <v>0</v>
      </c>
      <c r="R43" s="97" t="str">
        <f ca="1">ROUNDUP(HLOOKUP(IF(CEILING(L43,0.5)&lt;1,0.5,CEILING(L43,0.5)),'배송비 조회'!A$44:AO$56,7,0)*B$3,-2)</f>
        <v>#REF!</v>
      </c>
      <c r="S43" s="97">
        <v>0</v>
      </c>
      <c r="T43" s="97" t="str">
        <f t="shared" ca="1" si="42"/>
        <v>#REF!</v>
      </c>
      <c r="U43" s="97" t="str">
        <f t="shared" ca="1" si="29"/>
        <v>#REF!</v>
      </c>
      <c r="V43" s="97" t="str">
        <f t="shared" ca="1" si="7"/>
        <v>#REF!</v>
      </c>
      <c r="W43" s="97" t="str">
        <f t="shared" ca="1" si="8"/>
        <v>#REF!</v>
      </c>
      <c r="X43" s="121">
        <v>0</v>
      </c>
      <c r="Y43" s="121" t="str">
        <f t="shared" ca="1" si="9"/>
        <v>#REF!</v>
      </c>
      <c r="Z43" s="121" t="str">
        <f t="shared" ca="1" si="10"/>
        <v>#REF!</v>
      </c>
      <c r="AA43" s="99" t="str">
        <f t="shared" ca="1" si="11"/>
        <v>#REF!</v>
      </c>
      <c r="AB43" s="234" t="str">
        <f t="shared" ca="1" si="12"/>
        <v>#REF!</v>
      </c>
      <c r="AC43" s="257" t="str">
        <f t="shared" ca="1" si="13"/>
        <v>#REF!</v>
      </c>
      <c r="AD43" s="234" t="str">
        <f t="shared" ca="1" si="14"/>
        <v>#REF!</v>
      </c>
      <c r="AE43" s="100" t="str">
        <f t="shared" ca="1" si="15"/>
        <v>#REF!</v>
      </c>
      <c r="AF43" s="101" t="str">
        <f t="shared" ca="1" si="16"/>
        <v>#REF!</v>
      </c>
      <c r="AG43" s="102" t="str">
        <f t="shared" ref="AG43:AH43" ca="1" si="61">AE43/V43</f>
        <v>#REF!</v>
      </c>
      <c r="AH43" s="102" t="str">
        <f t="shared" ca="1" si="61"/>
        <v>#REF!</v>
      </c>
    </row>
    <row r="44" spans="1:34" ht="13.2">
      <c r="A44" s="251"/>
      <c r="B44" s="251"/>
      <c r="C44" s="252"/>
      <c r="D44" s="252"/>
      <c r="E44" s="114"/>
      <c r="F44" s="252"/>
      <c r="G44" s="125" t="s">
        <v>145</v>
      </c>
      <c r="I44" s="172"/>
      <c r="J44" s="82" t="str">
        <f t="shared" ca="1" si="0"/>
        <v>#REF!</v>
      </c>
      <c r="K44" s="82" t="str">
        <f t="shared" ca="1" si="1"/>
        <v>#REF!</v>
      </c>
      <c r="L44" s="82" t="str">
        <f t="shared" ca="1" si="44"/>
        <v>#REF!</v>
      </c>
      <c r="M44" s="93"/>
      <c r="N44" s="93"/>
      <c r="O44" s="95">
        <f t="shared" si="2"/>
        <v>0</v>
      </c>
      <c r="P44" s="96">
        <f t="shared" si="3"/>
        <v>0</v>
      </c>
      <c r="Q44" s="97">
        <f t="shared" si="4"/>
        <v>0</v>
      </c>
      <c r="R44" s="97" t="str">
        <f ca="1">ROUNDUP(HLOOKUP(IF(CEILING(L44,0.5)&lt;1,0.5,CEILING(L44,0.5)),'배송비 조회'!A$44:AO$56,7,0)*B$3,-2)</f>
        <v>#REF!</v>
      </c>
      <c r="S44" s="97">
        <v>0</v>
      </c>
      <c r="T44" s="97" t="str">
        <f t="shared" ca="1" si="42"/>
        <v>#REF!</v>
      </c>
      <c r="U44" s="97" t="str">
        <f t="shared" ca="1" si="29"/>
        <v>#REF!</v>
      </c>
      <c r="V44" s="97" t="str">
        <f t="shared" ca="1" si="7"/>
        <v>#REF!</v>
      </c>
      <c r="W44" s="97" t="str">
        <f t="shared" ca="1" si="8"/>
        <v>#REF!</v>
      </c>
      <c r="X44" s="121">
        <v>0</v>
      </c>
      <c r="Y44" s="121" t="str">
        <f t="shared" ca="1" si="9"/>
        <v>#REF!</v>
      </c>
      <c r="Z44" s="121" t="str">
        <f t="shared" ca="1" si="10"/>
        <v>#REF!</v>
      </c>
      <c r="AA44" s="99" t="str">
        <f t="shared" ca="1" si="11"/>
        <v>#REF!</v>
      </c>
      <c r="AB44" s="234" t="str">
        <f t="shared" ca="1" si="12"/>
        <v>#REF!</v>
      </c>
      <c r="AC44" s="257" t="str">
        <f t="shared" ca="1" si="13"/>
        <v>#REF!</v>
      </c>
      <c r="AD44" s="234" t="str">
        <f t="shared" ca="1" si="14"/>
        <v>#REF!</v>
      </c>
      <c r="AE44" s="100" t="str">
        <f t="shared" ca="1" si="15"/>
        <v>#REF!</v>
      </c>
      <c r="AF44" s="101" t="str">
        <f t="shared" ca="1" si="16"/>
        <v>#REF!</v>
      </c>
      <c r="AG44" s="102" t="str">
        <f t="shared" ref="AG44:AH44" ca="1" si="62">AE44/V44</f>
        <v>#REF!</v>
      </c>
      <c r="AH44" s="102" t="str">
        <f t="shared" ca="1" si="62"/>
        <v>#REF!</v>
      </c>
    </row>
    <row r="45" spans="1:34" ht="13.2">
      <c r="A45" s="251"/>
      <c r="B45" s="251"/>
      <c r="C45" s="252"/>
      <c r="D45" s="252"/>
      <c r="E45" s="114"/>
      <c r="F45" s="252"/>
      <c r="G45" s="125" t="s">
        <v>145</v>
      </c>
      <c r="I45" s="172"/>
      <c r="J45" s="82" t="str">
        <f t="shared" ca="1" si="0"/>
        <v>#REF!</v>
      </c>
      <c r="K45" s="82" t="str">
        <f t="shared" ca="1" si="1"/>
        <v>#REF!</v>
      </c>
      <c r="L45" s="82" t="str">
        <f t="shared" ca="1" si="44"/>
        <v>#REF!</v>
      </c>
      <c r="M45" s="93"/>
      <c r="N45" s="93"/>
      <c r="O45" s="95">
        <f t="shared" si="2"/>
        <v>0</v>
      </c>
      <c r="P45" s="96">
        <f t="shared" si="3"/>
        <v>0</v>
      </c>
      <c r="Q45" s="97">
        <f t="shared" si="4"/>
        <v>0</v>
      </c>
      <c r="R45" s="97" t="str">
        <f ca="1">ROUNDUP(HLOOKUP(IF(CEILING(L45,0.5)&lt;1,0.5,CEILING(L45,0.5)),'배송비 조회'!A$44:AO$56,7,0)*B$3,-2)</f>
        <v>#REF!</v>
      </c>
      <c r="S45" s="97">
        <v>0</v>
      </c>
      <c r="T45" s="97" t="str">
        <f t="shared" ca="1" si="42"/>
        <v>#REF!</v>
      </c>
      <c r="U45" s="97" t="str">
        <f t="shared" ca="1" si="29"/>
        <v>#REF!</v>
      </c>
      <c r="V45" s="97" t="str">
        <f t="shared" ca="1" si="7"/>
        <v>#REF!</v>
      </c>
      <c r="W45" s="97" t="str">
        <f t="shared" ca="1" si="8"/>
        <v>#REF!</v>
      </c>
      <c r="X45" s="121">
        <v>0</v>
      </c>
      <c r="Y45" s="121" t="str">
        <f t="shared" ca="1" si="9"/>
        <v>#REF!</v>
      </c>
      <c r="Z45" s="121" t="str">
        <f t="shared" ca="1" si="10"/>
        <v>#REF!</v>
      </c>
      <c r="AA45" s="99" t="str">
        <f t="shared" ca="1" si="11"/>
        <v>#REF!</v>
      </c>
      <c r="AB45" s="234" t="str">
        <f t="shared" ca="1" si="12"/>
        <v>#REF!</v>
      </c>
      <c r="AC45" s="257" t="str">
        <f t="shared" ca="1" si="13"/>
        <v>#REF!</v>
      </c>
      <c r="AD45" s="234" t="str">
        <f t="shared" ca="1" si="14"/>
        <v>#REF!</v>
      </c>
      <c r="AE45" s="100" t="str">
        <f t="shared" ca="1" si="15"/>
        <v>#REF!</v>
      </c>
      <c r="AF45" s="101" t="str">
        <f t="shared" ca="1" si="16"/>
        <v>#REF!</v>
      </c>
      <c r="AG45" s="102" t="str">
        <f t="shared" ref="AG45:AH45" ca="1" si="63">AE45/V45</f>
        <v>#REF!</v>
      </c>
      <c r="AH45" s="102" t="str">
        <f t="shared" ca="1" si="63"/>
        <v>#REF!</v>
      </c>
    </row>
    <row r="46" spans="1:34" ht="13.2">
      <c r="A46" s="251"/>
      <c r="B46" s="251"/>
      <c r="C46" s="252"/>
      <c r="D46" s="252"/>
      <c r="E46" s="114"/>
      <c r="F46" s="252"/>
      <c r="G46" s="125" t="s">
        <v>145</v>
      </c>
      <c r="I46" s="172"/>
      <c r="J46" s="82" t="str">
        <f t="shared" ca="1" si="0"/>
        <v>#REF!</v>
      </c>
      <c r="K46" s="82" t="str">
        <f t="shared" ca="1" si="1"/>
        <v>#REF!</v>
      </c>
      <c r="L46" s="82" t="str">
        <f t="shared" ca="1" si="44"/>
        <v>#REF!</v>
      </c>
      <c r="M46" s="93"/>
      <c r="N46" s="93"/>
      <c r="O46" s="95">
        <f t="shared" si="2"/>
        <v>0</v>
      </c>
      <c r="P46" s="96">
        <f t="shared" si="3"/>
        <v>0</v>
      </c>
      <c r="Q46" s="97">
        <f t="shared" si="4"/>
        <v>0</v>
      </c>
      <c r="R46" s="97" t="str">
        <f ca="1">ROUNDUP(HLOOKUP(IF(CEILING(L46,0.5)&lt;1,0.5,CEILING(L46,0.5)),'배송비 조회'!A$44:AO$56,7,0)*B$3,-2)</f>
        <v>#REF!</v>
      </c>
      <c r="S46" s="97">
        <v>0</v>
      </c>
      <c r="T46" s="97" t="str">
        <f t="shared" ca="1" si="42"/>
        <v>#REF!</v>
      </c>
      <c r="U46" s="97" t="str">
        <f t="shared" ca="1" si="29"/>
        <v>#REF!</v>
      </c>
      <c r="V46" s="97" t="str">
        <f t="shared" ca="1" si="7"/>
        <v>#REF!</v>
      </c>
      <c r="W46" s="97" t="str">
        <f t="shared" ca="1" si="8"/>
        <v>#REF!</v>
      </c>
      <c r="X46" s="121">
        <v>0</v>
      </c>
      <c r="Y46" s="121" t="str">
        <f t="shared" ca="1" si="9"/>
        <v>#REF!</v>
      </c>
      <c r="Z46" s="121" t="str">
        <f t="shared" ca="1" si="10"/>
        <v>#REF!</v>
      </c>
      <c r="AA46" s="99" t="str">
        <f t="shared" ca="1" si="11"/>
        <v>#REF!</v>
      </c>
      <c r="AB46" s="234" t="str">
        <f t="shared" ca="1" si="12"/>
        <v>#REF!</v>
      </c>
      <c r="AC46" s="257" t="str">
        <f t="shared" ca="1" si="13"/>
        <v>#REF!</v>
      </c>
      <c r="AD46" s="234" t="str">
        <f t="shared" ca="1" si="14"/>
        <v>#REF!</v>
      </c>
      <c r="AE46" s="100" t="str">
        <f t="shared" ca="1" si="15"/>
        <v>#REF!</v>
      </c>
      <c r="AF46" s="101" t="str">
        <f t="shared" ca="1" si="16"/>
        <v>#REF!</v>
      </c>
      <c r="AG46" s="102" t="str">
        <f t="shared" ref="AG46:AH46" ca="1" si="64">AE46/V46</f>
        <v>#REF!</v>
      </c>
      <c r="AH46" s="102" t="str">
        <f t="shared" ca="1" si="64"/>
        <v>#REF!</v>
      </c>
    </row>
    <row r="47" spans="1:34" ht="13.2">
      <c r="A47" s="251"/>
      <c r="B47" s="251"/>
      <c r="C47" s="252"/>
      <c r="D47" s="252"/>
      <c r="E47" s="114"/>
      <c r="F47" s="252"/>
      <c r="G47" s="125" t="s">
        <v>145</v>
      </c>
      <c r="I47" s="172"/>
      <c r="J47" s="82" t="str">
        <f t="shared" ca="1" si="0"/>
        <v>#REF!</v>
      </c>
      <c r="K47" s="82" t="str">
        <f t="shared" ca="1" si="1"/>
        <v>#REF!</v>
      </c>
      <c r="L47" s="82" t="str">
        <f t="shared" ca="1" si="44"/>
        <v>#REF!</v>
      </c>
      <c r="M47" s="93"/>
      <c r="N47" s="93"/>
      <c r="O47" s="95">
        <f t="shared" si="2"/>
        <v>0</v>
      </c>
      <c r="P47" s="96">
        <f t="shared" si="3"/>
        <v>0</v>
      </c>
      <c r="Q47" s="97">
        <f t="shared" si="4"/>
        <v>0</v>
      </c>
      <c r="R47" s="97" t="str">
        <f ca="1">ROUNDUP(HLOOKUP(IF(CEILING(L47,0.5)&lt;1,0.5,CEILING(L47,0.5)),'배송비 조회'!A$44:AO$56,7,0)*B$3,-2)</f>
        <v>#REF!</v>
      </c>
      <c r="S47" s="97">
        <v>0</v>
      </c>
      <c r="T47" s="97" t="str">
        <f t="shared" ca="1" si="42"/>
        <v>#REF!</v>
      </c>
      <c r="U47" s="97" t="str">
        <f t="shared" ca="1" si="29"/>
        <v>#REF!</v>
      </c>
      <c r="V47" s="97" t="str">
        <f t="shared" ca="1" si="7"/>
        <v>#REF!</v>
      </c>
      <c r="W47" s="97" t="str">
        <f t="shared" ca="1" si="8"/>
        <v>#REF!</v>
      </c>
      <c r="X47" s="121">
        <v>0</v>
      </c>
      <c r="Y47" s="121" t="str">
        <f t="shared" ca="1" si="9"/>
        <v>#REF!</v>
      </c>
      <c r="Z47" s="121" t="str">
        <f t="shared" ca="1" si="10"/>
        <v>#REF!</v>
      </c>
      <c r="AA47" s="99" t="str">
        <f t="shared" ca="1" si="11"/>
        <v>#REF!</v>
      </c>
      <c r="AB47" s="234" t="str">
        <f t="shared" ca="1" si="12"/>
        <v>#REF!</v>
      </c>
      <c r="AC47" s="257" t="str">
        <f t="shared" ca="1" si="13"/>
        <v>#REF!</v>
      </c>
      <c r="AD47" s="234" t="str">
        <f t="shared" ca="1" si="14"/>
        <v>#REF!</v>
      </c>
      <c r="AE47" s="100" t="str">
        <f t="shared" ca="1" si="15"/>
        <v>#REF!</v>
      </c>
      <c r="AF47" s="101" t="str">
        <f t="shared" ca="1" si="16"/>
        <v>#REF!</v>
      </c>
      <c r="AG47" s="102" t="str">
        <f t="shared" ref="AG47:AH47" ca="1" si="65">AE47/V47</f>
        <v>#REF!</v>
      </c>
      <c r="AH47" s="102" t="str">
        <f t="shared" ca="1" si="65"/>
        <v>#REF!</v>
      </c>
    </row>
    <row r="48" spans="1:34" ht="13.2">
      <c r="A48" s="251"/>
      <c r="B48" s="251"/>
      <c r="C48" s="252"/>
      <c r="D48" s="252"/>
      <c r="E48" s="114"/>
      <c r="F48" s="252"/>
      <c r="G48" s="125" t="s">
        <v>145</v>
      </c>
      <c r="I48" s="172"/>
      <c r="J48" s="82" t="str">
        <f t="shared" ca="1" si="0"/>
        <v>#REF!</v>
      </c>
      <c r="K48" s="82" t="str">
        <f t="shared" ca="1" si="1"/>
        <v>#REF!</v>
      </c>
      <c r="L48" s="82" t="str">
        <f t="shared" ca="1" si="44"/>
        <v>#REF!</v>
      </c>
      <c r="M48" s="93"/>
      <c r="N48" s="93"/>
      <c r="O48" s="95">
        <f t="shared" si="2"/>
        <v>0</v>
      </c>
      <c r="P48" s="96">
        <f t="shared" si="3"/>
        <v>0</v>
      </c>
      <c r="Q48" s="97">
        <f t="shared" si="4"/>
        <v>0</v>
      </c>
      <c r="R48" s="97" t="str">
        <f ca="1">ROUNDUP(HLOOKUP(IF(CEILING(L48,0.5)&lt;1,0.5,CEILING(L48,0.5)),'배송비 조회'!A$44:AO$56,7,0)*B$3,-2)</f>
        <v>#REF!</v>
      </c>
      <c r="S48" s="97">
        <v>0</v>
      </c>
      <c r="T48" s="97" t="str">
        <f t="shared" ca="1" si="42"/>
        <v>#REF!</v>
      </c>
      <c r="U48" s="97" t="str">
        <f t="shared" ca="1" si="29"/>
        <v>#REF!</v>
      </c>
      <c r="V48" s="97" t="str">
        <f t="shared" ca="1" si="7"/>
        <v>#REF!</v>
      </c>
      <c r="W48" s="97" t="str">
        <f t="shared" ca="1" si="8"/>
        <v>#REF!</v>
      </c>
      <c r="X48" s="121">
        <v>0</v>
      </c>
      <c r="Y48" s="121" t="str">
        <f t="shared" ca="1" si="9"/>
        <v>#REF!</v>
      </c>
      <c r="Z48" s="121" t="str">
        <f t="shared" ca="1" si="10"/>
        <v>#REF!</v>
      </c>
      <c r="AA48" s="99" t="str">
        <f t="shared" ca="1" si="11"/>
        <v>#REF!</v>
      </c>
      <c r="AB48" s="234" t="str">
        <f t="shared" ca="1" si="12"/>
        <v>#REF!</v>
      </c>
      <c r="AC48" s="257" t="str">
        <f t="shared" ca="1" si="13"/>
        <v>#REF!</v>
      </c>
      <c r="AD48" s="234" t="str">
        <f t="shared" ca="1" si="14"/>
        <v>#REF!</v>
      </c>
      <c r="AE48" s="100" t="str">
        <f t="shared" ca="1" si="15"/>
        <v>#REF!</v>
      </c>
      <c r="AF48" s="101" t="str">
        <f t="shared" ca="1" si="16"/>
        <v>#REF!</v>
      </c>
      <c r="AG48" s="102" t="str">
        <f t="shared" ref="AG48:AH48" ca="1" si="66">AE48/V48</f>
        <v>#REF!</v>
      </c>
      <c r="AH48" s="102" t="str">
        <f t="shared" ca="1" si="66"/>
        <v>#REF!</v>
      </c>
    </row>
    <row r="49" spans="1:34" ht="13.2">
      <c r="A49" s="251"/>
      <c r="B49" s="251"/>
      <c r="C49" s="252"/>
      <c r="D49" s="252"/>
      <c r="E49" s="114"/>
      <c r="F49" s="252"/>
      <c r="G49" s="125" t="s">
        <v>145</v>
      </c>
      <c r="I49" s="172"/>
      <c r="J49" s="82" t="str">
        <f t="shared" ca="1" si="0"/>
        <v>#REF!</v>
      </c>
      <c r="K49" s="82" t="str">
        <f t="shared" ca="1" si="1"/>
        <v>#REF!</v>
      </c>
      <c r="L49" s="82" t="str">
        <f t="shared" ca="1" si="44"/>
        <v>#REF!</v>
      </c>
      <c r="M49" s="93"/>
      <c r="N49" s="93"/>
      <c r="O49" s="95">
        <f t="shared" si="2"/>
        <v>0</v>
      </c>
      <c r="P49" s="96">
        <f t="shared" si="3"/>
        <v>0</v>
      </c>
      <c r="Q49" s="97">
        <f t="shared" si="4"/>
        <v>0</v>
      </c>
      <c r="R49" s="97" t="str">
        <f ca="1">ROUNDUP(HLOOKUP(IF(CEILING(L49,0.5)&lt;1,0.5,CEILING(L49,0.5)),'배송비 조회'!A$44:AO$56,7,0)*B$3,-2)</f>
        <v>#REF!</v>
      </c>
      <c r="S49" s="97">
        <v>0</v>
      </c>
      <c r="T49" s="97" t="str">
        <f t="shared" ca="1" si="42"/>
        <v>#REF!</v>
      </c>
      <c r="U49" s="97" t="str">
        <f t="shared" ca="1" si="29"/>
        <v>#REF!</v>
      </c>
      <c r="V49" s="97" t="str">
        <f t="shared" ca="1" si="7"/>
        <v>#REF!</v>
      </c>
      <c r="W49" s="97" t="str">
        <f t="shared" ca="1" si="8"/>
        <v>#REF!</v>
      </c>
      <c r="X49" s="121">
        <v>0</v>
      </c>
      <c r="Y49" s="121" t="str">
        <f t="shared" ca="1" si="9"/>
        <v>#REF!</v>
      </c>
      <c r="Z49" s="121" t="str">
        <f t="shared" ca="1" si="10"/>
        <v>#REF!</v>
      </c>
      <c r="AA49" s="99" t="str">
        <f t="shared" ca="1" si="11"/>
        <v>#REF!</v>
      </c>
      <c r="AB49" s="234" t="str">
        <f t="shared" ca="1" si="12"/>
        <v>#REF!</v>
      </c>
      <c r="AC49" s="257" t="str">
        <f t="shared" ca="1" si="13"/>
        <v>#REF!</v>
      </c>
      <c r="AD49" s="234" t="str">
        <f t="shared" ca="1" si="14"/>
        <v>#REF!</v>
      </c>
      <c r="AE49" s="100" t="str">
        <f t="shared" ca="1" si="15"/>
        <v>#REF!</v>
      </c>
      <c r="AF49" s="101" t="str">
        <f t="shared" ca="1" si="16"/>
        <v>#REF!</v>
      </c>
      <c r="AG49" s="102" t="str">
        <f t="shared" ref="AG49:AH49" ca="1" si="67">AE49/V49</f>
        <v>#REF!</v>
      </c>
      <c r="AH49" s="102" t="str">
        <f t="shared" ca="1" si="67"/>
        <v>#REF!</v>
      </c>
    </row>
    <row r="50" spans="1:34" ht="13.2">
      <c r="A50" s="251"/>
      <c r="B50" s="251"/>
      <c r="C50" s="252"/>
      <c r="D50" s="252"/>
      <c r="E50" s="114"/>
      <c r="F50" s="252"/>
      <c r="G50" s="125" t="s">
        <v>145</v>
      </c>
      <c r="I50" s="172"/>
      <c r="J50" s="82" t="str">
        <f t="shared" ca="1" si="0"/>
        <v>#REF!</v>
      </c>
      <c r="K50" s="82" t="str">
        <f t="shared" ca="1" si="1"/>
        <v>#REF!</v>
      </c>
      <c r="L50" s="82" t="str">
        <f t="shared" ca="1" si="44"/>
        <v>#REF!</v>
      </c>
      <c r="M50" s="93"/>
      <c r="N50" s="93"/>
      <c r="O50" s="95">
        <f t="shared" si="2"/>
        <v>0</v>
      </c>
      <c r="P50" s="96">
        <f t="shared" si="3"/>
        <v>0</v>
      </c>
      <c r="Q50" s="97">
        <f t="shared" si="4"/>
        <v>0</v>
      </c>
      <c r="R50" s="97" t="str">
        <f ca="1">ROUNDUP(HLOOKUP(IF(CEILING(L50,0.5)&lt;1,0.5,CEILING(L50,0.5)),'배송비 조회'!A$44:AO$56,7,0)*B$3,-2)</f>
        <v>#REF!</v>
      </c>
      <c r="S50" s="97">
        <v>0</v>
      </c>
      <c r="T50" s="97" t="str">
        <f t="shared" ca="1" si="42"/>
        <v>#REF!</v>
      </c>
      <c r="U50" s="97" t="str">
        <f t="shared" ca="1" si="29"/>
        <v>#REF!</v>
      </c>
      <c r="V50" s="97" t="str">
        <f t="shared" ca="1" si="7"/>
        <v>#REF!</v>
      </c>
      <c r="W50" s="97" t="str">
        <f t="shared" ca="1" si="8"/>
        <v>#REF!</v>
      </c>
      <c r="X50" s="121">
        <v>0</v>
      </c>
      <c r="Y50" s="121" t="str">
        <f t="shared" ca="1" si="9"/>
        <v>#REF!</v>
      </c>
      <c r="Z50" s="121" t="str">
        <f t="shared" ca="1" si="10"/>
        <v>#REF!</v>
      </c>
      <c r="AA50" s="99" t="str">
        <f t="shared" ca="1" si="11"/>
        <v>#REF!</v>
      </c>
      <c r="AB50" s="234" t="str">
        <f t="shared" ca="1" si="12"/>
        <v>#REF!</v>
      </c>
      <c r="AC50" s="257" t="str">
        <f t="shared" ca="1" si="13"/>
        <v>#REF!</v>
      </c>
      <c r="AD50" s="234" t="str">
        <f t="shared" ca="1" si="14"/>
        <v>#REF!</v>
      </c>
      <c r="AE50" s="100" t="str">
        <f t="shared" ca="1" si="15"/>
        <v>#REF!</v>
      </c>
      <c r="AF50" s="101" t="str">
        <f t="shared" ca="1" si="16"/>
        <v>#REF!</v>
      </c>
      <c r="AG50" s="102" t="str">
        <f t="shared" ref="AG50:AH50" ca="1" si="68">AE50/V50</f>
        <v>#REF!</v>
      </c>
      <c r="AH50" s="102" t="str">
        <f t="shared" ca="1" si="68"/>
        <v>#REF!</v>
      </c>
    </row>
    <row r="51" spans="1:34" ht="13.2">
      <c r="A51" s="251"/>
      <c r="B51" s="251"/>
      <c r="C51" s="252"/>
      <c r="D51" s="252"/>
      <c r="E51" s="114"/>
      <c r="F51" s="252"/>
      <c r="G51" s="125" t="s">
        <v>145</v>
      </c>
      <c r="I51" s="172"/>
      <c r="J51" s="82" t="str">
        <f t="shared" ca="1" si="0"/>
        <v>#REF!</v>
      </c>
      <c r="K51" s="82" t="str">
        <f t="shared" ca="1" si="1"/>
        <v>#REF!</v>
      </c>
      <c r="L51" s="82" t="str">
        <f t="shared" ca="1" si="44"/>
        <v>#REF!</v>
      </c>
      <c r="M51" s="93"/>
      <c r="N51" s="93"/>
      <c r="O51" s="95">
        <f t="shared" si="2"/>
        <v>0</v>
      </c>
      <c r="P51" s="96">
        <f t="shared" si="3"/>
        <v>0</v>
      </c>
      <c r="Q51" s="97">
        <f t="shared" si="4"/>
        <v>0</v>
      </c>
      <c r="R51" s="97" t="str">
        <f ca="1">ROUNDUP(HLOOKUP(IF(CEILING(L51,0.5)&lt;1,0.5,CEILING(L51,0.5)),'배송비 조회'!A$44:AO$56,7,0)*B$3,-2)</f>
        <v>#REF!</v>
      </c>
      <c r="S51" s="97">
        <v>0</v>
      </c>
      <c r="T51" s="97" t="str">
        <f t="shared" ca="1" si="42"/>
        <v>#REF!</v>
      </c>
      <c r="U51" s="97" t="str">
        <f t="shared" ca="1" si="29"/>
        <v>#REF!</v>
      </c>
      <c r="V51" s="97" t="str">
        <f t="shared" ca="1" si="7"/>
        <v>#REF!</v>
      </c>
      <c r="W51" s="97" t="str">
        <f t="shared" ca="1" si="8"/>
        <v>#REF!</v>
      </c>
      <c r="X51" s="121">
        <v>0</v>
      </c>
      <c r="Y51" s="121" t="str">
        <f t="shared" ca="1" si="9"/>
        <v>#REF!</v>
      </c>
      <c r="Z51" s="121" t="str">
        <f t="shared" ca="1" si="10"/>
        <v>#REF!</v>
      </c>
      <c r="AA51" s="99" t="str">
        <f t="shared" ca="1" si="11"/>
        <v>#REF!</v>
      </c>
      <c r="AB51" s="234" t="str">
        <f t="shared" ca="1" si="12"/>
        <v>#REF!</v>
      </c>
      <c r="AC51" s="257" t="str">
        <f t="shared" ca="1" si="13"/>
        <v>#REF!</v>
      </c>
      <c r="AD51" s="234" t="str">
        <f t="shared" ca="1" si="14"/>
        <v>#REF!</v>
      </c>
      <c r="AE51" s="100" t="str">
        <f t="shared" ca="1" si="15"/>
        <v>#REF!</v>
      </c>
      <c r="AF51" s="101" t="str">
        <f t="shared" ca="1" si="16"/>
        <v>#REF!</v>
      </c>
      <c r="AG51" s="102" t="str">
        <f t="shared" ref="AG51:AH51" ca="1" si="69">AE51/V51</f>
        <v>#REF!</v>
      </c>
      <c r="AH51" s="102" t="str">
        <f t="shared" ca="1" si="69"/>
        <v>#REF!</v>
      </c>
    </row>
    <row r="52" spans="1:34" ht="13.2">
      <c r="A52" s="251"/>
      <c r="B52" s="251"/>
      <c r="C52" s="252"/>
      <c r="D52" s="252"/>
      <c r="E52" s="114"/>
      <c r="F52" s="252"/>
      <c r="G52" s="125" t="s">
        <v>145</v>
      </c>
      <c r="I52" s="172"/>
      <c r="J52" s="82" t="str">
        <f t="shared" ca="1" si="0"/>
        <v>#REF!</v>
      </c>
      <c r="K52" s="82" t="str">
        <f t="shared" ca="1" si="1"/>
        <v>#REF!</v>
      </c>
      <c r="L52" s="82" t="str">
        <f t="shared" ca="1" si="44"/>
        <v>#REF!</v>
      </c>
      <c r="M52" s="93"/>
      <c r="N52" s="93"/>
      <c r="O52" s="95">
        <f t="shared" si="2"/>
        <v>0</v>
      </c>
      <c r="P52" s="96">
        <f t="shared" si="3"/>
        <v>0</v>
      </c>
      <c r="Q52" s="97">
        <f t="shared" si="4"/>
        <v>0</v>
      </c>
      <c r="R52" s="97" t="str">
        <f ca="1">ROUNDUP(HLOOKUP(IF(CEILING(L52,0.5)&lt;1,0.5,CEILING(L52,0.5)),'배송비 조회'!A$44:AO$56,7,0)*B$3,-2)</f>
        <v>#REF!</v>
      </c>
      <c r="S52" s="97">
        <v>0</v>
      </c>
      <c r="T52" s="97" t="str">
        <f t="shared" ca="1" si="42"/>
        <v>#REF!</v>
      </c>
      <c r="U52" s="97" t="str">
        <f t="shared" ca="1" si="29"/>
        <v>#REF!</v>
      </c>
      <c r="V52" s="97" t="str">
        <f t="shared" ca="1" si="7"/>
        <v>#REF!</v>
      </c>
      <c r="W52" s="97" t="str">
        <f t="shared" ca="1" si="8"/>
        <v>#REF!</v>
      </c>
      <c r="X52" s="121">
        <v>0</v>
      </c>
      <c r="Y52" s="121" t="str">
        <f t="shared" ca="1" si="9"/>
        <v>#REF!</v>
      </c>
      <c r="Z52" s="121" t="str">
        <f t="shared" ca="1" si="10"/>
        <v>#REF!</v>
      </c>
      <c r="AA52" s="99" t="str">
        <f t="shared" ca="1" si="11"/>
        <v>#REF!</v>
      </c>
      <c r="AB52" s="234" t="str">
        <f t="shared" ca="1" si="12"/>
        <v>#REF!</v>
      </c>
      <c r="AC52" s="257" t="str">
        <f t="shared" ca="1" si="13"/>
        <v>#REF!</v>
      </c>
      <c r="AD52" s="234" t="str">
        <f t="shared" ca="1" si="14"/>
        <v>#REF!</v>
      </c>
      <c r="AE52" s="100" t="str">
        <f t="shared" ca="1" si="15"/>
        <v>#REF!</v>
      </c>
      <c r="AF52" s="101" t="str">
        <f t="shared" ca="1" si="16"/>
        <v>#REF!</v>
      </c>
      <c r="AG52" s="102" t="str">
        <f t="shared" ref="AG52:AH52" ca="1" si="70">AE52/V52</f>
        <v>#REF!</v>
      </c>
      <c r="AH52" s="102" t="str">
        <f t="shared" ca="1" si="70"/>
        <v>#REF!</v>
      </c>
    </row>
    <row r="53" spans="1:34" ht="13.2">
      <c r="A53" s="251"/>
      <c r="B53" s="251"/>
      <c r="C53" s="252"/>
      <c r="D53" s="252"/>
      <c r="E53" s="114"/>
      <c r="F53" s="252"/>
      <c r="G53" s="125" t="s">
        <v>145</v>
      </c>
      <c r="I53" s="172"/>
      <c r="J53" s="82" t="str">
        <f t="shared" ca="1" si="0"/>
        <v>#REF!</v>
      </c>
      <c r="K53" s="82" t="str">
        <f t="shared" ca="1" si="1"/>
        <v>#REF!</v>
      </c>
      <c r="L53" s="82" t="str">
        <f t="shared" ca="1" si="44"/>
        <v>#REF!</v>
      </c>
      <c r="M53" s="93"/>
      <c r="N53" s="93"/>
      <c r="O53" s="95">
        <f t="shared" si="2"/>
        <v>0</v>
      </c>
      <c r="P53" s="96">
        <f t="shared" si="3"/>
        <v>0</v>
      </c>
      <c r="Q53" s="97">
        <f t="shared" si="4"/>
        <v>0</v>
      </c>
      <c r="R53" s="97" t="str">
        <f ca="1">ROUNDUP(HLOOKUP(IF(CEILING(L53,0.5)&lt;1,0.5,CEILING(L53,0.5)),'배송비 조회'!A$44:AO$56,7,0)*B$3,-2)</f>
        <v>#REF!</v>
      </c>
      <c r="S53" s="97">
        <v>0</v>
      </c>
      <c r="T53" s="97" t="str">
        <f t="shared" ca="1" si="42"/>
        <v>#REF!</v>
      </c>
      <c r="U53" s="97" t="str">
        <f t="shared" ca="1" si="29"/>
        <v>#REF!</v>
      </c>
      <c r="V53" s="97" t="str">
        <f t="shared" ca="1" si="7"/>
        <v>#REF!</v>
      </c>
      <c r="W53" s="97" t="str">
        <f t="shared" ca="1" si="8"/>
        <v>#REF!</v>
      </c>
      <c r="X53" s="121">
        <v>0</v>
      </c>
      <c r="Y53" s="121" t="str">
        <f t="shared" ca="1" si="9"/>
        <v>#REF!</v>
      </c>
      <c r="Z53" s="121" t="str">
        <f t="shared" ca="1" si="10"/>
        <v>#REF!</v>
      </c>
      <c r="AA53" s="99" t="str">
        <f t="shared" ca="1" si="11"/>
        <v>#REF!</v>
      </c>
      <c r="AB53" s="234" t="str">
        <f t="shared" ca="1" si="12"/>
        <v>#REF!</v>
      </c>
      <c r="AC53" s="257" t="str">
        <f t="shared" ca="1" si="13"/>
        <v>#REF!</v>
      </c>
      <c r="AD53" s="234" t="str">
        <f t="shared" ca="1" si="14"/>
        <v>#REF!</v>
      </c>
      <c r="AE53" s="100" t="str">
        <f t="shared" ca="1" si="15"/>
        <v>#REF!</v>
      </c>
      <c r="AF53" s="101" t="str">
        <f t="shared" ca="1" si="16"/>
        <v>#REF!</v>
      </c>
      <c r="AG53" s="102" t="str">
        <f t="shared" ref="AG53:AH53" ca="1" si="71">AE53/V53</f>
        <v>#REF!</v>
      </c>
      <c r="AH53" s="102" t="str">
        <f t="shared" ca="1" si="71"/>
        <v>#REF!</v>
      </c>
    </row>
    <row r="54" spans="1:34" ht="13.2">
      <c r="A54" s="251"/>
      <c r="B54" s="251"/>
      <c r="C54" s="252"/>
      <c r="D54" s="252"/>
      <c r="E54" s="114"/>
      <c r="F54" s="252"/>
      <c r="G54" s="125" t="s">
        <v>145</v>
      </c>
      <c r="I54" s="172"/>
      <c r="J54" s="82" t="str">
        <f t="shared" ca="1" si="0"/>
        <v>#REF!</v>
      </c>
      <c r="K54" s="82" t="str">
        <f t="shared" ca="1" si="1"/>
        <v>#REF!</v>
      </c>
      <c r="L54" s="82" t="str">
        <f t="shared" ca="1" si="44"/>
        <v>#REF!</v>
      </c>
      <c r="M54" s="93"/>
      <c r="N54" s="93"/>
      <c r="O54" s="95">
        <f t="shared" si="2"/>
        <v>0</v>
      </c>
      <c r="P54" s="96">
        <f t="shared" si="3"/>
        <v>0</v>
      </c>
      <c r="Q54" s="97">
        <f t="shared" si="4"/>
        <v>0</v>
      </c>
      <c r="R54" s="97" t="str">
        <f ca="1">ROUNDUP(HLOOKUP(IF(CEILING(L54,0.5)&lt;1,0.5,CEILING(L54,0.5)),'배송비 조회'!A$44:AO$56,7,0)*B$3,-2)</f>
        <v>#REF!</v>
      </c>
      <c r="S54" s="97">
        <v>0</v>
      </c>
      <c r="T54" s="97" t="str">
        <f t="shared" ca="1" si="42"/>
        <v>#REF!</v>
      </c>
      <c r="U54" s="97" t="str">
        <f t="shared" ca="1" si="29"/>
        <v>#REF!</v>
      </c>
      <c r="V54" s="97" t="str">
        <f t="shared" ca="1" si="7"/>
        <v>#REF!</v>
      </c>
      <c r="W54" s="97" t="str">
        <f t="shared" ca="1" si="8"/>
        <v>#REF!</v>
      </c>
      <c r="X54" s="121">
        <v>0</v>
      </c>
      <c r="Y54" s="121" t="str">
        <f t="shared" ca="1" si="9"/>
        <v>#REF!</v>
      </c>
      <c r="Z54" s="121" t="str">
        <f t="shared" ca="1" si="10"/>
        <v>#REF!</v>
      </c>
      <c r="AA54" s="99" t="str">
        <f t="shared" ca="1" si="11"/>
        <v>#REF!</v>
      </c>
      <c r="AB54" s="234" t="str">
        <f t="shared" ca="1" si="12"/>
        <v>#REF!</v>
      </c>
      <c r="AC54" s="257" t="str">
        <f t="shared" ca="1" si="13"/>
        <v>#REF!</v>
      </c>
      <c r="AD54" s="234" t="str">
        <f t="shared" ca="1" si="14"/>
        <v>#REF!</v>
      </c>
      <c r="AE54" s="100" t="str">
        <f t="shared" ca="1" si="15"/>
        <v>#REF!</v>
      </c>
      <c r="AF54" s="101" t="str">
        <f t="shared" ca="1" si="16"/>
        <v>#REF!</v>
      </c>
      <c r="AG54" s="102" t="str">
        <f t="shared" ref="AG54:AH54" ca="1" si="72">AE54/V54</f>
        <v>#REF!</v>
      </c>
      <c r="AH54" s="102" t="str">
        <f t="shared" ca="1" si="72"/>
        <v>#REF!</v>
      </c>
    </row>
    <row r="55" spans="1:34" ht="13.2">
      <c r="A55" s="251"/>
      <c r="B55" s="251"/>
      <c r="C55" s="252"/>
      <c r="D55" s="252"/>
      <c r="E55" s="114"/>
      <c r="F55" s="252"/>
      <c r="G55" s="125" t="s">
        <v>145</v>
      </c>
      <c r="I55" s="172"/>
      <c r="J55" s="82" t="str">
        <f t="shared" ca="1" si="0"/>
        <v>#REF!</v>
      </c>
      <c r="K55" s="82" t="str">
        <f t="shared" ca="1" si="1"/>
        <v>#REF!</v>
      </c>
      <c r="L55" s="82" t="str">
        <f t="shared" ca="1" si="44"/>
        <v>#REF!</v>
      </c>
      <c r="M55" s="93"/>
      <c r="N55" s="93"/>
      <c r="O55" s="95">
        <f t="shared" si="2"/>
        <v>0</v>
      </c>
      <c r="P55" s="96">
        <f t="shared" si="3"/>
        <v>0</v>
      </c>
      <c r="Q55" s="97">
        <f t="shared" si="4"/>
        <v>0</v>
      </c>
      <c r="R55" s="97" t="str">
        <f ca="1">ROUNDUP(HLOOKUP(IF(CEILING(L55,0.5)&lt;1,0.5,CEILING(L55,0.5)),'배송비 조회'!A$44:AO$56,7,0)*B$3,-2)</f>
        <v>#REF!</v>
      </c>
      <c r="S55" s="97">
        <v>0</v>
      </c>
      <c r="T55" s="97" t="str">
        <f t="shared" ca="1" si="42"/>
        <v>#REF!</v>
      </c>
      <c r="U55" s="97" t="str">
        <f t="shared" ca="1" si="29"/>
        <v>#REF!</v>
      </c>
      <c r="V55" s="97" t="str">
        <f t="shared" ca="1" si="7"/>
        <v>#REF!</v>
      </c>
      <c r="W55" s="97" t="str">
        <f t="shared" ca="1" si="8"/>
        <v>#REF!</v>
      </c>
      <c r="X55" s="121">
        <v>0</v>
      </c>
      <c r="Y55" s="121" t="str">
        <f t="shared" ca="1" si="9"/>
        <v>#REF!</v>
      </c>
      <c r="Z55" s="121" t="str">
        <f t="shared" ca="1" si="10"/>
        <v>#REF!</v>
      </c>
      <c r="AA55" s="99" t="str">
        <f t="shared" ca="1" si="11"/>
        <v>#REF!</v>
      </c>
      <c r="AB55" s="234" t="str">
        <f t="shared" ca="1" si="12"/>
        <v>#REF!</v>
      </c>
      <c r="AC55" s="257" t="str">
        <f t="shared" ca="1" si="13"/>
        <v>#REF!</v>
      </c>
      <c r="AD55" s="234" t="str">
        <f t="shared" ca="1" si="14"/>
        <v>#REF!</v>
      </c>
      <c r="AE55" s="100" t="str">
        <f t="shared" ca="1" si="15"/>
        <v>#REF!</v>
      </c>
      <c r="AF55" s="101" t="str">
        <f t="shared" ca="1" si="16"/>
        <v>#REF!</v>
      </c>
      <c r="AG55" s="102" t="str">
        <f t="shared" ref="AG55:AH55" ca="1" si="73">AE55/V55</f>
        <v>#REF!</v>
      </c>
      <c r="AH55" s="102" t="str">
        <f t="shared" ca="1" si="73"/>
        <v>#REF!</v>
      </c>
    </row>
    <row r="56" spans="1:34" ht="13.2">
      <c r="A56" s="251"/>
      <c r="B56" s="251"/>
      <c r="C56" s="252"/>
      <c r="D56" s="252"/>
      <c r="E56" s="114"/>
      <c r="F56" s="252"/>
      <c r="G56" s="125" t="s">
        <v>145</v>
      </c>
      <c r="I56" s="172"/>
      <c r="J56" s="82" t="str">
        <f t="shared" ca="1" si="0"/>
        <v>#REF!</v>
      </c>
      <c r="K56" s="82" t="str">
        <f t="shared" ca="1" si="1"/>
        <v>#REF!</v>
      </c>
      <c r="L56" s="82" t="str">
        <f t="shared" ca="1" si="44"/>
        <v>#REF!</v>
      </c>
      <c r="M56" s="93"/>
      <c r="N56" s="93"/>
      <c r="O56" s="95">
        <f t="shared" si="2"/>
        <v>0</v>
      </c>
      <c r="P56" s="96">
        <f t="shared" si="3"/>
        <v>0</v>
      </c>
      <c r="Q56" s="97">
        <f t="shared" si="4"/>
        <v>0</v>
      </c>
      <c r="R56" s="97" t="str">
        <f ca="1">ROUNDUP(HLOOKUP(IF(CEILING(L56,0.5)&lt;1,0.5,CEILING(L56,0.5)),'배송비 조회'!A$44:AO$56,7,0)*B$3,-2)</f>
        <v>#REF!</v>
      </c>
      <c r="S56" s="97">
        <v>0</v>
      </c>
      <c r="T56" s="97" t="str">
        <f t="shared" ca="1" si="42"/>
        <v>#REF!</v>
      </c>
      <c r="U56" s="97" t="str">
        <f t="shared" ca="1" si="29"/>
        <v>#REF!</v>
      </c>
      <c r="V56" s="97" t="str">
        <f t="shared" ca="1" si="7"/>
        <v>#REF!</v>
      </c>
      <c r="W56" s="97" t="str">
        <f t="shared" ca="1" si="8"/>
        <v>#REF!</v>
      </c>
      <c r="X56" s="121">
        <v>0</v>
      </c>
      <c r="Y56" s="121" t="str">
        <f t="shared" ca="1" si="9"/>
        <v>#REF!</v>
      </c>
      <c r="Z56" s="121" t="str">
        <f t="shared" ca="1" si="10"/>
        <v>#REF!</v>
      </c>
      <c r="AA56" s="99" t="str">
        <f t="shared" ca="1" si="11"/>
        <v>#REF!</v>
      </c>
      <c r="AB56" s="234" t="str">
        <f t="shared" ca="1" si="12"/>
        <v>#REF!</v>
      </c>
      <c r="AC56" s="257" t="str">
        <f t="shared" ca="1" si="13"/>
        <v>#REF!</v>
      </c>
      <c r="AD56" s="234" t="str">
        <f t="shared" ca="1" si="14"/>
        <v>#REF!</v>
      </c>
      <c r="AE56" s="100" t="str">
        <f t="shared" ca="1" si="15"/>
        <v>#REF!</v>
      </c>
      <c r="AF56" s="101" t="str">
        <f t="shared" ca="1" si="16"/>
        <v>#REF!</v>
      </c>
      <c r="AG56" s="102" t="str">
        <f t="shared" ref="AG56:AH56" ca="1" si="74">AE56/V56</f>
        <v>#REF!</v>
      </c>
      <c r="AH56" s="102" t="str">
        <f t="shared" ca="1" si="74"/>
        <v>#REF!</v>
      </c>
    </row>
    <row r="57" spans="1:34" ht="13.2">
      <c r="A57" s="251"/>
      <c r="B57" s="251"/>
      <c r="C57" s="252"/>
      <c r="D57" s="252"/>
      <c r="E57" s="114"/>
      <c r="F57" s="252"/>
      <c r="G57" s="125" t="s">
        <v>145</v>
      </c>
      <c r="I57" s="172"/>
      <c r="J57" s="82" t="str">
        <f t="shared" ca="1" si="0"/>
        <v>#REF!</v>
      </c>
      <c r="K57" s="82" t="str">
        <f t="shared" ca="1" si="1"/>
        <v>#REF!</v>
      </c>
      <c r="L57" s="82" t="str">
        <f t="shared" ca="1" si="44"/>
        <v>#REF!</v>
      </c>
      <c r="M57" s="93"/>
      <c r="N57" s="93"/>
      <c r="O57" s="95">
        <f t="shared" si="2"/>
        <v>0</v>
      </c>
      <c r="P57" s="96">
        <f t="shared" si="3"/>
        <v>0</v>
      </c>
      <c r="Q57" s="97">
        <f t="shared" si="4"/>
        <v>0</v>
      </c>
      <c r="R57" s="97" t="str">
        <f ca="1">ROUNDUP(HLOOKUP(IF(CEILING(L57,0.5)&lt;1,0.5,CEILING(L57,0.5)),'배송비 조회'!A$44:AO$56,7,0)*B$3,-2)</f>
        <v>#REF!</v>
      </c>
      <c r="S57" s="97">
        <v>0</v>
      </c>
      <c r="T57" s="97" t="str">
        <f t="shared" ca="1" si="42"/>
        <v>#REF!</v>
      </c>
      <c r="U57" s="97" t="str">
        <f t="shared" ca="1" si="29"/>
        <v>#REF!</v>
      </c>
      <c r="V57" s="97" t="str">
        <f t="shared" ca="1" si="7"/>
        <v>#REF!</v>
      </c>
      <c r="W57" s="97" t="str">
        <f t="shared" ca="1" si="8"/>
        <v>#REF!</v>
      </c>
      <c r="X57" s="121">
        <v>0</v>
      </c>
      <c r="Y57" s="121" t="str">
        <f t="shared" ca="1" si="9"/>
        <v>#REF!</v>
      </c>
      <c r="Z57" s="121" t="str">
        <f t="shared" ca="1" si="10"/>
        <v>#REF!</v>
      </c>
      <c r="AA57" s="99" t="str">
        <f t="shared" ca="1" si="11"/>
        <v>#REF!</v>
      </c>
      <c r="AB57" s="234" t="str">
        <f t="shared" ca="1" si="12"/>
        <v>#REF!</v>
      </c>
      <c r="AC57" s="257" t="str">
        <f t="shared" ca="1" si="13"/>
        <v>#REF!</v>
      </c>
      <c r="AD57" s="234" t="str">
        <f t="shared" ca="1" si="14"/>
        <v>#REF!</v>
      </c>
      <c r="AE57" s="100" t="str">
        <f t="shared" ca="1" si="15"/>
        <v>#REF!</v>
      </c>
      <c r="AF57" s="101" t="str">
        <f t="shared" ca="1" si="16"/>
        <v>#REF!</v>
      </c>
      <c r="AG57" s="102" t="str">
        <f t="shared" ref="AG57:AH57" ca="1" si="75">AE57/V57</f>
        <v>#REF!</v>
      </c>
      <c r="AH57" s="102" t="str">
        <f t="shared" ca="1" si="75"/>
        <v>#REF!</v>
      </c>
    </row>
    <row r="58" spans="1:34" ht="13.2">
      <c r="A58" s="251"/>
      <c r="B58" s="251"/>
      <c r="C58" s="252"/>
      <c r="D58" s="252"/>
      <c r="E58" s="114"/>
      <c r="F58" s="252"/>
      <c r="G58" s="125" t="s">
        <v>145</v>
      </c>
      <c r="I58" s="172"/>
      <c r="J58" s="82" t="str">
        <f t="shared" ca="1" si="0"/>
        <v>#REF!</v>
      </c>
      <c r="K58" s="82" t="str">
        <f t="shared" ca="1" si="1"/>
        <v>#REF!</v>
      </c>
      <c r="L58" s="82" t="str">
        <f t="shared" ca="1" si="44"/>
        <v>#REF!</v>
      </c>
      <c r="M58" s="93"/>
      <c r="N58" s="93"/>
      <c r="O58" s="95">
        <f t="shared" si="2"/>
        <v>0</v>
      </c>
      <c r="P58" s="96">
        <f t="shared" si="3"/>
        <v>0</v>
      </c>
      <c r="Q58" s="97">
        <f t="shared" si="4"/>
        <v>0</v>
      </c>
      <c r="R58" s="97" t="str">
        <f ca="1">ROUNDUP(HLOOKUP(IF(CEILING(L58,0.5)&lt;1,0.5,CEILING(L58,0.5)),'배송비 조회'!A$44:AO$56,7,0)*B$3,-2)</f>
        <v>#REF!</v>
      </c>
      <c r="S58" s="97">
        <v>0</v>
      </c>
      <c r="T58" s="97" t="str">
        <f t="shared" ca="1" si="42"/>
        <v>#REF!</v>
      </c>
      <c r="U58" s="97" t="str">
        <f t="shared" ca="1" si="29"/>
        <v>#REF!</v>
      </c>
      <c r="V58" s="97" t="str">
        <f t="shared" ca="1" si="7"/>
        <v>#REF!</v>
      </c>
      <c r="W58" s="97" t="str">
        <f t="shared" ca="1" si="8"/>
        <v>#REF!</v>
      </c>
      <c r="X58" s="121">
        <v>0</v>
      </c>
      <c r="Y58" s="121" t="str">
        <f t="shared" ca="1" si="9"/>
        <v>#REF!</v>
      </c>
      <c r="Z58" s="121" t="str">
        <f t="shared" ca="1" si="10"/>
        <v>#REF!</v>
      </c>
      <c r="AA58" s="99" t="str">
        <f t="shared" ca="1" si="11"/>
        <v>#REF!</v>
      </c>
      <c r="AB58" s="234" t="str">
        <f t="shared" ca="1" si="12"/>
        <v>#REF!</v>
      </c>
      <c r="AC58" s="257" t="str">
        <f t="shared" ca="1" si="13"/>
        <v>#REF!</v>
      </c>
      <c r="AD58" s="234" t="str">
        <f t="shared" ca="1" si="14"/>
        <v>#REF!</v>
      </c>
      <c r="AE58" s="100" t="str">
        <f t="shared" ca="1" si="15"/>
        <v>#REF!</v>
      </c>
      <c r="AF58" s="101" t="str">
        <f t="shared" ca="1" si="16"/>
        <v>#REF!</v>
      </c>
      <c r="AG58" s="102" t="str">
        <f t="shared" ref="AG58:AH58" ca="1" si="76">AE58/V58</f>
        <v>#REF!</v>
      </c>
      <c r="AH58" s="102" t="str">
        <f t="shared" ca="1" si="76"/>
        <v>#REF!</v>
      </c>
    </row>
    <row r="59" spans="1:34" ht="13.2">
      <c r="A59" s="251"/>
      <c r="B59" s="251"/>
      <c r="C59" s="252"/>
      <c r="D59" s="252"/>
      <c r="E59" s="114"/>
      <c r="F59" s="252"/>
      <c r="G59" s="125" t="s">
        <v>145</v>
      </c>
      <c r="I59" s="172"/>
      <c r="J59" s="82" t="str">
        <f t="shared" ca="1" si="0"/>
        <v>#REF!</v>
      </c>
      <c r="K59" s="82" t="str">
        <f t="shared" ca="1" si="1"/>
        <v>#REF!</v>
      </c>
      <c r="L59" s="82" t="str">
        <f t="shared" ca="1" si="44"/>
        <v>#REF!</v>
      </c>
      <c r="M59" s="93"/>
      <c r="N59" s="93"/>
      <c r="O59" s="95">
        <f t="shared" si="2"/>
        <v>0</v>
      </c>
      <c r="P59" s="96">
        <f t="shared" si="3"/>
        <v>0</v>
      </c>
      <c r="Q59" s="97">
        <f t="shared" si="4"/>
        <v>0</v>
      </c>
      <c r="R59" s="97" t="str">
        <f ca="1">ROUNDUP(HLOOKUP(IF(CEILING(L59,0.5)&lt;1,0.5,CEILING(L59,0.5)),'배송비 조회'!A$44:AO$56,7,0)*B$3,-2)</f>
        <v>#REF!</v>
      </c>
      <c r="S59" s="97">
        <v>0</v>
      </c>
      <c r="T59" s="97" t="str">
        <f t="shared" ca="1" si="42"/>
        <v>#REF!</v>
      </c>
      <c r="U59" s="97" t="str">
        <f t="shared" ca="1" si="29"/>
        <v>#REF!</v>
      </c>
      <c r="V59" s="97" t="str">
        <f t="shared" ca="1" si="7"/>
        <v>#REF!</v>
      </c>
      <c r="W59" s="97" t="str">
        <f t="shared" ca="1" si="8"/>
        <v>#REF!</v>
      </c>
      <c r="X59" s="121">
        <v>0</v>
      </c>
      <c r="Y59" s="121" t="str">
        <f t="shared" ca="1" si="9"/>
        <v>#REF!</v>
      </c>
      <c r="Z59" s="121" t="str">
        <f t="shared" ca="1" si="10"/>
        <v>#REF!</v>
      </c>
      <c r="AA59" s="99" t="str">
        <f t="shared" ca="1" si="11"/>
        <v>#REF!</v>
      </c>
      <c r="AB59" s="234" t="str">
        <f t="shared" ca="1" si="12"/>
        <v>#REF!</v>
      </c>
      <c r="AC59" s="257" t="str">
        <f t="shared" ca="1" si="13"/>
        <v>#REF!</v>
      </c>
      <c r="AD59" s="234" t="str">
        <f t="shared" ca="1" si="14"/>
        <v>#REF!</v>
      </c>
      <c r="AE59" s="100" t="str">
        <f t="shared" ca="1" si="15"/>
        <v>#REF!</v>
      </c>
      <c r="AF59" s="101" t="str">
        <f t="shared" ca="1" si="16"/>
        <v>#REF!</v>
      </c>
      <c r="AG59" s="102" t="str">
        <f t="shared" ref="AG59:AH59" ca="1" si="77">AE59/V59</f>
        <v>#REF!</v>
      </c>
      <c r="AH59" s="102" t="str">
        <f t="shared" ca="1" si="77"/>
        <v>#REF!</v>
      </c>
    </row>
    <row r="60" spans="1:34" ht="13.2">
      <c r="A60" s="251"/>
      <c r="B60" s="251"/>
      <c r="C60" s="252"/>
      <c r="D60" s="252"/>
      <c r="E60" s="114"/>
      <c r="F60" s="252"/>
      <c r="G60" s="125" t="s">
        <v>145</v>
      </c>
      <c r="I60" s="172"/>
      <c r="J60" s="82" t="str">
        <f t="shared" ca="1" si="0"/>
        <v>#REF!</v>
      </c>
      <c r="K60" s="82" t="str">
        <f t="shared" ca="1" si="1"/>
        <v>#REF!</v>
      </c>
      <c r="L60" s="82" t="str">
        <f t="shared" ca="1" si="44"/>
        <v>#REF!</v>
      </c>
      <c r="M60" s="93"/>
      <c r="N60" s="93"/>
      <c r="O60" s="95">
        <f t="shared" si="2"/>
        <v>0</v>
      </c>
      <c r="P60" s="96">
        <f t="shared" si="3"/>
        <v>0</v>
      </c>
      <c r="Q60" s="97">
        <f t="shared" si="4"/>
        <v>0</v>
      </c>
      <c r="R60" s="97" t="str">
        <f ca="1">ROUNDUP(HLOOKUP(IF(CEILING(L60,0.5)&lt;1,0.5,CEILING(L60,0.5)),'배송비 조회'!A$44:AO$56,7,0)*B$3,-2)</f>
        <v>#REF!</v>
      </c>
      <c r="S60" s="97">
        <v>0</v>
      </c>
      <c r="T60" s="97" t="str">
        <f t="shared" ca="1" si="42"/>
        <v>#REF!</v>
      </c>
      <c r="U60" s="97" t="str">
        <f t="shared" ca="1" si="29"/>
        <v>#REF!</v>
      </c>
      <c r="V60" s="97" t="str">
        <f t="shared" ca="1" si="7"/>
        <v>#REF!</v>
      </c>
      <c r="W60" s="97" t="str">
        <f t="shared" ca="1" si="8"/>
        <v>#REF!</v>
      </c>
      <c r="X60" s="121">
        <v>0</v>
      </c>
      <c r="Y60" s="121" t="str">
        <f t="shared" ca="1" si="9"/>
        <v>#REF!</v>
      </c>
      <c r="Z60" s="121" t="str">
        <f t="shared" ca="1" si="10"/>
        <v>#REF!</v>
      </c>
      <c r="AA60" s="99" t="str">
        <f t="shared" ca="1" si="11"/>
        <v>#REF!</v>
      </c>
      <c r="AB60" s="234" t="str">
        <f t="shared" ca="1" si="12"/>
        <v>#REF!</v>
      </c>
      <c r="AC60" s="257" t="str">
        <f t="shared" ca="1" si="13"/>
        <v>#REF!</v>
      </c>
      <c r="AD60" s="234" t="str">
        <f t="shared" ca="1" si="14"/>
        <v>#REF!</v>
      </c>
      <c r="AE60" s="100" t="str">
        <f t="shared" ca="1" si="15"/>
        <v>#REF!</v>
      </c>
      <c r="AF60" s="101" t="str">
        <f t="shared" ca="1" si="16"/>
        <v>#REF!</v>
      </c>
      <c r="AG60" s="102" t="str">
        <f t="shared" ref="AG60:AH60" ca="1" si="78">AE60/V60</f>
        <v>#REF!</v>
      </c>
      <c r="AH60" s="102" t="str">
        <f t="shared" ca="1" si="78"/>
        <v>#REF!</v>
      </c>
    </row>
    <row r="61" spans="1:34" ht="13.2">
      <c r="A61" s="251"/>
      <c r="B61" s="251"/>
      <c r="C61" s="252"/>
      <c r="D61" s="252"/>
      <c r="E61" s="114"/>
      <c r="F61" s="252"/>
      <c r="G61" s="125" t="s">
        <v>145</v>
      </c>
      <c r="I61" s="172"/>
      <c r="J61" s="82" t="str">
        <f t="shared" ca="1" si="0"/>
        <v>#REF!</v>
      </c>
      <c r="K61" s="82" t="str">
        <f t="shared" ca="1" si="1"/>
        <v>#REF!</v>
      </c>
      <c r="L61" s="82" t="str">
        <f t="shared" ca="1" si="44"/>
        <v>#REF!</v>
      </c>
      <c r="M61" s="93"/>
      <c r="N61" s="93"/>
      <c r="O61" s="95">
        <f t="shared" si="2"/>
        <v>0</v>
      </c>
      <c r="P61" s="96">
        <f t="shared" si="3"/>
        <v>0</v>
      </c>
      <c r="Q61" s="97">
        <f t="shared" si="4"/>
        <v>0</v>
      </c>
      <c r="R61" s="97" t="str">
        <f ca="1">ROUNDUP(HLOOKUP(IF(CEILING(L61,0.5)&lt;1,0.5,CEILING(L61,0.5)),'배송비 조회'!A$44:AO$56,7,0)*B$3,-2)</f>
        <v>#REF!</v>
      </c>
      <c r="S61" s="97">
        <v>0</v>
      </c>
      <c r="T61" s="97" t="str">
        <f t="shared" ca="1" si="42"/>
        <v>#REF!</v>
      </c>
      <c r="U61" s="97" t="str">
        <f t="shared" ca="1" si="29"/>
        <v>#REF!</v>
      </c>
      <c r="V61" s="97" t="str">
        <f t="shared" ca="1" si="7"/>
        <v>#REF!</v>
      </c>
      <c r="W61" s="97" t="str">
        <f t="shared" ca="1" si="8"/>
        <v>#REF!</v>
      </c>
      <c r="X61" s="121">
        <v>0</v>
      </c>
      <c r="Y61" s="121" t="str">
        <f t="shared" ca="1" si="9"/>
        <v>#REF!</v>
      </c>
      <c r="Z61" s="121" t="str">
        <f t="shared" ca="1" si="10"/>
        <v>#REF!</v>
      </c>
      <c r="AA61" s="99" t="str">
        <f t="shared" ca="1" si="11"/>
        <v>#REF!</v>
      </c>
      <c r="AB61" s="234" t="str">
        <f t="shared" ca="1" si="12"/>
        <v>#REF!</v>
      </c>
      <c r="AC61" s="257" t="str">
        <f t="shared" ca="1" si="13"/>
        <v>#REF!</v>
      </c>
      <c r="AD61" s="234" t="str">
        <f t="shared" ca="1" si="14"/>
        <v>#REF!</v>
      </c>
      <c r="AE61" s="100" t="str">
        <f t="shared" ca="1" si="15"/>
        <v>#REF!</v>
      </c>
      <c r="AF61" s="101" t="str">
        <f t="shared" ca="1" si="16"/>
        <v>#REF!</v>
      </c>
      <c r="AG61" s="102" t="str">
        <f t="shared" ref="AG61:AH61" ca="1" si="79">AE61/V61</f>
        <v>#REF!</v>
      </c>
      <c r="AH61" s="102" t="str">
        <f t="shared" ca="1" si="79"/>
        <v>#REF!</v>
      </c>
    </row>
    <row r="62" spans="1:34" ht="13.2">
      <c r="A62" s="251"/>
      <c r="B62" s="251"/>
      <c r="C62" s="252"/>
      <c r="D62" s="252"/>
      <c r="E62" s="114"/>
      <c r="F62" s="252"/>
      <c r="G62" s="125" t="s">
        <v>145</v>
      </c>
      <c r="I62" s="172"/>
      <c r="J62" s="82" t="str">
        <f t="shared" ca="1" si="0"/>
        <v>#REF!</v>
      </c>
      <c r="K62" s="82" t="str">
        <f t="shared" ca="1" si="1"/>
        <v>#REF!</v>
      </c>
      <c r="L62" s="82" t="str">
        <f t="shared" ca="1" si="44"/>
        <v>#REF!</v>
      </c>
      <c r="M62" s="93"/>
      <c r="N62" s="93"/>
      <c r="O62" s="95">
        <f t="shared" si="2"/>
        <v>0</v>
      </c>
      <c r="P62" s="96">
        <f t="shared" si="3"/>
        <v>0</v>
      </c>
      <c r="Q62" s="97">
        <f t="shared" si="4"/>
        <v>0</v>
      </c>
      <c r="R62" s="97" t="str">
        <f ca="1">ROUNDUP(HLOOKUP(IF(CEILING(L62,0.5)&lt;1,0.5,CEILING(L62,0.5)),'배송비 조회'!A$44:AO$56,7,0)*B$3,-2)</f>
        <v>#REF!</v>
      </c>
      <c r="S62" s="97">
        <v>0</v>
      </c>
      <c r="T62" s="97" t="str">
        <f t="shared" ca="1" si="42"/>
        <v>#REF!</v>
      </c>
      <c r="U62" s="97" t="str">
        <f t="shared" ca="1" si="29"/>
        <v>#REF!</v>
      </c>
      <c r="V62" s="97" t="str">
        <f t="shared" ca="1" si="7"/>
        <v>#REF!</v>
      </c>
      <c r="W62" s="97" t="str">
        <f t="shared" ca="1" si="8"/>
        <v>#REF!</v>
      </c>
      <c r="X62" s="121">
        <v>0</v>
      </c>
      <c r="Y62" s="121" t="str">
        <f t="shared" ca="1" si="9"/>
        <v>#REF!</v>
      </c>
      <c r="Z62" s="121" t="str">
        <f t="shared" ca="1" si="10"/>
        <v>#REF!</v>
      </c>
      <c r="AA62" s="99" t="str">
        <f t="shared" ca="1" si="11"/>
        <v>#REF!</v>
      </c>
      <c r="AB62" s="234" t="str">
        <f t="shared" ca="1" si="12"/>
        <v>#REF!</v>
      </c>
      <c r="AC62" s="257" t="str">
        <f t="shared" ca="1" si="13"/>
        <v>#REF!</v>
      </c>
      <c r="AD62" s="234" t="str">
        <f t="shared" ca="1" si="14"/>
        <v>#REF!</v>
      </c>
      <c r="AE62" s="100" t="str">
        <f t="shared" ca="1" si="15"/>
        <v>#REF!</v>
      </c>
      <c r="AF62" s="101" t="str">
        <f t="shared" ca="1" si="16"/>
        <v>#REF!</v>
      </c>
      <c r="AG62" s="102" t="str">
        <f t="shared" ref="AG62:AH62" ca="1" si="80">AE62/V62</f>
        <v>#REF!</v>
      </c>
      <c r="AH62" s="102" t="str">
        <f t="shared" ca="1" si="80"/>
        <v>#REF!</v>
      </c>
    </row>
    <row r="63" spans="1:34" ht="13.2">
      <c r="A63" s="251"/>
      <c r="B63" s="251"/>
      <c r="C63" s="252"/>
      <c r="D63" s="252"/>
      <c r="E63" s="114"/>
      <c r="F63" s="252"/>
      <c r="G63" s="125" t="s">
        <v>145</v>
      </c>
      <c r="I63" s="172"/>
      <c r="J63" s="82" t="str">
        <f t="shared" ca="1" si="0"/>
        <v>#REF!</v>
      </c>
      <c r="K63" s="82" t="str">
        <f t="shared" ca="1" si="1"/>
        <v>#REF!</v>
      </c>
      <c r="L63" s="82" t="str">
        <f t="shared" ca="1" si="44"/>
        <v>#REF!</v>
      </c>
      <c r="M63" s="93"/>
      <c r="N63" s="93"/>
      <c r="O63" s="95">
        <f t="shared" si="2"/>
        <v>0</v>
      </c>
      <c r="P63" s="96">
        <f t="shared" si="3"/>
        <v>0</v>
      </c>
      <c r="Q63" s="97">
        <f t="shared" si="4"/>
        <v>0</v>
      </c>
      <c r="R63" s="97" t="str">
        <f ca="1">ROUNDUP(HLOOKUP(IF(CEILING(L63,0.5)&lt;1,0.5,CEILING(L63,0.5)),'배송비 조회'!A$44:AO$56,7,0)*B$3,-2)</f>
        <v>#REF!</v>
      </c>
      <c r="S63" s="97">
        <v>0</v>
      </c>
      <c r="T63" s="97" t="str">
        <f t="shared" ca="1" si="42"/>
        <v>#REF!</v>
      </c>
      <c r="U63" s="97" t="str">
        <f t="shared" ca="1" si="29"/>
        <v>#REF!</v>
      </c>
      <c r="V63" s="97" t="str">
        <f t="shared" ca="1" si="7"/>
        <v>#REF!</v>
      </c>
      <c r="W63" s="97" t="str">
        <f t="shared" ca="1" si="8"/>
        <v>#REF!</v>
      </c>
      <c r="X63" s="121">
        <v>0</v>
      </c>
      <c r="Y63" s="121" t="str">
        <f t="shared" ca="1" si="9"/>
        <v>#REF!</v>
      </c>
      <c r="Z63" s="121" t="str">
        <f t="shared" ca="1" si="10"/>
        <v>#REF!</v>
      </c>
      <c r="AA63" s="99" t="str">
        <f t="shared" ca="1" si="11"/>
        <v>#REF!</v>
      </c>
      <c r="AB63" s="234" t="str">
        <f t="shared" ca="1" si="12"/>
        <v>#REF!</v>
      </c>
      <c r="AC63" s="257" t="str">
        <f t="shared" ca="1" si="13"/>
        <v>#REF!</v>
      </c>
      <c r="AD63" s="234" t="str">
        <f t="shared" ca="1" si="14"/>
        <v>#REF!</v>
      </c>
      <c r="AE63" s="100" t="str">
        <f t="shared" ca="1" si="15"/>
        <v>#REF!</v>
      </c>
      <c r="AF63" s="101" t="str">
        <f t="shared" ca="1" si="16"/>
        <v>#REF!</v>
      </c>
      <c r="AG63" s="102" t="str">
        <f t="shared" ref="AG63:AH63" ca="1" si="81">AE63/V63</f>
        <v>#REF!</v>
      </c>
      <c r="AH63" s="102" t="str">
        <f t="shared" ca="1" si="81"/>
        <v>#REF!</v>
      </c>
    </row>
    <row r="64" spans="1:34" ht="13.2">
      <c r="A64" s="251"/>
      <c r="B64" s="251"/>
      <c r="C64" s="252"/>
      <c r="D64" s="252"/>
      <c r="E64" s="114"/>
      <c r="F64" s="252"/>
      <c r="G64" s="125" t="s">
        <v>145</v>
      </c>
      <c r="I64" s="172"/>
      <c r="J64" s="82" t="str">
        <f t="shared" ca="1" si="0"/>
        <v>#REF!</v>
      </c>
      <c r="K64" s="82" t="str">
        <f t="shared" ca="1" si="1"/>
        <v>#REF!</v>
      </c>
      <c r="L64" s="82" t="str">
        <f t="shared" ca="1" si="44"/>
        <v>#REF!</v>
      </c>
      <c r="M64" s="93"/>
      <c r="N64" s="93"/>
      <c r="O64" s="95">
        <f t="shared" si="2"/>
        <v>0</v>
      </c>
      <c r="P64" s="96">
        <f t="shared" si="3"/>
        <v>0</v>
      </c>
      <c r="Q64" s="97">
        <f t="shared" si="4"/>
        <v>0</v>
      </c>
      <c r="R64" s="97" t="str">
        <f ca="1">ROUNDUP(HLOOKUP(IF(CEILING(L64,0.5)&lt;1,0.5,CEILING(L64,0.5)),'배송비 조회'!A$44:AO$56,7,0)*B$3,-2)</f>
        <v>#REF!</v>
      </c>
      <c r="S64" s="97">
        <v>0</v>
      </c>
      <c r="T64" s="97" t="str">
        <f t="shared" ca="1" si="42"/>
        <v>#REF!</v>
      </c>
      <c r="U64" s="97" t="str">
        <f t="shared" ca="1" si="29"/>
        <v>#REF!</v>
      </c>
      <c r="V64" s="97" t="str">
        <f t="shared" ca="1" si="7"/>
        <v>#REF!</v>
      </c>
      <c r="W64" s="97" t="str">
        <f t="shared" ca="1" si="8"/>
        <v>#REF!</v>
      </c>
      <c r="X64" s="121">
        <v>0</v>
      </c>
      <c r="Y64" s="121" t="str">
        <f t="shared" ca="1" si="9"/>
        <v>#REF!</v>
      </c>
      <c r="Z64" s="121" t="str">
        <f t="shared" ca="1" si="10"/>
        <v>#REF!</v>
      </c>
      <c r="AA64" s="99" t="str">
        <f t="shared" ca="1" si="11"/>
        <v>#REF!</v>
      </c>
      <c r="AB64" s="234" t="str">
        <f t="shared" ca="1" si="12"/>
        <v>#REF!</v>
      </c>
      <c r="AC64" s="257" t="str">
        <f t="shared" ca="1" si="13"/>
        <v>#REF!</v>
      </c>
      <c r="AD64" s="234" t="str">
        <f t="shared" ca="1" si="14"/>
        <v>#REF!</v>
      </c>
      <c r="AE64" s="100" t="str">
        <f t="shared" ca="1" si="15"/>
        <v>#REF!</v>
      </c>
      <c r="AF64" s="101" t="str">
        <f t="shared" ca="1" si="16"/>
        <v>#REF!</v>
      </c>
      <c r="AG64" s="102" t="str">
        <f t="shared" ref="AG64:AH64" ca="1" si="82">AE64/V64</f>
        <v>#REF!</v>
      </c>
      <c r="AH64" s="102" t="str">
        <f t="shared" ca="1" si="82"/>
        <v>#REF!</v>
      </c>
    </row>
    <row r="65" spans="1:34" ht="13.2">
      <c r="A65" s="251"/>
      <c r="B65" s="251"/>
      <c r="C65" s="252"/>
      <c r="D65" s="252"/>
      <c r="E65" s="114"/>
      <c r="F65" s="252"/>
      <c r="G65" s="125" t="s">
        <v>145</v>
      </c>
      <c r="I65" s="172"/>
      <c r="J65" s="82" t="str">
        <f t="shared" ca="1" si="0"/>
        <v>#REF!</v>
      </c>
      <c r="K65" s="82" t="str">
        <f t="shared" ca="1" si="1"/>
        <v>#REF!</v>
      </c>
      <c r="L65" s="82" t="str">
        <f t="shared" ca="1" si="44"/>
        <v>#REF!</v>
      </c>
      <c r="M65" s="93"/>
      <c r="N65" s="93"/>
      <c r="O65" s="95">
        <f t="shared" si="2"/>
        <v>0</v>
      </c>
      <c r="P65" s="96">
        <f t="shared" si="3"/>
        <v>0</v>
      </c>
      <c r="Q65" s="97">
        <f t="shared" si="4"/>
        <v>0</v>
      </c>
      <c r="R65" s="97" t="str">
        <f ca="1">ROUNDUP(HLOOKUP(IF(CEILING(L65,0.5)&lt;1,0.5,CEILING(L65,0.5)),'배송비 조회'!A$44:AO$56,7,0)*B$3,-2)</f>
        <v>#REF!</v>
      </c>
      <c r="S65" s="97">
        <v>0</v>
      </c>
      <c r="T65" s="97" t="str">
        <f t="shared" ca="1" si="42"/>
        <v>#REF!</v>
      </c>
      <c r="U65" s="97" t="str">
        <f t="shared" ca="1" si="29"/>
        <v>#REF!</v>
      </c>
      <c r="V65" s="97" t="str">
        <f t="shared" ca="1" si="7"/>
        <v>#REF!</v>
      </c>
      <c r="W65" s="97" t="str">
        <f t="shared" ca="1" si="8"/>
        <v>#REF!</v>
      </c>
      <c r="X65" s="121">
        <v>0</v>
      </c>
      <c r="Y65" s="121" t="str">
        <f t="shared" ca="1" si="9"/>
        <v>#REF!</v>
      </c>
      <c r="Z65" s="121" t="str">
        <f t="shared" ca="1" si="10"/>
        <v>#REF!</v>
      </c>
      <c r="AA65" s="99" t="str">
        <f t="shared" ca="1" si="11"/>
        <v>#REF!</v>
      </c>
      <c r="AB65" s="234" t="str">
        <f t="shared" ca="1" si="12"/>
        <v>#REF!</v>
      </c>
      <c r="AC65" s="257" t="str">
        <f t="shared" ca="1" si="13"/>
        <v>#REF!</v>
      </c>
      <c r="AD65" s="234" t="str">
        <f t="shared" ca="1" si="14"/>
        <v>#REF!</v>
      </c>
      <c r="AE65" s="100" t="str">
        <f t="shared" ca="1" si="15"/>
        <v>#REF!</v>
      </c>
      <c r="AF65" s="101" t="str">
        <f t="shared" ca="1" si="16"/>
        <v>#REF!</v>
      </c>
      <c r="AG65" s="102" t="str">
        <f t="shared" ref="AG65:AH65" ca="1" si="83">AE65/V65</f>
        <v>#REF!</v>
      </c>
      <c r="AH65" s="102" t="str">
        <f t="shared" ca="1" si="83"/>
        <v>#REF!</v>
      </c>
    </row>
    <row r="66" spans="1:34" ht="13.2">
      <c r="A66" s="251"/>
      <c r="B66" s="251"/>
      <c r="C66" s="252"/>
      <c r="D66" s="252"/>
      <c r="E66" s="114"/>
      <c r="F66" s="252"/>
      <c r="G66" s="125" t="s">
        <v>145</v>
      </c>
      <c r="I66" s="172"/>
      <c r="J66" s="82" t="str">
        <f t="shared" ca="1" si="0"/>
        <v>#REF!</v>
      </c>
      <c r="K66" s="82" t="str">
        <f t="shared" ca="1" si="1"/>
        <v>#REF!</v>
      </c>
      <c r="L66" s="82" t="str">
        <f t="shared" ca="1" si="44"/>
        <v>#REF!</v>
      </c>
      <c r="M66" s="93"/>
      <c r="N66" s="93"/>
      <c r="O66" s="95">
        <f t="shared" si="2"/>
        <v>0</v>
      </c>
      <c r="P66" s="96">
        <f t="shared" si="3"/>
        <v>0</v>
      </c>
      <c r="Q66" s="97">
        <f t="shared" si="4"/>
        <v>0</v>
      </c>
      <c r="R66" s="97" t="str">
        <f ca="1">ROUNDUP(HLOOKUP(IF(CEILING(L66,0.5)&lt;1,0.5,CEILING(L66,0.5)),'배송비 조회'!A$44:AO$56,7,0)*B$3,-2)</f>
        <v>#REF!</v>
      </c>
      <c r="S66" s="97">
        <v>0</v>
      </c>
      <c r="T66" s="97" t="str">
        <f t="shared" ca="1" si="42"/>
        <v>#REF!</v>
      </c>
      <c r="U66" s="97" t="str">
        <f t="shared" ca="1" si="29"/>
        <v>#REF!</v>
      </c>
      <c r="V66" s="97" t="str">
        <f t="shared" ca="1" si="7"/>
        <v>#REF!</v>
      </c>
      <c r="W66" s="97" t="str">
        <f t="shared" ca="1" si="8"/>
        <v>#REF!</v>
      </c>
      <c r="X66" s="121">
        <v>0</v>
      </c>
      <c r="Y66" s="121" t="str">
        <f t="shared" ca="1" si="9"/>
        <v>#REF!</v>
      </c>
      <c r="Z66" s="121" t="str">
        <f t="shared" ca="1" si="10"/>
        <v>#REF!</v>
      </c>
      <c r="AA66" s="99" t="str">
        <f t="shared" ca="1" si="11"/>
        <v>#REF!</v>
      </c>
      <c r="AB66" s="234" t="str">
        <f t="shared" ca="1" si="12"/>
        <v>#REF!</v>
      </c>
      <c r="AC66" s="257" t="str">
        <f t="shared" ca="1" si="13"/>
        <v>#REF!</v>
      </c>
      <c r="AD66" s="234" t="str">
        <f t="shared" ca="1" si="14"/>
        <v>#REF!</v>
      </c>
      <c r="AE66" s="100" t="str">
        <f t="shared" ca="1" si="15"/>
        <v>#REF!</v>
      </c>
      <c r="AF66" s="101" t="str">
        <f t="shared" ca="1" si="16"/>
        <v>#REF!</v>
      </c>
      <c r="AG66" s="102" t="str">
        <f t="shared" ref="AG66:AH66" ca="1" si="84">AE66/V66</f>
        <v>#REF!</v>
      </c>
      <c r="AH66" s="102" t="str">
        <f t="shared" ca="1" si="84"/>
        <v>#REF!</v>
      </c>
    </row>
    <row r="67" spans="1:34" ht="13.2">
      <c r="A67" s="251"/>
      <c r="B67" s="251"/>
      <c r="C67" s="252"/>
      <c r="D67" s="252"/>
      <c r="E67" s="114"/>
      <c r="F67" s="252"/>
      <c r="G67" s="125" t="s">
        <v>145</v>
      </c>
      <c r="I67" s="172"/>
      <c r="J67" s="82" t="str">
        <f t="shared" ca="1" si="0"/>
        <v>#REF!</v>
      </c>
      <c r="K67" s="82" t="str">
        <f t="shared" ca="1" si="1"/>
        <v>#REF!</v>
      </c>
      <c r="L67" s="82" t="str">
        <f t="shared" ca="1" si="44"/>
        <v>#REF!</v>
      </c>
      <c r="M67" s="93"/>
      <c r="N67" s="93"/>
      <c r="O67" s="95">
        <f t="shared" si="2"/>
        <v>0</v>
      </c>
      <c r="P67" s="96">
        <f t="shared" si="3"/>
        <v>0</v>
      </c>
      <c r="Q67" s="97">
        <f t="shared" si="4"/>
        <v>0</v>
      </c>
      <c r="R67" s="97" t="str">
        <f ca="1">ROUNDUP(HLOOKUP(IF(CEILING(L67,0.5)&lt;1,0.5,CEILING(L67,0.5)),'배송비 조회'!A$44:AO$56,7,0)*B$3,-2)</f>
        <v>#REF!</v>
      </c>
      <c r="S67" s="97">
        <v>0</v>
      </c>
      <c r="T67" s="97" t="str">
        <f t="shared" ca="1" si="42"/>
        <v>#REF!</v>
      </c>
      <c r="U67" s="97" t="str">
        <f t="shared" ca="1" si="29"/>
        <v>#REF!</v>
      </c>
      <c r="V67" s="97" t="str">
        <f t="shared" ca="1" si="7"/>
        <v>#REF!</v>
      </c>
      <c r="W67" s="97" t="str">
        <f t="shared" ca="1" si="8"/>
        <v>#REF!</v>
      </c>
      <c r="X67" s="121">
        <v>0</v>
      </c>
      <c r="Y67" s="121" t="str">
        <f t="shared" ca="1" si="9"/>
        <v>#REF!</v>
      </c>
      <c r="Z67" s="121" t="str">
        <f t="shared" ca="1" si="10"/>
        <v>#REF!</v>
      </c>
      <c r="AA67" s="99" t="str">
        <f t="shared" ca="1" si="11"/>
        <v>#REF!</v>
      </c>
      <c r="AB67" s="234" t="str">
        <f t="shared" ca="1" si="12"/>
        <v>#REF!</v>
      </c>
      <c r="AC67" s="257" t="str">
        <f t="shared" ca="1" si="13"/>
        <v>#REF!</v>
      </c>
      <c r="AD67" s="234" t="str">
        <f t="shared" ca="1" si="14"/>
        <v>#REF!</v>
      </c>
      <c r="AE67" s="100" t="str">
        <f t="shared" ca="1" si="15"/>
        <v>#REF!</v>
      </c>
      <c r="AF67" s="101" t="str">
        <f t="shared" ca="1" si="16"/>
        <v>#REF!</v>
      </c>
      <c r="AG67" s="102" t="str">
        <f t="shared" ref="AG67:AH67" ca="1" si="85">AE67/V67</f>
        <v>#REF!</v>
      </c>
      <c r="AH67" s="102" t="str">
        <f t="shared" ca="1" si="85"/>
        <v>#REF!</v>
      </c>
    </row>
    <row r="68" spans="1:34" ht="13.2">
      <c r="A68" s="251"/>
      <c r="B68" s="251"/>
      <c r="C68" s="252"/>
      <c r="D68" s="252"/>
      <c r="E68" s="114"/>
      <c r="F68" s="252"/>
      <c r="G68" s="125" t="s">
        <v>145</v>
      </c>
      <c r="I68" s="172"/>
      <c r="J68" s="82" t="str">
        <f t="shared" ca="1" si="0"/>
        <v>#REF!</v>
      </c>
      <c r="K68" s="82" t="str">
        <f t="shared" ca="1" si="1"/>
        <v>#REF!</v>
      </c>
      <c r="L68" s="82" t="str">
        <f t="shared" ca="1" si="44"/>
        <v>#REF!</v>
      </c>
      <c r="M68" s="93"/>
      <c r="N68" s="93"/>
      <c r="O68" s="95">
        <f t="shared" si="2"/>
        <v>0</v>
      </c>
      <c r="P68" s="96">
        <f t="shared" si="3"/>
        <v>0</v>
      </c>
      <c r="Q68" s="97">
        <f t="shared" si="4"/>
        <v>0</v>
      </c>
      <c r="R68" s="97" t="str">
        <f ca="1">ROUNDUP(HLOOKUP(IF(CEILING(L68,0.5)&lt;1,0.5,CEILING(L68,0.5)),'배송비 조회'!A$44:AO$56,7,0)*B$3,-2)</f>
        <v>#REF!</v>
      </c>
      <c r="S68" s="97">
        <v>0</v>
      </c>
      <c r="T68" s="97" t="str">
        <f t="shared" ca="1" si="42"/>
        <v>#REF!</v>
      </c>
      <c r="U68" s="97" t="str">
        <f t="shared" ca="1" si="29"/>
        <v>#REF!</v>
      </c>
      <c r="V68" s="97" t="str">
        <f t="shared" ca="1" si="7"/>
        <v>#REF!</v>
      </c>
      <c r="W68" s="97" t="str">
        <f t="shared" ca="1" si="8"/>
        <v>#REF!</v>
      </c>
      <c r="X68" s="121">
        <v>0</v>
      </c>
      <c r="Y68" s="121" t="str">
        <f t="shared" ca="1" si="9"/>
        <v>#REF!</v>
      </c>
      <c r="Z68" s="121" t="str">
        <f t="shared" ca="1" si="10"/>
        <v>#REF!</v>
      </c>
      <c r="AA68" s="99" t="str">
        <f t="shared" ca="1" si="11"/>
        <v>#REF!</v>
      </c>
      <c r="AB68" s="234" t="str">
        <f t="shared" ca="1" si="12"/>
        <v>#REF!</v>
      </c>
      <c r="AC68" s="257" t="str">
        <f t="shared" ca="1" si="13"/>
        <v>#REF!</v>
      </c>
      <c r="AD68" s="234" t="str">
        <f t="shared" ca="1" si="14"/>
        <v>#REF!</v>
      </c>
      <c r="AE68" s="100" t="str">
        <f t="shared" ca="1" si="15"/>
        <v>#REF!</v>
      </c>
      <c r="AF68" s="101" t="str">
        <f t="shared" ca="1" si="16"/>
        <v>#REF!</v>
      </c>
      <c r="AG68" s="102" t="str">
        <f t="shared" ref="AG68:AH68" ca="1" si="86">AE68/V68</f>
        <v>#REF!</v>
      </c>
      <c r="AH68" s="102" t="str">
        <f t="shared" ca="1" si="86"/>
        <v>#REF!</v>
      </c>
    </row>
    <row r="69" spans="1:34" ht="13.2">
      <c r="A69" s="251"/>
      <c r="B69" s="251"/>
      <c r="C69" s="252"/>
      <c r="D69" s="252"/>
      <c r="E69" s="114"/>
      <c r="F69" s="252"/>
      <c r="G69" s="125" t="s">
        <v>145</v>
      </c>
      <c r="I69" s="172"/>
      <c r="J69" s="82" t="str">
        <f t="shared" ca="1" si="0"/>
        <v>#REF!</v>
      </c>
      <c r="K69" s="82" t="str">
        <f t="shared" ca="1" si="1"/>
        <v>#REF!</v>
      </c>
      <c r="L69" s="82" t="str">
        <f t="shared" ca="1" si="44"/>
        <v>#REF!</v>
      </c>
      <c r="M69" s="93"/>
      <c r="N69" s="93"/>
      <c r="O69" s="95">
        <f t="shared" si="2"/>
        <v>0</v>
      </c>
      <c r="P69" s="96">
        <f t="shared" si="3"/>
        <v>0</v>
      </c>
      <c r="Q69" s="97">
        <f t="shared" si="4"/>
        <v>0</v>
      </c>
      <c r="R69" s="97" t="str">
        <f ca="1">ROUNDUP(HLOOKUP(IF(CEILING(L69,0.5)&lt;1,0.5,CEILING(L69,0.5)),'배송비 조회'!A$44:AO$56,7,0)*B$3,-2)</f>
        <v>#REF!</v>
      </c>
      <c r="S69" s="97">
        <v>0</v>
      </c>
      <c r="T69" s="97" t="str">
        <f t="shared" ca="1" si="42"/>
        <v>#REF!</v>
      </c>
      <c r="U69" s="97" t="str">
        <f t="shared" ca="1" si="29"/>
        <v>#REF!</v>
      </c>
      <c r="V69" s="97" t="str">
        <f t="shared" ca="1" si="7"/>
        <v>#REF!</v>
      </c>
      <c r="W69" s="97" t="str">
        <f t="shared" ca="1" si="8"/>
        <v>#REF!</v>
      </c>
      <c r="X69" s="121">
        <v>0</v>
      </c>
      <c r="Y69" s="121" t="str">
        <f t="shared" ca="1" si="9"/>
        <v>#REF!</v>
      </c>
      <c r="Z69" s="121" t="str">
        <f t="shared" ca="1" si="10"/>
        <v>#REF!</v>
      </c>
      <c r="AA69" s="99" t="str">
        <f t="shared" ca="1" si="11"/>
        <v>#REF!</v>
      </c>
      <c r="AB69" s="234" t="str">
        <f t="shared" ca="1" si="12"/>
        <v>#REF!</v>
      </c>
      <c r="AC69" s="257" t="str">
        <f t="shared" ca="1" si="13"/>
        <v>#REF!</v>
      </c>
      <c r="AD69" s="234" t="str">
        <f t="shared" ca="1" si="14"/>
        <v>#REF!</v>
      </c>
      <c r="AE69" s="100" t="str">
        <f t="shared" ca="1" si="15"/>
        <v>#REF!</v>
      </c>
      <c r="AF69" s="101" t="str">
        <f t="shared" ca="1" si="16"/>
        <v>#REF!</v>
      </c>
      <c r="AG69" s="102" t="str">
        <f t="shared" ref="AG69:AH69" ca="1" si="87">AE69/V69</f>
        <v>#REF!</v>
      </c>
      <c r="AH69" s="102" t="str">
        <f t="shared" ca="1" si="87"/>
        <v>#REF!</v>
      </c>
    </row>
    <row r="70" spans="1:34" ht="13.2">
      <c r="A70" s="251"/>
      <c r="B70" s="251"/>
      <c r="C70" s="252"/>
      <c r="D70" s="252"/>
      <c r="E70" s="114"/>
      <c r="F70" s="252"/>
      <c r="G70" s="125" t="s">
        <v>145</v>
      </c>
      <c r="I70" s="172"/>
      <c r="J70" s="82" t="str">
        <f t="shared" ca="1" si="0"/>
        <v>#REF!</v>
      </c>
      <c r="K70" s="82" t="str">
        <f t="shared" ca="1" si="1"/>
        <v>#REF!</v>
      </c>
      <c r="L70" s="82" t="str">
        <f t="shared" ca="1" si="44"/>
        <v>#REF!</v>
      </c>
      <c r="M70" s="93"/>
      <c r="N70" s="93"/>
      <c r="O70" s="95">
        <f t="shared" si="2"/>
        <v>0</v>
      </c>
      <c r="P70" s="96">
        <f t="shared" si="3"/>
        <v>0</v>
      </c>
      <c r="Q70" s="97">
        <f t="shared" si="4"/>
        <v>0</v>
      </c>
      <c r="R70" s="97" t="str">
        <f ca="1">ROUNDUP(HLOOKUP(IF(CEILING(L70,0.5)&lt;1,0.5,CEILING(L70,0.5)),'배송비 조회'!A$44:AO$56,7,0)*B$3,-2)</f>
        <v>#REF!</v>
      </c>
      <c r="S70" s="97">
        <v>0</v>
      </c>
      <c r="T70" s="97" t="str">
        <f t="shared" ca="1" si="42"/>
        <v>#REF!</v>
      </c>
      <c r="U70" s="97" t="str">
        <f t="shared" ca="1" si="29"/>
        <v>#REF!</v>
      </c>
      <c r="V70" s="97" t="str">
        <f t="shared" ca="1" si="7"/>
        <v>#REF!</v>
      </c>
      <c r="W70" s="97" t="str">
        <f t="shared" ca="1" si="8"/>
        <v>#REF!</v>
      </c>
      <c r="X70" s="121">
        <v>0</v>
      </c>
      <c r="Y70" s="121" t="str">
        <f t="shared" ca="1" si="9"/>
        <v>#REF!</v>
      </c>
      <c r="Z70" s="121" t="str">
        <f t="shared" ca="1" si="10"/>
        <v>#REF!</v>
      </c>
      <c r="AA70" s="99" t="str">
        <f t="shared" ca="1" si="11"/>
        <v>#REF!</v>
      </c>
      <c r="AB70" s="234" t="str">
        <f t="shared" ca="1" si="12"/>
        <v>#REF!</v>
      </c>
      <c r="AC70" s="257" t="str">
        <f t="shared" ca="1" si="13"/>
        <v>#REF!</v>
      </c>
      <c r="AD70" s="234" t="str">
        <f t="shared" ca="1" si="14"/>
        <v>#REF!</v>
      </c>
      <c r="AE70" s="100" t="str">
        <f t="shared" ca="1" si="15"/>
        <v>#REF!</v>
      </c>
      <c r="AF70" s="101" t="str">
        <f t="shared" ca="1" si="16"/>
        <v>#REF!</v>
      </c>
      <c r="AG70" s="102" t="str">
        <f t="shared" ref="AG70:AH70" ca="1" si="88">AE70/V70</f>
        <v>#REF!</v>
      </c>
      <c r="AH70" s="102" t="str">
        <f t="shared" ca="1" si="88"/>
        <v>#REF!</v>
      </c>
    </row>
    <row r="71" spans="1:34" ht="13.2">
      <c r="A71" s="251"/>
      <c r="B71" s="251"/>
      <c r="C71" s="252"/>
      <c r="D71" s="252"/>
      <c r="E71" s="114"/>
      <c r="F71" s="252"/>
      <c r="G71" s="125" t="s">
        <v>145</v>
      </c>
      <c r="I71" s="172"/>
      <c r="J71" s="82" t="str">
        <f t="shared" ca="1" si="0"/>
        <v>#REF!</v>
      </c>
      <c r="K71" s="82" t="str">
        <f t="shared" ca="1" si="1"/>
        <v>#REF!</v>
      </c>
      <c r="L71" s="82" t="str">
        <f t="shared" ca="1" si="44"/>
        <v>#REF!</v>
      </c>
      <c r="M71" s="93"/>
      <c r="N71" s="93"/>
      <c r="O71" s="95">
        <f t="shared" si="2"/>
        <v>0</v>
      </c>
      <c r="P71" s="96">
        <f t="shared" si="3"/>
        <v>0</v>
      </c>
      <c r="Q71" s="97">
        <f t="shared" si="4"/>
        <v>0</v>
      </c>
      <c r="R71" s="97" t="str">
        <f ca="1">ROUNDUP(HLOOKUP(IF(CEILING(L71,0.5)&lt;1,0.5,CEILING(L71,0.5)),'배송비 조회'!A$44:AO$56,7,0)*B$3,-2)</f>
        <v>#REF!</v>
      </c>
      <c r="S71" s="97">
        <v>0</v>
      </c>
      <c r="T71" s="97" t="str">
        <f t="shared" ca="1" si="42"/>
        <v>#REF!</v>
      </c>
      <c r="U71" s="97" t="str">
        <f t="shared" ca="1" si="29"/>
        <v>#REF!</v>
      </c>
      <c r="V71" s="97" t="str">
        <f t="shared" ca="1" si="7"/>
        <v>#REF!</v>
      </c>
      <c r="W71" s="97" t="str">
        <f t="shared" ca="1" si="8"/>
        <v>#REF!</v>
      </c>
      <c r="X71" s="121">
        <v>0</v>
      </c>
      <c r="Y71" s="121" t="str">
        <f t="shared" ca="1" si="9"/>
        <v>#REF!</v>
      </c>
      <c r="Z71" s="121" t="str">
        <f t="shared" ca="1" si="10"/>
        <v>#REF!</v>
      </c>
      <c r="AA71" s="99" t="str">
        <f t="shared" ca="1" si="11"/>
        <v>#REF!</v>
      </c>
      <c r="AB71" s="234" t="str">
        <f t="shared" ca="1" si="12"/>
        <v>#REF!</v>
      </c>
      <c r="AC71" s="257" t="str">
        <f t="shared" ca="1" si="13"/>
        <v>#REF!</v>
      </c>
      <c r="AD71" s="234" t="str">
        <f t="shared" ca="1" si="14"/>
        <v>#REF!</v>
      </c>
      <c r="AE71" s="100" t="str">
        <f t="shared" ca="1" si="15"/>
        <v>#REF!</v>
      </c>
      <c r="AF71" s="101" t="str">
        <f t="shared" ca="1" si="16"/>
        <v>#REF!</v>
      </c>
      <c r="AG71" s="102" t="str">
        <f t="shared" ref="AG71:AH71" ca="1" si="89">AE71/V71</f>
        <v>#REF!</v>
      </c>
      <c r="AH71" s="102" t="str">
        <f t="shared" ca="1" si="89"/>
        <v>#REF!</v>
      </c>
    </row>
    <row r="72" spans="1:34" ht="13.2">
      <c r="A72" s="251"/>
      <c r="B72" s="251"/>
      <c r="C72" s="252"/>
      <c r="D72" s="252"/>
      <c r="E72" s="114"/>
      <c r="F72" s="252"/>
      <c r="G72" s="125" t="s">
        <v>145</v>
      </c>
      <c r="I72" s="172"/>
      <c r="J72" s="82" t="str">
        <f t="shared" ca="1" si="0"/>
        <v>#REF!</v>
      </c>
      <c r="K72" s="82" t="str">
        <f t="shared" ca="1" si="1"/>
        <v>#REF!</v>
      </c>
      <c r="L72" s="82" t="str">
        <f t="shared" ca="1" si="44"/>
        <v>#REF!</v>
      </c>
      <c r="M72" s="93"/>
      <c r="N72" s="93"/>
      <c r="O72" s="95">
        <f t="shared" si="2"/>
        <v>0</v>
      </c>
      <c r="P72" s="96">
        <f t="shared" si="3"/>
        <v>0</v>
      </c>
      <c r="Q72" s="97">
        <f t="shared" si="4"/>
        <v>0</v>
      </c>
      <c r="R72" s="97" t="str">
        <f ca="1">ROUNDUP(HLOOKUP(IF(CEILING(L72,0.5)&lt;1,0.5,CEILING(L72,0.5)),'배송비 조회'!A$44:AO$56,7,0)*B$3,-2)</f>
        <v>#REF!</v>
      </c>
      <c r="S72" s="97">
        <v>0</v>
      </c>
      <c r="T72" s="97" t="str">
        <f t="shared" ca="1" si="42"/>
        <v>#REF!</v>
      </c>
      <c r="U72" s="97" t="str">
        <f t="shared" ca="1" si="29"/>
        <v>#REF!</v>
      </c>
      <c r="V72" s="97" t="str">
        <f t="shared" ca="1" si="7"/>
        <v>#REF!</v>
      </c>
      <c r="W72" s="97" t="str">
        <f t="shared" ca="1" si="8"/>
        <v>#REF!</v>
      </c>
      <c r="X72" s="121">
        <v>0</v>
      </c>
      <c r="Y72" s="121" t="str">
        <f t="shared" ca="1" si="9"/>
        <v>#REF!</v>
      </c>
      <c r="Z72" s="121" t="str">
        <f t="shared" ca="1" si="10"/>
        <v>#REF!</v>
      </c>
      <c r="AA72" s="99" t="str">
        <f t="shared" ca="1" si="11"/>
        <v>#REF!</v>
      </c>
      <c r="AB72" s="234" t="str">
        <f t="shared" ca="1" si="12"/>
        <v>#REF!</v>
      </c>
      <c r="AC72" s="257" t="str">
        <f t="shared" ca="1" si="13"/>
        <v>#REF!</v>
      </c>
      <c r="AD72" s="234" t="str">
        <f t="shared" ca="1" si="14"/>
        <v>#REF!</v>
      </c>
      <c r="AE72" s="100" t="str">
        <f t="shared" ca="1" si="15"/>
        <v>#REF!</v>
      </c>
      <c r="AF72" s="101" t="str">
        <f t="shared" ca="1" si="16"/>
        <v>#REF!</v>
      </c>
      <c r="AG72" s="102" t="str">
        <f t="shared" ref="AG72:AH72" ca="1" si="90">AE72/V72</f>
        <v>#REF!</v>
      </c>
      <c r="AH72" s="102" t="str">
        <f t="shared" ca="1" si="90"/>
        <v>#REF!</v>
      </c>
    </row>
    <row r="73" spans="1:34" ht="13.2">
      <c r="A73" s="251"/>
      <c r="B73" s="251"/>
      <c r="C73" s="252"/>
      <c r="D73" s="252"/>
      <c r="E73" s="114"/>
      <c r="F73" s="252"/>
      <c r="G73" s="125" t="s">
        <v>145</v>
      </c>
      <c r="I73" s="172"/>
      <c r="J73" s="82" t="str">
        <f t="shared" ca="1" si="0"/>
        <v>#REF!</v>
      </c>
      <c r="K73" s="82" t="str">
        <f t="shared" ca="1" si="1"/>
        <v>#REF!</v>
      </c>
      <c r="L73" s="82" t="str">
        <f t="shared" ca="1" si="44"/>
        <v>#REF!</v>
      </c>
      <c r="M73" s="93"/>
      <c r="N73" s="93"/>
      <c r="O73" s="95">
        <f t="shared" si="2"/>
        <v>0</v>
      </c>
      <c r="P73" s="96">
        <f t="shared" si="3"/>
        <v>0</v>
      </c>
      <c r="Q73" s="97">
        <f t="shared" si="4"/>
        <v>0</v>
      </c>
      <c r="R73" s="97" t="str">
        <f ca="1">ROUNDUP(HLOOKUP(IF(CEILING(L73,0.5)&lt;1,0.5,CEILING(L73,0.5)),'배송비 조회'!A$44:AO$56,7,0)*B$3,-2)</f>
        <v>#REF!</v>
      </c>
      <c r="S73" s="97">
        <v>0</v>
      </c>
      <c r="T73" s="97" t="str">
        <f t="shared" ca="1" si="42"/>
        <v>#REF!</v>
      </c>
      <c r="U73" s="97" t="str">
        <f t="shared" ca="1" si="29"/>
        <v>#REF!</v>
      </c>
      <c r="V73" s="97" t="str">
        <f t="shared" ca="1" si="7"/>
        <v>#REF!</v>
      </c>
      <c r="W73" s="97" t="str">
        <f t="shared" ca="1" si="8"/>
        <v>#REF!</v>
      </c>
      <c r="X73" s="121">
        <v>0</v>
      </c>
      <c r="Y73" s="121" t="str">
        <f t="shared" ca="1" si="9"/>
        <v>#REF!</v>
      </c>
      <c r="Z73" s="121" t="str">
        <f t="shared" ca="1" si="10"/>
        <v>#REF!</v>
      </c>
      <c r="AA73" s="99" t="str">
        <f t="shared" ca="1" si="11"/>
        <v>#REF!</v>
      </c>
      <c r="AB73" s="234" t="str">
        <f t="shared" ca="1" si="12"/>
        <v>#REF!</v>
      </c>
      <c r="AC73" s="257" t="str">
        <f t="shared" ca="1" si="13"/>
        <v>#REF!</v>
      </c>
      <c r="AD73" s="234" t="str">
        <f t="shared" ca="1" si="14"/>
        <v>#REF!</v>
      </c>
      <c r="AE73" s="100" t="str">
        <f t="shared" ca="1" si="15"/>
        <v>#REF!</v>
      </c>
      <c r="AF73" s="101" t="str">
        <f t="shared" ca="1" si="16"/>
        <v>#REF!</v>
      </c>
      <c r="AG73" s="102" t="str">
        <f t="shared" ref="AG73:AH73" ca="1" si="91">AE73/V73</f>
        <v>#REF!</v>
      </c>
      <c r="AH73" s="102" t="str">
        <f t="shared" ca="1" si="91"/>
        <v>#REF!</v>
      </c>
    </row>
    <row r="74" spans="1:34" ht="13.2">
      <c r="A74" s="251"/>
      <c r="B74" s="251"/>
      <c r="C74" s="252"/>
      <c r="D74" s="252"/>
      <c r="E74" s="114"/>
      <c r="F74" s="252"/>
      <c r="G74" s="125" t="s">
        <v>145</v>
      </c>
      <c r="I74" s="172"/>
      <c r="J74" s="82" t="str">
        <f t="shared" ca="1" si="0"/>
        <v>#REF!</v>
      </c>
      <c r="K74" s="82" t="str">
        <f t="shared" ca="1" si="1"/>
        <v>#REF!</v>
      </c>
      <c r="L74" s="82" t="str">
        <f t="shared" ca="1" si="44"/>
        <v>#REF!</v>
      </c>
      <c r="M74" s="93"/>
      <c r="N74" s="93"/>
      <c r="O74" s="95">
        <f t="shared" si="2"/>
        <v>0</v>
      </c>
      <c r="P74" s="96">
        <f t="shared" si="3"/>
        <v>0</v>
      </c>
      <c r="Q74" s="97">
        <f t="shared" si="4"/>
        <v>0</v>
      </c>
      <c r="R74" s="97" t="str">
        <f ca="1">ROUNDUP(HLOOKUP(IF(CEILING(L74,0.5)&lt;1,0.5,CEILING(L74,0.5)),'배송비 조회'!A$44:AO$56,7,0)*B$3,-2)</f>
        <v>#REF!</v>
      </c>
      <c r="S74" s="97">
        <v>0</v>
      </c>
      <c r="T74" s="97" t="str">
        <f t="shared" ca="1" si="42"/>
        <v>#REF!</v>
      </c>
      <c r="U74" s="97" t="str">
        <f t="shared" ca="1" si="29"/>
        <v>#REF!</v>
      </c>
      <c r="V74" s="97" t="str">
        <f t="shared" ca="1" si="7"/>
        <v>#REF!</v>
      </c>
      <c r="W74" s="97" t="str">
        <f t="shared" ca="1" si="8"/>
        <v>#REF!</v>
      </c>
      <c r="X74" s="121">
        <v>0</v>
      </c>
      <c r="Y74" s="121" t="str">
        <f t="shared" ca="1" si="9"/>
        <v>#REF!</v>
      </c>
      <c r="Z74" s="121" t="str">
        <f t="shared" ca="1" si="10"/>
        <v>#REF!</v>
      </c>
      <c r="AA74" s="99" t="str">
        <f t="shared" ca="1" si="11"/>
        <v>#REF!</v>
      </c>
      <c r="AB74" s="234" t="str">
        <f t="shared" ca="1" si="12"/>
        <v>#REF!</v>
      </c>
      <c r="AC74" s="257" t="str">
        <f t="shared" ca="1" si="13"/>
        <v>#REF!</v>
      </c>
      <c r="AD74" s="234" t="str">
        <f t="shared" ca="1" si="14"/>
        <v>#REF!</v>
      </c>
      <c r="AE74" s="100" t="str">
        <f t="shared" ca="1" si="15"/>
        <v>#REF!</v>
      </c>
      <c r="AF74" s="101" t="str">
        <f t="shared" ca="1" si="16"/>
        <v>#REF!</v>
      </c>
      <c r="AG74" s="102" t="str">
        <f t="shared" ref="AG74:AH74" ca="1" si="92">AE74/V74</f>
        <v>#REF!</v>
      </c>
      <c r="AH74" s="102" t="str">
        <f t="shared" ca="1" si="92"/>
        <v>#REF!</v>
      </c>
    </row>
    <row r="75" spans="1:34" ht="13.2">
      <c r="A75" s="251"/>
      <c r="B75" s="251"/>
      <c r="C75" s="252"/>
      <c r="D75" s="252"/>
      <c r="E75" s="114"/>
      <c r="F75" s="252"/>
      <c r="G75" s="125" t="s">
        <v>145</v>
      </c>
      <c r="I75" s="172"/>
      <c r="J75" s="82" t="str">
        <f t="shared" ca="1" si="0"/>
        <v>#REF!</v>
      </c>
      <c r="K75" s="82" t="str">
        <f t="shared" ca="1" si="1"/>
        <v>#REF!</v>
      </c>
      <c r="L75" s="82" t="str">
        <f t="shared" ca="1" si="44"/>
        <v>#REF!</v>
      </c>
      <c r="M75" s="93"/>
      <c r="N75" s="93"/>
      <c r="O75" s="95">
        <f t="shared" si="2"/>
        <v>0</v>
      </c>
      <c r="P75" s="96">
        <f t="shared" si="3"/>
        <v>0</v>
      </c>
      <c r="Q75" s="97">
        <f t="shared" si="4"/>
        <v>0</v>
      </c>
      <c r="R75" s="97" t="str">
        <f ca="1">ROUNDUP(HLOOKUP(IF(CEILING(L75,0.5)&lt;1,0.5,CEILING(L75,0.5)),'배송비 조회'!A$44:AO$56,7,0)*B$3,-2)</f>
        <v>#REF!</v>
      </c>
      <c r="S75" s="97">
        <v>0</v>
      </c>
      <c r="T75" s="97" t="str">
        <f t="shared" ca="1" si="42"/>
        <v>#REF!</v>
      </c>
      <c r="U75" s="97" t="str">
        <f t="shared" ca="1" si="29"/>
        <v>#REF!</v>
      </c>
      <c r="V75" s="97" t="str">
        <f t="shared" ca="1" si="7"/>
        <v>#REF!</v>
      </c>
      <c r="W75" s="97" t="str">
        <f t="shared" ca="1" si="8"/>
        <v>#REF!</v>
      </c>
      <c r="X75" s="121">
        <v>0</v>
      </c>
      <c r="Y75" s="121" t="str">
        <f t="shared" ca="1" si="9"/>
        <v>#REF!</v>
      </c>
      <c r="Z75" s="121" t="str">
        <f t="shared" ca="1" si="10"/>
        <v>#REF!</v>
      </c>
      <c r="AA75" s="99" t="str">
        <f t="shared" ca="1" si="11"/>
        <v>#REF!</v>
      </c>
      <c r="AB75" s="234" t="str">
        <f t="shared" ca="1" si="12"/>
        <v>#REF!</v>
      </c>
      <c r="AC75" s="257" t="str">
        <f t="shared" ca="1" si="13"/>
        <v>#REF!</v>
      </c>
      <c r="AD75" s="234" t="str">
        <f t="shared" ca="1" si="14"/>
        <v>#REF!</v>
      </c>
      <c r="AE75" s="100" t="str">
        <f t="shared" ca="1" si="15"/>
        <v>#REF!</v>
      </c>
      <c r="AF75" s="101" t="str">
        <f t="shared" ca="1" si="16"/>
        <v>#REF!</v>
      </c>
      <c r="AG75" s="102" t="str">
        <f t="shared" ref="AG75:AH75" ca="1" si="93">AE75/V75</f>
        <v>#REF!</v>
      </c>
      <c r="AH75" s="102" t="str">
        <f t="shared" ca="1" si="93"/>
        <v>#REF!</v>
      </c>
    </row>
    <row r="76" spans="1:34" ht="13.2">
      <c r="A76" s="251"/>
      <c r="B76" s="251"/>
      <c r="C76" s="252"/>
      <c r="D76" s="252"/>
      <c r="E76" s="114"/>
      <c r="F76" s="252"/>
      <c r="G76" s="125" t="s">
        <v>145</v>
      </c>
      <c r="I76" s="172"/>
      <c r="J76" s="82" t="str">
        <f t="shared" ca="1" si="0"/>
        <v>#REF!</v>
      </c>
      <c r="K76" s="82" t="str">
        <f t="shared" ca="1" si="1"/>
        <v>#REF!</v>
      </c>
      <c r="L76" s="82" t="str">
        <f t="shared" ca="1" si="44"/>
        <v>#REF!</v>
      </c>
      <c r="M76" s="93"/>
      <c r="N76" s="93"/>
      <c r="O76" s="95">
        <f t="shared" si="2"/>
        <v>0</v>
      </c>
      <c r="P76" s="96">
        <f t="shared" si="3"/>
        <v>0</v>
      </c>
      <c r="Q76" s="97">
        <f t="shared" si="4"/>
        <v>0</v>
      </c>
      <c r="R76" s="97" t="str">
        <f ca="1">ROUNDUP(HLOOKUP(IF(CEILING(L76,0.5)&lt;1,0.5,CEILING(L76,0.5)),'배송비 조회'!A$44:AO$56,7,0)*B$3,-2)</f>
        <v>#REF!</v>
      </c>
      <c r="S76" s="97">
        <v>0</v>
      </c>
      <c r="T76" s="97" t="str">
        <f t="shared" ca="1" si="42"/>
        <v>#REF!</v>
      </c>
      <c r="U76" s="97" t="str">
        <f t="shared" ca="1" si="29"/>
        <v>#REF!</v>
      </c>
      <c r="V76" s="97" t="str">
        <f t="shared" ca="1" si="7"/>
        <v>#REF!</v>
      </c>
      <c r="W76" s="97" t="str">
        <f t="shared" ca="1" si="8"/>
        <v>#REF!</v>
      </c>
      <c r="X76" s="121">
        <v>0</v>
      </c>
      <c r="Y76" s="121" t="str">
        <f t="shared" ca="1" si="9"/>
        <v>#REF!</v>
      </c>
      <c r="Z76" s="121" t="str">
        <f t="shared" ca="1" si="10"/>
        <v>#REF!</v>
      </c>
      <c r="AA76" s="99" t="str">
        <f t="shared" ca="1" si="11"/>
        <v>#REF!</v>
      </c>
      <c r="AB76" s="234" t="str">
        <f t="shared" ca="1" si="12"/>
        <v>#REF!</v>
      </c>
      <c r="AC76" s="257" t="str">
        <f t="shared" ca="1" si="13"/>
        <v>#REF!</v>
      </c>
      <c r="AD76" s="234" t="str">
        <f t="shared" ca="1" si="14"/>
        <v>#REF!</v>
      </c>
      <c r="AE76" s="100" t="str">
        <f t="shared" ca="1" si="15"/>
        <v>#REF!</v>
      </c>
      <c r="AF76" s="101" t="str">
        <f t="shared" ca="1" si="16"/>
        <v>#REF!</v>
      </c>
      <c r="AG76" s="102" t="str">
        <f t="shared" ref="AG76:AH76" ca="1" si="94">AE76/V76</f>
        <v>#REF!</v>
      </c>
      <c r="AH76" s="102" t="str">
        <f t="shared" ca="1" si="94"/>
        <v>#REF!</v>
      </c>
    </row>
    <row r="77" spans="1:34" ht="13.2">
      <c r="A77" s="251"/>
      <c r="B77" s="251"/>
      <c r="C77" s="252"/>
      <c r="D77" s="252"/>
      <c r="E77" s="114"/>
      <c r="F77" s="252"/>
      <c r="G77" s="125" t="s">
        <v>145</v>
      </c>
      <c r="I77" s="172"/>
      <c r="J77" s="82" t="str">
        <f t="shared" ca="1" si="0"/>
        <v>#REF!</v>
      </c>
      <c r="K77" s="82" t="str">
        <f t="shared" ca="1" si="1"/>
        <v>#REF!</v>
      </c>
      <c r="L77" s="82" t="str">
        <f t="shared" ca="1" si="44"/>
        <v>#REF!</v>
      </c>
      <c r="M77" s="93"/>
      <c r="N77" s="93"/>
      <c r="O77" s="95">
        <f t="shared" si="2"/>
        <v>0</v>
      </c>
      <c r="P77" s="96">
        <f t="shared" si="3"/>
        <v>0</v>
      </c>
      <c r="Q77" s="97">
        <f t="shared" si="4"/>
        <v>0</v>
      </c>
      <c r="R77" s="97" t="str">
        <f ca="1">ROUNDUP(HLOOKUP(IF(CEILING(L77,0.5)&lt;1,0.5,CEILING(L77,0.5)),'배송비 조회'!A$44:AO$56,7,0)*B$3,-2)</f>
        <v>#REF!</v>
      </c>
      <c r="S77" s="97">
        <v>0</v>
      </c>
      <c r="T77" s="97" t="str">
        <f t="shared" ca="1" si="42"/>
        <v>#REF!</v>
      </c>
      <c r="U77" s="97" t="str">
        <f t="shared" ca="1" si="29"/>
        <v>#REF!</v>
      </c>
      <c r="V77" s="97" t="str">
        <f t="shared" ca="1" si="7"/>
        <v>#REF!</v>
      </c>
      <c r="W77" s="97" t="str">
        <f t="shared" ca="1" si="8"/>
        <v>#REF!</v>
      </c>
      <c r="X77" s="121">
        <v>0</v>
      </c>
      <c r="Y77" s="121" t="str">
        <f t="shared" ca="1" si="9"/>
        <v>#REF!</v>
      </c>
      <c r="Z77" s="121" t="str">
        <f t="shared" ca="1" si="10"/>
        <v>#REF!</v>
      </c>
      <c r="AA77" s="99" t="str">
        <f t="shared" ca="1" si="11"/>
        <v>#REF!</v>
      </c>
      <c r="AB77" s="234" t="str">
        <f t="shared" ca="1" si="12"/>
        <v>#REF!</v>
      </c>
      <c r="AC77" s="257" t="str">
        <f t="shared" ca="1" si="13"/>
        <v>#REF!</v>
      </c>
      <c r="AD77" s="234" t="str">
        <f t="shared" ca="1" si="14"/>
        <v>#REF!</v>
      </c>
      <c r="AE77" s="100" t="str">
        <f t="shared" ca="1" si="15"/>
        <v>#REF!</v>
      </c>
      <c r="AF77" s="101" t="str">
        <f t="shared" ca="1" si="16"/>
        <v>#REF!</v>
      </c>
      <c r="AG77" s="102" t="str">
        <f t="shared" ref="AG77:AH77" ca="1" si="95">AE77/V77</f>
        <v>#REF!</v>
      </c>
      <c r="AH77" s="102" t="str">
        <f t="shared" ca="1" si="95"/>
        <v>#REF!</v>
      </c>
    </row>
    <row r="78" spans="1:34" ht="13.2">
      <c r="A78" s="251"/>
      <c r="B78" s="251"/>
      <c r="C78" s="252"/>
      <c r="D78" s="252"/>
      <c r="E78" s="114"/>
      <c r="F78" s="252"/>
      <c r="G78" s="125" t="s">
        <v>145</v>
      </c>
      <c r="I78" s="172"/>
      <c r="J78" s="82" t="str">
        <f t="shared" ca="1" si="0"/>
        <v>#REF!</v>
      </c>
      <c r="K78" s="82" t="str">
        <f t="shared" ca="1" si="1"/>
        <v>#REF!</v>
      </c>
      <c r="L78" s="82" t="str">
        <f t="shared" ca="1" si="44"/>
        <v>#REF!</v>
      </c>
      <c r="M78" s="93"/>
      <c r="N78" s="93"/>
      <c r="O78" s="95">
        <f t="shared" si="2"/>
        <v>0</v>
      </c>
      <c r="P78" s="96">
        <f t="shared" si="3"/>
        <v>0</v>
      </c>
      <c r="Q78" s="97">
        <f t="shared" si="4"/>
        <v>0</v>
      </c>
      <c r="R78" s="97" t="str">
        <f ca="1">ROUNDUP(HLOOKUP(IF(CEILING(L78,0.5)&lt;1,0.5,CEILING(L78,0.5)),'배송비 조회'!A$44:AO$56,7,0)*B$3,-2)</f>
        <v>#REF!</v>
      </c>
      <c r="S78" s="97">
        <v>0</v>
      </c>
      <c r="T78" s="97" t="str">
        <f t="shared" ca="1" si="42"/>
        <v>#REF!</v>
      </c>
      <c r="U78" s="97" t="str">
        <f t="shared" ca="1" si="29"/>
        <v>#REF!</v>
      </c>
      <c r="V78" s="97" t="str">
        <f t="shared" ca="1" si="7"/>
        <v>#REF!</v>
      </c>
      <c r="W78" s="97" t="str">
        <f t="shared" ca="1" si="8"/>
        <v>#REF!</v>
      </c>
      <c r="X78" s="121">
        <v>0</v>
      </c>
      <c r="Y78" s="121" t="str">
        <f t="shared" ca="1" si="9"/>
        <v>#REF!</v>
      </c>
      <c r="Z78" s="121" t="str">
        <f t="shared" ca="1" si="10"/>
        <v>#REF!</v>
      </c>
      <c r="AA78" s="99" t="str">
        <f t="shared" ca="1" si="11"/>
        <v>#REF!</v>
      </c>
      <c r="AB78" s="234" t="str">
        <f t="shared" ca="1" si="12"/>
        <v>#REF!</v>
      </c>
      <c r="AC78" s="257" t="str">
        <f t="shared" ca="1" si="13"/>
        <v>#REF!</v>
      </c>
      <c r="AD78" s="234" t="str">
        <f t="shared" ca="1" si="14"/>
        <v>#REF!</v>
      </c>
      <c r="AE78" s="100" t="str">
        <f t="shared" ca="1" si="15"/>
        <v>#REF!</v>
      </c>
      <c r="AF78" s="101" t="str">
        <f t="shared" ca="1" si="16"/>
        <v>#REF!</v>
      </c>
      <c r="AG78" s="102" t="str">
        <f t="shared" ref="AG78:AH78" ca="1" si="96">AE78/V78</f>
        <v>#REF!</v>
      </c>
      <c r="AH78" s="102" t="str">
        <f t="shared" ca="1" si="96"/>
        <v>#REF!</v>
      </c>
    </row>
    <row r="79" spans="1:34" ht="13.2">
      <c r="A79" s="251"/>
      <c r="B79" s="251"/>
      <c r="C79" s="252"/>
      <c r="D79" s="252"/>
      <c r="E79" s="114"/>
      <c r="F79" s="252"/>
      <c r="G79" s="125" t="s">
        <v>145</v>
      </c>
      <c r="I79" s="172"/>
      <c r="J79" s="82" t="str">
        <f t="shared" ca="1" si="0"/>
        <v>#REF!</v>
      </c>
      <c r="K79" s="82" t="str">
        <f t="shared" ca="1" si="1"/>
        <v>#REF!</v>
      </c>
      <c r="L79" s="82" t="str">
        <f t="shared" ca="1" si="44"/>
        <v>#REF!</v>
      </c>
      <c r="M79" s="93"/>
      <c r="N79" s="93"/>
      <c r="O79" s="95">
        <f t="shared" si="2"/>
        <v>0</v>
      </c>
      <c r="P79" s="96">
        <f t="shared" si="3"/>
        <v>0</v>
      </c>
      <c r="Q79" s="97">
        <f t="shared" si="4"/>
        <v>0</v>
      </c>
      <c r="R79" s="97" t="str">
        <f ca="1">ROUNDUP(HLOOKUP(IF(CEILING(L79,0.5)&lt;1,0.5,CEILING(L79,0.5)),'배송비 조회'!A$44:AO$56,7,0)*B$3,-2)</f>
        <v>#REF!</v>
      </c>
      <c r="S79" s="97">
        <v>0</v>
      </c>
      <c r="T79" s="97" t="str">
        <f t="shared" ca="1" si="42"/>
        <v>#REF!</v>
      </c>
      <c r="U79" s="97" t="str">
        <f t="shared" ca="1" si="29"/>
        <v>#REF!</v>
      </c>
      <c r="V79" s="97" t="str">
        <f t="shared" ca="1" si="7"/>
        <v>#REF!</v>
      </c>
      <c r="W79" s="97" t="str">
        <f t="shared" ca="1" si="8"/>
        <v>#REF!</v>
      </c>
      <c r="X79" s="121">
        <v>0</v>
      </c>
      <c r="Y79" s="121" t="str">
        <f t="shared" ca="1" si="9"/>
        <v>#REF!</v>
      </c>
      <c r="Z79" s="121" t="str">
        <f t="shared" ca="1" si="10"/>
        <v>#REF!</v>
      </c>
      <c r="AA79" s="99" t="str">
        <f t="shared" ca="1" si="11"/>
        <v>#REF!</v>
      </c>
      <c r="AB79" s="234" t="str">
        <f t="shared" ca="1" si="12"/>
        <v>#REF!</v>
      </c>
      <c r="AC79" s="257" t="str">
        <f t="shared" ca="1" si="13"/>
        <v>#REF!</v>
      </c>
      <c r="AD79" s="234" t="str">
        <f t="shared" ca="1" si="14"/>
        <v>#REF!</v>
      </c>
      <c r="AE79" s="100" t="str">
        <f t="shared" ca="1" si="15"/>
        <v>#REF!</v>
      </c>
      <c r="AF79" s="101" t="str">
        <f t="shared" ca="1" si="16"/>
        <v>#REF!</v>
      </c>
      <c r="AG79" s="102" t="str">
        <f t="shared" ref="AG79:AH79" ca="1" si="97">AE79/V79</f>
        <v>#REF!</v>
      </c>
      <c r="AH79" s="102" t="str">
        <f t="shared" ca="1" si="97"/>
        <v>#REF!</v>
      </c>
    </row>
    <row r="80" spans="1:34" ht="13.2">
      <c r="A80" s="251"/>
      <c r="B80" s="251"/>
      <c r="C80" s="252"/>
      <c r="D80" s="252"/>
      <c r="E80" s="114"/>
      <c r="F80" s="252"/>
      <c r="G80" s="125" t="s">
        <v>145</v>
      </c>
      <c r="I80" s="172"/>
      <c r="J80" s="82" t="str">
        <f t="shared" ca="1" si="0"/>
        <v>#REF!</v>
      </c>
      <c r="K80" s="82" t="str">
        <f t="shared" ca="1" si="1"/>
        <v>#REF!</v>
      </c>
      <c r="L80" s="82" t="str">
        <f t="shared" ca="1" si="44"/>
        <v>#REF!</v>
      </c>
      <c r="M80" s="93"/>
      <c r="N80" s="93"/>
      <c r="O80" s="95">
        <f t="shared" si="2"/>
        <v>0</v>
      </c>
      <c r="P80" s="96">
        <f t="shared" si="3"/>
        <v>0</v>
      </c>
      <c r="Q80" s="97">
        <f t="shared" si="4"/>
        <v>0</v>
      </c>
      <c r="R80" s="97" t="str">
        <f ca="1">ROUNDUP(HLOOKUP(IF(CEILING(L80,0.5)&lt;1,0.5,CEILING(L80,0.5)),'배송비 조회'!A$44:AO$56,7,0)*B$3,-2)</f>
        <v>#REF!</v>
      </c>
      <c r="S80" s="97">
        <v>0</v>
      </c>
      <c r="T80" s="97" t="str">
        <f t="shared" ca="1" si="42"/>
        <v>#REF!</v>
      </c>
      <c r="U80" s="97" t="str">
        <f t="shared" ca="1" si="29"/>
        <v>#REF!</v>
      </c>
      <c r="V80" s="97" t="str">
        <f t="shared" ca="1" si="7"/>
        <v>#REF!</v>
      </c>
      <c r="W80" s="97" t="str">
        <f t="shared" ca="1" si="8"/>
        <v>#REF!</v>
      </c>
      <c r="X80" s="121">
        <v>0</v>
      </c>
      <c r="Y80" s="121" t="str">
        <f t="shared" ca="1" si="9"/>
        <v>#REF!</v>
      </c>
      <c r="Z80" s="121" t="str">
        <f t="shared" ca="1" si="10"/>
        <v>#REF!</v>
      </c>
      <c r="AA80" s="99" t="str">
        <f t="shared" ca="1" si="11"/>
        <v>#REF!</v>
      </c>
      <c r="AB80" s="234" t="str">
        <f t="shared" ca="1" si="12"/>
        <v>#REF!</v>
      </c>
      <c r="AC80" s="257" t="str">
        <f t="shared" ca="1" si="13"/>
        <v>#REF!</v>
      </c>
      <c r="AD80" s="234" t="str">
        <f t="shared" ca="1" si="14"/>
        <v>#REF!</v>
      </c>
      <c r="AE80" s="100" t="str">
        <f t="shared" ca="1" si="15"/>
        <v>#REF!</v>
      </c>
      <c r="AF80" s="101" t="str">
        <f t="shared" ca="1" si="16"/>
        <v>#REF!</v>
      </c>
      <c r="AG80" s="102" t="str">
        <f t="shared" ref="AG80:AH80" ca="1" si="98">AE80/V80</f>
        <v>#REF!</v>
      </c>
      <c r="AH80" s="102" t="str">
        <f t="shared" ca="1" si="98"/>
        <v>#REF!</v>
      </c>
    </row>
    <row r="81" spans="1:34" ht="13.2">
      <c r="A81" s="251"/>
      <c r="B81" s="251"/>
      <c r="C81" s="252"/>
      <c r="D81" s="252"/>
      <c r="E81" s="114"/>
      <c r="F81" s="252"/>
      <c r="G81" s="125" t="s">
        <v>145</v>
      </c>
      <c r="I81" s="172"/>
      <c r="J81" s="82" t="str">
        <f t="shared" ca="1" si="0"/>
        <v>#REF!</v>
      </c>
      <c r="K81" s="82" t="str">
        <f t="shared" ca="1" si="1"/>
        <v>#REF!</v>
      </c>
      <c r="L81" s="82" t="str">
        <f t="shared" ca="1" si="44"/>
        <v>#REF!</v>
      </c>
      <c r="M81" s="93"/>
      <c r="N81" s="93"/>
      <c r="O81" s="95">
        <f t="shared" si="2"/>
        <v>0</v>
      </c>
      <c r="P81" s="96">
        <f t="shared" si="3"/>
        <v>0</v>
      </c>
      <c r="Q81" s="97">
        <f t="shared" si="4"/>
        <v>0</v>
      </c>
      <c r="R81" s="97" t="str">
        <f ca="1">ROUNDUP(HLOOKUP(IF(CEILING(L81,0.5)&lt;1,0.5,CEILING(L81,0.5)),'배송비 조회'!A$44:AO$56,7,0)*B$3,-2)</f>
        <v>#REF!</v>
      </c>
      <c r="S81" s="97">
        <v>0</v>
      </c>
      <c r="T81" s="97" t="str">
        <f t="shared" ca="1" si="42"/>
        <v>#REF!</v>
      </c>
      <c r="U81" s="97" t="str">
        <f t="shared" ca="1" si="29"/>
        <v>#REF!</v>
      </c>
      <c r="V81" s="97" t="str">
        <f t="shared" ca="1" si="7"/>
        <v>#REF!</v>
      </c>
      <c r="W81" s="97" t="str">
        <f t="shared" ca="1" si="8"/>
        <v>#REF!</v>
      </c>
      <c r="X81" s="121">
        <v>0</v>
      </c>
      <c r="Y81" s="121" t="str">
        <f t="shared" ca="1" si="9"/>
        <v>#REF!</v>
      </c>
      <c r="Z81" s="121" t="str">
        <f t="shared" ca="1" si="10"/>
        <v>#REF!</v>
      </c>
      <c r="AA81" s="99" t="str">
        <f t="shared" ca="1" si="11"/>
        <v>#REF!</v>
      </c>
      <c r="AB81" s="234" t="str">
        <f t="shared" ca="1" si="12"/>
        <v>#REF!</v>
      </c>
      <c r="AC81" s="257" t="str">
        <f t="shared" ca="1" si="13"/>
        <v>#REF!</v>
      </c>
      <c r="AD81" s="234" t="str">
        <f t="shared" ca="1" si="14"/>
        <v>#REF!</v>
      </c>
      <c r="AE81" s="100" t="str">
        <f t="shared" ca="1" si="15"/>
        <v>#REF!</v>
      </c>
      <c r="AF81" s="101" t="str">
        <f t="shared" ca="1" si="16"/>
        <v>#REF!</v>
      </c>
      <c r="AG81" s="102" t="str">
        <f t="shared" ref="AG81:AH81" ca="1" si="99">AE81/V81</f>
        <v>#REF!</v>
      </c>
      <c r="AH81" s="102" t="str">
        <f t="shared" ca="1" si="99"/>
        <v>#REF!</v>
      </c>
    </row>
    <row r="82" spans="1:34" ht="13.2">
      <c r="A82" s="251"/>
      <c r="B82" s="251"/>
      <c r="C82" s="252"/>
      <c r="D82" s="252"/>
      <c r="E82" s="114"/>
      <c r="F82" s="252"/>
      <c r="G82" s="125" t="s">
        <v>145</v>
      </c>
      <c r="I82" s="172"/>
      <c r="J82" s="82" t="str">
        <f t="shared" ca="1" si="0"/>
        <v>#REF!</v>
      </c>
      <c r="K82" s="82" t="str">
        <f t="shared" ca="1" si="1"/>
        <v>#REF!</v>
      </c>
      <c r="L82" s="82" t="str">
        <f t="shared" ca="1" si="44"/>
        <v>#REF!</v>
      </c>
      <c r="M82" s="93"/>
      <c r="N82" s="93"/>
      <c r="O82" s="95">
        <f t="shared" si="2"/>
        <v>0</v>
      </c>
      <c r="P82" s="96">
        <f t="shared" si="3"/>
        <v>0</v>
      </c>
      <c r="Q82" s="97">
        <f t="shared" si="4"/>
        <v>0</v>
      </c>
      <c r="R82" s="97" t="str">
        <f ca="1">ROUNDUP(HLOOKUP(IF(CEILING(L82,0.5)&lt;1,0.5,CEILING(L82,0.5)),'배송비 조회'!A$44:AO$56,7,0)*B$3,-2)</f>
        <v>#REF!</v>
      </c>
      <c r="S82" s="97">
        <v>0</v>
      </c>
      <c r="T82" s="97" t="str">
        <f t="shared" ca="1" si="42"/>
        <v>#REF!</v>
      </c>
      <c r="U82" s="97" t="str">
        <f t="shared" ca="1" si="29"/>
        <v>#REF!</v>
      </c>
      <c r="V82" s="97" t="str">
        <f t="shared" ca="1" si="7"/>
        <v>#REF!</v>
      </c>
      <c r="W82" s="97" t="str">
        <f t="shared" ca="1" si="8"/>
        <v>#REF!</v>
      </c>
      <c r="X82" s="121">
        <v>0</v>
      </c>
      <c r="Y82" s="121" t="str">
        <f t="shared" ca="1" si="9"/>
        <v>#REF!</v>
      </c>
      <c r="Z82" s="121" t="str">
        <f t="shared" ca="1" si="10"/>
        <v>#REF!</v>
      </c>
      <c r="AA82" s="99" t="str">
        <f t="shared" ca="1" si="11"/>
        <v>#REF!</v>
      </c>
      <c r="AB82" s="234" t="str">
        <f t="shared" ca="1" si="12"/>
        <v>#REF!</v>
      </c>
      <c r="AC82" s="257" t="str">
        <f t="shared" ca="1" si="13"/>
        <v>#REF!</v>
      </c>
      <c r="AD82" s="234" t="str">
        <f t="shared" ca="1" si="14"/>
        <v>#REF!</v>
      </c>
      <c r="AE82" s="100" t="str">
        <f t="shared" ca="1" si="15"/>
        <v>#REF!</v>
      </c>
      <c r="AF82" s="101" t="str">
        <f t="shared" ca="1" si="16"/>
        <v>#REF!</v>
      </c>
      <c r="AG82" s="102" t="str">
        <f t="shared" ref="AG82:AH82" ca="1" si="100">AE82/V82</f>
        <v>#REF!</v>
      </c>
      <c r="AH82" s="102" t="str">
        <f t="shared" ca="1" si="100"/>
        <v>#REF!</v>
      </c>
    </row>
    <row r="83" spans="1:34" ht="13.2">
      <c r="A83" s="251"/>
      <c r="B83" s="251"/>
      <c r="C83" s="252"/>
      <c r="D83" s="252"/>
      <c r="E83" s="114"/>
      <c r="F83" s="252"/>
      <c r="G83" s="125" t="s">
        <v>145</v>
      </c>
      <c r="I83" s="172"/>
      <c r="J83" s="82" t="str">
        <f t="shared" ca="1" si="0"/>
        <v>#REF!</v>
      </c>
      <c r="K83" s="82" t="str">
        <f t="shared" ca="1" si="1"/>
        <v>#REF!</v>
      </c>
      <c r="L83" s="82" t="str">
        <f t="shared" ca="1" si="44"/>
        <v>#REF!</v>
      </c>
      <c r="M83" s="93"/>
      <c r="N83" s="93"/>
      <c r="O83" s="95">
        <f t="shared" si="2"/>
        <v>0</v>
      </c>
      <c r="P83" s="96">
        <f t="shared" si="3"/>
        <v>0</v>
      </c>
      <c r="Q83" s="97">
        <f t="shared" si="4"/>
        <v>0</v>
      </c>
      <c r="R83" s="97" t="str">
        <f ca="1">ROUNDUP(HLOOKUP(IF(CEILING(L83,0.5)&lt;1,0.5,CEILING(L83,0.5)),'배송비 조회'!A$44:AO$56,7,0)*B$3,-2)</f>
        <v>#REF!</v>
      </c>
      <c r="S83" s="97">
        <v>0</v>
      </c>
      <c r="T83" s="97" t="str">
        <f t="shared" ca="1" si="42"/>
        <v>#REF!</v>
      </c>
      <c r="U83" s="97" t="str">
        <f t="shared" ca="1" si="29"/>
        <v>#REF!</v>
      </c>
      <c r="V83" s="97" t="str">
        <f t="shared" ca="1" si="7"/>
        <v>#REF!</v>
      </c>
      <c r="W83" s="97" t="str">
        <f t="shared" ca="1" si="8"/>
        <v>#REF!</v>
      </c>
      <c r="X83" s="121">
        <v>0</v>
      </c>
      <c r="Y83" s="121" t="str">
        <f t="shared" ca="1" si="9"/>
        <v>#REF!</v>
      </c>
      <c r="Z83" s="121" t="str">
        <f t="shared" ca="1" si="10"/>
        <v>#REF!</v>
      </c>
      <c r="AA83" s="99" t="str">
        <f t="shared" ca="1" si="11"/>
        <v>#REF!</v>
      </c>
      <c r="AB83" s="234" t="str">
        <f t="shared" ca="1" si="12"/>
        <v>#REF!</v>
      </c>
      <c r="AC83" s="257" t="str">
        <f t="shared" ca="1" si="13"/>
        <v>#REF!</v>
      </c>
      <c r="AD83" s="234" t="str">
        <f t="shared" ca="1" si="14"/>
        <v>#REF!</v>
      </c>
      <c r="AE83" s="100" t="str">
        <f t="shared" ca="1" si="15"/>
        <v>#REF!</v>
      </c>
      <c r="AF83" s="101" t="str">
        <f t="shared" ca="1" si="16"/>
        <v>#REF!</v>
      </c>
      <c r="AG83" s="102" t="str">
        <f t="shared" ref="AG83:AH83" ca="1" si="101">AE83/V83</f>
        <v>#REF!</v>
      </c>
      <c r="AH83" s="102" t="str">
        <f t="shared" ca="1" si="101"/>
        <v>#REF!</v>
      </c>
    </row>
    <row r="84" spans="1:34" ht="13.2">
      <c r="A84" s="251"/>
      <c r="B84" s="251"/>
      <c r="C84" s="252"/>
      <c r="D84" s="252"/>
      <c r="E84" s="114"/>
      <c r="F84" s="252"/>
      <c r="G84" s="125" t="s">
        <v>145</v>
      </c>
      <c r="I84" s="172"/>
      <c r="J84" s="82" t="str">
        <f t="shared" ca="1" si="0"/>
        <v>#REF!</v>
      </c>
      <c r="K84" s="82" t="str">
        <f t="shared" ca="1" si="1"/>
        <v>#REF!</v>
      </c>
      <c r="L84" s="82" t="str">
        <f t="shared" ca="1" si="44"/>
        <v>#REF!</v>
      </c>
      <c r="M84" s="93"/>
      <c r="N84" s="93"/>
      <c r="O84" s="95">
        <f t="shared" si="2"/>
        <v>0</v>
      </c>
      <c r="P84" s="96">
        <f t="shared" si="3"/>
        <v>0</v>
      </c>
      <c r="Q84" s="97">
        <f t="shared" si="4"/>
        <v>0</v>
      </c>
      <c r="R84" s="97" t="str">
        <f ca="1">ROUNDUP(HLOOKUP(IF(CEILING(L84,0.5)&lt;1,0.5,CEILING(L84,0.5)),'배송비 조회'!A$44:AO$56,7,0)*B$3,-2)</f>
        <v>#REF!</v>
      </c>
      <c r="S84" s="97">
        <v>0</v>
      </c>
      <c r="T84" s="97" t="str">
        <f t="shared" ca="1" si="42"/>
        <v>#REF!</v>
      </c>
      <c r="U84" s="97" t="str">
        <f t="shared" ca="1" si="29"/>
        <v>#REF!</v>
      </c>
      <c r="V84" s="97" t="str">
        <f t="shared" ca="1" si="7"/>
        <v>#REF!</v>
      </c>
      <c r="W84" s="97" t="str">
        <f t="shared" ca="1" si="8"/>
        <v>#REF!</v>
      </c>
      <c r="X84" s="121">
        <v>0</v>
      </c>
      <c r="Y84" s="121" t="str">
        <f t="shared" ca="1" si="9"/>
        <v>#REF!</v>
      </c>
      <c r="Z84" s="121" t="str">
        <f t="shared" ca="1" si="10"/>
        <v>#REF!</v>
      </c>
      <c r="AA84" s="99" t="str">
        <f t="shared" ca="1" si="11"/>
        <v>#REF!</v>
      </c>
      <c r="AB84" s="234" t="str">
        <f t="shared" ca="1" si="12"/>
        <v>#REF!</v>
      </c>
      <c r="AC84" s="257" t="str">
        <f t="shared" ca="1" si="13"/>
        <v>#REF!</v>
      </c>
      <c r="AD84" s="234" t="str">
        <f t="shared" ca="1" si="14"/>
        <v>#REF!</v>
      </c>
      <c r="AE84" s="100" t="str">
        <f t="shared" ca="1" si="15"/>
        <v>#REF!</v>
      </c>
      <c r="AF84" s="101" t="str">
        <f t="shared" ca="1" si="16"/>
        <v>#REF!</v>
      </c>
      <c r="AG84" s="102" t="str">
        <f t="shared" ref="AG84:AH84" ca="1" si="102">AE84/V84</f>
        <v>#REF!</v>
      </c>
      <c r="AH84" s="102" t="str">
        <f t="shared" ca="1" si="102"/>
        <v>#REF!</v>
      </c>
    </row>
    <row r="85" spans="1:34" ht="13.2">
      <c r="A85" s="251"/>
      <c r="B85" s="251"/>
      <c r="C85" s="252"/>
      <c r="D85" s="252"/>
      <c r="E85" s="114"/>
      <c r="F85" s="252"/>
      <c r="G85" s="125" t="s">
        <v>145</v>
      </c>
      <c r="I85" s="172"/>
      <c r="J85" s="82" t="str">
        <f t="shared" ca="1" si="0"/>
        <v>#REF!</v>
      </c>
      <c r="K85" s="82" t="str">
        <f t="shared" ca="1" si="1"/>
        <v>#REF!</v>
      </c>
      <c r="L85" s="82" t="str">
        <f t="shared" ca="1" si="44"/>
        <v>#REF!</v>
      </c>
      <c r="M85" s="93"/>
      <c r="N85" s="93"/>
      <c r="O85" s="95">
        <f t="shared" si="2"/>
        <v>0</v>
      </c>
      <c r="P85" s="96">
        <f t="shared" si="3"/>
        <v>0</v>
      </c>
      <c r="Q85" s="97">
        <f t="shared" si="4"/>
        <v>0</v>
      </c>
      <c r="R85" s="97" t="str">
        <f ca="1">ROUNDUP(HLOOKUP(IF(CEILING(L85,0.5)&lt;1,0.5,CEILING(L85,0.5)),'배송비 조회'!A$44:AO$56,7,0)*B$3,-2)</f>
        <v>#REF!</v>
      </c>
      <c r="S85" s="97">
        <v>0</v>
      </c>
      <c r="T85" s="97" t="str">
        <f t="shared" ca="1" si="42"/>
        <v>#REF!</v>
      </c>
      <c r="U85" s="97" t="str">
        <f t="shared" ca="1" si="29"/>
        <v>#REF!</v>
      </c>
      <c r="V85" s="97" t="str">
        <f t="shared" ca="1" si="7"/>
        <v>#REF!</v>
      </c>
      <c r="W85" s="97" t="str">
        <f t="shared" ca="1" si="8"/>
        <v>#REF!</v>
      </c>
      <c r="X85" s="121">
        <v>0</v>
      </c>
      <c r="Y85" s="121" t="str">
        <f t="shared" ca="1" si="9"/>
        <v>#REF!</v>
      </c>
      <c r="Z85" s="121" t="str">
        <f t="shared" ca="1" si="10"/>
        <v>#REF!</v>
      </c>
      <c r="AA85" s="99" t="str">
        <f t="shared" ca="1" si="11"/>
        <v>#REF!</v>
      </c>
      <c r="AB85" s="234" t="str">
        <f t="shared" ca="1" si="12"/>
        <v>#REF!</v>
      </c>
      <c r="AC85" s="257" t="str">
        <f t="shared" ca="1" si="13"/>
        <v>#REF!</v>
      </c>
      <c r="AD85" s="234" t="str">
        <f t="shared" ca="1" si="14"/>
        <v>#REF!</v>
      </c>
      <c r="AE85" s="100" t="str">
        <f t="shared" ca="1" si="15"/>
        <v>#REF!</v>
      </c>
      <c r="AF85" s="101" t="str">
        <f t="shared" ca="1" si="16"/>
        <v>#REF!</v>
      </c>
      <c r="AG85" s="102" t="str">
        <f t="shared" ref="AG85:AH85" ca="1" si="103">AE85/V85</f>
        <v>#REF!</v>
      </c>
      <c r="AH85" s="102" t="str">
        <f t="shared" ca="1" si="103"/>
        <v>#REF!</v>
      </c>
    </row>
    <row r="86" spans="1:34" ht="13.2">
      <c r="A86" s="251"/>
      <c r="B86" s="251"/>
      <c r="C86" s="252"/>
      <c r="D86" s="252"/>
      <c r="E86" s="114"/>
      <c r="F86" s="252"/>
      <c r="G86" s="125" t="s">
        <v>145</v>
      </c>
      <c r="I86" s="172"/>
      <c r="J86" s="82" t="str">
        <f t="shared" ca="1" si="0"/>
        <v>#REF!</v>
      </c>
      <c r="K86" s="82" t="str">
        <f t="shared" ca="1" si="1"/>
        <v>#REF!</v>
      </c>
      <c r="L86" s="82" t="str">
        <f t="shared" ca="1" si="44"/>
        <v>#REF!</v>
      </c>
      <c r="M86" s="93"/>
      <c r="N86" s="93"/>
      <c r="O86" s="95">
        <f t="shared" si="2"/>
        <v>0</v>
      </c>
      <c r="P86" s="96">
        <f t="shared" si="3"/>
        <v>0</v>
      </c>
      <c r="Q86" s="97">
        <f t="shared" si="4"/>
        <v>0</v>
      </c>
      <c r="R86" s="97" t="str">
        <f ca="1">ROUNDUP(HLOOKUP(IF(CEILING(L86,0.5)&lt;1,0.5,CEILING(L86,0.5)),'배송비 조회'!A$44:AO$56,7,0)*B$3,-2)</f>
        <v>#REF!</v>
      </c>
      <c r="S86" s="97">
        <v>0</v>
      </c>
      <c r="T86" s="97" t="str">
        <f t="shared" ca="1" si="42"/>
        <v>#REF!</v>
      </c>
      <c r="U86" s="97" t="str">
        <f t="shared" ca="1" si="29"/>
        <v>#REF!</v>
      </c>
      <c r="V86" s="97" t="str">
        <f t="shared" ca="1" si="7"/>
        <v>#REF!</v>
      </c>
      <c r="W86" s="97" t="str">
        <f t="shared" ca="1" si="8"/>
        <v>#REF!</v>
      </c>
      <c r="X86" s="121">
        <v>0</v>
      </c>
      <c r="Y86" s="121" t="str">
        <f t="shared" ca="1" si="9"/>
        <v>#REF!</v>
      </c>
      <c r="Z86" s="121" t="str">
        <f t="shared" ca="1" si="10"/>
        <v>#REF!</v>
      </c>
      <c r="AA86" s="99" t="str">
        <f t="shared" ca="1" si="11"/>
        <v>#REF!</v>
      </c>
      <c r="AB86" s="234" t="str">
        <f t="shared" ca="1" si="12"/>
        <v>#REF!</v>
      </c>
      <c r="AC86" s="257" t="str">
        <f t="shared" ca="1" si="13"/>
        <v>#REF!</v>
      </c>
      <c r="AD86" s="234" t="str">
        <f t="shared" ca="1" si="14"/>
        <v>#REF!</v>
      </c>
      <c r="AE86" s="100" t="str">
        <f t="shared" ca="1" si="15"/>
        <v>#REF!</v>
      </c>
      <c r="AF86" s="101" t="str">
        <f t="shared" ca="1" si="16"/>
        <v>#REF!</v>
      </c>
      <c r="AG86" s="102" t="str">
        <f t="shared" ref="AG86:AH86" ca="1" si="104">AE86/V86</f>
        <v>#REF!</v>
      </c>
      <c r="AH86" s="102" t="str">
        <f t="shared" ca="1" si="104"/>
        <v>#REF!</v>
      </c>
    </row>
    <row r="87" spans="1:34" ht="13.2">
      <c r="A87" s="251"/>
      <c r="B87" s="251"/>
      <c r="C87" s="252"/>
      <c r="D87" s="252"/>
      <c r="E87" s="114"/>
      <c r="F87" s="252"/>
      <c r="G87" s="125" t="s">
        <v>145</v>
      </c>
      <c r="I87" s="172"/>
      <c r="J87" s="82" t="str">
        <f t="shared" ca="1" si="0"/>
        <v>#REF!</v>
      </c>
      <c r="K87" s="82" t="str">
        <f t="shared" ca="1" si="1"/>
        <v>#REF!</v>
      </c>
      <c r="L87" s="82" t="str">
        <f t="shared" ca="1" si="44"/>
        <v>#REF!</v>
      </c>
      <c r="M87" s="93"/>
      <c r="N87" s="93"/>
      <c r="O87" s="95">
        <f t="shared" si="2"/>
        <v>0</v>
      </c>
      <c r="P87" s="96">
        <f t="shared" si="3"/>
        <v>0</v>
      </c>
      <c r="Q87" s="97">
        <f t="shared" si="4"/>
        <v>0</v>
      </c>
      <c r="R87" s="97" t="str">
        <f ca="1">ROUNDUP(HLOOKUP(IF(CEILING(L87,0.5)&lt;1,0.5,CEILING(L87,0.5)),'배송비 조회'!A$44:AO$56,7,0)*B$3,-2)</f>
        <v>#REF!</v>
      </c>
      <c r="S87" s="97">
        <v>0</v>
      </c>
      <c r="T87" s="97" t="str">
        <f t="shared" ca="1" si="42"/>
        <v>#REF!</v>
      </c>
      <c r="U87" s="97" t="str">
        <f t="shared" ca="1" si="29"/>
        <v>#REF!</v>
      </c>
      <c r="V87" s="97" t="str">
        <f t="shared" ca="1" si="7"/>
        <v>#REF!</v>
      </c>
      <c r="W87" s="97" t="str">
        <f t="shared" ca="1" si="8"/>
        <v>#REF!</v>
      </c>
      <c r="X87" s="121">
        <v>0</v>
      </c>
      <c r="Y87" s="121" t="str">
        <f t="shared" ca="1" si="9"/>
        <v>#REF!</v>
      </c>
      <c r="Z87" s="121" t="str">
        <f t="shared" ca="1" si="10"/>
        <v>#REF!</v>
      </c>
      <c r="AA87" s="99" t="str">
        <f t="shared" ca="1" si="11"/>
        <v>#REF!</v>
      </c>
      <c r="AB87" s="234" t="str">
        <f t="shared" ca="1" si="12"/>
        <v>#REF!</v>
      </c>
      <c r="AC87" s="257" t="str">
        <f t="shared" ca="1" si="13"/>
        <v>#REF!</v>
      </c>
      <c r="AD87" s="234" t="str">
        <f t="shared" ca="1" si="14"/>
        <v>#REF!</v>
      </c>
      <c r="AE87" s="100" t="str">
        <f t="shared" ca="1" si="15"/>
        <v>#REF!</v>
      </c>
      <c r="AF87" s="101" t="str">
        <f t="shared" ca="1" si="16"/>
        <v>#REF!</v>
      </c>
      <c r="AG87" s="102" t="str">
        <f t="shared" ref="AG87:AH87" ca="1" si="105">AE87/V87</f>
        <v>#REF!</v>
      </c>
      <c r="AH87" s="102" t="str">
        <f t="shared" ca="1" si="105"/>
        <v>#REF!</v>
      </c>
    </row>
    <row r="88" spans="1:34" ht="13.2">
      <c r="A88" s="251"/>
      <c r="B88" s="251"/>
      <c r="C88" s="252"/>
      <c r="D88" s="252"/>
      <c r="E88" s="114"/>
      <c r="F88" s="252"/>
      <c r="G88" s="125" t="s">
        <v>145</v>
      </c>
      <c r="I88" s="172"/>
      <c r="J88" s="82" t="str">
        <f t="shared" ca="1" si="0"/>
        <v>#REF!</v>
      </c>
      <c r="K88" s="82" t="str">
        <f t="shared" ca="1" si="1"/>
        <v>#REF!</v>
      </c>
      <c r="L88" s="82" t="str">
        <f t="shared" ca="1" si="44"/>
        <v>#REF!</v>
      </c>
      <c r="M88" s="93"/>
      <c r="N88" s="93"/>
      <c r="O88" s="95">
        <f t="shared" si="2"/>
        <v>0</v>
      </c>
      <c r="P88" s="96">
        <f t="shared" si="3"/>
        <v>0</v>
      </c>
      <c r="Q88" s="97">
        <f t="shared" si="4"/>
        <v>0</v>
      </c>
      <c r="R88" s="97" t="str">
        <f ca="1">ROUNDUP(HLOOKUP(IF(CEILING(L88,0.5)&lt;1,0.5,CEILING(L88,0.5)),'배송비 조회'!A$44:AO$56,7,0)*B$3,-2)</f>
        <v>#REF!</v>
      </c>
      <c r="S88" s="97">
        <v>0</v>
      </c>
      <c r="T88" s="97" t="str">
        <f t="shared" ca="1" si="42"/>
        <v>#REF!</v>
      </c>
      <c r="U88" s="97" t="str">
        <f t="shared" ca="1" si="29"/>
        <v>#REF!</v>
      </c>
      <c r="V88" s="97" t="str">
        <f t="shared" ca="1" si="7"/>
        <v>#REF!</v>
      </c>
      <c r="W88" s="97" t="str">
        <f t="shared" ca="1" si="8"/>
        <v>#REF!</v>
      </c>
      <c r="X88" s="121">
        <v>0</v>
      </c>
      <c r="Y88" s="121" t="str">
        <f t="shared" ca="1" si="9"/>
        <v>#REF!</v>
      </c>
      <c r="Z88" s="121" t="str">
        <f t="shared" ca="1" si="10"/>
        <v>#REF!</v>
      </c>
      <c r="AA88" s="99" t="str">
        <f t="shared" ca="1" si="11"/>
        <v>#REF!</v>
      </c>
      <c r="AB88" s="234" t="str">
        <f t="shared" ca="1" si="12"/>
        <v>#REF!</v>
      </c>
      <c r="AC88" s="257" t="str">
        <f t="shared" ca="1" si="13"/>
        <v>#REF!</v>
      </c>
      <c r="AD88" s="234" t="str">
        <f t="shared" ca="1" si="14"/>
        <v>#REF!</v>
      </c>
      <c r="AE88" s="100" t="str">
        <f t="shared" ca="1" si="15"/>
        <v>#REF!</v>
      </c>
      <c r="AF88" s="101" t="str">
        <f t="shared" ca="1" si="16"/>
        <v>#REF!</v>
      </c>
      <c r="AG88" s="102" t="str">
        <f t="shared" ref="AG88:AH88" ca="1" si="106">AE88/V88</f>
        <v>#REF!</v>
      </c>
      <c r="AH88" s="102" t="str">
        <f t="shared" ca="1" si="106"/>
        <v>#REF!</v>
      </c>
    </row>
    <row r="89" spans="1:34" ht="13.2">
      <c r="A89" s="251"/>
      <c r="B89" s="251"/>
      <c r="C89" s="252"/>
      <c r="D89" s="252"/>
      <c r="E89" s="114"/>
      <c r="F89" s="252"/>
      <c r="G89" s="125" t="s">
        <v>145</v>
      </c>
      <c r="I89" s="172"/>
      <c r="J89" s="82" t="str">
        <f t="shared" ca="1" si="0"/>
        <v>#REF!</v>
      </c>
      <c r="K89" s="82" t="str">
        <f t="shared" ca="1" si="1"/>
        <v>#REF!</v>
      </c>
      <c r="L89" s="82" t="str">
        <f t="shared" ca="1" si="44"/>
        <v>#REF!</v>
      </c>
      <c r="M89" s="93"/>
      <c r="N89" s="93"/>
      <c r="O89" s="95">
        <f t="shared" si="2"/>
        <v>0</v>
      </c>
      <c r="P89" s="96">
        <f t="shared" si="3"/>
        <v>0</v>
      </c>
      <c r="Q89" s="97">
        <f t="shared" si="4"/>
        <v>0</v>
      </c>
      <c r="R89" s="97" t="str">
        <f ca="1">ROUNDUP(HLOOKUP(IF(CEILING(L89,0.5)&lt;1,0.5,CEILING(L89,0.5)),'배송비 조회'!A$44:AO$56,7,0)*B$3,-2)</f>
        <v>#REF!</v>
      </c>
      <c r="S89" s="97">
        <v>0</v>
      </c>
      <c r="T89" s="97" t="str">
        <f t="shared" ca="1" si="42"/>
        <v>#REF!</v>
      </c>
      <c r="U89" s="97" t="str">
        <f t="shared" ca="1" si="29"/>
        <v>#REF!</v>
      </c>
      <c r="V89" s="97" t="str">
        <f t="shared" ca="1" si="7"/>
        <v>#REF!</v>
      </c>
      <c r="W89" s="97" t="str">
        <f t="shared" ca="1" si="8"/>
        <v>#REF!</v>
      </c>
      <c r="X89" s="121">
        <v>0</v>
      </c>
      <c r="Y89" s="121" t="str">
        <f t="shared" ca="1" si="9"/>
        <v>#REF!</v>
      </c>
      <c r="Z89" s="121" t="str">
        <f t="shared" ca="1" si="10"/>
        <v>#REF!</v>
      </c>
      <c r="AA89" s="99" t="str">
        <f t="shared" ca="1" si="11"/>
        <v>#REF!</v>
      </c>
      <c r="AB89" s="234" t="str">
        <f t="shared" ca="1" si="12"/>
        <v>#REF!</v>
      </c>
      <c r="AC89" s="257" t="str">
        <f t="shared" ca="1" si="13"/>
        <v>#REF!</v>
      </c>
      <c r="AD89" s="234" t="str">
        <f t="shared" ca="1" si="14"/>
        <v>#REF!</v>
      </c>
      <c r="AE89" s="100" t="str">
        <f t="shared" ca="1" si="15"/>
        <v>#REF!</v>
      </c>
      <c r="AF89" s="101" t="str">
        <f t="shared" ca="1" si="16"/>
        <v>#REF!</v>
      </c>
      <c r="AG89" s="102" t="str">
        <f t="shared" ref="AG89:AH89" ca="1" si="107">AE89/V89</f>
        <v>#REF!</v>
      </c>
      <c r="AH89" s="102" t="str">
        <f t="shared" ca="1" si="107"/>
        <v>#REF!</v>
      </c>
    </row>
    <row r="90" spans="1:34" ht="13.2">
      <c r="A90" s="251"/>
      <c r="B90" s="251"/>
      <c r="C90" s="252"/>
      <c r="D90" s="252"/>
      <c r="E90" s="114"/>
      <c r="F90" s="252"/>
      <c r="G90" s="125" t="s">
        <v>145</v>
      </c>
      <c r="I90" s="172"/>
      <c r="J90" s="82" t="str">
        <f t="shared" ca="1" si="0"/>
        <v>#REF!</v>
      </c>
      <c r="K90" s="82" t="str">
        <f t="shared" ca="1" si="1"/>
        <v>#REF!</v>
      </c>
      <c r="L90" s="82" t="str">
        <f t="shared" ca="1" si="44"/>
        <v>#REF!</v>
      </c>
      <c r="M90" s="93"/>
      <c r="N90" s="93"/>
      <c r="O90" s="95">
        <f t="shared" si="2"/>
        <v>0</v>
      </c>
      <c r="P90" s="96">
        <f t="shared" si="3"/>
        <v>0</v>
      </c>
      <c r="Q90" s="97">
        <f t="shared" si="4"/>
        <v>0</v>
      </c>
      <c r="R90" s="97" t="str">
        <f ca="1">ROUNDUP(HLOOKUP(IF(CEILING(L90,0.5)&lt;1,0.5,CEILING(L90,0.5)),'배송비 조회'!A$44:AO$56,7,0)*B$3,-2)</f>
        <v>#REF!</v>
      </c>
      <c r="S90" s="97">
        <v>0</v>
      </c>
      <c r="T90" s="97" t="str">
        <f t="shared" ca="1" si="42"/>
        <v>#REF!</v>
      </c>
      <c r="U90" s="97" t="str">
        <f t="shared" ca="1" si="29"/>
        <v>#REF!</v>
      </c>
      <c r="V90" s="97" t="str">
        <f t="shared" ca="1" si="7"/>
        <v>#REF!</v>
      </c>
      <c r="W90" s="97" t="str">
        <f t="shared" ca="1" si="8"/>
        <v>#REF!</v>
      </c>
      <c r="X90" s="121">
        <v>0</v>
      </c>
      <c r="Y90" s="121" t="str">
        <f t="shared" ca="1" si="9"/>
        <v>#REF!</v>
      </c>
      <c r="Z90" s="121" t="str">
        <f t="shared" ca="1" si="10"/>
        <v>#REF!</v>
      </c>
      <c r="AA90" s="99" t="str">
        <f t="shared" ca="1" si="11"/>
        <v>#REF!</v>
      </c>
      <c r="AB90" s="234" t="str">
        <f t="shared" ca="1" si="12"/>
        <v>#REF!</v>
      </c>
      <c r="AC90" s="257" t="str">
        <f t="shared" ca="1" si="13"/>
        <v>#REF!</v>
      </c>
      <c r="AD90" s="234" t="str">
        <f t="shared" ca="1" si="14"/>
        <v>#REF!</v>
      </c>
      <c r="AE90" s="100" t="str">
        <f t="shared" ca="1" si="15"/>
        <v>#REF!</v>
      </c>
      <c r="AF90" s="101" t="str">
        <f t="shared" ca="1" si="16"/>
        <v>#REF!</v>
      </c>
      <c r="AG90" s="102" t="str">
        <f t="shared" ref="AG90:AH90" ca="1" si="108">AE90/V90</f>
        <v>#REF!</v>
      </c>
      <c r="AH90" s="102" t="str">
        <f t="shared" ca="1" si="108"/>
        <v>#REF!</v>
      </c>
    </row>
    <row r="91" spans="1:34" ht="13.2">
      <c r="A91" s="251"/>
      <c r="B91" s="251"/>
      <c r="C91" s="252"/>
      <c r="D91" s="252"/>
      <c r="E91" s="114"/>
      <c r="F91" s="252"/>
      <c r="G91" s="125" t="s">
        <v>145</v>
      </c>
      <c r="I91" s="172"/>
      <c r="J91" s="82" t="str">
        <f t="shared" ca="1" si="0"/>
        <v>#REF!</v>
      </c>
      <c r="K91" s="82" t="str">
        <f t="shared" ca="1" si="1"/>
        <v>#REF!</v>
      </c>
      <c r="L91" s="82" t="str">
        <f t="shared" ca="1" si="44"/>
        <v>#REF!</v>
      </c>
      <c r="M91" s="93"/>
      <c r="N91" s="93"/>
      <c r="O91" s="95">
        <f t="shared" si="2"/>
        <v>0</v>
      </c>
      <c r="P91" s="96">
        <f t="shared" si="3"/>
        <v>0</v>
      </c>
      <c r="Q91" s="97">
        <f t="shared" si="4"/>
        <v>0</v>
      </c>
      <c r="R91" s="97" t="str">
        <f ca="1">ROUNDUP(HLOOKUP(IF(CEILING(L91,0.5)&lt;1,0.5,CEILING(L91,0.5)),'배송비 조회'!A$44:AO$56,7,0)*B$3,-2)</f>
        <v>#REF!</v>
      </c>
      <c r="S91" s="97">
        <v>0</v>
      </c>
      <c r="T91" s="97" t="str">
        <f t="shared" ca="1" si="42"/>
        <v>#REF!</v>
      </c>
      <c r="U91" s="97" t="str">
        <f t="shared" ca="1" si="29"/>
        <v>#REF!</v>
      </c>
      <c r="V91" s="97" t="str">
        <f t="shared" ca="1" si="7"/>
        <v>#REF!</v>
      </c>
      <c r="W91" s="97" t="str">
        <f t="shared" ca="1" si="8"/>
        <v>#REF!</v>
      </c>
      <c r="X91" s="121">
        <v>0</v>
      </c>
      <c r="Y91" s="121" t="str">
        <f t="shared" ca="1" si="9"/>
        <v>#REF!</v>
      </c>
      <c r="Z91" s="121" t="str">
        <f t="shared" ca="1" si="10"/>
        <v>#REF!</v>
      </c>
      <c r="AA91" s="99" t="str">
        <f t="shared" ca="1" si="11"/>
        <v>#REF!</v>
      </c>
      <c r="AB91" s="234" t="str">
        <f t="shared" ca="1" si="12"/>
        <v>#REF!</v>
      </c>
      <c r="AC91" s="257" t="str">
        <f t="shared" ca="1" si="13"/>
        <v>#REF!</v>
      </c>
      <c r="AD91" s="234" t="str">
        <f t="shared" ca="1" si="14"/>
        <v>#REF!</v>
      </c>
      <c r="AE91" s="100" t="str">
        <f t="shared" ca="1" si="15"/>
        <v>#REF!</v>
      </c>
      <c r="AF91" s="101" t="str">
        <f t="shared" ca="1" si="16"/>
        <v>#REF!</v>
      </c>
      <c r="AG91" s="102" t="str">
        <f t="shared" ref="AG91:AH91" ca="1" si="109">AE91/V91</f>
        <v>#REF!</v>
      </c>
      <c r="AH91" s="102" t="str">
        <f t="shared" ca="1" si="109"/>
        <v>#REF!</v>
      </c>
    </row>
    <row r="92" spans="1:34" ht="13.2">
      <c r="A92" s="251"/>
      <c r="B92" s="251"/>
      <c r="C92" s="252"/>
      <c r="D92" s="252"/>
      <c r="E92" s="114"/>
      <c r="F92" s="252"/>
      <c r="G92" s="125" t="s">
        <v>145</v>
      </c>
      <c r="I92" s="172"/>
      <c r="J92" s="82" t="str">
        <f t="shared" ca="1" si="0"/>
        <v>#REF!</v>
      </c>
      <c r="K92" s="82" t="str">
        <f t="shared" ca="1" si="1"/>
        <v>#REF!</v>
      </c>
      <c r="L92" s="82" t="str">
        <f t="shared" ca="1" si="44"/>
        <v>#REF!</v>
      </c>
      <c r="M92" s="93"/>
      <c r="N92" s="93"/>
      <c r="O92" s="95">
        <f t="shared" si="2"/>
        <v>0</v>
      </c>
      <c r="P92" s="96">
        <f t="shared" si="3"/>
        <v>0</v>
      </c>
      <c r="Q92" s="97">
        <f t="shared" si="4"/>
        <v>0</v>
      </c>
      <c r="R92" s="97" t="str">
        <f ca="1">ROUNDUP(HLOOKUP(IF(CEILING(L92,0.5)&lt;1,0.5,CEILING(L92,0.5)),'배송비 조회'!A$44:AO$56,7,0)*B$3,-2)</f>
        <v>#REF!</v>
      </c>
      <c r="S92" s="97">
        <v>0</v>
      </c>
      <c r="T92" s="97" t="str">
        <f t="shared" ca="1" si="42"/>
        <v>#REF!</v>
      </c>
      <c r="U92" s="97" t="str">
        <f t="shared" ca="1" si="29"/>
        <v>#REF!</v>
      </c>
      <c r="V92" s="97" t="str">
        <f t="shared" ca="1" si="7"/>
        <v>#REF!</v>
      </c>
      <c r="W92" s="97" t="str">
        <f t="shared" ca="1" si="8"/>
        <v>#REF!</v>
      </c>
      <c r="X92" s="121">
        <v>0</v>
      </c>
      <c r="Y92" s="121" t="str">
        <f t="shared" ca="1" si="9"/>
        <v>#REF!</v>
      </c>
      <c r="Z92" s="121" t="str">
        <f t="shared" ca="1" si="10"/>
        <v>#REF!</v>
      </c>
      <c r="AA92" s="99" t="str">
        <f t="shared" ca="1" si="11"/>
        <v>#REF!</v>
      </c>
      <c r="AB92" s="234" t="str">
        <f t="shared" ca="1" si="12"/>
        <v>#REF!</v>
      </c>
      <c r="AC92" s="257" t="str">
        <f t="shared" ca="1" si="13"/>
        <v>#REF!</v>
      </c>
      <c r="AD92" s="234" t="str">
        <f t="shared" ca="1" si="14"/>
        <v>#REF!</v>
      </c>
      <c r="AE92" s="100" t="str">
        <f t="shared" ca="1" si="15"/>
        <v>#REF!</v>
      </c>
      <c r="AF92" s="101" t="str">
        <f t="shared" ca="1" si="16"/>
        <v>#REF!</v>
      </c>
      <c r="AG92" s="102" t="str">
        <f t="shared" ref="AG92:AH92" ca="1" si="110">AE92/V92</f>
        <v>#REF!</v>
      </c>
      <c r="AH92" s="102" t="str">
        <f t="shared" ca="1" si="110"/>
        <v>#REF!</v>
      </c>
    </row>
    <row r="93" spans="1:34" ht="13.2">
      <c r="A93" s="251"/>
      <c r="B93" s="251"/>
      <c r="C93" s="252"/>
      <c r="D93" s="252"/>
      <c r="E93" s="114"/>
      <c r="F93" s="252"/>
      <c r="G93" s="125" t="s">
        <v>145</v>
      </c>
      <c r="I93" s="172"/>
      <c r="J93" s="82" t="str">
        <f t="shared" ca="1" si="0"/>
        <v>#REF!</v>
      </c>
      <c r="K93" s="82" t="str">
        <f t="shared" ca="1" si="1"/>
        <v>#REF!</v>
      </c>
      <c r="L93" s="82" t="str">
        <f t="shared" ca="1" si="44"/>
        <v>#REF!</v>
      </c>
      <c r="M93" s="93"/>
      <c r="N93" s="93"/>
      <c r="O93" s="95">
        <f t="shared" si="2"/>
        <v>0</v>
      </c>
      <c r="P93" s="96">
        <f t="shared" si="3"/>
        <v>0</v>
      </c>
      <c r="Q93" s="97">
        <f t="shared" si="4"/>
        <v>0</v>
      </c>
      <c r="R93" s="97" t="str">
        <f ca="1">ROUNDUP(HLOOKUP(IF(CEILING(L93,0.5)&lt;1,0.5,CEILING(L93,0.5)),'배송비 조회'!A$44:AO$56,7,0)*B$3,-2)</f>
        <v>#REF!</v>
      </c>
      <c r="S93" s="97">
        <v>0</v>
      </c>
      <c r="T93" s="97" t="str">
        <f t="shared" ca="1" si="42"/>
        <v>#REF!</v>
      </c>
      <c r="U93" s="97" t="str">
        <f t="shared" ca="1" si="29"/>
        <v>#REF!</v>
      </c>
      <c r="V93" s="97" t="str">
        <f t="shared" ca="1" si="7"/>
        <v>#REF!</v>
      </c>
      <c r="W93" s="97" t="str">
        <f t="shared" ca="1" si="8"/>
        <v>#REF!</v>
      </c>
      <c r="X93" s="121">
        <v>0</v>
      </c>
      <c r="Y93" s="121" t="str">
        <f t="shared" ca="1" si="9"/>
        <v>#REF!</v>
      </c>
      <c r="Z93" s="121" t="str">
        <f t="shared" ca="1" si="10"/>
        <v>#REF!</v>
      </c>
      <c r="AA93" s="99" t="str">
        <f t="shared" ca="1" si="11"/>
        <v>#REF!</v>
      </c>
      <c r="AB93" s="234" t="str">
        <f t="shared" ca="1" si="12"/>
        <v>#REF!</v>
      </c>
      <c r="AC93" s="257" t="str">
        <f t="shared" ca="1" si="13"/>
        <v>#REF!</v>
      </c>
      <c r="AD93" s="234" t="str">
        <f t="shared" ca="1" si="14"/>
        <v>#REF!</v>
      </c>
      <c r="AE93" s="100" t="str">
        <f t="shared" ca="1" si="15"/>
        <v>#REF!</v>
      </c>
      <c r="AF93" s="101" t="str">
        <f t="shared" ca="1" si="16"/>
        <v>#REF!</v>
      </c>
      <c r="AG93" s="102" t="str">
        <f t="shared" ref="AG93:AH93" ca="1" si="111">AE93/V93</f>
        <v>#REF!</v>
      </c>
      <c r="AH93" s="102" t="str">
        <f t="shared" ca="1" si="111"/>
        <v>#REF!</v>
      </c>
    </row>
    <row r="94" spans="1:34" ht="13.2">
      <c r="A94" s="251"/>
      <c r="B94" s="251"/>
      <c r="C94" s="252"/>
      <c r="D94" s="252"/>
      <c r="E94" s="114"/>
      <c r="F94" s="252"/>
      <c r="G94" s="125" t="s">
        <v>145</v>
      </c>
      <c r="I94" s="172"/>
      <c r="J94" s="82" t="str">
        <f t="shared" ca="1" si="0"/>
        <v>#REF!</v>
      </c>
      <c r="K94" s="82" t="str">
        <f t="shared" ca="1" si="1"/>
        <v>#REF!</v>
      </c>
      <c r="L94" s="82" t="str">
        <f t="shared" ca="1" si="44"/>
        <v>#REF!</v>
      </c>
      <c r="M94" s="93"/>
      <c r="N94" s="93"/>
      <c r="O94" s="95">
        <f t="shared" si="2"/>
        <v>0</v>
      </c>
      <c r="P94" s="96">
        <f t="shared" si="3"/>
        <v>0</v>
      </c>
      <c r="Q94" s="97">
        <f t="shared" si="4"/>
        <v>0</v>
      </c>
      <c r="R94" s="97" t="str">
        <f ca="1">ROUNDUP(HLOOKUP(IF(CEILING(L94,0.5)&lt;1,0.5,CEILING(L94,0.5)),'배송비 조회'!A$44:AO$56,7,0)*B$3,-2)</f>
        <v>#REF!</v>
      </c>
      <c r="S94" s="97">
        <v>0</v>
      </c>
      <c r="T94" s="97" t="str">
        <f t="shared" ca="1" si="42"/>
        <v>#REF!</v>
      </c>
      <c r="U94" s="97" t="str">
        <f t="shared" ca="1" si="29"/>
        <v>#REF!</v>
      </c>
      <c r="V94" s="97" t="str">
        <f t="shared" ca="1" si="7"/>
        <v>#REF!</v>
      </c>
      <c r="W94" s="97" t="str">
        <f t="shared" ca="1" si="8"/>
        <v>#REF!</v>
      </c>
      <c r="X94" s="121">
        <v>0</v>
      </c>
      <c r="Y94" s="121" t="str">
        <f t="shared" ca="1" si="9"/>
        <v>#REF!</v>
      </c>
      <c r="Z94" s="121" t="str">
        <f t="shared" ca="1" si="10"/>
        <v>#REF!</v>
      </c>
      <c r="AA94" s="99" t="str">
        <f t="shared" ca="1" si="11"/>
        <v>#REF!</v>
      </c>
      <c r="AB94" s="234" t="str">
        <f t="shared" ca="1" si="12"/>
        <v>#REF!</v>
      </c>
      <c r="AC94" s="257" t="str">
        <f t="shared" ca="1" si="13"/>
        <v>#REF!</v>
      </c>
      <c r="AD94" s="234" t="str">
        <f t="shared" ca="1" si="14"/>
        <v>#REF!</v>
      </c>
      <c r="AE94" s="100" t="str">
        <f t="shared" ca="1" si="15"/>
        <v>#REF!</v>
      </c>
      <c r="AF94" s="101" t="str">
        <f t="shared" ca="1" si="16"/>
        <v>#REF!</v>
      </c>
      <c r="AG94" s="102" t="str">
        <f t="shared" ref="AG94:AH94" ca="1" si="112">AE94/V94</f>
        <v>#REF!</v>
      </c>
      <c r="AH94" s="102" t="str">
        <f t="shared" ca="1" si="112"/>
        <v>#REF!</v>
      </c>
    </row>
    <row r="95" spans="1:34" ht="13.2">
      <c r="A95" s="251"/>
      <c r="B95" s="251"/>
      <c r="C95" s="252"/>
      <c r="D95" s="252"/>
      <c r="E95" s="114"/>
      <c r="F95" s="252"/>
      <c r="G95" s="125" t="s">
        <v>145</v>
      </c>
      <c r="I95" s="172"/>
      <c r="J95" s="82" t="str">
        <f t="shared" ca="1" si="0"/>
        <v>#REF!</v>
      </c>
      <c r="K95" s="82" t="str">
        <f t="shared" ca="1" si="1"/>
        <v>#REF!</v>
      </c>
      <c r="L95" s="82" t="str">
        <f t="shared" ca="1" si="44"/>
        <v>#REF!</v>
      </c>
      <c r="M95" s="93"/>
      <c r="N95" s="93"/>
      <c r="O95" s="95">
        <f t="shared" si="2"/>
        <v>0</v>
      </c>
      <c r="P95" s="96">
        <f t="shared" si="3"/>
        <v>0</v>
      </c>
      <c r="Q95" s="97">
        <f t="shared" si="4"/>
        <v>0</v>
      </c>
      <c r="R95" s="97" t="str">
        <f ca="1">ROUNDUP(HLOOKUP(IF(CEILING(L95,0.5)&lt;1,0.5,CEILING(L95,0.5)),'배송비 조회'!A$44:AO$56,7,0)*B$3,-2)</f>
        <v>#REF!</v>
      </c>
      <c r="S95" s="97">
        <v>0</v>
      </c>
      <c r="T95" s="97" t="str">
        <f t="shared" ca="1" si="42"/>
        <v>#REF!</v>
      </c>
      <c r="U95" s="97" t="str">
        <f t="shared" ca="1" si="29"/>
        <v>#REF!</v>
      </c>
      <c r="V95" s="97" t="str">
        <f t="shared" ca="1" si="7"/>
        <v>#REF!</v>
      </c>
      <c r="W95" s="97" t="str">
        <f t="shared" ca="1" si="8"/>
        <v>#REF!</v>
      </c>
      <c r="X95" s="121">
        <v>0</v>
      </c>
      <c r="Y95" s="121" t="str">
        <f t="shared" ca="1" si="9"/>
        <v>#REF!</v>
      </c>
      <c r="Z95" s="121" t="str">
        <f t="shared" ca="1" si="10"/>
        <v>#REF!</v>
      </c>
      <c r="AA95" s="99" t="str">
        <f t="shared" ca="1" si="11"/>
        <v>#REF!</v>
      </c>
      <c r="AB95" s="234" t="str">
        <f t="shared" ca="1" si="12"/>
        <v>#REF!</v>
      </c>
      <c r="AC95" s="257" t="str">
        <f t="shared" ca="1" si="13"/>
        <v>#REF!</v>
      </c>
      <c r="AD95" s="234" t="str">
        <f t="shared" ca="1" si="14"/>
        <v>#REF!</v>
      </c>
      <c r="AE95" s="100" t="str">
        <f t="shared" ca="1" si="15"/>
        <v>#REF!</v>
      </c>
      <c r="AF95" s="101" t="str">
        <f t="shared" ca="1" si="16"/>
        <v>#REF!</v>
      </c>
      <c r="AG95" s="102" t="str">
        <f t="shared" ref="AG95:AH95" ca="1" si="113">AE95/V95</f>
        <v>#REF!</v>
      </c>
      <c r="AH95" s="102" t="str">
        <f t="shared" ca="1" si="113"/>
        <v>#REF!</v>
      </c>
    </row>
    <row r="96" spans="1:34" ht="13.2">
      <c r="A96" s="251"/>
      <c r="B96" s="251"/>
      <c r="C96" s="252"/>
      <c r="D96" s="252"/>
      <c r="E96" s="114"/>
      <c r="F96" s="252"/>
      <c r="G96" s="125" t="s">
        <v>145</v>
      </c>
      <c r="I96" s="172"/>
      <c r="J96" s="82" t="str">
        <f t="shared" ca="1" si="0"/>
        <v>#REF!</v>
      </c>
      <c r="K96" s="82" t="str">
        <f t="shared" ca="1" si="1"/>
        <v>#REF!</v>
      </c>
      <c r="L96" s="82" t="str">
        <f t="shared" ca="1" si="44"/>
        <v>#REF!</v>
      </c>
      <c r="M96" s="93"/>
      <c r="N96" s="93"/>
      <c r="O96" s="95">
        <f t="shared" si="2"/>
        <v>0</v>
      </c>
      <c r="P96" s="96">
        <f t="shared" si="3"/>
        <v>0</v>
      </c>
      <c r="Q96" s="97">
        <f t="shared" si="4"/>
        <v>0</v>
      </c>
      <c r="R96" s="97" t="str">
        <f ca="1">ROUNDUP(HLOOKUP(IF(CEILING(L96,0.5)&lt;1,0.5,CEILING(L96,0.5)),'배송비 조회'!A$44:AO$56,7,0)*B$3,-2)</f>
        <v>#REF!</v>
      </c>
      <c r="S96" s="97">
        <v>0</v>
      </c>
      <c r="T96" s="97" t="str">
        <f t="shared" ca="1" si="42"/>
        <v>#REF!</v>
      </c>
      <c r="U96" s="97" t="str">
        <f t="shared" ca="1" si="29"/>
        <v>#REF!</v>
      </c>
      <c r="V96" s="97" t="str">
        <f t="shared" ca="1" si="7"/>
        <v>#REF!</v>
      </c>
      <c r="W96" s="97" t="str">
        <f t="shared" ca="1" si="8"/>
        <v>#REF!</v>
      </c>
      <c r="X96" s="121">
        <v>0</v>
      </c>
      <c r="Y96" s="121" t="str">
        <f t="shared" ca="1" si="9"/>
        <v>#REF!</v>
      </c>
      <c r="Z96" s="121" t="str">
        <f t="shared" ca="1" si="10"/>
        <v>#REF!</v>
      </c>
      <c r="AA96" s="99" t="str">
        <f t="shared" ca="1" si="11"/>
        <v>#REF!</v>
      </c>
      <c r="AB96" s="234" t="str">
        <f t="shared" ca="1" si="12"/>
        <v>#REF!</v>
      </c>
      <c r="AC96" s="257" t="str">
        <f t="shared" ca="1" si="13"/>
        <v>#REF!</v>
      </c>
      <c r="AD96" s="234" t="str">
        <f t="shared" ca="1" si="14"/>
        <v>#REF!</v>
      </c>
      <c r="AE96" s="100" t="str">
        <f t="shared" ca="1" si="15"/>
        <v>#REF!</v>
      </c>
      <c r="AF96" s="101" t="str">
        <f t="shared" ca="1" si="16"/>
        <v>#REF!</v>
      </c>
      <c r="AG96" s="102" t="str">
        <f t="shared" ref="AG96:AH96" ca="1" si="114">AE96/V96</f>
        <v>#REF!</v>
      </c>
      <c r="AH96" s="102" t="str">
        <f t="shared" ca="1" si="114"/>
        <v>#REF!</v>
      </c>
    </row>
    <row r="97" spans="1:34" ht="13.2">
      <c r="A97" s="251"/>
      <c r="B97" s="251"/>
      <c r="C97" s="252"/>
      <c r="D97" s="252"/>
      <c r="E97" s="114"/>
      <c r="F97" s="252"/>
      <c r="G97" s="125" t="s">
        <v>145</v>
      </c>
      <c r="I97" s="172"/>
      <c r="J97" s="82" t="str">
        <f t="shared" ca="1" si="0"/>
        <v>#REF!</v>
      </c>
      <c r="K97" s="82" t="str">
        <f t="shared" ca="1" si="1"/>
        <v>#REF!</v>
      </c>
      <c r="L97" s="82" t="str">
        <f t="shared" ca="1" si="44"/>
        <v>#REF!</v>
      </c>
      <c r="M97" s="93"/>
      <c r="N97" s="93"/>
      <c r="O97" s="95">
        <f t="shared" si="2"/>
        <v>0</v>
      </c>
      <c r="P97" s="96">
        <f t="shared" si="3"/>
        <v>0</v>
      </c>
      <c r="Q97" s="97">
        <f t="shared" si="4"/>
        <v>0</v>
      </c>
      <c r="R97" s="97" t="str">
        <f ca="1">ROUNDUP(HLOOKUP(IF(CEILING(L97,0.5)&lt;1,0.5,CEILING(L97,0.5)),'배송비 조회'!A$44:AO$56,7,0)*B$3,-2)</f>
        <v>#REF!</v>
      </c>
      <c r="S97" s="97">
        <v>0</v>
      </c>
      <c r="T97" s="97" t="str">
        <f t="shared" ca="1" si="42"/>
        <v>#REF!</v>
      </c>
      <c r="U97" s="97" t="str">
        <f t="shared" ca="1" si="29"/>
        <v>#REF!</v>
      </c>
      <c r="V97" s="97" t="str">
        <f t="shared" ca="1" si="7"/>
        <v>#REF!</v>
      </c>
      <c r="W97" s="97" t="str">
        <f t="shared" ca="1" si="8"/>
        <v>#REF!</v>
      </c>
      <c r="X97" s="121">
        <v>0</v>
      </c>
      <c r="Y97" s="121" t="str">
        <f t="shared" ca="1" si="9"/>
        <v>#REF!</v>
      </c>
      <c r="Z97" s="121" t="str">
        <f t="shared" ca="1" si="10"/>
        <v>#REF!</v>
      </c>
      <c r="AA97" s="99" t="str">
        <f t="shared" ca="1" si="11"/>
        <v>#REF!</v>
      </c>
      <c r="AB97" s="234" t="str">
        <f t="shared" ca="1" si="12"/>
        <v>#REF!</v>
      </c>
      <c r="AC97" s="257" t="str">
        <f t="shared" ca="1" si="13"/>
        <v>#REF!</v>
      </c>
      <c r="AD97" s="234" t="str">
        <f t="shared" ca="1" si="14"/>
        <v>#REF!</v>
      </c>
      <c r="AE97" s="100" t="str">
        <f t="shared" ca="1" si="15"/>
        <v>#REF!</v>
      </c>
      <c r="AF97" s="101" t="str">
        <f t="shared" ca="1" si="16"/>
        <v>#REF!</v>
      </c>
      <c r="AG97" s="102" t="str">
        <f t="shared" ref="AG97:AH97" ca="1" si="115">AE97/V97</f>
        <v>#REF!</v>
      </c>
      <c r="AH97" s="102" t="str">
        <f t="shared" ca="1" si="115"/>
        <v>#REF!</v>
      </c>
    </row>
    <row r="98" spans="1:34" ht="13.2">
      <c r="A98" s="251"/>
      <c r="B98" s="251"/>
      <c r="C98" s="252"/>
      <c r="D98" s="252"/>
      <c r="E98" s="114"/>
      <c r="F98" s="252"/>
      <c r="G98" s="125" t="s">
        <v>145</v>
      </c>
      <c r="I98" s="172"/>
      <c r="J98" s="82" t="str">
        <f t="shared" ca="1" si="0"/>
        <v>#REF!</v>
      </c>
      <c r="K98" s="82" t="str">
        <f t="shared" ca="1" si="1"/>
        <v>#REF!</v>
      </c>
      <c r="L98" s="82" t="str">
        <f t="shared" ca="1" si="44"/>
        <v>#REF!</v>
      </c>
      <c r="M98" s="93"/>
      <c r="N98" s="93"/>
      <c r="O98" s="95">
        <f t="shared" si="2"/>
        <v>0</v>
      </c>
      <c r="P98" s="96">
        <f t="shared" si="3"/>
        <v>0</v>
      </c>
      <c r="Q98" s="97">
        <f t="shared" si="4"/>
        <v>0</v>
      </c>
      <c r="R98" s="97" t="str">
        <f ca="1">ROUNDUP(HLOOKUP(IF(CEILING(L98,0.5)&lt;1,0.5,CEILING(L98,0.5)),'배송비 조회'!A$44:AO$56,7,0)*B$3,-2)</f>
        <v>#REF!</v>
      </c>
      <c r="S98" s="97">
        <v>0</v>
      </c>
      <c r="T98" s="97" t="str">
        <f t="shared" ca="1" si="42"/>
        <v>#REF!</v>
      </c>
      <c r="U98" s="97" t="str">
        <f t="shared" ca="1" si="29"/>
        <v>#REF!</v>
      </c>
      <c r="V98" s="97" t="str">
        <f t="shared" ca="1" si="7"/>
        <v>#REF!</v>
      </c>
      <c r="W98" s="97" t="str">
        <f t="shared" ca="1" si="8"/>
        <v>#REF!</v>
      </c>
      <c r="X98" s="121">
        <v>0</v>
      </c>
      <c r="Y98" s="121" t="str">
        <f t="shared" ca="1" si="9"/>
        <v>#REF!</v>
      </c>
      <c r="Z98" s="121" t="str">
        <f t="shared" ca="1" si="10"/>
        <v>#REF!</v>
      </c>
      <c r="AA98" s="99" t="str">
        <f t="shared" ca="1" si="11"/>
        <v>#REF!</v>
      </c>
      <c r="AB98" s="234" t="str">
        <f t="shared" ca="1" si="12"/>
        <v>#REF!</v>
      </c>
      <c r="AC98" s="257" t="str">
        <f t="shared" ca="1" si="13"/>
        <v>#REF!</v>
      </c>
      <c r="AD98" s="234" t="str">
        <f t="shared" ca="1" si="14"/>
        <v>#REF!</v>
      </c>
      <c r="AE98" s="100" t="str">
        <f t="shared" ca="1" si="15"/>
        <v>#REF!</v>
      </c>
      <c r="AF98" s="101" t="str">
        <f t="shared" ca="1" si="16"/>
        <v>#REF!</v>
      </c>
      <c r="AG98" s="102" t="str">
        <f t="shared" ref="AG98:AH98" ca="1" si="116">AE98/V98</f>
        <v>#REF!</v>
      </c>
      <c r="AH98" s="102" t="str">
        <f t="shared" ca="1" si="116"/>
        <v>#REF!</v>
      </c>
    </row>
    <row r="99" spans="1:34" ht="13.2">
      <c r="A99" s="251"/>
      <c r="B99" s="251"/>
      <c r="C99" s="252"/>
      <c r="D99" s="252"/>
      <c r="E99" s="114"/>
      <c r="F99" s="252"/>
      <c r="G99" s="125" t="s">
        <v>145</v>
      </c>
      <c r="I99" s="172"/>
      <c r="J99" s="82" t="str">
        <f t="shared" ca="1" si="0"/>
        <v>#REF!</v>
      </c>
      <c r="K99" s="82" t="str">
        <f t="shared" ca="1" si="1"/>
        <v>#REF!</v>
      </c>
      <c r="L99" s="82" t="str">
        <f t="shared" ca="1" si="44"/>
        <v>#REF!</v>
      </c>
      <c r="M99" s="93"/>
      <c r="N99" s="93"/>
      <c r="O99" s="95">
        <f t="shared" si="2"/>
        <v>0</v>
      </c>
      <c r="P99" s="96">
        <f t="shared" si="3"/>
        <v>0</v>
      </c>
      <c r="Q99" s="97">
        <f t="shared" si="4"/>
        <v>0</v>
      </c>
      <c r="R99" s="97" t="str">
        <f ca="1">ROUNDUP(HLOOKUP(IF(CEILING(L99,0.5)&lt;1,0.5,CEILING(L99,0.5)),'배송비 조회'!A$44:AO$56,7,0)*B$3,-2)</f>
        <v>#REF!</v>
      </c>
      <c r="S99" s="97">
        <v>0</v>
      </c>
      <c r="T99" s="97" t="str">
        <f t="shared" ca="1" si="42"/>
        <v>#REF!</v>
      </c>
      <c r="U99" s="97" t="str">
        <f t="shared" ca="1" si="29"/>
        <v>#REF!</v>
      </c>
      <c r="V99" s="97" t="str">
        <f t="shared" ca="1" si="7"/>
        <v>#REF!</v>
      </c>
      <c r="W99" s="97" t="str">
        <f t="shared" ca="1" si="8"/>
        <v>#REF!</v>
      </c>
      <c r="X99" s="121">
        <v>0</v>
      </c>
      <c r="Y99" s="121" t="str">
        <f t="shared" ca="1" si="9"/>
        <v>#REF!</v>
      </c>
      <c r="Z99" s="121" t="str">
        <f t="shared" ca="1" si="10"/>
        <v>#REF!</v>
      </c>
      <c r="AA99" s="99" t="str">
        <f t="shared" ca="1" si="11"/>
        <v>#REF!</v>
      </c>
      <c r="AB99" s="234" t="str">
        <f t="shared" ca="1" si="12"/>
        <v>#REF!</v>
      </c>
      <c r="AC99" s="257" t="str">
        <f t="shared" ca="1" si="13"/>
        <v>#REF!</v>
      </c>
      <c r="AD99" s="234" t="str">
        <f t="shared" ca="1" si="14"/>
        <v>#REF!</v>
      </c>
      <c r="AE99" s="100" t="str">
        <f t="shared" ca="1" si="15"/>
        <v>#REF!</v>
      </c>
      <c r="AF99" s="101" t="str">
        <f t="shared" ca="1" si="16"/>
        <v>#REF!</v>
      </c>
      <c r="AG99" s="102" t="str">
        <f t="shared" ref="AG99:AH99" ca="1" si="117">AE99/V99</f>
        <v>#REF!</v>
      </c>
      <c r="AH99" s="102" t="str">
        <f t="shared" ca="1" si="117"/>
        <v>#REF!</v>
      </c>
    </row>
    <row r="100" spans="1:34" ht="13.2">
      <c r="A100" s="251"/>
      <c r="B100" s="251"/>
      <c r="C100" s="252"/>
      <c r="D100" s="252"/>
      <c r="E100" s="114"/>
      <c r="F100" s="252"/>
      <c r="G100" s="125" t="s">
        <v>145</v>
      </c>
      <c r="I100" s="172"/>
      <c r="J100" s="82" t="str">
        <f t="shared" ca="1" si="0"/>
        <v>#REF!</v>
      </c>
      <c r="K100" s="82" t="str">
        <f t="shared" ca="1" si="1"/>
        <v>#REF!</v>
      </c>
      <c r="L100" s="82" t="str">
        <f t="shared" ca="1" si="44"/>
        <v>#REF!</v>
      </c>
      <c r="M100" s="93"/>
      <c r="N100" s="93"/>
      <c r="O100" s="95">
        <f t="shared" si="2"/>
        <v>0</v>
      </c>
      <c r="P100" s="96">
        <f t="shared" si="3"/>
        <v>0</v>
      </c>
      <c r="Q100" s="97">
        <f t="shared" si="4"/>
        <v>0</v>
      </c>
      <c r="R100" s="97" t="str">
        <f ca="1">ROUNDUP(HLOOKUP(IF(CEILING(L100,0.5)&lt;1,0.5,CEILING(L100,0.5)),'배송비 조회'!A$44:AO$56,7,0)*B$3,-2)</f>
        <v>#REF!</v>
      </c>
      <c r="S100" s="97">
        <v>0</v>
      </c>
      <c r="T100" s="97" t="str">
        <f t="shared" ca="1" si="42"/>
        <v>#REF!</v>
      </c>
      <c r="U100" s="97" t="str">
        <f t="shared" ca="1" si="29"/>
        <v>#REF!</v>
      </c>
      <c r="V100" s="97" t="str">
        <f t="shared" ca="1" si="7"/>
        <v>#REF!</v>
      </c>
      <c r="W100" s="97" t="str">
        <f t="shared" ca="1" si="8"/>
        <v>#REF!</v>
      </c>
      <c r="X100" s="121">
        <v>0</v>
      </c>
      <c r="Y100" s="121" t="str">
        <f t="shared" ca="1" si="9"/>
        <v>#REF!</v>
      </c>
      <c r="Z100" s="121" t="str">
        <f t="shared" ca="1" si="10"/>
        <v>#REF!</v>
      </c>
      <c r="AA100" s="99" t="str">
        <f t="shared" ca="1" si="11"/>
        <v>#REF!</v>
      </c>
      <c r="AB100" s="234" t="str">
        <f t="shared" ca="1" si="12"/>
        <v>#REF!</v>
      </c>
      <c r="AC100" s="257" t="str">
        <f t="shared" ca="1" si="13"/>
        <v>#REF!</v>
      </c>
      <c r="AD100" s="234" t="str">
        <f t="shared" ca="1" si="14"/>
        <v>#REF!</v>
      </c>
      <c r="AE100" s="100" t="str">
        <f t="shared" ca="1" si="15"/>
        <v>#REF!</v>
      </c>
      <c r="AF100" s="101" t="str">
        <f t="shared" ca="1" si="16"/>
        <v>#REF!</v>
      </c>
      <c r="AG100" s="102" t="str">
        <f t="shared" ref="AG100:AH100" ca="1" si="118">AE100/V100</f>
        <v>#REF!</v>
      </c>
      <c r="AH100" s="102" t="str">
        <f t="shared" ca="1" si="118"/>
        <v>#REF!</v>
      </c>
    </row>
    <row r="101" spans="1:34" ht="13.2">
      <c r="A101" s="251"/>
      <c r="B101" s="251"/>
      <c r="C101" s="252"/>
      <c r="D101" s="252"/>
      <c r="E101" s="114"/>
      <c r="F101" s="252"/>
      <c r="G101" s="125" t="s">
        <v>145</v>
      </c>
      <c r="I101" s="172"/>
      <c r="J101" s="82" t="str">
        <f t="shared" ca="1" si="0"/>
        <v>#REF!</v>
      </c>
      <c r="K101" s="82" t="str">
        <f t="shared" ca="1" si="1"/>
        <v>#REF!</v>
      </c>
      <c r="L101" s="82" t="str">
        <f t="shared" ca="1" si="44"/>
        <v>#REF!</v>
      </c>
      <c r="M101" s="93"/>
      <c r="N101" s="93"/>
      <c r="O101" s="95">
        <f t="shared" si="2"/>
        <v>0</v>
      </c>
      <c r="P101" s="96">
        <f t="shared" si="3"/>
        <v>0</v>
      </c>
      <c r="Q101" s="97">
        <f t="shared" si="4"/>
        <v>0</v>
      </c>
      <c r="R101" s="97" t="str">
        <f ca="1">ROUNDUP(HLOOKUP(IF(CEILING(L101,0.5)&lt;1,0.5,CEILING(L101,0.5)),'배송비 조회'!A$44:AO$56,7,0)*B$3,-2)</f>
        <v>#REF!</v>
      </c>
      <c r="S101" s="97">
        <v>0</v>
      </c>
      <c r="T101" s="97" t="str">
        <f t="shared" ca="1" si="42"/>
        <v>#REF!</v>
      </c>
      <c r="U101" s="97" t="str">
        <f t="shared" ca="1" si="29"/>
        <v>#REF!</v>
      </c>
      <c r="V101" s="97" t="str">
        <f t="shared" ca="1" si="7"/>
        <v>#REF!</v>
      </c>
      <c r="W101" s="97" t="str">
        <f t="shared" ca="1" si="8"/>
        <v>#REF!</v>
      </c>
      <c r="X101" s="121">
        <v>0</v>
      </c>
      <c r="Y101" s="121" t="str">
        <f t="shared" ca="1" si="9"/>
        <v>#REF!</v>
      </c>
      <c r="Z101" s="121" t="str">
        <f t="shared" ca="1" si="10"/>
        <v>#REF!</v>
      </c>
      <c r="AA101" s="99" t="str">
        <f t="shared" ca="1" si="11"/>
        <v>#REF!</v>
      </c>
      <c r="AB101" s="234" t="str">
        <f t="shared" ca="1" si="12"/>
        <v>#REF!</v>
      </c>
      <c r="AC101" s="257" t="str">
        <f t="shared" ca="1" si="13"/>
        <v>#REF!</v>
      </c>
      <c r="AD101" s="234" t="str">
        <f t="shared" ca="1" si="14"/>
        <v>#REF!</v>
      </c>
      <c r="AE101" s="100" t="str">
        <f t="shared" ca="1" si="15"/>
        <v>#REF!</v>
      </c>
      <c r="AF101" s="101" t="str">
        <f t="shared" ca="1" si="16"/>
        <v>#REF!</v>
      </c>
      <c r="AG101" s="102" t="str">
        <f t="shared" ref="AG101:AH101" ca="1" si="119">AE101/V101</f>
        <v>#REF!</v>
      </c>
      <c r="AH101" s="102" t="str">
        <f t="shared" ca="1" si="119"/>
        <v>#REF!</v>
      </c>
    </row>
    <row r="102" spans="1:34" ht="13.2">
      <c r="A102" s="251"/>
      <c r="B102" s="251"/>
      <c r="C102" s="252"/>
      <c r="D102" s="252"/>
      <c r="E102" s="114"/>
      <c r="F102" s="252"/>
      <c r="G102" s="125" t="s">
        <v>145</v>
      </c>
      <c r="I102" s="172"/>
      <c r="J102" s="82" t="str">
        <f t="shared" ca="1" si="0"/>
        <v>#REF!</v>
      </c>
      <c r="K102" s="82" t="str">
        <f t="shared" ca="1" si="1"/>
        <v>#REF!</v>
      </c>
      <c r="L102" s="82" t="str">
        <f t="shared" ca="1" si="44"/>
        <v>#REF!</v>
      </c>
      <c r="M102" s="93"/>
      <c r="N102" s="93"/>
      <c r="O102" s="95">
        <f t="shared" si="2"/>
        <v>0</v>
      </c>
      <c r="P102" s="96">
        <f t="shared" si="3"/>
        <v>0</v>
      </c>
      <c r="Q102" s="97">
        <f t="shared" si="4"/>
        <v>0</v>
      </c>
      <c r="R102" s="97" t="str">
        <f ca="1">ROUNDUP(HLOOKUP(IF(CEILING(L102,0.5)&lt;1,0.5,CEILING(L102,0.5)),'배송비 조회'!A$44:AO$56,7,0)*B$3,-2)</f>
        <v>#REF!</v>
      </c>
      <c r="S102" s="97">
        <v>0</v>
      </c>
      <c r="T102" s="97" t="str">
        <f t="shared" ca="1" si="42"/>
        <v>#REF!</v>
      </c>
      <c r="U102" s="97" t="str">
        <f t="shared" ca="1" si="29"/>
        <v>#REF!</v>
      </c>
      <c r="V102" s="97" t="str">
        <f t="shared" ca="1" si="7"/>
        <v>#REF!</v>
      </c>
      <c r="W102" s="97" t="str">
        <f t="shared" ca="1" si="8"/>
        <v>#REF!</v>
      </c>
      <c r="X102" s="121">
        <v>0</v>
      </c>
      <c r="Y102" s="121" t="str">
        <f t="shared" ca="1" si="9"/>
        <v>#REF!</v>
      </c>
      <c r="Z102" s="121" t="str">
        <f t="shared" ca="1" si="10"/>
        <v>#REF!</v>
      </c>
      <c r="AA102" s="99" t="str">
        <f t="shared" ca="1" si="11"/>
        <v>#REF!</v>
      </c>
      <c r="AB102" s="234" t="str">
        <f t="shared" ca="1" si="12"/>
        <v>#REF!</v>
      </c>
      <c r="AC102" s="257" t="str">
        <f t="shared" ca="1" si="13"/>
        <v>#REF!</v>
      </c>
      <c r="AD102" s="234" t="str">
        <f t="shared" ca="1" si="14"/>
        <v>#REF!</v>
      </c>
      <c r="AE102" s="100" t="str">
        <f t="shared" ca="1" si="15"/>
        <v>#REF!</v>
      </c>
      <c r="AF102" s="101" t="str">
        <f t="shared" ca="1" si="16"/>
        <v>#REF!</v>
      </c>
      <c r="AG102" s="102" t="str">
        <f t="shared" ref="AG102:AH102" ca="1" si="120">AE102/V102</f>
        <v>#REF!</v>
      </c>
      <c r="AH102" s="102" t="str">
        <f t="shared" ca="1" si="120"/>
        <v>#REF!</v>
      </c>
    </row>
    <row r="103" spans="1:34" ht="13.2">
      <c r="A103" s="251"/>
      <c r="B103" s="251"/>
      <c r="C103" s="252"/>
      <c r="D103" s="252"/>
      <c r="E103" s="114"/>
      <c r="F103" s="252"/>
      <c r="G103" s="125" t="s">
        <v>145</v>
      </c>
      <c r="I103" s="172"/>
      <c r="J103" s="82" t="str">
        <f t="shared" ca="1" si="0"/>
        <v>#REF!</v>
      </c>
      <c r="K103" s="82" t="str">
        <f t="shared" ca="1" si="1"/>
        <v>#REF!</v>
      </c>
      <c r="L103" s="82" t="str">
        <f t="shared" ca="1" si="44"/>
        <v>#REF!</v>
      </c>
      <c r="M103" s="93"/>
      <c r="N103" s="93"/>
      <c r="O103" s="95">
        <f t="shared" si="2"/>
        <v>0</v>
      </c>
      <c r="P103" s="96">
        <f t="shared" si="3"/>
        <v>0</v>
      </c>
      <c r="Q103" s="97">
        <f t="shared" si="4"/>
        <v>0</v>
      </c>
      <c r="R103" s="97" t="str">
        <f ca="1">ROUNDUP(HLOOKUP(IF(CEILING(L103,0.5)&lt;1,0.5,CEILING(L103,0.5)),'배송비 조회'!A$44:AO$56,7,0)*B$3,-2)</f>
        <v>#REF!</v>
      </c>
      <c r="S103" s="97">
        <v>0</v>
      </c>
      <c r="T103" s="97" t="str">
        <f t="shared" ca="1" si="42"/>
        <v>#REF!</v>
      </c>
      <c r="U103" s="97" t="str">
        <f t="shared" ca="1" si="29"/>
        <v>#REF!</v>
      </c>
      <c r="V103" s="97" t="str">
        <f t="shared" ca="1" si="7"/>
        <v>#REF!</v>
      </c>
      <c r="W103" s="97" t="str">
        <f t="shared" ca="1" si="8"/>
        <v>#REF!</v>
      </c>
      <c r="X103" s="121">
        <v>0</v>
      </c>
      <c r="Y103" s="121" t="str">
        <f t="shared" ca="1" si="9"/>
        <v>#REF!</v>
      </c>
      <c r="Z103" s="121" t="str">
        <f t="shared" ca="1" si="10"/>
        <v>#REF!</v>
      </c>
      <c r="AA103" s="99" t="str">
        <f t="shared" ca="1" si="11"/>
        <v>#REF!</v>
      </c>
      <c r="AB103" s="234" t="str">
        <f t="shared" ca="1" si="12"/>
        <v>#REF!</v>
      </c>
      <c r="AC103" s="257" t="str">
        <f t="shared" ca="1" si="13"/>
        <v>#REF!</v>
      </c>
      <c r="AD103" s="234" t="str">
        <f t="shared" ca="1" si="14"/>
        <v>#REF!</v>
      </c>
      <c r="AE103" s="100" t="str">
        <f t="shared" ca="1" si="15"/>
        <v>#REF!</v>
      </c>
      <c r="AF103" s="101" t="str">
        <f t="shared" ca="1" si="16"/>
        <v>#REF!</v>
      </c>
      <c r="AG103" s="102" t="str">
        <f t="shared" ref="AG103:AH103" ca="1" si="121">AE103/V103</f>
        <v>#REF!</v>
      </c>
      <c r="AH103" s="102" t="str">
        <f t="shared" ca="1" si="121"/>
        <v>#REF!</v>
      </c>
    </row>
    <row r="104" spans="1:34" ht="13.2">
      <c r="A104" s="251"/>
      <c r="B104" s="251"/>
      <c r="C104" s="252"/>
      <c r="D104" s="252"/>
      <c r="E104" s="114"/>
      <c r="F104" s="252"/>
      <c r="G104" s="125" t="s">
        <v>145</v>
      </c>
      <c r="I104" s="172"/>
      <c r="J104" s="82" t="str">
        <f t="shared" ca="1" si="0"/>
        <v>#REF!</v>
      </c>
      <c r="K104" s="82" t="str">
        <f t="shared" ca="1" si="1"/>
        <v>#REF!</v>
      </c>
      <c r="L104" s="82" t="str">
        <f t="shared" ca="1" si="44"/>
        <v>#REF!</v>
      </c>
      <c r="M104" s="93"/>
      <c r="N104" s="93"/>
      <c r="O104" s="95">
        <f t="shared" si="2"/>
        <v>0</v>
      </c>
      <c r="P104" s="96">
        <f t="shared" si="3"/>
        <v>0</v>
      </c>
      <c r="Q104" s="97">
        <f t="shared" si="4"/>
        <v>0</v>
      </c>
      <c r="R104" s="97" t="str">
        <f ca="1">ROUNDUP(HLOOKUP(IF(CEILING(L104,0.5)&lt;1,0.5,CEILING(L104,0.5)),'배송비 조회'!A$44:AO$56,7,0)*B$3,-2)</f>
        <v>#REF!</v>
      </c>
      <c r="S104" s="97">
        <v>0</v>
      </c>
      <c r="T104" s="97" t="str">
        <f t="shared" ca="1" si="42"/>
        <v>#REF!</v>
      </c>
      <c r="U104" s="97" t="str">
        <f t="shared" ca="1" si="29"/>
        <v>#REF!</v>
      </c>
      <c r="V104" s="97" t="str">
        <f t="shared" ca="1" si="7"/>
        <v>#REF!</v>
      </c>
      <c r="W104" s="97" t="str">
        <f t="shared" ca="1" si="8"/>
        <v>#REF!</v>
      </c>
      <c r="X104" s="121">
        <v>0</v>
      </c>
      <c r="Y104" s="121" t="str">
        <f t="shared" ca="1" si="9"/>
        <v>#REF!</v>
      </c>
      <c r="Z104" s="121" t="str">
        <f t="shared" ca="1" si="10"/>
        <v>#REF!</v>
      </c>
      <c r="AA104" s="99" t="str">
        <f t="shared" ca="1" si="11"/>
        <v>#REF!</v>
      </c>
      <c r="AB104" s="234" t="str">
        <f t="shared" ca="1" si="12"/>
        <v>#REF!</v>
      </c>
      <c r="AC104" s="257" t="str">
        <f t="shared" ca="1" si="13"/>
        <v>#REF!</v>
      </c>
      <c r="AD104" s="234" t="str">
        <f t="shared" ca="1" si="14"/>
        <v>#REF!</v>
      </c>
      <c r="AE104" s="100" t="str">
        <f t="shared" ca="1" si="15"/>
        <v>#REF!</v>
      </c>
      <c r="AF104" s="101" t="str">
        <f t="shared" ca="1" si="16"/>
        <v>#REF!</v>
      </c>
      <c r="AG104" s="102" t="str">
        <f t="shared" ref="AG104:AH104" ca="1" si="122">AE104/V104</f>
        <v>#REF!</v>
      </c>
      <c r="AH104" s="102" t="str">
        <f t="shared" ca="1" si="122"/>
        <v>#REF!</v>
      </c>
    </row>
    <row r="105" spans="1:34" ht="13.2">
      <c r="A105" s="251"/>
      <c r="B105" s="251"/>
      <c r="C105" s="252"/>
      <c r="D105" s="252"/>
      <c r="E105" s="114"/>
      <c r="F105" s="252"/>
      <c r="G105" s="125" t="s">
        <v>145</v>
      </c>
      <c r="I105" s="172"/>
      <c r="J105" s="82" t="str">
        <f t="shared" ca="1" si="0"/>
        <v>#REF!</v>
      </c>
      <c r="K105" s="82" t="str">
        <f t="shared" ca="1" si="1"/>
        <v>#REF!</v>
      </c>
      <c r="L105" s="82" t="str">
        <f t="shared" ca="1" si="44"/>
        <v>#REF!</v>
      </c>
      <c r="M105" s="93"/>
      <c r="N105" s="93"/>
      <c r="O105" s="95">
        <f t="shared" si="2"/>
        <v>0</v>
      </c>
      <c r="P105" s="96">
        <f t="shared" si="3"/>
        <v>0</v>
      </c>
      <c r="Q105" s="97">
        <f t="shared" si="4"/>
        <v>0</v>
      </c>
      <c r="R105" s="97" t="str">
        <f ca="1">ROUNDUP(HLOOKUP(IF(CEILING(L105,0.5)&lt;1,0.5,CEILING(L105,0.5)),'배송비 조회'!A$44:AO$56,7,0)*B$3,-2)</f>
        <v>#REF!</v>
      </c>
      <c r="S105" s="97">
        <v>0</v>
      </c>
      <c r="T105" s="97" t="str">
        <f t="shared" ca="1" si="42"/>
        <v>#REF!</v>
      </c>
      <c r="U105" s="97" t="str">
        <f t="shared" ca="1" si="29"/>
        <v>#REF!</v>
      </c>
      <c r="V105" s="97" t="str">
        <f t="shared" ca="1" si="7"/>
        <v>#REF!</v>
      </c>
      <c r="W105" s="97" t="str">
        <f t="shared" ca="1" si="8"/>
        <v>#REF!</v>
      </c>
      <c r="X105" s="121">
        <v>0</v>
      </c>
      <c r="Y105" s="121" t="str">
        <f t="shared" ca="1" si="9"/>
        <v>#REF!</v>
      </c>
      <c r="Z105" s="121" t="str">
        <f t="shared" ca="1" si="10"/>
        <v>#REF!</v>
      </c>
      <c r="AA105" s="99" t="str">
        <f t="shared" ca="1" si="11"/>
        <v>#REF!</v>
      </c>
      <c r="AB105" s="234" t="str">
        <f t="shared" ca="1" si="12"/>
        <v>#REF!</v>
      </c>
      <c r="AC105" s="257" t="str">
        <f t="shared" ca="1" si="13"/>
        <v>#REF!</v>
      </c>
      <c r="AD105" s="234" t="str">
        <f t="shared" ca="1" si="14"/>
        <v>#REF!</v>
      </c>
      <c r="AE105" s="100" t="str">
        <f t="shared" ca="1" si="15"/>
        <v>#REF!</v>
      </c>
      <c r="AF105" s="101" t="str">
        <f t="shared" ca="1" si="16"/>
        <v>#REF!</v>
      </c>
      <c r="AG105" s="102" t="str">
        <f t="shared" ref="AG105:AH105" ca="1" si="123">AE105/V105</f>
        <v>#REF!</v>
      </c>
      <c r="AH105" s="102" t="str">
        <f t="shared" ca="1" si="123"/>
        <v>#REF!</v>
      </c>
    </row>
    <row r="106" spans="1:34" ht="13.2">
      <c r="A106" s="251"/>
      <c r="B106" s="251"/>
      <c r="C106" s="252"/>
      <c r="D106" s="252"/>
      <c r="E106" s="114"/>
      <c r="F106" s="252"/>
      <c r="G106" s="125" t="s">
        <v>145</v>
      </c>
      <c r="I106" s="172"/>
      <c r="J106" s="82" t="str">
        <f t="shared" ca="1" si="0"/>
        <v>#REF!</v>
      </c>
      <c r="K106" s="82" t="str">
        <f t="shared" ca="1" si="1"/>
        <v>#REF!</v>
      </c>
      <c r="L106" s="82" t="str">
        <f t="shared" ca="1" si="44"/>
        <v>#REF!</v>
      </c>
      <c r="M106" s="93"/>
      <c r="N106" s="93"/>
      <c r="O106" s="95">
        <f t="shared" si="2"/>
        <v>0</v>
      </c>
      <c r="P106" s="96">
        <f t="shared" si="3"/>
        <v>0</v>
      </c>
      <c r="Q106" s="97">
        <f t="shared" si="4"/>
        <v>0</v>
      </c>
      <c r="R106" s="97" t="str">
        <f ca="1">ROUNDUP(HLOOKUP(IF(CEILING(L106,0.5)&lt;1,0.5,CEILING(L106,0.5)),'배송비 조회'!A$44:AO$56,7,0)*B$3,-2)</f>
        <v>#REF!</v>
      </c>
      <c r="S106" s="97">
        <v>0</v>
      </c>
      <c r="T106" s="97" t="str">
        <f t="shared" ca="1" si="42"/>
        <v>#REF!</v>
      </c>
      <c r="U106" s="97" t="str">
        <f t="shared" ca="1" si="29"/>
        <v>#REF!</v>
      </c>
      <c r="V106" s="97" t="str">
        <f t="shared" ca="1" si="7"/>
        <v>#REF!</v>
      </c>
      <c r="W106" s="97" t="str">
        <f t="shared" ca="1" si="8"/>
        <v>#REF!</v>
      </c>
      <c r="X106" s="121">
        <v>0</v>
      </c>
      <c r="Y106" s="121" t="str">
        <f t="shared" ca="1" si="9"/>
        <v>#REF!</v>
      </c>
      <c r="Z106" s="121" t="str">
        <f t="shared" ca="1" si="10"/>
        <v>#REF!</v>
      </c>
      <c r="AA106" s="99" t="str">
        <f t="shared" ca="1" si="11"/>
        <v>#REF!</v>
      </c>
      <c r="AB106" s="234" t="str">
        <f t="shared" ca="1" si="12"/>
        <v>#REF!</v>
      </c>
      <c r="AC106" s="257" t="str">
        <f t="shared" ca="1" si="13"/>
        <v>#REF!</v>
      </c>
      <c r="AD106" s="234" t="str">
        <f t="shared" ca="1" si="14"/>
        <v>#REF!</v>
      </c>
      <c r="AE106" s="100" t="str">
        <f t="shared" ca="1" si="15"/>
        <v>#REF!</v>
      </c>
      <c r="AF106" s="101" t="str">
        <f t="shared" ca="1" si="16"/>
        <v>#REF!</v>
      </c>
      <c r="AG106" s="102" t="str">
        <f t="shared" ref="AG106:AH106" ca="1" si="124">AE106/V106</f>
        <v>#REF!</v>
      </c>
      <c r="AH106" s="102" t="str">
        <f t="shared" ca="1" si="124"/>
        <v>#REF!</v>
      </c>
    </row>
    <row r="107" spans="1:34" ht="13.2">
      <c r="A107" s="251"/>
      <c r="B107" s="251"/>
      <c r="C107" s="252"/>
      <c r="D107" s="252"/>
      <c r="E107" s="114"/>
      <c r="F107" s="252"/>
      <c r="G107" s="125" t="s">
        <v>145</v>
      </c>
      <c r="I107" s="172"/>
      <c r="J107" s="82" t="str">
        <f t="shared" ca="1" si="0"/>
        <v>#REF!</v>
      </c>
      <c r="K107" s="82" t="str">
        <f t="shared" ca="1" si="1"/>
        <v>#REF!</v>
      </c>
      <c r="L107" s="82" t="str">
        <f t="shared" ca="1" si="44"/>
        <v>#REF!</v>
      </c>
      <c r="M107" s="93"/>
      <c r="N107" s="93"/>
      <c r="O107" s="95">
        <f t="shared" si="2"/>
        <v>0</v>
      </c>
      <c r="P107" s="96">
        <f t="shared" si="3"/>
        <v>0</v>
      </c>
      <c r="Q107" s="97">
        <f t="shared" si="4"/>
        <v>0</v>
      </c>
      <c r="R107" s="97" t="str">
        <f ca="1">ROUNDUP(HLOOKUP(IF(CEILING(L107,0.5)&lt;1,0.5,CEILING(L107,0.5)),'배송비 조회'!A$44:AO$56,7,0)*B$3,-2)</f>
        <v>#REF!</v>
      </c>
      <c r="S107" s="97">
        <v>0</v>
      </c>
      <c r="T107" s="97" t="str">
        <f t="shared" ca="1" si="42"/>
        <v>#REF!</v>
      </c>
      <c r="U107" s="97" t="str">
        <f t="shared" ca="1" si="29"/>
        <v>#REF!</v>
      </c>
      <c r="V107" s="97" t="str">
        <f t="shared" ca="1" si="7"/>
        <v>#REF!</v>
      </c>
      <c r="W107" s="97" t="str">
        <f t="shared" ca="1" si="8"/>
        <v>#REF!</v>
      </c>
      <c r="X107" s="121">
        <v>0</v>
      </c>
      <c r="Y107" s="121" t="str">
        <f t="shared" ca="1" si="9"/>
        <v>#REF!</v>
      </c>
      <c r="Z107" s="121" t="str">
        <f t="shared" ca="1" si="10"/>
        <v>#REF!</v>
      </c>
      <c r="AA107" s="99" t="str">
        <f t="shared" ca="1" si="11"/>
        <v>#REF!</v>
      </c>
      <c r="AB107" s="234" t="str">
        <f t="shared" ca="1" si="12"/>
        <v>#REF!</v>
      </c>
      <c r="AC107" s="257" t="str">
        <f t="shared" ca="1" si="13"/>
        <v>#REF!</v>
      </c>
      <c r="AD107" s="234" t="str">
        <f t="shared" ca="1" si="14"/>
        <v>#REF!</v>
      </c>
      <c r="AE107" s="100" t="str">
        <f t="shared" ca="1" si="15"/>
        <v>#REF!</v>
      </c>
      <c r="AF107" s="101" t="str">
        <f t="shared" ca="1" si="16"/>
        <v>#REF!</v>
      </c>
      <c r="AG107" s="102" t="str">
        <f t="shared" ref="AG107:AH107" ca="1" si="125">AE107/V107</f>
        <v>#REF!</v>
      </c>
      <c r="AH107" s="102" t="str">
        <f t="shared" ca="1" si="125"/>
        <v>#REF!</v>
      </c>
    </row>
    <row r="108" spans="1:34" ht="13.2">
      <c r="A108" s="251"/>
      <c r="B108" s="251"/>
      <c r="C108" s="252"/>
      <c r="D108" s="252"/>
      <c r="E108" s="114"/>
      <c r="F108" s="252"/>
      <c r="G108" s="125" t="s">
        <v>145</v>
      </c>
      <c r="I108" s="172"/>
      <c r="J108" s="82" t="str">
        <f t="shared" ca="1" si="0"/>
        <v>#REF!</v>
      </c>
      <c r="K108" s="82" t="str">
        <f t="shared" ca="1" si="1"/>
        <v>#REF!</v>
      </c>
      <c r="L108" s="82" t="str">
        <f t="shared" ca="1" si="44"/>
        <v>#REF!</v>
      </c>
      <c r="M108" s="93"/>
      <c r="N108" s="93"/>
      <c r="O108" s="95">
        <f t="shared" si="2"/>
        <v>0</v>
      </c>
      <c r="P108" s="96">
        <f t="shared" si="3"/>
        <v>0</v>
      </c>
      <c r="Q108" s="97">
        <f t="shared" si="4"/>
        <v>0</v>
      </c>
      <c r="R108" s="97" t="str">
        <f ca="1">ROUNDUP(HLOOKUP(IF(CEILING(L108,0.5)&lt;1,0.5,CEILING(L108,0.5)),'배송비 조회'!A$44:AO$56,7,0)*B$3,-2)</f>
        <v>#REF!</v>
      </c>
      <c r="S108" s="97">
        <v>0</v>
      </c>
      <c r="T108" s="97" t="str">
        <f t="shared" ca="1" si="42"/>
        <v>#REF!</v>
      </c>
      <c r="U108" s="97" t="str">
        <f t="shared" ca="1" si="29"/>
        <v>#REF!</v>
      </c>
      <c r="V108" s="97" t="str">
        <f t="shared" ca="1" si="7"/>
        <v>#REF!</v>
      </c>
      <c r="W108" s="97" t="str">
        <f t="shared" ca="1" si="8"/>
        <v>#REF!</v>
      </c>
      <c r="X108" s="121">
        <v>0</v>
      </c>
      <c r="Y108" s="121" t="str">
        <f t="shared" ca="1" si="9"/>
        <v>#REF!</v>
      </c>
      <c r="Z108" s="121" t="str">
        <f t="shared" ca="1" si="10"/>
        <v>#REF!</v>
      </c>
      <c r="AA108" s="99" t="str">
        <f t="shared" ca="1" si="11"/>
        <v>#REF!</v>
      </c>
      <c r="AB108" s="234" t="str">
        <f t="shared" ca="1" si="12"/>
        <v>#REF!</v>
      </c>
      <c r="AC108" s="257" t="str">
        <f t="shared" ca="1" si="13"/>
        <v>#REF!</v>
      </c>
      <c r="AD108" s="234" t="str">
        <f t="shared" ca="1" si="14"/>
        <v>#REF!</v>
      </c>
      <c r="AE108" s="100" t="str">
        <f t="shared" ca="1" si="15"/>
        <v>#REF!</v>
      </c>
      <c r="AF108" s="101" t="str">
        <f t="shared" ca="1" si="16"/>
        <v>#REF!</v>
      </c>
      <c r="AG108" s="102" t="str">
        <f t="shared" ref="AG108:AH108" ca="1" si="126">AE108/V108</f>
        <v>#REF!</v>
      </c>
      <c r="AH108" s="102" t="str">
        <f t="shared" ca="1" si="126"/>
        <v>#REF!</v>
      </c>
    </row>
    <row r="109" spans="1:34" ht="13.2">
      <c r="A109" s="251"/>
      <c r="B109" s="251"/>
      <c r="C109" s="252"/>
      <c r="D109" s="252"/>
      <c r="E109" s="114"/>
      <c r="F109" s="252"/>
      <c r="G109" s="125" t="s">
        <v>145</v>
      </c>
      <c r="I109" s="172"/>
      <c r="J109" s="82" t="str">
        <f t="shared" ca="1" si="0"/>
        <v>#REF!</v>
      </c>
      <c r="K109" s="82" t="str">
        <f t="shared" ca="1" si="1"/>
        <v>#REF!</v>
      </c>
      <c r="L109" s="82" t="str">
        <f t="shared" ca="1" si="44"/>
        <v>#REF!</v>
      </c>
      <c r="M109" s="93"/>
      <c r="N109" s="93"/>
      <c r="O109" s="95">
        <f t="shared" si="2"/>
        <v>0</v>
      </c>
      <c r="P109" s="96">
        <f t="shared" si="3"/>
        <v>0</v>
      </c>
      <c r="Q109" s="97">
        <f t="shared" si="4"/>
        <v>0</v>
      </c>
      <c r="R109" s="97" t="str">
        <f ca="1">ROUNDUP(HLOOKUP(IF(CEILING(L109,0.5)&lt;1,0.5,CEILING(L109,0.5)),'배송비 조회'!A$44:AO$56,7,0)*B$3,-2)</f>
        <v>#REF!</v>
      </c>
      <c r="S109" s="97">
        <v>0</v>
      </c>
      <c r="T109" s="97" t="str">
        <f t="shared" ca="1" si="42"/>
        <v>#REF!</v>
      </c>
      <c r="U109" s="97" t="str">
        <f t="shared" ca="1" si="29"/>
        <v>#REF!</v>
      </c>
      <c r="V109" s="97" t="str">
        <f t="shared" ca="1" si="7"/>
        <v>#REF!</v>
      </c>
      <c r="W109" s="97" t="str">
        <f t="shared" ca="1" si="8"/>
        <v>#REF!</v>
      </c>
      <c r="X109" s="121">
        <v>0</v>
      </c>
      <c r="Y109" s="121" t="str">
        <f t="shared" ca="1" si="9"/>
        <v>#REF!</v>
      </c>
      <c r="Z109" s="121" t="str">
        <f t="shared" ca="1" si="10"/>
        <v>#REF!</v>
      </c>
      <c r="AA109" s="99" t="str">
        <f t="shared" ca="1" si="11"/>
        <v>#REF!</v>
      </c>
      <c r="AB109" s="234" t="str">
        <f t="shared" ca="1" si="12"/>
        <v>#REF!</v>
      </c>
      <c r="AC109" s="257" t="str">
        <f t="shared" ca="1" si="13"/>
        <v>#REF!</v>
      </c>
      <c r="AD109" s="234" t="str">
        <f t="shared" ca="1" si="14"/>
        <v>#REF!</v>
      </c>
      <c r="AE109" s="100" t="str">
        <f t="shared" ca="1" si="15"/>
        <v>#REF!</v>
      </c>
      <c r="AF109" s="101" t="str">
        <f t="shared" ca="1" si="16"/>
        <v>#REF!</v>
      </c>
      <c r="AG109" s="102" t="str">
        <f t="shared" ref="AG109:AH109" ca="1" si="127">AE109/V109</f>
        <v>#REF!</v>
      </c>
      <c r="AH109" s="102" t="str">
        <f t="shared" ca="1" si="127"/>
        <v>#REF!</v>
      </c>
    </row>
    <row r="110" spans="1:34" ht="13.2">
      <c r="A110" s="251"/>
      <c r="B110" s="251"/>
      <c r="C110" s="252"/>
      <c r="D110" s="252"/>
      <c r="E110" s="114"/>
      <c r="F110" s="252"/>
      <c r="G110" s="125" t="s">
        <v>145</v>
      </c>
      <c r="I110" s="172"/>
      <c r="J110" s="82" t="str">
        <f t="shared" ca="1" si="0"/>
        <v>#REF!</v>
      </c>
      <c r="K110" s="82" t="str">
        <f t="shared" ca="1" si="1"/>
        <v>#REF!</v>
      </c>
      <c r="L110" s="82" t="str">
        <f t="shared" ca="1" si="44"/>
        <v>#REF!</v>
      </c>
      <c r="M110" s="93"/>
      <c r="N110" s="93"/>
      <c r="O110" s="95">
        <f t="shared" si="2"/>
        <v>0</v>
      </c>
      <c r="P110" s="96">
        <f t="shared" si="3"/>
        <v>0</v>
      </c>
      <c r="Q110" s="97">
        <f t="shared" si="4"/>
        <v>0</v>
      </c>
      <c r="R110" s="97" t="str">
        <f ca="1">ROUNDUP(HLOOKUP(IF(CEILING(L110,0.5)&lt;1,0.5,CEILING(L110,0.5)),'배송비 조회'!A$44:AO$56,7,0)*B$3,-2)</f>
        <v>#REF!</v>
      </c>
      <c r="S110" s="97">
        <v>0</v>
      </c>
      <c r="T110" s="97" t="str">
        <f t="shared" ca="1" si="42"/>
        <v>#REF!</v>
      </c>
      <c r="U110" s="97" t="str">
        <f t="shared" ca="1" si="29"/>
        <v>#REF!</v>
      </c>
      <c r="V110" s="97" t="str">
        <f t="shared" ca="1" si="7"/>
        <v>#REF!</v>
      </c>
      <c r="W110" s="97" t="str">
        <f t="shared" ca="1" si="8"/>
        <v>#REF!</v>
      </c>
      <c r="X110" s="121">
        <v>0</v>
      </c>
      <c r="Y110" s="121" t="str">
        <f t="shared" ca="1" si="9"/>
        <v>#REF!</v>
      </c>
      <c r="Z110" s="121" t="str">
        <f t="shared" ca="1" si="10"/>
        <v>#REF!</v>
      </c>
      <c r="AA110" s="99" t="str">
        <f t="shared" ca="1" si="11"/>
        <v>#REF!</v>
      </c>
      <c r="AB110" s="234" t="str">
        <f t="shared" ca="1" si="12"/>
        <v>#REF!</v>
      </c>
      <c r="AC110" s="257" t="str">
        <f t="shared" ca="1" si="13"/>
        <v>#REF!</v>
      </c>
      <c r="AD110" s="234" t="str">
        <f t="shared" ca="1" si="14"/>
        <v>#REF!</v>
      </c>
      <c r="AE110" s="100" t="str">
        <f t="shared" ca="1" si="15"/>
        <v>#REF!</v>
      </c>
      <c r="AF110" s="101" t="str">
        <f t="shared" ca="1" si="16"/>
        <v>#REF!</v>
      </c>
      <c r="AG110" s="102" t="str">
        <f t="shared" ref="AG110:AH110" ca="1" si="128">AE110/V110</f>
        <v>#REF!</v>
      </c>
      <c r="AH110" s="102" t="str">
        <f t="shared" ca="1" si="128"/>
        <v>#REF!</v>
      </c>
    </row>
    <row r="111" spans="1:34" ht="13.2">
      <c r="A111" s="251"/>
      <c r="B111" s="251"/>
      <c r="C111" s="252"/>
      <c r="D111" s="252"/>
      <c r="E111" s="114"/>
      <c r="F111" s="252"/>
      <c r="G111" s="125" t="s">
        <v>145</v>
      </c>
      <c r="I111" s="172"/>
      <c r="J111" s="82" t="str">
        <f t="shared" ca="1" si="0"/>
        <v>#REF!</v>
      </c>
      <c r="K111" s="82" t="str">
        <f t="shared" ca="1" si="1"/>
        <v>#REF!</v>
      </c>
      <c r="L111" s="82" t="str">
        <f t="shared" ca="1" si="44"/>
        <v>#REF!</v>
      </c>
      <c r="M111" s="93"/>
      <c r="N111" s="93"/>
      <c r="O111" s="95">
        <f t="shared" si="2"/>
        <v>0</v>
      </c>
      <c r="P111" s="96">
        <f t="shared" si="3"/>
        <v>0</v>
      </c>
      <c r="Q111" s="97">
        <f t="shared" si="4"/>
        <v>0</v>
      </c>
      <c r="R111" s="97" t="str">
        <f ca="1">ROUNDUP(HLOOKUP(IF(CEILING(L111,0.5)&lt;1,0.5,CEILING(L111,0.5)),'배송비 조회'!A$44:AO$56,7,0)*B$3,-2)</f>
        <v>#REF!</v>
      </c>
      <c r="S111" s="97">
        <v>0</v>
      </c>
      <c r="T111" s="97" t="str">
        <f t="shared" ca="1" si="42"/>
        <v>#REF!</v>
      </c>
      <c r="U111" s="97" t="str">
        <f t="shared" ca="1" si="29"/>
        <v>#REF!</v>
      </c>
      <c r="V111" s="97" t="str">
        <f t="shared" ca="1" si="7"/>
        <v>#REF!</v>
      </c>
      <c r="W111" s="97" t="str">
        <f t="shared" ca="1" si="8"/>
        <v>#REF!</v>
      </c>
      <c r="X111" s="121">
        <v>0</v>
      </c>
      <c r="Y111" s="121" t="str">
        <f t="shared" ca="1" si="9"/>
        <v>#REF!</v>
      </c>
      <c r="Z111" s="121" t="str">
        <f t="shared" ca="1" si="10"/>
        <v>#REF!</v>
      </c>
      <c r="AA111" s="99" t="str">
        <f t="shared" ca="1" si="11"/>
        <v>#REF!</v>
      </c>
      <c r="AB111" s="234" t="str">
        <f t="shared" ca="1" si="12"/>
        <v>#REF!</v>
      </c>
      <c r="AC111" s="257" t="str">
        <f t="shared" ca="1" si="13"/>
        <v>#REF!</v>
      </c>
      <c r="AD111" s="234" t="str">
        <f t="shared" ca="1" si="14"/>
        <v>#REF!</v>
      </c>
      <c r="AE111" s="100" t="str">
        <f t="shared" ca="1" si="15"/>
        <v>#REF!</v>
      </c>
      <c r="AF111" s="101" t="str">
        <f t="shared" ca="1" si="16"/>
        <v>#REF!</v>
      </c>
      <c r="AG111" s="102" t="str">
        <f t="shared" ref="AG111:AH111" ca="1" si="129">AE111/V111</f>
        <v>#REF!</v>
      </c>
      <c r="AH111" s="102" t="str">
        <f t="shared" ca="1" si="129"/>
        <v>#REF!</v>
      </c>
    </row>
    <row r="112" spans="1:34" ht="13.2">
      <c r="A112" s="251"/>
      <c r="B112" s="251"/>
      <c r="C112" s="252"/>
      <c r="D112" s="252"/>
      <c r="E112" s="114"/>
      <c r="F112" s="252"/>
      <c r="G112" s="125" t="s">
        <v>145</v>
      </c>
      <c r="I112" s="172"/>
      <c r="J112" s="82" t="str">
        <f t="shared" ca="1" si="0"/>
        <v>#REF!</v>
      </c>
      <c r="K112" s="82" t="str">
        <f t="shared" ca="1" si="1"/>
        <v>#REF!</v>
      </c>
      <c r="L112" s="82" t="str">
        <f t="shared" ca="1" si="44"/>
        <v>#REF!</v>
      </c>
      <c r="M112" s="93"/>
      <c r="N112" s="93"/>
      <c r="O112" s="95">
        <f t="shared" si="2"/>
        <v>0</v>
      </c>
      <c r="P112" s="96">
        <f t="shared" si="3"/>
        <v>0</v>
      </c>
      <c r="Q112" s="97">
        <f t="shared" si="4"/>
        <v>0</v>
      </c>
      <c r="R112" s="97" t="str">
        <f ca="1">ROUNDUP(HLOOKUP(IF(CEILING(L112,0.5)&lt;1,0.5,CEILING(L112,0.5)),'배송비 조회'!A$44:AO$56,7,0)*B$3,-2)</f>
        <v>#REF!</v>
      </c>
      <c r="S112" s="97">
        <v>0</v>
      </c>
      <c r="T112" s="97" t="str">
        <f t="shared" ca="1" si="42"/>
        <v>#REF!</v>
      </c>
      <c r="U112" s="97" t="str">
        <f t="shared" ca="1" si="29"/>
        <v>#REF!</v>
      </c>
      <c r="V112" s="97" t="str">
        <f t="shared" ca="1" si="7"/>
        <v>#REF!</v>
      </c>
      <c r="W112" s="97" t="str">
        <f t="shared" ca="1" si="8"/>
        <v>#REF!</v>
      </c>
      <c r="X112" s="121">
        <v>0</v>
      </c>
      <c r="Y112" s="121" t="str">
        <f t="shared" ca="1" si="9"/>
        <v>#REF!</v>
      </c>
      <c r="Z112" s="121" t="str">
        <f t="shared" ca="1" si="10"/>
        <v>#REF!</v>
      </c>
      <c r="AA112" s="99" t="str">
        <f t="shared" ca="1" si="11"/>
        <v>#REF!</v>
      </c>
      <c r="AB112" s="234" t="str">
        <f t="shared" ca="1" si="12"/>
        <v>#REF!</v>
      </c>
      <c r="AC112" s="257" t="str">
        <f t="shared" ca="1" si="13"/>
        <v>#REF!</v>
      </c>
      <c r="AD112" s="234" t="str">
        <f t="shared" ca="1" si="14"/>
        <v>#REF!</v>
      </c>
      <c r="AE112" s="100" t="str">
        <f t="shared" ca="1" si="15"/>
        <v>#REF!</v>
      </c>
      <c r="AF112" s="101" t="str">
        <f t="shared" ca="1" si="16"/>
        <v>#REF!</v>
      </c>
      <c r="AG112" s="102" t="str">
        <f t="shared" ref="AG112:AH112" ca="1" si="130">AE112/V112</f>
        <v>#REF!</v>
      </c>
      <c r="AH112" s="102" t="str">
        <f t="shared" ca="1" si="130"/>
        <v>#REF!</v>
      </c>
    </row>
    <row r="113" spans="1:34" ht="13.2">
      <c r="A113" s="251"/>
      <c r="B113" s="251"/>
      <c r="C113" s="252"/>
      <c r="D113" s="252"/>
      <c r="E113" s="114"/>
      <c r="F113" s="252"/>
      <c r="G113" s="125" t="s">
        <v>145</v>
      </c>
      <c r="I113" s="172"/>
      <c r="J113" s="82" t="str">
        <f t="shared" ca="1" si="0"/>
        <v>#REF!</v>
      </c>
      <c r="K113" s="82" t="str">
        <f t="shared" ca="1" si="1"/>
        <v>#REF!</v>
      </c>
      <c r="L113" s="82" t="str">
        <f t="shared" ca="1" si="44"/>
        <v>#REF!</v>
      </c>
      <c r="M113" s="93"/>
      <c r="N113" s="93"/>
      <c r="O113" s="95">
        <f t="shared" si="2"/>
        <v>0</v>
      </c>
      <c r="P113" s="96">
        <f t="shared" si="3"/>
        <v>0</v>
      </c>
      <c r="Q113" s="97">
        <f t="shared" si="4"/>
        <v>0</v>
      </c>
      <c r="R113" s="97" t="str">
        <f ca="1">ROUNDUP(HLOOKUP(IF(CEILING(L113,0.5)&lt;1,0.5,CEILING(L113,0.5)),'배송비 조회'!A$44:AO$56,7,0)*B$3,-2)</f>
        <v>#REF!</v>
      </c>
      <c r="S113" s="97">
        <v>0</v>
      </c>
      <c r="T113" s="97" t="str">
        <f t="shared" ca="1" si="42"/>
        <v>#REF!</v>
      </c>
      <c r="U113" s="97" t="str">
        <f t="shared" ca="1" si="29"/>
        <v>#REF!</v>
      </c>
      <c r="V113" s="97" t="str">
        <f t="shared" ca="1" si="7"/>
        <v>#REF!</v>
      </c>
      <c r="W113" s="97" t="str">
        <f t="shared" ca="1" si="8"/>
        <v>#REF!</v>
      </c>
      <c r="X113" s="121">
        <v>0</v>
      </c>
      <c r="Y113" s="121" t="str">
        <f t="shared" ca="1" si="9"/>
        <v>#REF!</v>
      </c>
      <c r="Z113" s="121" t="str">
        <f t="shared" ca="1" si="10"/>
        <v>#REF!</v>
      </c>
      <c r="AA113" s="99" t="str">
        <f t="shared" ca="1" si="11"/>
        <v>#REF!</v>
      </c>
      <c r="AB113" s="234" t="str">
        <f t="shared" ca="1" si="12"/>
        <v>#REF!</v>
      </c>
      <c r="AC113" s="257" t="str">
        <f t="shared" ca="1" si="13"/>
        <v>#REF!</v>
      </c>
      <c r="AD113" s="234" t="str">
        <f t="shared" ca="1" si="14"/>
        <v>#REF!</v>
      </c>
      <c r="AE113" s="100" t="str">
        <f t="shared" ca="1" si="15"/>
        <v>#REF!</v>
      </c>
      <c r="AF113" s="101" t="str">
        <f t="shared" ca="1" si="16"/>
        <v>#REF!</v>
      </c>
      <c r="AG113" s="102" t="str">
        <f t="shared" ref="AG113:AH113" ca="1" si="131">AE113/V113</f>
        <v>#REF!</v>
      </c>
      <c r="AH113" s="102" t="str">
        <f t="shared" ca="1" si="131"/>
        <v>#REF!</v>
      </c>
    </row>
    <row r="114" spans="1:34" ht="13.2">
      <c r="A114" s="251"/>
      <c r="B114" s="251"/>
      <c r="C114" s="252"/>
      <c r="D114" s="252"/>
      <c r="E114" s="114"/>
      <c r="F114" s="252"/>
      <c r="G114" s="125" t="s">
        <v>145</v>
      </c>
      <c r="I114" s="172"/>
      <c r="J114" s="82" t="str">
        <f t="shared" ca="1" si="0"/>
        <v>#REF!</v>
      </c>
      <c r="K114" s="82" t="str">
        <f t="shared" ca="1" si="1"/>
        <v>#REF!</v>
      </c>
      <c r="L114" s="82" t="str">
        <f t="shared" ca="1" si="44"/>
        <v>#REF!</v>
      </c>
      <c r="M114" s="93"/>
      <c r="N114" s="93"/>
      <c r="O114" s="95">
        <f t="shared" si="2"/>
        <v>0</v>
      </c>
      <c r="P114" s="96">
        <f t="shared" si="3"/>
        <v>0</v>
      </c>
      <c r="Q114" s="97">
        <f t="shared" si="4"/>
        <v>0</v>
      </c>
      <c r="R114" s="97" t="str">
        <f ca="1">ROUNDUP(HLOOKUP(IF(CEILING(L114,0.5)&lt;1,0.5,CEILING(L114,0.5)),'배송비 조회'!A$44:AO$56,7,0)*B$3,-2)</f>
        <v>#REF!</v>
      </c>
      <c r="S114" s="97">
        <v>0</v>
      </c>
      <c r="T114" s="97" t="str">
        <f t="shared" ca="1" si="42"/>
        <v>#REF!</v>
      </c>
      <c r="U114" s="97" t="str">
        <f t="shared" ca="1" si="29"/>
        <v>#REF!</v>
      </c>
      <c r="V114" s="97" t="str">
        <f t="shared" ca="1" si="7"/>
        <v>#REF!</v>
      </c>
      <c r="W114" s="97" t="str">
        <f t="shared" ca="1" si="8"/>
        <v>#REF!</v>
      </c>
      <c r="X114" s="121">
        <v>0</v>
      </c>
      <c r="Y114" s="121" t="str">
        <f t="shared" ca="1" si="9"/>
        <v>#REF!</v>
      </c>
      <c r="Z114" s="121" t="str">
        <f t="shared" ca="1" si="10"/>
        <v>#REF!</v>
      </c>
      <c r="AA114" s="99" t="str">
        <f t="shared" ca="1" si="11"/>
        <v>#REF!</v>
      </c>
      <c r="AB114" s="234" t="str">
        <f t="shared" ca="1" si="12"/>
        <v>#REF!</v>
      </c>
      <c r="AC114" s="257" t="str">
        <f t="shared" ca="1" si="13"/>
        <v>#REF!</v>
      </c>
      <c r="AD114" s="234" t="str">
        <f t="shared" ca="1" si="14"/>
        <v>#REF!</v>
      </c>
      <c r="AE114" s="100" t="str">
        <f t="shared" ca="1" si="15"/>
        <v>#REF!</v>
      </c>
      <c r="AF114" s="101" t="str">
        <f t="shared" ca="1" si="16"/>
        <v>#REF!</v>
      </c>
      <c r="AG114" s="102" t="str">
        <f t="shared" ref="AG114:AH114" ca="1" si="132">AE114/V114</f>
        <v>#REF!</v>
      </c>
      <c r="AH114" s="102" t="str">
        <f t="shared" ca="1" si="132"/>
        <v>#REF!</v>
      </c>
    </row>
    <row r="115" spans="1:34" ht="13.2">
      <c r="A115" s="251"/>
      <c r="B115" s="251"/>
      <c r="C115" s="252"/>
      <c r="D115" s="252"/>
      <c r="E115" s="114"/>
      <c r="F115" s="252"/>
      <c r="G115" s="125" t="s">
        <v>145</v>
      </c>
      <c r="I115" s="172"/>
      <c r="J115" s="82" t="str">
        <f t="shared" ca="1" si="0"/>
        <v>#REF!</v>
      </c>
      <c r="K115" s="82" t="str">
        <f t="shared" ca="1" si="1"/>
        <v>#REF!</v>
      </c>
      <c r="L115" s="82" t="str">
        <f t="shared" ca="1" si="44"/>
        <v>#REF!</v>
      </c>
      <c r="M115" s="93"/>
      <c r="N115" s="93"/>
      <c r="O115" s="95">
        <f t="shared" si="2"/>
        <v>0</v>
      </c>
      <c r="P115" s="96">
        <f t="shared" si="3"/>
        <v>0</v>
      </c>
      <c r="Q115" s="97">
        <f t="shared" si="4"/>
        <v>0</v>
      </c>
      <c r="R115" s="97" t="str">
        <f ca="1">ROUNDUP(HLOOKUP(IF(CEILING(L115,0.5)&lt;1,0.5,CEILING(L115,0.5)),'배송비 조회'!A$44:AO$56,7,0)*B$3,-2)</f>
        <v>#REF!</v>
      </c>
      <c r="S115" s="97">
        <v>0</v>
      </c>
      <c r="T115" s="97" t="str">
        <f t="shared" ca="1" si="42"/>
        <v>#REF!</v>
      </c>
      <c r="U115" s="97" t="str">
        <f t="shared" ca="1" si="29"/>
        <v>#REF!</v>
      </c>
      <c r="V115" s="97" t="str">
        <f t="shared" ca="1" si="7"/>
        <v>#REF!</v>
      </c>
      <c r="W115" s="97" t="str">
        <f t="shared" ca="1" si="8"/>
        <v>#REF!</v>
      </c>
      <c r="X115" s="121">
        <v>0</v>
      </c>
      <c r="Y115" s="121" t="str">
        <f t="shared" ca="1" si="9"/>
        <v>#REF!</v>
      </c>
      <c r="Z115" s="121" t="str">
        <f t="shared" ca="1" si="10"/>
        <v>#REF!</v>
      </c>
      <c r="AA115" s="99" t="str">
        <f t="shared" ca="1" si="11"/>
        <v>#REF!</v>
      </c>
      <c r="AB115" s="234" t="str">
        <f t="shared" ca="1" si="12"/>
        <v>#REF!</v>
      </c>
      <c r="AC115" s="257" t="str">
        <f t="shared" ca="1" si="13"/>
        <v>#REF!</v>
      </c>
      <c r="AD115" s="234" t="str">
        <f t="shared" ca="1" si="14"/>
        <v>#REF!</v>
      </c>
      <c r="AE115" s="100" t="str">
        <f t="shared" ca="1" si="15"/>
        <v>#REF!</v>
      </c>
      <c r="AF115" s="101" t="str">
        <f t="shared" ca="1" si="16"/>
        <v>#REF!</v>
      </c>
      <c r="AG115" s="102" t="str">
        <f t="shared" ref="AG115:AH115" ca="1" si="133">AE115/V115</f>
        <v>#REF!</v>
      </c>
      <c r="AH115" s="102" t="str">
        <f t="shared" ca="1" si="133"/>
        <v>#REF!</v>
      </c>
    </row>
    <row r="116" spans="1:34" ht="13.2">
      <c r="A116" s="251"/>
      <c r="B116" s="251"/>
      <c r="C116" s="252"/>
      <c r="D116" s="252"/>
      <c r="E116" s="114"/>
      <c r="F116" s="252"/>
      <c r="G116" s="125" t="s">
        <v>145</v>
      </c>
      <c r="I116" s="172"/>
      <c r="J116" s="82" t="str">
        <f t="shared" ca="1" si="0"/>
        <v>#REF!</v>
      </c>
      <c r="K116" s="82" t="str">
        <f t="shared" ca="1" si="1"/>
        <v>#REF!</v>
      </c>
      <c r="L116" s="82" t="str">
        <f t="shared" ca="1" si="44"/>
        <v>#REF!</v>
      </c>
      <c r="M116" s="93"/>
      <c r="N116" s="93"/>
      <c r="O116" s="95">
        <f t="shared" si="2"/>
        <v>0</v>
      </c>
      <c r="P116" s="96">
        <f t="shared" si="3"/>
        <v>0</v>
      </c>
      <c r="Q116" s="97">
        <f t="shared" si="4"/>
        <v>0</v>
      </c>
      <c r="R116" s="97" t="str">
        <f ca="1">ROUNDUP(HLOOKUP(IF(CEILING(L116,0.5)&lt;1,0.5,CEILING(L116,0.5)),'배송비 조회'!A$44:AO$56,7,0)*B$3,-2)</f>
        <v>#REF!</v>
      </c>
      <c r="S116" s="97">
        <v>0</v>
      </c>
      <c r="T116" s="97" t="str">
        <f t="shared" ca="1" si="42"/>
        <v>#REF!</v>
      </c>
      <c r="U116" s="97" t="str">
        <f t="shared" ca="1" si="29"/>
        <v>#REF!</v>
      </c>
      <c r="V116" s="97" t="str">
        <f t="shared" ca="1" si="7"/>
        <v>#REF!</v>
      </c>
      <c r="W116" s="97" t="str">
        <f t="shared" ca="1" si="8"/>
        <v>#REF!</v>
      </c>
      <c r="X116" s="121">
        <v>0</v>
      </c>
      <c r="Y116" s="121" t="str">
        <f t="shared" ca="1" si="9"/>
        <v>#REF!</v>
      </c>
      <c r="Z116" s="121" t="str">
        <f t="shared" ca="1" si="10"/>
        <v>#REF!</v>
      </c>
      <c r="AA116" s="99" t="str">
        <f t="shared" ca="1" si="11"/>
        <v>#REF!</v>
      </c>
      <c r="AB116" s="234" t="str">
        <f t="shared" ca="1" si="12"/>
        <v>#REF!</v>
      </c>
      <c r="AC116" s="257" t="str">
        <f t="shared" ca="1" si="13"/>
        <v>#REF!</v>
      </c>
      <c r="AD116" s="234" t="str">
        <f t="shared" ca="1" si="14"/>
        <v>#REF!</v>
      </c>
      <c r="AE116" s="100" t="str">
        <f t="shared" ca="1" si="15"/>
        <v>#REF!</v>
      </c>
      <c r="AF116" s="101" t="str">
        <f t="shared" ca="1" si="16"/>
        <v>#REF!</v>
      </c>
      <c r="AG116" s="102" t="str">
        <f t="shared" ref="AG116:AH116" ca="1" si="134">AE116/V116</f>
        <v>#REF!</v>
      </c>
      <c r="AH116" s="102" t="str">
        <f t="shared" ca="1" si="134"/>
        <v>#REF!</v>
      </c>
    </row>
    <row r="117" spans="1:34" ht="13.2">
      <c r="A117" s="251"/>
      <c r="B117" s="251"/>
      <c r="C117" s="252"/>
      <c r="D117" s="252"/>
      <c r="E117" s="114"/>
      <c r="F117" s="252"/>
      <c r="G117" s="125" t="s">
        <v>145</v>
      </c>
      <c r="I117" s="172"/>
      <c r="J117" s="82" t="str">
        <f t="shared" ca="1" si="0"/>
        <v>#REF!</v>
      </c>
      <c r="K117" s="82" t="str">
        <f t="shared" ca="1" si="1"/>
        <v>#REF!</v>
      </c>
      <c r="L117" s="82" t="str">
        <f t="shared" ca="1" si="44"/>
        <v>#REF!</v>
      </c>
      <c r="M117" s="93"/>
      <c r="N117" s="93"/>
      <c r="O117" s="95">
        <f t="shared" si="2"/>
        <v>0</v>
      </c>
      <c r="P117" s="96">
        <f t="shared" si="3"/>
        <v>0</v>
      </c>
      <c r="Q117" s="97">
        <f t="shared" si="4"/>
        <v>0</v>
      </c>
      <c r="R117" s="97" t="str">
        <f ca="1">ROUNDUP(HLOOKUP(IF(CEILING(L117,0.5)&lt;1,0.5,CEILING(L117,0.5)),'배송비 조회'!A$44:AO$56,7,0)*B$3,-2)</f>
        <v>#REF!</v>
      </c>
      <c r="S117" s="97">
        <v>0</v>
      </c>
      <c r="T117" s="97" t="str">
        <f t="shared" ca="1" si="42"/>
        <v>#REF!</v>
      </c>
      <c r="U117" s="97" t="str">
        <f t="shared" ca="1" si="29"/>
        <v>#REF!</v>
      </c>
      <c r="V117" s="97" t="str">
        <f t="shared" ca="1" si="7"/>
        <v>#REF!</v>
      </c>
      <c r="W117" s="97" t="str">
        <f t="shared" ca="1" si="8"/>
        <v>#REF!</v>
      </c>
      <c r="X117" s="121">
        <v>0</v>
      </c>
      <c r="Y117" s="121" t="str">
        <f t="shared" ca="1" si="9"/>
        <v>#REF!</v>
      </c>
      <c r="Z117" s="121" t="str">
        <f t="shared" ca="1" si="10"/>
        <v>#REF!</v>
      </c>
      <c r="AA117" s="99" t="str">
        <f t="shared" ca="1" si="11"/>
        <v>#REF!</v>
      </c>
      <c r="AB117" s="234" t="str">
        <f t="shared" ca="1" si="12"/>
        <v>#REF!</v>
      </c>
      <c r="AC117" s="257" t="str">
        <f t="shared" ca="1" si="13"/>
        <v>#REF!</v>
      </c>
      <c r="AD117" s="234" t="str">
        <f t="shared" ca="1" si="14"/>
        <v>#REF!</v>
      </c>
      <c r="AE117" s="100" t="str">
        <f t="shared" ca="1" si="15"/>
        <v>#REF!</v>
      </c>
      <c r="AF117" s="101" t="str">
        <f t="shared" ca="1" si="16"/>
        <v>#REF!</v>
      </c>
      <c r="AG117" s="102" t="str">
        <f t="shared" ref="AG117:AH117" ca="1" si="135">AE117/V117</f>
        <v>#REF!</v>
      </c>
      <c r="AH117" s="102" t="str">
        <f t="shared" ca="1" si="135"/>
        <v>#REF!</v>
      </c>
    </row>
    <row r="118" spans="1:34" ht="13.2">
      <c r="A118" s="251"/>
      <c r="B118" s="251"/>
      <c r="C118" s="252"/>
      <c r="D118" s="252"/>
      <c r="E118" s="114"/>
      <c r="F118" s="252"/>
      <c r="G118" s="125" t="s">
        <v>145</v>
      </c>
      <c r="I118" s="172"/>
      <c r="J118" s="82" t="str">
        <f t="shared" ca="1" si="0"/>
        <v>#REF!</v>
      </c>
      <c r="K118" s="82" t="str">
        <f t="shared" ca="1" si="1"/>
        <v>#REF!</v>
      </c>
      <c r="L118" s="82" t="str">
        <f t="shared" ca="1" si="44"/>
        <v>#REF!</v>
      </c>
      <c r="M118" s="93"/>
      <c r="N118" s="93"/>
      <c r="O118" s="95">
        <f t="shared" si="2"/>
        <v>0</v>
      </c>
      <c r="P118" s="96">
        <f t="shared" si="3"/>
        <v>0</v>
      </c>
      <c r="Q118" s="97">
        <f t="shared" si="4"/>
        <v>0</v>
      </c>
      <c r="R118" s="97" t="str">
        <f ca="1">ROUNDUP(HLOOKUP(IF(CEILING(L118,0.5)&lt;1,0.5,CEILING(L118,0.5)),'배송비 조회'!A$44:AO$56,7,0)*B$3,-2)</f>
        <v>#REF!</v>
      </c>
      <c r="S118" s="97">
        <v>0</v>
      </c>
      <c r="T118" s="97" t="str">
        <f t="shared" ca="1" si="42"/>
        <v>#REF!</v>
      </c>
      <c r="U118" s="97" t="str">
        <f t="shared" ca="1" si="29"/>
        <v>#REF!</v>
      </c>
      <c r="V118" s="97" t="str">
        <f t="shared" ca="1" si="7"/>
        <v>#REF!</v>
      </c>
      <c r="W118" s="97" t="str">
        <f t="shared" ca="1" si="8"/>
        <v>#REF!</v>
      </c>
      <c r="X118" s="121">
        <v>0</v>
      </c>
      <c r="Y118" s="121" t="str">
        <f t="shared" ca="1" si="9"/>
        <v>#REF!</v>
      </c>
      <c r="Z118" s="121" t="str">
        <f t="shared" ca="1" si="10"/>
        <v>#REF!</v>
      </c>
      <c r="AA118" s="99" t="str">
        <f t="shared" ca="1" si="11"/>
        <v>#REF!</v>
      </c>
      <c r="AB118" s="234" t="str">
        <f t="shared" ca="1" si="12"/>
        <v>#REF!</v>
      </c>
      <c r="AC118" s="257" t="str">
        <f t="shared" ca="1" si="13"/>
        <v>#REF!</v>
      </c>
      <c r="AD118" s="234" t="str">
        <f t="shared" ca="1" si="14"/>
        <v>#REF!</v>
      </c>
      <c r="AE118" s="100" t="str">
        <f t="shared" ca="1" si="15"/>
        <v>#REF!</v>
      </c>
      <c r="AF118" s="101" t="str">
        <f t="shared" ca="1" si="16"/>
        <v>#REF!</v>
      </c>
      <c r="AG118" s="102" t="str">
        <f t="shared" ref="AG118:AH118" ca="1" si="136">AE118/V118</f>
        <v>#REF!</v>
      </c>
      <c r="AH118" s="102" t="str">
        <f t="shared" ca="1" si="136"/>
        <v>#REF!</v>
      </c>
    </row>
    <row r="119" spans="1:34" ht="13.2">
      <c r="A119" s="251"/>
      <c r="B119" s="251"/>
      <c r="C119" s="252"/>
      <c r="D119" s="252"/>
      <c r="E119" s="114"/>
      <c r="F119" s="252"/>
      <c r="G119" s="125" t="s">
        <v>145</v>
      </c>
      <c r="I119" s="172"/>
      <c r="J119" s="82" t="str">
        <f t="shared" ca="1" si="0"/>
        <v>#REF!</v>
      </c>
      <c r="K119" s="82" t="str">
        <f t="shared" ca="1" si="1"/>
        <v>#REF!</v>
      </c>
      <c r="L119" s="82" t="str">
        <f t="shared" ca="1" si="44"/>
        <v>#REF!</v>
      </c>
      <c r="M119" s="93"/>
      <c r="N119" s="93"/>
      <c r="O119" s="95">
        <f t="shared" si="2"/>
        <v>0</v>
      </c>
      <c r="P119" s="96">
        <f t="shared" si="3"/>
        <v>0</v>
      </c>
      <c r="Q119" s="97">
        <f t="shared" si="4"/>
        <v>0</v>
      </c>
      <c r="R119" s="97" t="str">
        <f ca="1">ROUNDUP(HLOOKUP(IF(CEILING(L119,0.5)&lt;1,0.5,CEILING(L119,0.5)),'배송비 조회'!A$44:AO$56,7,0)*B$3,-2)</f>
        <v>#REF!</v>
      </c>
      <c r="S119" s="97">
        <v>0</v>
      </c>
      <c r="T119" s="97" t="str">
        <f t="shared" ca="1" si="42"/>
        <v>#REF!</v>
      </c>
      <c r="U119" s="97" t="str">
        <f t="shared" ca="1" si="29"/>
        <v>#REF!</v>
      </c>
      <c r="V119" s="97" t="str">
        <f t="shared" ca="1" si="7"/>
        <v>#REF!</v>
      </c>
      <c r="W119" s="97" t="str">
        <f t="shared" ca="1" si="8"/>
        <v>#REF!</v>
      </c>
      <c r="X119" s="121">
        <v>0</v>
      </c>
      <c r="Y119" s="121" t="str">
        <f t="shared" ca="1" si="9"/>
        <v>#REF!</v>
      </c>
      <c r="Z119" s="121" t="str">
        <f t="shared" ca="1" si="10"/>
        <v>#REF!</v>
      </c>
      <c r="AA119" s="99" t="str">
        <f t="shared" ca="1" si="11"/>
        <v>#REF!</v>
      </c>
      <c r="AB119" s="234" t="str">
        <f t="shared" ca="1" si="12"/>
        <v>#REF!</v>
      </c>
      <c r="AC119" s="257" t="str">
        <f t="shared" ca="1" si="13"/>
        <v>#REF!</v>
      </c>
      <c r="AD119" s="234" t="str">
        <f t="shared" ca="1" si="14"/>
        <v>#REF!</v>
      </c>
      <c r="AE119" s="100" t="str">
        <f t="shared" ca="1" si="15"/>
        <v>#REF!</v>
      </c>
      <c r="AF119" s="101" t="str">
        <f t="shared" ca="1" si="16"/>
        <v>#REF!</v>
      </c>
      <c r="AG119" s="102" t="str">
        <f t="shared" ref="AG119:AH119" ca="1" si="137">AE119/V119</f>
        <v>#REF!</v>
      </c>
      <c r="AH119" s="102" t="str">
        <f t="shared" ca="1" si="137"/>
        <v>#REF!</v>
      </c>
    </row>
    <row r="120" spans="1:34" ht="13.2">
      <c r="A120" s="251"/>
      <c r="B120" s="251"/>
      <c r="C120" s="252"/>
      <c r="D120" s="252"/>
      <c r="E120" s="114"/>
      <c r="F120" s="252"/>
      <c r="G120" s="125" t="s">
        <v>145</v>
      </c>
      <c r="I120" s="172"/>
      <c r="J120" s="82" t="str">
        <f t="shared" ca="1" si="0"/>
        <v>#REF!</v>
      </c>
      <c r="K120" s="82" t="str">
        <f t="shared" ca="1" si="1"/>
        <v>#REF!</v>
      </c>
      <c r="L120" s="82" t="str">
        <f t="shared" ca="1" si="44"/>
        <v>#REF!</v>
      </c>
      <c r="M120" s="93"/>
      <c r="N120" s="93"/>
      <c r="O120" s="95">
        <f t="shared" si="2"/>
        <v>0</v>
      </c>
      <c r="P120" s="96">
        <f t="shared" si="3"/>
        <v>0</v>
      </c>
      <c r="Q120" s="97">
        <f t="shared" si="4"/>
        <v>0</v>
      </c>
      <c r="R120" s="97" t="str">
        <f ca="1">ROUNDUP(HLOOKUP(IF(CEILING(L120,0.5)&lt;1,0.5,CEILING(L120,0.5)),'배송비 조회'!A$44:AO$56,7,0)*B$3,-2)</f>
        <v>#REF!</v>
      </c>
      <c r="S120" s="97">
        <v>0</v>
      </c>
      <c r="T120" s="97" t="str">
        <f t="shared" ca="1" si="42"/>
        <v>#REF!</v>
      </c>
      <c r="U120" s="97" t="str">
        <f t="shared" ca="1" si="29"/>
        <v>#REF!</v>
      </c>
      <c r="V120" s="97" t="str">
        <f t="shared" ca="1" si="7"/>
        <v>#REF!</v>
      </c>
      <c r="W120" s="97" t="str">
        <f t="shared" ca="1" si="8"/>
        <v>#REF!</v>
      </c>
      <c r="X120" s="121">
        <v>0</v>
      </c>
      <c r="Y120" s="121" t="str">
        <f t="shared" ca="1" si="9"/>
        <v>#REF!</v>
      </c>
      <c r="Z120" s="121" t="str">
        <f t="shared" ca="1" si="10"/>
        <v>#REF!</v>
      </c>
      <c r="AA120" s="99" t="str">
        <f t="shared" ca="1" si="11"/>
        <v>#REF!</v>
      </c>
      <c r="AB120" s="234" t="str">
        <f t="shared" ca="1" si="12"/>
        <v>#REF!</v>
      </c>
      <c r="AC120" s="257" t="str">
        <f t="shared" ca="1" si="13"/>
        <v>#REF!</v>
      </c>
      <c r="AD120" s="234" t="str">
        <f t="shared" ca="1" si="14"/>
        <v>#REF!</v>
      </c>
      <c r="AE120" s="100" t="str">
        <f t="shared" ca="1" si="15"/>
        <v>#REF!</v>
      </c>
      <c r="AF120" s="101" t="str">
        <f t="shared" ca="1" si="16"/>
        <v>#REF!</v>
      </c>
      <c r="AG120" s="102" t="str">
        <f t="shared" ref="AG120:AH120" ca="1" si="138">AE120/V120</f>
        <v>#REF!</v>
      </c>
      <c r="AH120" s="102" t="str">
        <f t="shared" ca="1" si="138"/>
        <v>#REF!</v>
      </c>
    </row>
    <row r="121" spans="1:34" ht="13.2">
      <c r="A121" s="251"/>
      <c r="B121" s="251"/>
      <c r="C121" s="252"/>
      <c r="D121" s="252"/>
      <c r="E121" s="114"/>
      <c r="F121" s="252"/>
      <c r="G121" s="125" t="s">
        <v>145</v>
      </c>
      <c r="I121" s="172"/>
      <c r="J121" s="82" t="str">
        <f t="shared" ca="1" si="0"/>
        <v>#REF!</v>
      </c>
      <c r="K121" s="82" t="str">
        <f t="shared" ca="1" si="1"/>
        <v>#REF!</v>
      </c>
      <c r="L121" s="82" t="str">
        <f t="shared" ca="1" si="44"/>
        <v>#REF!</v>
      </c>
      <c r="M121" s="93"/>
      <c r="N121" s="93"/>
      <c r="O121" s="95">
        <f t="shared" si="2"/>
        <v>0</v>
      </c>
      <c r="P121" s="96">
        <f t="shared" si="3"/>
        <v>0</v>
      </c>
      <c r="Q121" s="97">
        <f t="shared" si="4"/>
        <v>0</v>
      </c>
      <c r="R121" s="97" t="str">
        <f ca="1">ROUNDUP(HLOOKUP(IF(CEILING(L121,0.5)&lt;1,0.5,CEILING(L121,0.5)),'배송비 조회'!A$44:AO$56,7,0)*B$3,-2)</f>
        <v>#REF!</v>
      </c>
      <c r="S121" s="97">
        <v>0</v>
      </c>
      <c r="T121" s="97" t="str">
        <f t="shared" ca="1" si="42"/>
        <v>#REF!</v>
      </c>
      <c r="U121" s="97" t="str">
        <f t="shared" ca="1" si="29"/>
        <v>#REF!</v>
      </c>
      <c r="V121" s="97" t="str">
        <f t="shared" ca="1" si="7"/>
        <v>#REF!</v>
      </c>
      <c r="W121" s="97" t="str">
        <f t="shared" ca="1" si="8"/>
        <v>#REF!</v>
      </c>
      <c r="X121" s="121">
        <v>0</v>
      </c>
      <c r="Y121" s="121" t="str">
        <f t="shared" ca="1" si="9"/>
        <v>#REF!</v>
      </c>
      <c r="Z121" s="121" t="str">
        <f t="shared" ca="1" si="10"/>
        <v>#REF!</v>
      </c>
      <c r="AA121" s="99" t="str">
        <f t="shared" ca="1" si="11"/>
        <v>#REF!</v>
      </c>
      <c r="AB121" s="234" t="str">
        <f t="shared" ca="1" si="12"/>
        <v>#REF!</v>
      </c>
      <c r="AC121" s="257" t="str">
        <f t="shared" ca="1" si="13"/>
        <v>#REF!</v>
      </c>
      <c r="AD121" s="234" t="str">
        <f t="shared" ca="1" si="14"/>
        <v>#REF!</v>
      </c>
      <c r="AE121" s="100" t="str">
        <f t="shared" ca="1" si="15"/>
        <v>#REF!</v>
      </c>
      <c r="AF121" s="101" t="str">
        <f t="shared" ca="1" si="16"/>
        <v>#REF!</v>
      </c>
      <c r="AG121" s="102" t="str">
        <f t="shared" ref="AG121:AH121" ca="1" si="139">AE121/V121</f>
        <v>#REF!</v>
      </c>
      <c r="AH121" s="102" t="str">
        <f t="shared" ca="1" si="139"/>
        <v>#REF!</v>
      </c>
    </row>
    <row r="122" spans="1:34" ht="13.2">
      <c r="A122" s="251"/>
      <c r="B122" s="251"/>
      <c r="C122" s="252"/>
      <c r="D122" s="252"/>
      <c r="E122" s="114"/>
      <c r="F122" s="252"/>
      <c r="G122" s="125" t="s">
        <v>145</v>
      </c>
      <c r="I122" s="172"/>
      <c r="J122" s="82" t="str">
        <f t="shared" ca="1" si="0"/>
        <v>#REF!</v>
      </c>
      <c r="K122" s="82" t="str">
        <f t="shared" ca="1" si="1"/>
        <v>#REF!</v>
      </c>
      <c r="L122" s="82" t="str">
        <f t="shared" ca="1" si="44"/>
        <v>#REF!</v>
      </c>
      <c r="M122" s="93"/>
      <c r="N122" s="93"/>
      <c r="O122" s="95">
        <f t="shared" si="2"/>
        <v>0</v>
      </c>
      <c r="P122" s="96">
        <f t="shared" si="3"/>
        <v>0</v>
      </c>
      <c r="Q122" s="97">
        <f t="shared" si="4"/>
        <v>0</v>
      </c>
      <c r="R122" s="97" t="str">
        <f ca="1">ROUNDUP(HLOOKUP(IF(CEILING(L122,0.5)&lt;1,0.5,CEILING(L122,0.5)),'배송비 조회'!A$44:AO$56,7,0)*B$3,-2)</f>
        <v>#REF!</v>
      </c>
      <c r="S122" s="97">
        <v>0</v>
      </c>
      <c r="T122" s="97" t="str">
        <f t="shared" ca="1" si="42"/>
        <v>#REF!</v>
      </c>
      <c r="U122" s="97" t="str">
        <f t="shared" ca="1" si="29"/>
        <v>#REF!</v>
      </c>
      <c r="V122" s="97" t="str">
        <f t="shared" ca="1" si="7"/>
        <v>#REF!</v>
      </c>
      <c r="W122" s="97" t="str">
        <f t="shared" ca="1" si="8"/>
        <v>#REF!</v>
      </c>
      <c r="X122" s="121">
        <v>0</v>
      </c>
      <c r="Y122" s="121" t="str">
        <f t="shared" ca="1" si="9"/>
        <v>#REF!</v>
      </c>
      <c r="Z122" s="121" t="str">
        <f t="shared" ca="1" si="10"/>
        <v>#REF!</v>
      </c>
      <c r="AA122" s="99" t="str">
        <f t="shared" ca="1" si="11"/>
        <v>#REF!</v>
      </c>
      <c r="AB122" s="234" t="str">
        <f t="shared" ca="1" si="12"/>
        <v>#REF!</v>
      </c>
      <c r="AC122" s="257" t="str">
        <f t="shared" ca="1" si="13"/>
        <v>#REF!</v>
      </c>
      <c r="AD122" s="234" t="str">
        <f t="shared" ca="1" si="14"/>
        <v>#REF!</v>
      </c>
      <c r="AE122" s="100" t="str">
        <f t="shared" ca="1" si="15"/>
        <v>#REF!</v>
      </c>
      <c r="AF122" s="101" t="str">
        <f t="shared" ca="1" si="16"/>
        <v>#REF!</v>
      </c>
      <c r="AG122" s="102" t="str">
        <f t="shared" ref="AG122:AH122" ca="1" si="140">AE122/V122</f>
        <v>#REF!</v>
      </c>
      <c r="AH122" s="102" t="str">
        <f t="shared" ca="1" si="140"/>
        <v>#REF!</v>
      </c>
    </row>
    <row r="123" spans="1:34" ht="13.2">
      <c r="A123" s="251"/>
      <c r="B123" s="251"/>
      <c r="C123" s="252"/>
      <c r="D123" s="252"/>
      <c r="E123" s="114"/>
      <c r="F123" s="252"/>
      <c r="G123" s="125" t="s">
        <v>145</v>
      </c>
      <c r="I123" s="172"/>
      <c r="J123" s="82" t="str">
        <f t="shared" ca="1" si="0"/>
        <v>#REF!</v>
      </c>
      <c r="K123" s="82" t="str">
        <f t="shared" ca="1" si="1"/>
        <v>#REF!</v>
      </c>
      <c r="L123" s="82" t="str">
        <f t="shared" ca="1" si="44"/>
        <v>#REF!</v>
      </c>
      <c r="M123" s="93"/>
      <c r="N123" s="93"/>
      <c r="O123" s="95">
        <f t="shared" si="2"/>
        <v>0</v>
      </c>
      <c r="P123" s="96">
        <f t="shared" si="3"/>
        <v>0</v>
      </c>
      <c r="Q123" s="97">
        <f t="shared" si="4"/>
        <v>0</v>
      </c>
      <c r="R123" s="97" t="str">
        <f ca="1">ROUNDUP(HLOOKUP(IF(CEILING(L123,0.5)&lt;1,0.5,CEILING(L123,0.5)),'배송비 조회'!A$44:AO$56,7,0)*B$3,-2)</f>
        <v>#REF!</v>
      </c>
      <c r="S123" s="97">
        <v>0</v>
      </c>
      <c r="T123" s="97" t="str">
        <f t="shared" ca="1" si="42"/>
        <v>#REF!</v>
      </c>
      <c r="U123" s="97" t="str">
        <f t="shared" ca="1" si="29"/>
        <v>#REF!</v>
      </c>
      <c r="V123" s="97" t="str">
        <f t="shared" ca="1" si="7"/>
        <v>#REF!</v>
      </c>
      <c r="W123" s="97" t="str">
        <f t="shared" ca="1" si="8"/>
        <v>#REF!</v>
      </c>
      <c r="X123" s="121">
        <v>0</v>
      </c>
      <c r="Y123" s="121" t="str">
        <f t="shared" ca="1" si="9"/>
        <v>#REF!</v>
      </c>
      <c r="Z123" s="121" t="str">
        <f t="shared" ca="1" si="10"/>
        <v>#REF!</v>
      </c>
      <c r="AA123" s="99" t="str">
        <f t="shared" ca="1" si="11"/>
        <v>#REF!</v>
      </c>
      <c r="AB123" s="234" t="str">
        <f t="shared" ca="1" si="12"/>
        <v>#REF!</v>
      </c>
      <c r="AC123" s="257" t="str">
        <f t="shared" ca="1" si="13"/>
        <v>#REF!</v>
      </c>
      <c r="AD123" s="234" t="str">
        <f t="shared" ca="1" si="14"/>
        <v>#REF!</v>
      </c>
      <c r="AE123" s="100" t="str">
        <f t="shared" ca="1" si="15"/>
        <v>#REF!</v>
      </c>
      <c r="AF123" s="101" t="str">
        <f t="shared" ca="1" si="16"/>
        <v>#REF!</v>
      </c>
      <c r="AG123" s="102" t="str">
        <f t="shared" ref="AG123:AH123" ca="1" si="141">AE123/V123</f>
        <v>#REF!</v>
      </c>
      <c r="AH123" s="102" t="str">
        <f t="shared" ca="1" si="141"/>
        <v>#REF!</v>
      </c>
    </row>
    <row r="124" spans="1:34" ht="13.2">
      <c r="A124" s="251"/>
      <c r="B124" s="251"/>
      <c r="C124" s="252"/>
      <c r="D124" s="252"/>
      <c r="E124" s="114"/>
      <c r="F124" s="252"/>
      <c r="G124" s="125" t="s">
        <v>145</v>
      </c>
      <c r="I124" s="172"/>
      <c r="J124" s="82" t="str">
        <f t="shared" ca="1" si="0"/>
        <v>#REF!</v>
      </c>
      <c r="K124" s="82" t="str">
        <f t="shared" ca="1" si="1"/>
        <v>#REF!</v>
      </c>
      <c r="L124" s="82" t="str">
        <f t="shared" ca="1" si="44"/>
        <v>#REF!</v>
      </c>
      <c r="M124" s="93"/>
      <c r="N124" s="93"/>
      <c r="O124" s="95">
        <f t="shared" si="2"/>
        <v>0</v>
      </c>
      <c r="P124" s="96">
        <f t="shared" si="3"/>
        <v>0</v>
      </c>
      <c r="Q124" s="97">
        <f t="shared" si="4"/>
        <v>0</v>
      </c>
      <c r="R124" s="97" t="str">
        <f ca="1">ROUNDUP(HLOOKUP(IF(CEILING(L124,0.5)&lt;1,0.5,CEILING(L124,0.5)),'배송비 조회'!A$44:AO$56,7,0)*B$3,-2)</f>
        <v>#REF!</v>
      </c>
      <c r="S124" s="97">
        <v>0</v>
      </c>
      <c r="T124" s="97" t="str">
        <f t="shared" ca="1" si="42"/>
        <v>#REF!</v>
      </c>
      <c r="U124" s="97" t="str">
        <f t="shared" ca="1" si="29"/>
        <v>#REF!</v>
      </c>
      <c r="V124" s="97" t="str">
        <f t="shared" ca="1" si="7"/>
        <v>#REF!</v>
      </c>
      <c r="W124" s="97" t="str">
        <f t="shared" ca="1" si="8"/>
        <v>#REF!</v>
      </c>
      <c r="X124" s="121">
        <v>0</v>
      </c>
      <c r="Y124" s="121" t="str">
        <f t="shared" ca="1" si="9"/>
        <v>#REF!</v>
      </c>
      <c r="Z124" s="121" t="str">
        <f t="shared" ca="1" si="10"/>
        <v>#REF!</v>
      </c>
      <c r="AA124" s="99" t="str">
        <f t="shared" ca="1" si="11"/>
        <v>#REF!</v>
      </c>
      <c r="AB124" s="234" t="str">
        <f t="shared" ca="1" si="12"/>
        <v>#REF!</v>
      </c>
      <c r="AC124" s="257" t="str">
        <f t="shared" ca="1" si="13"/>
        <v>#REF!</v>
      </c>
      <c r="AD124" s="234" t="str">
        <f t="shared" ca="1" si="14"/>
        <v>#REF!</v>
      </c>
      <c r="AE124" s="100" t="str">
        <f t="shared" ca="1" si="15"/>
        <v>#REF!</v>
      </c>
      <c r="AF124" s="101" t="str">
        <f t="shared" ca="1" si="16"/>
        <v>#REF!</v>
      </c>
      <c r="AG124" s="102" t="str">
        <f t="shared" ref="AG124:AH124" ca="1" si="142">AE124/V124</f>
        <v>#REF!</v>
      </c>
      <c r="AH124" s="102" t="str">
        <f t="shared" ca="1" si="142"/>
        <v>#REF!</v>
      </c>
    </row>
    <row r="125" spans="1:34" ht="13.2">
      <c r="A125" s="251"/>
      <c r="B125" s="251"/>
      <c r="C125" s="252"/>
      <c r="D125" s="252"/>
      <c r="E125" s="114"/>
      <c r="F125" s="252"/>
      <c r="G125" s="125" t="s">
        <v>145</v>
      </c>
      <c r="I125" s="172"/>
      <c r="J125" s="82" t="str">
        <f t="shared" ca="1" si="0"/>
        <v>#REF!</v>
      </c>
      <c r="K125" s="82" t="str">
        <f t="shared" ca="1" si="1"/>
        <v>#REF!</v>
      </c>
      <c r="L125" s="82" t="str">
        <f t="shared" ca="1" si="44"/>
        <v>#REF!</v>
      </c>
      <c r="M125" s="93"/>
      <c r="N125" s="93"/>
      <c r="O125" s="95">
        <f t="shared" si="2"/>
        <v>0</v>
      </c>
      <c r="P125" s="96">
        <f t="shared" si="3"/>
        <v>0</v>
      </c>
      <c r="Q125" s="97">
        <f t="shared" si="4"/>
        <v>0</v>
      </c>
      <c r="R125" s="97" t="str">
        <f ca="1">ROUNDUP(HLOOKUP(IF(CEILING(L125,0.5)&lt;1,0.5,CEILING(L125,0.5)),'배송비 조회'!A$44:AO$56,7,0)*B$3,-2)</f>
        <v>#REF!</v>
      </c>
      <c r="S125" s="97">
        <v>0</v>
      </c>
      <c r="T125" s="97" t="str">
        <f t="shared" ca="1" si="42"/>
        <v>#REF!</v>
      </c>
      <c r="U125" s="97" t="str">
        <f t="shared" ca="1" si="29"/>
        <v>#REF!</v>
      </c>
      <c r="V125" s="97" t="str">
        <f t="shared" ca="1" si="7"/>
        <v>#REF!</v>
      </c>
      <c r="W125" s="97" t="str">
        <f t="shared" ca="1" si="8"/>
        <v>#REF!</v>
      </c>
      <c r="X125" s="121">
        <v>0</v>
      </c>
      <c r="Y125" s="121" t="str">
        <f t="shared" ca="1" si="9"/>
        <v>#REF!</v>
      </c>
      <c r="Z125" s="121" t="str">
        <f t="shared" ca="1" si="10"/>
        <v>#REF!</v>
      </c>
      <c r="AA125" s="99" t="str">
        <f t="shared" ca="1" si="11"/>
        <v>#REF!</v>
      </c>
      <c r="AB125" s="234" t="str">
        <f t="shared" ca="1" si="12"/>
        <v>#REF!</v>
      </c>
      <c r="AC125" s="257" t="str">
        <f t="shared" ca="1" si="13"/>
        <v>#REF!</v>
      </c>
      <c r="AD125" s="234" t="str">
        <f t="shared" ca="1" si="14"/>
        <v>#REF!</v>
      </c>
      <c r="AE125" s="100" t="str">
        <f t="shared" ca="1" si="15"/>
        <v>#REF!</v>
      </c>
      <c r="AF125" s="101" t="str">
        <f t="shared" ca="1" si="16"/>
        <v>#REF!</v>
      </c>
      <c r="AG125" s="102" t="str">
        <f t="shared" ref="AG125:AH125" ca="1" si="143">AE125/V125</f>
        <v>#REF!</v>
      </c>
      <c r="AH125" s="102" t="str">
        <f t="shared" ca="1" si="143"/>
        <v>#REF!</v>
      </c>
    </row>
    <row r="126" spans="1:34" ht="13.2">
      <c r="A126" s="251"/>
      <c r="B126" s="251"/>
      <c r="C126" s="252"/>
      <c r="D126" s="252"/>
      <c r="E126" s="114"/>
      <c r="F126" s="252"/>
      <c r="G126" s="125" t="s">
        <v>145</v>
      </c>
      <c r="I126" s="172"/>
      <c r="J126" s="82" t="str">
        <f t="shared" ca="1" si="0"/>
        <v>#REF!</v>
      </c>
      <c r="K126" s="82" t="str">
        <f t="shared" ca="1" si="1"/>
        <v>#REF!</v>
      </c>
      <c r="L126" s="82" t="str">
        <f t="shared" ca="1" si="44"/>
        <v>#REF!</v>
      </c>
      <c r="M126" s="93"/>
      <c r="N126" s="93"/>
      <c r="O126" s="95">
        <f t="shared" si="2"/>
        <v>0</v>
      </c>
      <c r="P126" s="96">
        <f t="shared" si="3"/>
        <v>0</v>
      </c>
      <c r="Q126" s="97">
        <f t="shared" si="4"/>
        <v>0</v>
      </c>
      <c r="R126" s="97" t="str">
        <f ca="1">ROUNDUP(HLOOKUP(IF(CEILING(L126,0.5)&lt;1,0.5,CEILING(L126,0.5)),'배송비 조회'!A$44:AO$56,7,0)*B$3,-2)</f>
        <v>#REF!</v>
      </c>
      <c r="S126" s="97">
        <v>0</v>
      </c>
      <c r="T126" s="97" t="str">
        <f t="shared" ca="1" si="42"/>
        <v>#REF!</v>
      </c>
      <c r="U126" s="97" t="str">
        <f t="shared" ca="1" si="29"/>
        <v>#REF!</v>
      </c>
      <c r="V126" s="97" t="str">
        <f t="shared" ca="1" si="7"/>
        <v>#REF!</v>
      </c>
      <c r="W126" s="97" t="str">
        <f t="shared" ca="1" si="8"/>
        <v>#REF!</v>
      </c>
      <c r="X126" s="121">
        <v>0</v>
      </c>
      <c r="Y126" s="121" t="str">
        <f t="shared" ca="1" si="9"/>
        <v>#REF!</v>
      </c>
      <c r="Z126" s="121" t="str">
        <f t="shared" ca="1" si="10"/>
        <v>#REF!</v>
      </c>
      <c r="AA126" s="99" t="str">
        <f t="shared" ca="1" si="11"/>
        <v>#REF!</v>
      </c>
      <c r="AB126" s="234" t="str">
        <f t="shared" ca="1" si="12"/>
        <v>#REF!</v>
      </c>
      <c r="AC126" s="257" t="str">
        <f t="shared" ca="1" si="13"/>
        <v>#REF!</v>
      </c>
      <c r="AD126" s="234" t="str">
        <f t="shared" ca="1" si="14"/>
        <v>#REF!</v>
      </c>
      <c r="AE126" s="100" t="str">
        <f t="shared" ca="1" si="15"/>
        <v>#REF!</v>
      </c>
      <c r="AF126" s="101" t="str">
        <f t="shared" ca="1" si="16"/>
        <v>#REF!</v>
      </c>
      <c r="AG126" s="102" t="str">
        <f t="shared" ref="AG126:AH126" ca="1" si="144">AE126/V126</f>
        <v>#REF!</v>
      </c>
      <c r="AH126" s="102" t="str">
        <f t="shared" ca="1" si="144"/>
        <v>#REF!</v>
      </c>
    </row>
    <row r="127" spans="1:34" ht="13.2">
      <c r="A127" s="251"/>
      <c r="B127" s="251"/>
      <c r="C127" s="252"/>
      <c r="D127" s="252"/>
      <c r="E127" s="114"/>
      <c r="F127" s="252"/>
      <c r="G127" s="125" t="s">
        <v>145</v>
      </c>
      <c r="I127" s="172"/>
      <c r="J127" s="82" t="str">
        <f t="shared" ca="1" si="0"/>
        <v>#REF!</v>
      </c>
      <c r="K127" s="82" t="str">
        <f t="shared" ca="1" si="1"/>
        <v>#REF!</v>
      </c>
      <c r="L127" s="82" t="str">
        <f t="shared" ca="1" si="44"/>
        <v>#REF!</v>
      </c>
      <c r="M127" s="93"/>
      <c r="N127" s="93"/>
      <c r="O127" s="95">
        <f t="shared" si="2"/>
        <v>0</v>
      </c>
      <c r="P127" s="96">
        <f t="shared" si="3"/>
        <v>0</v>
      </c>
      <c r="Q127" s="97">
        <f t="shared" si="4"/>
        <v>0</v>
      </c>
      <c r="R127" s="97" t="str">
        <f ca="1">ROUNDUP(HLOOKUP(IF(CEILING(L127,0.5)&lt;1,0.5,CEILING(L127,0.5)),'배송비 조회'!A$44:AO$56,7,0)*B$3,-2)</f>
        <v>#REF!</v>
      </c>
      <c r="S127" s="97">
        <v>0</v>
      </c>
      <c r="T127" s="97" t="str">
        <f t="shared" ca="1" si="42"/>
        <v>#REF!</v>
      </c>
      <c r="U127" s="97" t="str">
        <f t="shared" ca="1" si="29"/>
        <v>#REF!</v>
      </c>
      <c r="V127" s="97" t="str">
        <f t="shared" ca="1" si="7"/>
        <v>#REF!</v>
      </c>
      <c r="W127" s="97" t="str">
        <f t="shared" ca="1" si="8"/>
        <v>#REF!</v>
      </c>
      <c r="X127" s="121">
        <v>0</v>
      </c>
      <c r="Y127" s="121" t="str">
        <f t="shared" ca="1" si="9"/>
        <v>#REF!</v>
      </c>
      <c r="Z127" s="121" t="str">
        <f t="shared" ca="1" si="10"/>
        <v>#REF!</v>
      </c>
      <c r="AA127" s="99" t="str">
        <f t="shared" ca="1" si="11"/>
        <v>#REF!</v>
      </c>
      <c r="AB127" s="234" t="str">
        <f t="shared" ca="1" si="12"/>
        <v>#REF!</v>
      </c>
      <c r="AC127" s="257" t="str">
        <f t="shared" ca="1" si="13"/>
        <v>#REF!</v>
      </c>
      <c r="AD127" s="234" t="str">
        <f t="shared" ca="1" si="14"/>
        <v>#REF!</v>
      </c>
      <c r="AE127" s="100" t="str">
        <f t="shared" ca="1" si="15"/>
        <v>#REF!</v>
      </c>
      <c r="AF127" s="101" t="str">
        <f t="shared" ca="1" si="16"/>
        <v>#REF!</v>
      </c>
      <c r="AG127" s="102" t="str">
        <f t="shared" ref="AG127:AH127" ca="1" si="145">AE127/V127</f>
        <v>#REF!</v>
      </c>
      <c r="AH127" s="102" t="str">
        <f t="shared" ca="1" si="145"/>
        <v>#REF!</v>
      </c>
    </row>
    <row r="128" spans="1:34" ht="13.2">
      <c r="A128" s="251"/>
      <c r="B128" s="251"/>
      <c r="C128" s="252"/>
      <c r="D128" s="252"/>
      <c r="E128" s="114"/>
      <c r="F128" s="252"/>
      <c r="G128" s="125" t="s">
        <v>145</v>
      </c>
      <c r="I128" s="172"/>
      <c r="J128" s="82" t="str">
        <f t="shared" ca="1" si="0"/>
        <v>#REF!</v>
      </c>
      <c r="K128" s="82" t="str">
        <f t="shared" ca="1" si="1"/>
        <v>#REF!</v>
      </c>
      <c r="L128" s="82" t="str">
        <f t="shared" ca="1" si="44"/>
        <v>#REF!</v>
      </c>
      <c r="M128" s="93"/>
      <c r="N128" s="93"/>
      <c r="O128" s="95">
        <f t="shared" si="2"/>
        <v>0</v>
      </c>
      <c r="P128" s="96">
        <f t="shared" si="3"/>
        <v>0</v>
      </c>
      <c r="Q128" s="97">
        <f t="shared" si="4"/>
        <v>0</v>
      </c>
      <c r="R128" s="97" t="str">
        <f ca="1">ROUNDUP(HLOOKUP(IF(CEILING(L128,0.5)&lt;1,0.5,CEILING(L128,0.5)),'배송비 조회'!A$44:AO$56,7,0)*B$3,-2)</f>
        <v>#REF!</v>
      </c>
      <c r="S128" s="97">
        <v>0</v>
      </c>
      <c r="T128" s="97" t="str">
        <f t="shared" ca="1" si="42"/>
        <v>#REF!</v>
      </c>
      <c r="U128" s="97" t="str">
        <f t="shared" ca="1" si="29"/>
        <v>#REF!</v>
      </c>
      <c r="V128" s="97" t="str">
        <f t="shared" ca="1" si="7"/>
        <v>#REF!</v>
      </c>
      <c r="W128" s="97" t="str">
        <f t="shared" ca="1" si="8"/>
        <v>#REF!</v>
      </c>
      <c r="X128" s="121">
        <v>0</v>
      </c>
      <c r="Y128" s="121" t="str">
        <f t="shared" ca="1" si="9"/>
        <v>#REF!</v>
      </c>
      <c r="Z128" s="121" t="str">
        <f t="shared" ca="1" si="10"/>
        <v>#REF!</v>
      </c>
      <c r="AA128" s="99" t="str">
        <f t="shared" ca="1" si="11"/>
        <v>#REF!</v>
      </c>
      <c r="AB128" s="234" t="str">
        <f t="shared" ca="1" si="12"/>
        <v>#REF!</v>
      </c>
      <c r="AC128" s="257" t="str">
        <f t="shared" ca="1" si="13"/>
        <v>#REF!</v>
      </c>
      <c r="AD128" s="234" t="str">
        <f t="shared" ca="1" si="14"/>
        <v>#REF!</v>
      </c>
      <c r="AE128" s="100" t="str">
        <f t="shared" ca="1" si="15"/>
        <v>#REF!</v>
      </c>
      <c r="AF128" s="101" t="str">
        <f t="shared" ca="1" si="16"/>
        <v>#REF!</v>
      </c>
      <c r="AG128" s="102" t="str">
        <f t="shared" ref="AG128:AH128" ca="1" si="146">AE128/V128</f>
        <v>#REF!</v>
      </c>
      <c r="AH128" s="102" t="str">
        <f t="shared" ca="1" si="146"/>
        <v>#REF!</v>
      </c>
    </row>
    <row r="129" spans="1:34" ht="13.2">
      <c r="A129" s="251"/>
      <c r="B129" s="251"/>
      <c r="C129" s="252"/>
      <c r="D129" s="252"/>
      <c r="E129" s="114"/>
      <c r="F129" s="252"/>
      <c r="G129" s="125" t="s">
        <v>145</v>
      </c>
      <c r="I129" s="172"/>
      <c r="J129" s="82" t="str">
        <f t="shared" ca="1" si="0"/>
        <v>#REF!</v>
      </c>
      <c r="K129" s="82" t="str">
        <f t="shared" ca="1" si="1"/>
        <v>#REF!</v>
      </c>
      <c r="L129" s="82" t="str">
        <f t="shared" ca="1" si="44"/>
        <v>#REF!</v>
      </c>
      <c r="M129" s="93"/>
      <c r="N129" s="93"/>
      <c r="O129" s="95">
        <f t="shared" si="2"/>
        <v>0</v>
      </c>
      <c r="P129" s="96">
        <f t="shared" si="3"/>
        <v>0</v>
      </c>
      <c r="Q129" s="97">
        <f t="shared" si="4"/>
        <v>0</v>
      </c>
      <c r="R129" s="97" t="str">
        <f ca="1">ROUNDUP(HLOOKUP(IF(CEILING(L129,0.5)&lt;1,0.5,CEILING(L129,0.5)),'배송비 조회'!A$44:AO$56,7,0)*B$3,-2)</f>
        <v>#REF!</v>
      </c>
      <c r="S129" s="97">
        <v>0</v>
      </c>
      <c r="T129" s="97" t="str">
        <f t="shared" ca="1" si="42"/>
        <v>#REF!</v>
      </c>
      <c r="U129" s="97" t="str">
        <f t="shared" ca="1" si="29"/>
        <v>#REF!</v>
      </c>
      <c r="V129" s="97" t="str">
        <f t="shared" ca="1" si="7"/>
        <v>#REF!</v>
      </c>
      <c r="W129" s="97" t="str">
        <f t="shared" ca="1" si="8"/>
        <v>#REF!</v>
      </c>
      <c r="X129" s="121">
        <v>0</v>
      </c>
      <c r="Y129" s="121" t="str">
        <f t="shared" ca="1" si="9"/>
        <v>#REF!</v>
      </c>
      <c r="Z129" s="121" t="str">
        <f t="shared" ca="1" si="10"/>
        <v>#REF!</v>
      </c>
      <c r="AA129" s="99" t="str">
        <f t="shared" ca="1" si="11"/>
        <v>#REF!</v>
      </c>
      <c r="AB129" s="234" t="str">
        <f t="shared" ca="1" si="12"/>
        <v>#REF!</v>
      </c>
      <c r="AC129" s="257" t="str">
        <f t="shared" ca="1" si="13"/>
        <v>#REF!</v>
      </c>
      <c r="AD129" s="234" t="str">
        <f t="shared" ca="1" si="14"/>
        <v>#REF!</v>
      </c>
      <c r="AE129" s="100" t="str">
        <f t="shared" ca="1" si="15"/>
        <v>#REF!</v>
      </c>
      <c r="AF129" s="101" t="str">
        <f t="shared" ca="1" si="16"/>
        <v>#REF!</v>
      </c>
      <c r="AG129" s="102" t="str">
        <f t="shared" ref="AG129:AH129" ca="1" si="147">AE129/V129</f>
        <v>#REF!</v>
      </c>
      <c r="AH129" s="102" t="str">
        <f t="shared" ca="1" si="147"/>
        <v>#REF!</v>
      </c>
    </row>
    <row r="130" spans="1:34" ht="13.2">
      <c r="A130" s="251"/>
      <c r="B130" s="251"/>
      <c r="C130" s="252"/>
      <c r="D130" s="252"/>
      <c r="E130" s="114"/>
      <c r="F130" s="252"/>
      <c r="G130" s="125" t="s">
        <v>145</v>
      </c>
      <c r="I130" s="172"/>
      <c r="J130" s="82" t="str">
        <f t="shared" ca="1" si="0"/>
        <v>#REF!</v>
      </c>
      <c r="K130" s="82" t="str">
        <f t="shared" ca="1" si="1"/>
        <v>#REF!</v>
      </c>
      <c r="L130" s="82" t="str">
        <f t="shared" ca="1" si="44"/>
        <v>#REF!</v>
      </c>
      <c r="M130" s="93"/>
      <c r="N130" s="93"/>
      <c r="O130" s="95">
        <f t="shared" si="2"/>
        <v>0</v>
      </c>
      <c r="P130" s="96">
        <f t="shared" si="3"/>
        <v>0</v>
      </c>
      <c r="Q130" s="97">
        <f t="shared" si="4"/>
        <v>0</v>
      </c>
      <c r="R130" s="97" t="str">
        <f ca="1">ROUNDUP(HLOOKUP(IF(CEILING(L130,0.5)&lt;1,0.5,CEILING(L130,0.5)),'배송비 조회'!A$44:AO$56,7,0)*B$3,-2)</f>
        <v>#REF!</v>
      </c>
      <c r="S130" s="97">
        <v>0</v>
      </c>
      <c r="T130" s="97" t="str">
        <f t="shared" ca="1" si="42"/>
        <v>#REF!</v>
      </c>
      <c r="U130" s="97" t="str">
        <f t="shared" ca="1" si="29"/>
        <v>#REF!</v>
      </c>
      <c r="V130" s="97" t="str">
        <f t="shared" ca="1" si="7"/>
        <v>#REF!</v>
      </c>
      <c r="W130" s="97" t="str">
        <f t="shared" ca="1" si="8"/>
        <v>#REF!</v>
      </c>
      <c r="X130" s="121">
        <v>0</v>
      </c>
      <c r="Y130" s="121" t="str">
        <f t="shared" ca="1" si="9"/>
        <v>#REF!</v>
      </c>
      <c r="Z130" s="121" t="str">
        <f t="shared" ca="1" si="10"/>
        <v>#REF!</v>
      </c>
      <c r="AA130" s="99" t="str">
        <f t="shared" ca="1" si="11"/>
        <v>#REF!</v>
      </c>
      <c r="AB130" s="234" t="str">
        <f t="shared" ca="1" si="12"/>
        <v>#REF!</v>
      </c>
      <c r="AC130" s="257" t="str">
        <f t="shared" ca="1" si="13"/>
        <v>#REF!</v>
      </c>
      <c r="AD130" s="234" t="str">
        <f t="shared" ca="1" si="14"/>
        <v>#REF!</v>
      </c>
      <c r="AE130" s="100" t="str">
        <f t="shared" ca="1" si="15"/>
        <v>#REF!</v>
      </c>
      <c r="AF130" s="101" t="str">
        <f t="shared" ca="1" si="16"/>
        <v>#REF!</v>
      </c>
      <c r="AG130" s="102" t="str">
        <f t="shared" ref="AG130:AH130" ca="1" si="148">AE130/V130</f>
        <v>#REF!</v>
      </c>
      <c r="AH130" s="102" t="str">
        <f t="shared" ca="1" si="148"/>
        <v>#REF!</v>
      </c>
    </row>
    <row r="131" spans="1:34" ht="13.2">
      <c r="A131" s="251"/>
      <c r="B131" s="251"/>
      <c r="C131" s="252"/>
      <c r="D131" s="252"/>
      <c r="E131" s="114"/>
      <c r="F131" s="252"/>
      <c r="G131" s="125" t="s">
        <v>145</v>
      </c>
      <c r="I131" s="172"/>
      <c r="J131" s="82" t="str">
        <f t="shared" ca="1" si="0"/>
        <v>#REF!</v>
      </c>
      <c r="K131" s="82" t="str">
        <f t="shared" ca="1" si="1"/>
        <v>#REF!</v>
      </c>
      <c r="L131" s="82" t="str">
        <f t="shared" ca="1" si="44"/>
        <v>#REF!</v>
      </c>
      <c r="M131" s="93"/>
      <c r="N131" s="93"/>
      <c r="O131" s="95">
        <f t="shared" si="2"/>
        <v>0</v>
      </c>
      <c r="P131" s="96">
        <f t="shared" si="3"/>
        <v>0</v>
      </c>
      <c r="Q131" s="97">
        <f t="shared" si="4"/>
        <v>0</v>
      </c>
      <c r="R131" s="97" t="str">
        <f ca="1">ROUNDUP(HLOOKUP(IF(CEILING(L131,0.5)&lt;1,0.5,CEILING(L131,0.5)),'배송비 조회'!A$44:AO$56,7,0)*B$3,-2)</f>
        <v>#REF!</v>
      </c>
      <c r="S131" s="97">
        <v>0</v>
      </c>
      <c r="T131" s="97" t="str">
        <f t="shared" ca="1" si="42"/>
        <v>#REF!</v>
      </c>
      <c r="U131" s="97" t="str">
        <f t="shared" ca="1" si="29"/>
        <v>#REF!</v>
      </c>
      <c r="V131" s="97" t="str">
        <f t="shared" ca="1" si="7"/>
        <v>#REF!</v>
      </c>
      <c r="W131" s="97" t="str">
        <f t="shared" ca="1" si="8"/>
        <v>#REF!</v>
      </c>
      <c r="X131" s="121">
        <v>0</v>
      </c>
      <c r="Y131" s="121" t="str">
        <f t="shared" ca="1" si="9"/>
        <v>#REF!</v>
      </c>
      <c r="Z131" s="121" t="str">
        <f t="shared" ca="1" si="10"/>
        <v>#REF!</v>
      </c>
      <c r="AA131" s="99" t="str">
        <f t="shared" ca="1" si="11"/>
        <v>#REF!</v>
      </c>
      <c r="AB131" s="234" t="str">
        <f t="shared" ca="1" si="12"/>
        <v>#REF!</v>
      </c>
      <c r="AC131" s="257" t="str">
        <f t="shared" ca="1" si="13"/>
        <v>#REF!</v>
      </c>
      <c r="AD131" s="234" t="str">
        <f t="shared" ca="1" si="14"/>
        <v>#REF!</v>
      </c>
      <c r="AE131" s="100" t="str">
        <f t="shared" ca="1" si="15"/>
        <v>#REF!</v>
      </c>
      <c r="AF131" s="101" t="str">
        <f t="shared" ca="1" si="16"/>
        <v>#REF!</v>
      </c>
      <c r="AG131" s="102" t="str">
        <f t="shared" ref="AG131:AH131" ca="1" si="149">AE131/V131</f>
        <v>#REF!</v>
      </c>
      <c r="AH131" s="102" t="str">
        <f t="shared" ca="1" si="149"/>
        <v>#REF!</v>
      </c>
    </row>
    <row r="132" spans="1:34" ht="13.2">
      <c r="A132" s="251"/>
      <c r="B132" s="251"/>
      <c r="C132" s="252"/>
      <c r="D132" s="252"/>
      <c r="E132" s="114"/>
      <c r="F132" s="252"/>
      <c r="G132" s="125" t="s">
        <v>145</v>
      </c>
      <c r="I132" s="172"/>
      <c r="J132" s="82" t="str">
        <f t="shared" ca="1" si="0"/>
        <v>#REF!</v>
      </c>
      <c r="K132" s="82" t="str">
        <f t="shared" ca="1" si="1"/>
        <v>#REF!</v>
      </c>
      <c r="L132" s="82" t="str">
        <f t="shared" ca="1" si="44"/>
        <v>#REF!</v>
      </c>
      <c r="M132" s="93"/>
      <c r="N132" s="93"/>
      <c r="O132" s="95">
        <f t="shared" si="2"/>
        <v>0</v>
      </c>
      <c r="P132" s="96">
        <f t="shared" si="3"/>
        <v>0</v>
      </c>
      <c r="Q132" s="97">
        <f t="shared" si="4"/>
        <v>0</v>
      </c>
      <c r="R132" s="97" t="str">
        <f ca="1">ROUNDUP(HLOOKUP(IF(CEILING(L132,0.5)&lt;1,0.5,CEILING(L132,0.5)),'배송비 조회'!A$44:AO$56,7,0)*B$3,-2)</f>
        <v>#REF!</v>
      </c>
      <c r="S132" s="97">
        <v>0</v>
      </c>
      <c r="T132" s="97" t="str">
        <f t="shared" ca="1" si="42"/>
        <v>#REF!</v>
      </c>
      <c r="U132" s="97" t="str">
        <f t="shared" ca="1" si="29"/>
        <v>#REF!</v>
      </c>
      <c r="V132" s="97" t="str">
        <f t="shared" ca="1" si="7"/>
        <v>#REF!</v>
      </c>
      <c r="W132" s="97" t="str">
        <f t="shared" ca="1" si="8"/>
        <v>#REF!</v>
      </c>
      <c r="X132" s="121">
        <v>0</v>
      </c>
      <c r="Y132" s="121" t="str">
        <f t="shared" ca="1" si="9"/>
        <v>#REF!</v>
      </c>
      <c r="Z132" s="121" t="str">
        <f t="shared" ca="1" si="10"/>
        <v>#REF!</v>
      </c>
      <c r="AA132" s="99" t="str">
        <f t="shared" ca="1" si="11"/>
        <v>#REF!</v>
      </c>
      <c r="AB132" s="234" t="str">
        <f t="shared" ca="1" si="12"/>
        <v>#REF!</v>
      </c>
      <c r="AC132" s="257" t="str">
        <f t="shared" ca="1" si="13"/>
        <v>#REF!</v>
      </c>
      <c r="AD132" s="234" t="str">
        <f t="shared" ca="1" si="14"/>
        <v>#REF!</v>
      </c>
      <c r="AE132" s="100" t="str">
        <f t="shared" ca="1" si="15"/>
        <v>#REF!</v>
      </c>
      <c r="AF132" s="101" t="str">
        <f t="shared" ca="1" si="16"/>
        <v>#REF!</v>
      </c>
      <c r="AG132" s="102" t="str">
        <f t="shared" ref="AG132:AH132" ca="1" si="150">AE132/V132</f>
        <v>#REF!</v>
      </c>
      <c r="AH132" s="102" t="str">
        <f t="shared" ca="1" si="150"/>
        <v>#REF!</v>
      </c>
    </row>
    <row r="133" spans="1:34" ht="13.2">
      <c r="A133" s="251"/>
      <c r="B133" s="251"/>
      <c r="C133" s="252"/>
      <c r="D133" s="252"/>
      <c r="E133" s="114"/>
      <c r="F133" s="252"/>
      <c r="G133" s="125" t="s">
        <v>145</v>
      </c>
      <c r="I133" s="172"/>
      <c r="J133" s="82" t="str">
        <f t="shared" ca="1" si="0"/>
        <v>#REF!</v>
      </c>
      <c r="K133" s="82" t="str">
        <f t="shared" ca="1" si="1"/>
        <v>#REF!</v>
      </c>
      <c r="L133" s="82" t="str">
        <f t="shared" ca="1" si="44"/>
        <v>#REF!</v>
      </c>
      <c r="M133" s="93"/>
      <c r="N133" s="93"/>
      <c r="O133" s="95">
        <f t="shared" si="2"/>
        <v>0</v>
      </c>
      <c r="P133" s="96">
        <f t="shared" si="3"/>
        <v>0</v>
      </c>
      <c r="Q133" s="97">
        <f t="shared" si="4"/>
        <v>0</v>
      </c>
      <c r="R133" s="97" t="str">
        <f ca="1">ROUNDUP(HLOOKUP(IF(CEILING(L133,0.5)&lt;1,0.5,CEILING(L133,0.5)),'배송비 조회'!A$44:AO$56,7,0)*B$3,-2)</f>
        <v>#REF!</v>
      </c>
      <c r="S133" s="97">
        <v>0</v>
      </c>
      <c r="T133" s="97" t="str">
        <f t="shared" ca="1" si="42"/>
        <v>#REF!</v>
      </c>
      <c r="U133" s="97" t="str">
        <f t="shared" ca="1" si="29"/>
        <v>#REF!</v>
      </c>
      <c r="V133" s="97" t="str">
        <f t="shared" ca="1" si="7"/>
        <v>#REF!</v>
      </c>
      <c r="W133" s="97" t="str">
        <f t="shared" ca="1" si="8"/>
        <v>#REF!</v>
      </c>
      <c r="X133" s="121">
        <v>0</v>
      </c>
      <c r="Y133" s="121" t="str">
        <f t="shared" ca="1" si="9"/>
        <v>#REF!</v>
      </c>
      <c r="Z133" s="121" t="str">
        <f t="shared" ca="1" si="10"/>
        <v>#REF!</v>
      </c>
      <c r="AA133" s="99" t="str">
        <f t="shared" ca="1" si="11"/>
        <v>#REF!</v>
      </c>
      <c r="AB133" s="234" t="str">
        <f t="shared" ca="1" si="12"/>
        <v>#REF!</v>
      </c>
      <c r="AC133" s="257" t="str">
        <f t="shared" ca="1" si="13"/>
        <v>#REF!</v>
      </c>
      <c r="AD133" s="234" t="str">
        <f t="shared" ca="1" si="14"/>
        <v>#REF!</v>
      </c>
      <c r="AE133" s="100" t="str">
        <f t="shared" ca="1" si="15"/>
        <v>#REF!</v>
      </c>
      <c r="AF133" s="101" t="str">
        <f t="shared" ca="1" si="16"/>
        <v>#REF!</v>
      </c>
      <c r="AG133" s="102" t="str">
        <f t="shared" ref="AG133:AH133" ca="1" si="151">AE133/V133</f>
        <v>#REF!</v>
      </c>
      <c r="AH133" s="102" t="str">
        <f t="shared" ca="1" si="151"/>
        <v>#REF!</v>
      </c>
    </row>
    <row r="134" spans="1:34" ht="13.2">
      <c r="A134" s="251"/>
      <c r="B134" s="251"/>
      <c r="C134" s="252"/>
      <c r="D134" s="252"/>
      <c r="E134" s="114"/>
      <c r="F134" s="252"/>
      <c r="G134" s="125" t="s">
        <v>145</v>
      </c>
      <c r="I134" s="172"/>
      <c r="J134" s="82" t="str">
        <f t="shared" ca="1" si="0"/>
        <v>#REF!</v>
      </c>
      <c r="K134" s="82" t="str">
        <f t="shared" ca="1" si="1"/>
        <v>#REF!</v>
      </c>
      <c r="L134" s="82" t="str">
        <f t="shared" ca="1" si="44"/>
        <v>#REF!</v>
      </c>
      <c r="M134" s="93"/>
      <c r="N134" s="93"/>
      <c r="O134" s="95">
        <f t="shared" si="2"/>
        <v>0</v>
      </c>
      <c r="P134" s="96">
        <f t="shared" si="3"/>
        <v>0</v>
      </c>
      <c r="Q134" s="97">
        <f t="shared" si="4"/>
        <v>0</v>
      </c>
      <c r="R134" s="97" t="str">
        <f ca="1">ROUNDUP(HLOOKUP(IF(CEILING(L134,0.5)&lt;1,0.5,CEILING(L134,0.5)),'배송비 조회'!A$44:AO$56,7,0)*B$3,-2)</f>
        <v>#REF!</v>
      </c>
      <c r="S134" s="97">
        <v>0</v>
      </c>
      <c r="T134" s="97" t="str">
        <f t="shared" ca="1" si="42"/>
        <v>#REF!</v>
      </c>
      <c r="U134" s="97" t="str">
        <f t="shared" ca="1" si="29"/>
        <v>#REF!</v>
      </c>
      <c r="V134" s="97" t="str">
        <f t="shared" ca="1" si="7"/>
        <v>#REF!</v>
      </c>
      <c r="W134" s="97" t="str">
        <f t="shared" ca="1" si="8"/>
        <v>#REF!</v>
      </c>
      <c r="X134" s="121">
        <v>0</v>
      </c>
      <c r="Y134" s="121" t="str">
        <f t="shared" ca="1" si="9"/>
        <v>#REF!</v>
      </c>
      <c r="Z134" s="121" t="str">
        <f t="shared" ca="1" si="10"/>
        <v>#REF!</v>
      </c>
      <c r="AA134" s="99" t="str">
        <f t="shared" ca="1" si="11"/>
        <v>#REF!</v>
      </c>
      <c r="AB134" s="234" t="str">
        <f t="shared" ca="1" si="12"/>
        <v>#REF!</v>
      </c>
      <c r="AC134" s="257" t="str">
        <f t="shared" ca="1" si="13"/>
        <v>#REF!</v>
      </c>
      <c r="AD134" s="234" t="str">
        <f t="shared" ca="1" si="14"/>
        <v>#REF!</v>
      </c>
      <c r="AE134" s="100" t="str">
        <f t="shared" ca="1" si="15"/>
        <v>#REF!</v>
      </c>
      <c r="AF134" s="101" t="str">
        <f t="shared" ca="1" si="16"/>
        <v>#REF!</v>
      </c>
      <c r="AG134" s="102" t="str">
        <f t="shared" ref="AG134:AH134" ca="1" si="152">AE134/V134</f>
        <v>#REF!</v>
      </c>
      <c r="AH134" s="102" t="str">
        <f t="shared" ca="1" si="152"/>
        <v>#REF!</v>
      </c>
    </row>
    <row r="135" spans="1:34" ht="13.2">
      <c r="A135" s="251"/>
      <c r="B135" s="251"/>
      <c r="C135" s="252"/>
      <c r="D135" s="252"/>
      <c r="E135" s="114"/>
      <c r="F135" s="252"/>
      <c r="G135" s="125" t="s">
        <v>145</v>
      </c>
      <c r="I135" s="172"/>
      <c r="J135" s="82" t="str">
        <f t="shared" ca="1" si="0"/>
        <v>#REF!</v>
      </c>
      <c r="K135" s="82" t="str">
        <f t="shared" ca="1" si="1"/>
        <v>#REF!</v>
      </c>
      <c r="L135" s="82" t="str">
        <f t="shared" ca="1" si="44"/>
        <v>#REF!</v>
      </c>
      <c r="M135" s="93"/>
      <c r="N135" s="93"/>
      <c r="O135" s="95">
        <f t="shared" si="2"/>
        <v>0</v>
      </c>
      <c r="P135" s="96">
        <f t="shared" si="3"/>
        <v>0</v>
      </c>
      <c r="Q135" s="97">
        <f t="shared" si="4"/>
        <v>0</v>
      </c>
      <c r="R135" s="97" t="str">
        <f ca="1">ROUNDUP(HLOOKUP(IF(CEILING(L135,0.5)&lt;1,0.5,CEILING(L135,0.5)),'배송비 조회'!A$44:AO$56,7,0)*B$3,-2)</f>
        <v>#REF!</v>
      </c>
      <c r="S135" s="97">
        <v>0</v>
      </c>
      <c r="T135" s="97" t="str">
        <f t="shared" ca="1" si="42"/>
        <v>#REF!</v>
      </c>
      <c r="U135" s="97" t="str">
        <f t="shared" ca="1" si="29"/>
        <v>#REF!</v>
      </c>
      <c r="V135" s="97" t="str">
        <f t="shared" ca="1" si="7"/>
        <v>#REF!</v>
      </c>
      <c r="W135" s="97" t="str">
        <f t="shared" ca="1" si="8"/>
        <v>#REF!</v>
      </c>
      <c r="X135" s="121">
        <v>0</v>
      </c>
      <c r="Y135" s="121" t="str">
        <f t="shared" ca="1" si="9"/>
        <v>#REF!</v>
      </c>
      <c r="Z135" s="121" t="str">
        <f t="shared" ca="1" si="10"/>
        <v>#REF!</v>
      </c>
      <c r="AA135" s="99" t="str">
        <f t="shared" ca="1" si="11"/>
        <v>#REF!</v>
      </c>
      <c r="AB135" s="234" t="str">
        <f t="shared" ca="1" si="12"/>
        <v>#REF!</v>
      </c>
      <c r="AC135" s="257" t="str">
        <f t="shared" ca="1" si="13"/>
        <v>#REF!</v>
      </c>
      <c r="AD135" s="234" t="str">
        <f t="shared" ca="1" si="14"/>
        <v>#REF!</v>
      </c>
      <c r="AE135" s="100" t="str">
        <f t="shared" ca="1" si="15"/>
        <v>#REF!</v>
      </c>
      <c r="AF135" s="101" t="str">
        <f t="shared" ca="1" si="16"/>
        <v>#REF!</v>
      </c>
      <c r="AG135" s="102" t="str">
        <f t="shared" ref="AG135:AH135" ca="1" si="153">AE135/V135</f>
        <v>#REF!</v>
      </c>
      <c r="AH135" s="102" t="str">
        <f t="shared" ca="1" si="153"/>
        <v>#REF!</v>
      </c>
    </row>
    <row r="136" spans="1:34" ht="13.2">
      <c r="A136" s="251"/>
      <c r="B136" s="251"/>
      <c r="C136" s="252"/>
      <c r="D136" s="252"/>
      <c r="E136" s="114"/>
      <c r="F136" s="252"/>
      <c r="G136" s="125" t="s">
        <v>145</v>
      </c>
      <c r="I136" s="172"/>
      <c r="J136" s="82" t="str">
        <f t="shared" ca="1" si="0"/>
        <v>#REF!</v>
      </c>
      <c r="K136" s="82" t="str">
        <f t="shared" ca="1" si="1"/>
        <v>#REF!</v>
      </c>
      <c r="L136" s="82" t="str">
        <f t="shared" ca="1" si="44"/>
        <v>#REF!</v>
      </c>
      <c r="M136" s="93"/>
      <c r="N136" s="93"/>
      <c r="O136" s="95">
        <f t="shared" si="2"/>
        <v>0</v>
      </c>
      <c r="P136" s="96">
        <f t="shared" si="3"/>
        <v>0</v>
      </c>
      <c r="Q136" s="97">
        <f t="shared" si="4"/>
        <v>0</v>
      </c>
      <c r="R136" s="97" t="str">
        <f ca="1">ROUNDUP(HLOOKUP(IF(CEILING(L136,0.5)&lt;1,0.5,CEILING(L136,0.5)),'배송비 조회'!A$44:AO$56,7,0)*B$3,-2)</f>
        <v>#REF!</v>
      </c>
      <c r="S136" s="97">
        <v>0</v>
      </c>
      <c r="T136" s="97" t="str">
        <f t="shared" ca="1" si="42"/>
        <v>#REF!</v>
      </c>
      <c r="U136" s="97" t="str">
        <f t="shared" ca="1" si="29"/>
        <v>#REF!</v>
      </c>
      <c r="V136" s="97" t="str">
        <f t="shared" ca="1" si="7"/>
        <v>#REF!</v>
      </c>
      <c r="W136" s="97" t="str">
        <f t="shared" ca="1" si="8"/>
        <v>#REF!</v>
      </c>
      <c r="X136" s="121">
        <v>0</v>
      </c>
      <c r="Y136" s="121" t="str">
        <f t="shared" ca="1" si="9"/>
        <v>#REF!</v>
      </c>
      <c r="Z136" s="121" t="str">
        <f t="shared" ca="1" si="10"/>
        <v>#REF!</v>
      </c>
      <c r="AA136" s="99" t="str">
        <f t="shared" ca="1" si="11"/>
        <v>#REF!</v>
      </c>
      <c r="AB136" s="234" t="str">
        <f t="shared" ca="1" si="12"/>
        <v>#REF!</v>
      </c>
      <c r="AC136" s="257" t="str">
        <f t="shared" ca="1" si="13"/>
        <v>#REF!</v>
      </c>
      <c r="AD136" s="234" t="str">
        <f t="shared" ca="1" si="14"/>
        <v>#REF!</v>
      </c>
      <c r="AE136" s="100" t="str">
        <f t="shared" ca="1" si="15"/>
        <v>#REF!</v>
      </c>
      <c r="AF136" s="101" t="str">
        <f t="shared" ca="1" si="16"/>
        <v>#REF!</v>
      </c>
      <c r="AG136" s="102" t="str">
        <f t="shared" ref="AG136:AH136" ca="1" si="154">AE136/V136</f>
        <v>#REF!</v>
      </c>
      <c r="AH136" s="102" t="str">
        <f t="shared" ca="1" si="154"/>
        <v>#REF!</v>
      </c>
    </row>
    <row r="137" spans="1:34" ht="13.2">
      <c r="A137" s="251"/>
      <c r="B137" s="251"/>
      <c r="C137" s="252"/>
      <c r="D137" s="252"/>
      <c r="E137" s="114"/>
      <c r="F137" s="252"/>
      <c r="G137" s="125" t="s">
        <v>145</v>
      </c>
      <c r="I137" s="172"/>
      <c r="J137" s="82" t="str">
        <f t="shared" ca="1" si="0"/>
        <v>#REF!</v>
      </c>
      <c r="K137" s="82" t="str">
        <f t="shared" ca="1" si="1"/>
        <v>#REF!</v>
      </c>
      <c r="L137" s="82" t="str">
        <f t="shared" ca="1" si="44"/>
        <v>#REF!</v>
      </c>
      <c r="M137" s="93"/>
      <c r="N137" s="93"/>
      <c r="O137" s="95">
        <f t="shared" si="2"/>
        <v>0</v>
      </c>
      <c r="P137" s="96">
        <f t="shared" si="3"/>
        <v>0</v>
      </c>
      <c r="Q137" s="97">
        <f t="shared" si="4"/>
        <v>0</v>
      </c>
      <c r="R137" s="97" t="str">
        <f ca="1">ROUNDUP(HLOOKUP(IF(CEILING(L137,0.5)&lt;1,0.5,CEILING(L137,0.5)),'배송비 조회'!A$44:AO$56,7,0)*B$3,-2)</f>
        <v>#REF!</v>
      </c>
      <c r="S137" s="97">
        <v>0</v>
      </c>
      <c r="T137" s="97" t="str">
        <f t="shared" ca="1" si="42"/>
        <v>#REF!</v>
      </c>
      <c r="U137" s="97" t="str">
        <f t="shared" ca="1" si="29"/>
        <v>#REF!</v>
      </c>
      <c r="V137" s="97" t="str">
        <f t="shared" ca="1" si="7"/>
        <v>#REF!</v>
      </c>
      <c r="W137" s="97" t="str">
        <f t="shared" ca="1" si="8"/>
        <v>#REF!</v>
      </c>
      <c r="X137" s="121">
        <v>0</v>
      </c>
      <c r="Y137" s="121" t="str">
        <f t="shared" ca="1" si="9"/>
        <v>#REF!</v>
      </c>
      <c r="Z137" s="121" t="str">
        <f t="shared" ca="1" si="10"/>
        <v>#REF!</v>
      </c>
      <c r="AA137" s="99" t="str">
        <f t="shared" ca="1" si="11"/>
        <v>#REF!</v>
      </c>
      <c r="AB137" s="234" t="str">
        <f t="shared" ca="1" si="12"/>
        <v>#REF!</v>
      </c>
      <c r="AC137" s="257" t="str">
        <f t="shared" ca="1" si="13"/>
        <v>#REF!</v>
      </c>
      <c r="AD137" s="234" t="str">
        <f t="shared" ca="1" si="14"/>
        <v>#REF!</v>
      </c>
      <c r="AE137" s="100" t="str">
        <f t="shared" ca="1" si="15"/>
        <v>#REF!</v>
      </c>
      <c r="AF137" s="101" t="str">
        <f t="shared" ca="1" si="16"/>
        <v>#REF!</v>
      </c>
      <c r="AG137" s="102" t="str">
        <f t="shared" ref="AG137:AH137" ca="1" si="155">AE137/V137</f>
        <v>#REF!</v>
      </c>
      <c r="AH137" s="102" t="str">
        <f t="shared" ca="1" si="155"/>
        <v>#REF!</v>
      </c>
    </row>
    <row r="138" spans="1:34" ht="13.2">
      <c r="A138" s="251"/>
      <c r="B138" s="251"/>
      <c r="C138" s="252"/>
      <c r="D138" s="252"/>
      <c r="E138" s="114"/>
      <c r="F138" s="252"/>
      <c r="G138" s="125" t="s">
        <v>145</v>
      </c>
      <c r="I138" s="172"/>
      <c r="J138" s="82" t="str">
        <f t="shared" ca="1" si="0"/>
        <v>#REF!</v>
      </c>
      <c r="K138" s="82" t="str">
        <f t="shared" ca="1" si="1"/>
        <v>#REF!</v>
      </c>
      <c r="L138" s="82" t="str">
        <f t="shared" ca="1" si="44"/>
        <v>#REF!</v>
      </c>
      <c r="M138" s="93"/>
      <c r="N138" s="93"/>
      <c r="O138" s="95">
        <f t="shared" si="2"/>
        <v>0</v>
      </c>
      <c r="P138" s="96">
        <f t="shared" si="3"/>
        <v>0</v>
      </c>
      <c r="Q138" s="97">
        <f t="shared" si="4"/>
        <v>0</v>
      </c>
      <c r="R138" s="97" t="str">
        <f ca="1">ROUNDUP(HLOOKUP(IF(CEILING(L138,0.5)&lt;1,0.5,CEILING(L138,0.5)),'배송비 조회'!A$44:AO$56,7,0)*B$3,-2)</f>
        <v>#REF!</v>
      </c>
      <c r="S138" s="97">
        <v>0</v>
      </c>
      <c r="T138" s="97" t="str">
        <f t="shared" ca="1" si="42"/>
        <v>#REF!</v>
      </c>
      <c r="U138" s="97" t="str">
        <f t="shared" ca="1" si="29"/>
        <v>#REF!</v>
      </c>
      <c r="V138" s="97" t="str">
        <f t="shared" ca="1" si="7"/>
        <v>#REF!</v>
      </c>
      <c r="W138" s="97" t="str">
        <f t="shared" ca="1" si="8"/>
        <v>#REF!</v>
      </c>
      <c r="X138" s="121">
        <v>0</v>
      </c>
      <c r="Y138" s="121" t="str">
        <f t="shared" ca="1" si="9"/>
        <v>#REF!</v>
      </c>
      <c r="Z138" s="121" t="str">
        <f t="shared" ca="1" si="10"/>
        <v>#REF!</v>
      </c>
      <c r="AA138" s="99" t="str">
        <f t="shared" ca="1" si="11"/>
        <v>#REF!</v>
      </c>
      <c r="AB138" s="234" t="str">
        <f t="shared" ca="1" si="12"/>
        <v>#REF!</v>
      </c>
      <c r="AC138" s="257" t="str">
        <f t="shared" ca="1" si="13"/>
        <v>#REF!</v>
      </c>
      <c r="AD138" s="234" t="str">
        <f t="shared" ca="1" si="14"/>
        <v>#REF!</v>
      </c>
      <c r="AE138" s="100" t="str">
        <f t="shared" ca="1" si="15"/>
        <v>#REF!</v>
      </c>
      <c r="AF138" s="101" t="str">
        <f t="shared" ca="1" si="16"/>
        <v>#REF!</v>
      </c>
      <c r="AG138" s="102" t="str">
        <f t="shared" ref="AG138:AH138" ca="1" si="156">AE138/V138</f>
        <v>#REF!</v>
      </c>
      <c r="AH138" s="102" t="str">
        <f t="shared" ca="1" si="156"/>
        <v>#REF!</v>
      </c>
    </row>
    <row r="139" spans="1:34" ht="13.2">
      <c r="A139" s="251"/>
      <c r="B139" s="251"/>
      <c r="C139" s="252"/>
      <c r="D139" s="252"/>
      <c r="E139" s="114"/>
      <c r="F139" s="252"/>
      <c r="G139" s="125" t="s">
        <v>145</v>
      </c>
      <c r="I139" s="172"/>
      <c r="J139" s="82" t="str">
        <f t="shared" ca="1" si="0"/>
        <v>#REF!</v>
      </c>
      <c r="K139" s="82" t="str">
        <f t="shared" ca="1" si="1"/>
        <v>#REF!</v>
      </c>
      <c r="L139" s="82" t="str">
        <f t="shared" ca="1" si="44"/>
        <v>#REF!</v>
      </c>
      <c r="M139" s="93"/>
      <c r="N139" s="93"/>
      <c r="O139" s="95">
        <f t="shared" si="2"/>
        <v>0</v>
      </c>
      <c r="P139" s="96">
        <f t="shared" si="3"/>
        <v>0</v>
      </c>
      <c r="Q139" s="97">
        <f t="shared" si="4"/>
        <v>0</v>
      </c>
      <c r="R139" s="97" t="str">
        <f ca="1">ROUNDUP(HLOOKUP(IF(CEILING(L139,0.5)&lt;1,0.5,CEILING(L139,0.5)),'배송비 조회'!A$44:AO$56,7,0)*B$3,-2)</f>
        <v>#REF!</v>
      </c>
      <c r="S139" s="97">
        <v>0</v>
      </c>
      <c r="T139" s="97" t="str">
        <f t="shared" ca="1" si="42"/>
        <v>#REF!</v>
      </c>
      <c r="U139" s="97" t="str">
        <f t="shared" ca="1" si="29"/>
        <v>#REF!</v>
      </c>
      <c r="V139" s="97" t="str">
        <f t="shared" ca="1" si="7"/>
        <v>#REF!</v>
      </c>
      <c r="W139" s="97" t="str">
        <f t="shared" ca="1" si="8"/>
        <v>#REF!</v>
      </c>
      <c r="X139" s="121">
        <v>0</v>
      </c>
      <c r="Y139" s="121" t="str">
        <f t="shared" ca="1" si="9"/>
        <v>#REF!</v>
      </c>
      <c r="Z139" s="121" t="str">
        <f t="shared" ca="1" si="10"/>
        <v>#REF!</v>
      </c>
      <c r="AA139" s="99" t="str">
        <f t="shared" ca="1" si="11"/>
        <v>#REF!</v>
      </c>
      <c r="AB139" s="234" t="str">
        <f t="shared" ca="1" si="12"/>
        <v>#REF!</v>
      </c>
      <c r="AC139" s="257" t="str">
        <f t="shared" ca="1" si="13"/>
        <v>#REF!</v>
      </c>
      <c r="AD139" s="234" t="str">
        <f t="shared" ca="1" si="14"/>
        <v>#REF!</v>
      </c>
      <c r="AE139" s="100" t="str">
        <f t="shared" ca="1" si="15"/>
        <v>#REF!</v>
      </c>
      <c r="AF139" s="101" t="str">
        <f t="shared" ca="1" si="16"/>
        <v>#REF!</v>
      </c>
      <c r="AG139" s="102" t="str">
        <f t="shared" ref="AG139:AH139" ca="1" si="157">AE139/V139</f>
        <v>#REF!</v>
      </c>
      <c r="AH139" s="102" t="str">
        <f t="shared" ca="1" si="157"/>
        <v>#REF!</v>
      </c>
    </row>
    <row r="140" spans="1:34" ht="13.2">
      <c r="A140" s="251"/>
      <c r="B140" s="251"/>
      <c r="C140" s="252"/>
      <c r="D140" s="252"/>
      <c r="E140" s="114"/>
      <c r="F140" s="252"/>
      <c r="G140" s="125" t="s">
        <v>145</v>
      </c>
      <c r="I140" s="172"/>
      <c r="J140" s="82" t="str">
        <f t="shared" ca="1" si="0"/>
        <v>#REF!</v>
      </c>
      <c r="K140" s="82" t="str">
        <f t="shared" ca="1" si="1"/>
        <v>#REF!</v>
      </c>
      <c r="L140" s="82" t="str">
        <f t="shared" ca="1" si="44"/>
        <v>#REF!</v>
      </c>
      <c r="M140" s="93"/>
      <c r="N140" s="93"/>
      <c r="O140" s="95">
        <f t="shared" si="2"/>
        <v>0</v>
      </c>
      <c r="P140" s="96">
        <f t="shared" si="3"/>
        <v>0</v>
      </c>
      <c r="Q140" s="97">
        <f t="shared" si="4"/>
        <v>0</v>
      </c>
      <c r="R140" s="97" t="str">
        <f ca="1">ROUNDUP(HLOOKUP(IF(CEILING(L140,0.5)&lt;1,0.5,CEILING(L140,0.5)),'배송비 조회'!A$44:AO$56,7,0)*B$3,-2)</f>
        <v>#REF!</v>
      </c>
      <c r="S140" s="97">
        <v>0</v>
      </c>
      <c r="T140" s="97" t="str">
        <f t="shared" ca="1" si="42"/>
        <v>#REF!</v>
      </c>
      <c r="U140" s="97" t="str">
        <f t="shared" ca="1" si="29"/>
        <v>#REF!</v>
      </c>
      <c r="V140" s="97" t="str">
        <f t="shared" ca="1" si="7"/>
        <v>#REF!</v>
      </c>
      <c r="W140" s="97" t="str">
        <f t="shared" ca="1" si="8"/>
        <v>#REF!</v>
      </c>
      <c r="X140" s="121">
        <v>0</v>
      </c>
      <c r="Y140" s="121" t="str">
        <f t="shared" ca="1" si="9"/>
        <v>#REF!</v>
      </c>
      <c r="Z140" s="121" t="str">
        <f t="shared" ca="1" si="10"/>
        <v>#REF!</v>
      </c>
      <c r="AA140" s="99" t="str">
        <f t="shared" ca="1" si="11"/>
        <v>#REF!</v>
      </c>
      <c r="AB140" s="234" t="str">
        <f t="shared" ca="1" si="12"/>
        <v>#REF!</v>
      </c>
      <c r="AC140" s="257" t="str">
        <f t="shared" ca="1" si="13"/>
        <v>#REF!</v>
      </c>
      <c r="AD140" s="234" t="str">
        <f t="shared" ca="1" si="14"/>
        <v>#REF!</v>
      </c>
      <c r="AE140" s="100" t="str">
        <f t="shared" ca="1" si="15"/>
        <v>#REF!</v>
      </c>
      <c r="AF140" s="101" t="str">
        <f t="shared" ca="1" si="16"/>
        <v>#REF!</v>
      </c>
      <c r="AG140" s="102" t="str">
        <f t="shared" ref="AG140:AH140" ca="1" si="158">AE140/V140</f>
        <v>#REF!</v>
      </c>
      <c r="AH140" s="102" t="str">
        <f t="shared" ca="1" si="158"/>
        <v>#REF!</v>
      </c>
    </row>
    <row r="141" spans="1:34" ht="13.2">
      <c r="A141" s="251"/>
      <c r="B141" s="251"/>
      <c r="C141" s="252"/>
      <c r="D141" s="252"/>
      <c r="E141" s="114"/>
      <c r="F141" s="252"/>
      <c r="G141" s="125" t="s">
        <v>145</v>
      </c>
      <c r="I141" s="172"/>
      <c r="J141" s="82" t="str">
        <f t="shared" ca="1" si="0"/>
        <v>#REF!</v>
      </c>
      <c r="K141" s="82" t="str">
        <f t="shared" ca="1" si="1"/>
        <v>#REF!</v>
      </c>
      <c r="L141" s="82" t="str">
        <f t="shared" ca="1" si="44"/>
        <v>#REF!</v>
      </c>
      <c r="M141" s="93"/>
      <c r="N141" s="93"/>
      <c r="O141" s="95">
        <f t="shared" si="2"/>
        <v>0</v>
      </c>
      <c r="P141" s="96">
        <f t="shared" si="3"/>
        <v>0</v>
      </c>
      <c r="Q141" s="97">
        <f t="shared" si="4"/>
        <v>0</v>
      </c>
      <c r="R141" s="97" t="str">
        <f ca="1">ROUNDUP(HLOOKUP(IF(CEILING(L141,0.5)&lt;1,0.5,CEILING(L141,0.5)),'배송비 조회'!A$44:AO$56,7,0)*B$3,-2)</f>
        <v>#REF!</v>
      </c>
      <c r="S141" s="97">
        <v>0</v>
      </c>
      <c r="T141" s="97" t="str">
        <f t="shared" ca="1" si="42"/>
        <v>#REF!</v>
      </c>
      <c r="U141" s="97" t="str">
        <f t="shared" ca="1" si="29"/>
        <v>#REF!</v>
      </c>
      <c r="V141" s="97" t="str">
        <f t="shared" ca="1" si="7"/>
        <v>#REF!</v>
      </c>
      <c r="W141" s="97" t="str">
        <f t="shared" ca="1" si="8"/>
        <v>#REF!</v>
      </c>
      <c r="X141" s="121">
        <v>0</v>
      </c>
      <c r="Y141" s="121" t="str">
        <f t="shared" ca="1" si="9"/>
        <v>#REF!</v>
      </c>
      <c r="Z141" s="121" t="str">
        <f t="shared" ca="1" si="10"/>
        <v>#REF!</v>
      </c>
      <c r="AA141" s="99" t="str">
        <f t="shared" ca="1" si="11"/>
        <v>#REF!</v>
      </c>
      <c r="AB141" s="234" t="str">
        <f t="shared" ca="1" si="12"/>
        <v>#REF!</v>
      </c>
      <c r="AC141" s="257" t="str">
        <f t="shared" ca="1" si="13"/>
        <v>#REF!</v>
      </c>
      <c r="AD141" s="234" t="str">
        <f t="shared" ca="1" si="14"/>
        <v>#REF!</v>
      </c>
      <c r="AE141" s="100" t="str">
        <f t="shared" ca="1" si="15"/>
        <v>#REF!</v>
      </c>
      <c r="AF141" s="101" t="str">
        <f t="shared" ca="1" si="16"/>
        <v>#REF!</v>
      </c>
      <c r="AG141" s="102" t="str">
        <f t="shared" ref="AG141:AH141" ca="1" si="159">AE141/V141</f>
        <v>#REF!</v>
      </c>
      <c r="AH141" s="102" t="str">
        <f t="shared" ca="1" si="159"/>
        <v>#REF!</v>
      </c>
    </row>
    <row r="142" spans="1:34" ht="13.2">
      <c r="A142" s="251"/>
      <c r="B142" s="251"/>
      <c r="C142" s="252"/>
      <c r="D142" s="252"/>
      <c r="E142" s="114"/>
      <c r="F142" s="252"/>
      <c r="G142" s="125" t="s">
        <v>145</v>
      </c>
      <c r="I142" s="172"/>
      <c r="J142" s="82" t="str">
        <f t="shared" ca="1" si="0"/>
        <v>#REF!</v>
      </c>
      <c r="K142" s="82" t="str">
        <f t="shared" ca="1" si="1"/>
        <v>#REF!</v>
      </c>
      <c r="L142" s="82" t="str">
        <f t="shared" ca="1" si="44"/>
        <v>#REF!</v>
      </c>
      <c r="M142" s="93"/>
      <c r="N142" s="93"/>
      <c r="O142" s="95">
        <f t="shared" si="2"/>
        <v>0</v>
      </c>
      <c r="P142" s="96">
        <f t="shared" si="3"/>
        <v>0</v>
      </c>
      <c r="Q142" s="97">
        <f t="shared" si="4"/>
        <v>0</v>
      </c>
      <c r="R142" s="97" t="str">
        <f ca="1">ROUNDUP(HLOOKUP(IF(CEILING(L142,0.5)&lt;1,0.5,CEILING(L142,0.5)),'배송비 조회'!A$44:AO$56,7,0)*B$3,-2)</f>
        <v>#REF!</v>
      </c>
      <c r="S142" s="97">
        <v>0</v>
      </c>
      <c r="T142" s="97" t="str">
        <f t="shared" ca="1" si="42"/>
        <v>#REF!</v>
      </c>
      <c r="U142" s="97" t="str">
        <f t="shared" ca="1" si="29"/>
        <v>#REF!</v>
      </c>
      <c r="V142" s="97" t="str">
        <f t="shared" ca="1" si="7"/>
        <v>#REF!</v>
      </c>
      <c r="W142" s="97" t="str">
        <f t="shared" ca="1" si="8"/>
        <v>#REF!</v>
      </c>
      <c r="X142" s="121">
        <v>0</v>
      </c>
      <c r="Y142" s="121" t="str">
        <f t="shared" ca="1" si="9"/>
        <v>#REF!</v>
      </c>
      <c r="Z142" s="121" t="str">
        <f t="shared" ca="1" si="10"/>
        <v>#REF!</v>
      </c>
      <c r="AA142" s="99" t="str">
        <f t="shared" ca="1" si="11"/>
        <v>#REF!</v>
      </c>
      <c r="AB142" s="234" t="str">
        <f t="shared" ca="1" si="12"/>
        <v>#REF!</v>
      </c>
      <c r="AC142" s="257" t="str">
        <f t="shared" ca="1" si="13"/>
        <v>#REF!</v>
      </c>
      <c r="AD142" s="234" t="str">
        <f t="shared" ca="1" si="14"/>
        <v>#REF!</v>
      </c>
      <c r="AE142" s="100" t="str">
        <f t="shared" ca="1" si="15"/>
        <v>#REF!</v>
      </c>
      <c r="AF142" s="101" t="str">
        <f t="shared" ca="1" si="16"/>
        <v>#REF!</v>
      </c>
      <c r="AG142" s="102" t="str">
        <f t="shared" ref="AG142:AH142" ca="1" si="160">AE142/V142</f>
        <v>#REF!</v>
      </c>
      <c r="AH142" s="102" t="str">
        <f t="shared" ca="1" si="160"/>
        <v>#REF!</v>
      </c>
    </row>
    <row r="143" spans="1:34" ht="13.2">
      <c r="A143" s="251"/>
      <c r="B143" s="251"/>
      <c r="C143" s="252"/>
      <c r="D143" s="252"/>
      <c r="E143" s="114"/>
      <c r="F143" s="252"/>
      <c r="G143" s="125" t="s">
        <v>145</v>
      </c>
      <c r="I143" s="172"/>
      <c r="J143" s="82" t="str">
        <f t="shared" ca="1" si="0"/>
        <v>#REF!</v>
      </c>
      <c r="K143" s="82" t="str">
        <f t="shared" ca="1" si="1"/>
        <v>#REF!</v>
      </c>
      <c r="L143" s="82" t="str">
        <f t="shared" ca="1" si="44"/>
        <v>#REF!</v>
      </c>
      <c r="M143" s="93"/>
      <c r="N143" s="93"/>
      <c r="O143" s="95">
        <f t="shared" si="2"/>
        <v>0</v>
      </c>
      <c r="P143" s="96">
        <f t="shared" si="3"/>
        <v>0</v>
      </c>
      <c r="Q143" s="97">
        <f t="shared" si="4"/>
        <v>0</v>
      </c>
      <c r="R143" s="97" t="str">
        <f ca="1">ROUNDUP(HLOOKUP(IF(CEILING(L143,0.5)&lt;1,0.5,CEILING(L143,0.5)),'배송비 조회'!A$44:AO$56,7,0)*B$3,-2)</f>
        <v>#REF!</v>
      </c>
      <c r="S143" s="97">
        <v>0</v>
      </c>
      <c r="T143" s="97" t="str">
        <f t="shared" ca="1" si="42"/>
        <v>#REF!</v>
      </c>
      <c r="U143" s="97" t="str">
        <f t="shared" ca="1" si="29"/>
        <v>#REF!</v>
      </c>
      <c r="V143" s="97" t="str">
        <f t="shared" ca="1" si="7"/>
        <v>#REF!</v>
      </c>
      <c r="W143" s="97" t="str">
        <f t="shared" ca="1" si="8"/>
        <v>#REF!</v>
      </c>
      <c r="X143" s="121">
        <v>0</v>
      </c>
      <c r="Y143" s="121" t="str">
        <f t="shared" ca="1" si="9"/>
        <v>#REF!</v>
      </c>
      <c r="Z143" s="121" t="str">
        <f t="shared" ca="1" si="10"/>
        <v>#REF!</v>
      </c>
      <c r="AA143" s="99" t="str">
        <f t="shared" ca="1" si="11"/>
        <v>#REF!</v>
      </c>
      <c r="AB143" s="234" t="str">
        <f t="shared" ca="1" si="12"/>
        <v>#REF!</v>
      </c>
      <c r="AC143" s="257" t="str">
        <f t="shared" ca="1" si="13"/>
        <v>#REF!</v>
      </c>
      <c r="AD143" s="234" t="str">
        <f t="shared" ca="1" si="14"/>
        <v>#REF!</v>
      </c>
      <c r="AE143" s="100" t="str">
        <f t="shared" ca="1" si="15"/>
        <v>#REF!</v>
      </c>
      <c r="AF143" s="101" t="str">
        <f t="shared" ca="1" si="16"/>
        <v>#REF!</v>
      </c>
      <c r="AG143" s="102" t="str">
        <f t="shared" ref="AG143:AH143" ca="1" si="161">AE143/V143</f>
        <v>#REF!</v>
      </c>
      <c r="AH143" s="102" t="str">
        <f t="shared" ca="1" si="161"/>
        <v>#REF!</v>
      </c>
    </row>
    <row r="144" spans="1:34" ht="13.2">
      <c r="A144" s="251"/>
      <c r="B144" s="251"/>
      <c r="C144" s="252"/>
      <c r="D144" s="252"/>
      <c r="E144" s="114"/>
      <c r="F144" s="252"/>
      <c r="G144" s="125" t="s">
        <v>145</v>
      </c>
      <c r="I144" s="172"/>
      <c r="J144" s="82" t="str">
        <f t="shared" ca="1" si="0"/>
        <v>#REF!</v>
      </c>
      <c r="K144" s="82" t="str">
        <f t="shared" ca="1" si="1"/>
        <v>#REF!</v>
      </c>
      <c r="L144" s="82" t="str">
        <f t="shared" ca="1" si="44"/>
        <v>#REF!</v>
      </c>
      <c r="M144" s="93"/>
      <c r="N144" s="93"/>
      <c r="O144" s="95">
        <f t="shared" si="2"/>
        <v>0</v>
      </c>
      <c r="P144" s="96">
        <f t="shared" si="3"/>
        <v>0</v>
      </c>
      <c r="Q144" s="97">
        <f t="shared" si="4"/>
        <v>0</v>
      </c>
      <c r="R144" s="97" t="str">
        <f ca="1">ROUNDUP(HLOOKUP(IF(CEILING(L144,0.5)&lt;1,0.5,CEILING(L144,0.5)),'배송비 조회'!A$44:AO$56,7,0)*B$3,-2)</f>
        <v>#REF!</v>
      </c>
      <c r="S144" s="97">
        <v>0</v>
      </c>
      <c r="T144" s="97" t="str">
        <f t="shared" ca="1" si="42"/>
        <v>#REF!</v>
      </c>
      <c r="U144" s="97" t="str">
        <f t="shared" ca="1" si="29"/>
        <v>#REF!</v>
      </c>
      <c r="V144" s="97" t="str">
        <f t="shared" ca="1" si="7"/>
        <v>#REF!</v>
      </c>
      <c r="W144" s="97" t="str">
        <f t="shared" ca="1" si="8"/>
        <v>#REF!</v>
      </c>
      <c r="X144" s="121">
        <v>0</v>
      </c>
      <c r="Y144" s="121" t="str">
        <f t="shared" ca="1" si="9"/>
        <v>#REF!</v>
      </c>
      <c r="Z144" s="121" t="str">
        <f t="shared" ca="1" si="10"/>
        <v>#REF!</v>
      </c>
      <c r="AA144" s="99" t="str">
        <f t="shared" ca="1" si="11"/>
        <v>#REF!</v>
      </c>
      <c r="AB144" s="234" t="str">
        <f t="shared" ca="1" si="12"/>
        <v>#REF!</v>
      </c>
      <c r="AC144" s="257" t="str">
        <f t="shared" ca="1" si="13"/>
        <v>#REF!</v>
      </c>
      <c r="AD144" s="234" t="str">
        <f t="shared" ca="1" si="14"/>
        <v>#REF!</v>
      </c>
      <c r="AE144" s="100" t="str">
        <f t="shared" ca="1" si="15"/>
        <v>#REF!</v>
      </c>
      <c r="AF144" s="101" t="str">
        <f t="shared" ca="1" si="16"/>
        <v>#REF!</v>
      </c>
      <c r="AG144" s="102" t="str">
        <f t="shared" ref="AG144:AH144" ca="1" si="162">AE144/V144</f>
        <v>#REF!</v>
      </c>
      <c r="AH144" s="102" t="str">
        <f t="shared" ca="1" si="162"/>
        <v>#REF!</v>
      </c>
    </row>
    <row r="145" spans="1:34" ht="13.2">
      <c r="A145" s="251"/>
      <c r="B145" s="251"/>
      <c r="C145" s="252"/>
      <c r="D145" s="252"/>
      <c r="E145" s="114"/>
      <c r="F145" s="252"/>
      <c r="G145" s="125" t="s">
        <v>145</v>
      </c>
      <c r="I145" s="172"/>
      <c r="J145" s="82" t="str">
        <f t="shared" ca="1" si="0"/>
        <v>#REF!</v>
      </c>
      <c r="K145" s="82" t="str">
        <f t="shared" ca="1" si="1"/>
        <v>#REF!</v>
      </c>
      <c r="L145" s="82" t="str">
        <f t="shared" ca="1" si="44"/>
        <v>#REF!</v>
      </c>
      <c r="M145" s="93"/>
      <c r="N145" s="93"/>
      <c r="O145" s="95">
        <f t="shared" si="2"/>
        <v>0</v>
      </c>
      <c r="P145" s="96">
        <f t="shared" si="3"/>
        <v>0</v>
      </c>
      <c r="Q145" s="97">
        <f t="shared" si="4"/>
        <v>0</v>
      </c>
      <c r="R145" s="97" t="str">
        <f ca="1">ROUNDUP(HLOOKUP(IF(CEILING(L145,0.5)&lt;1,0.5,CEILING(L145,0.5)),'배송비 조회'!A$44:AO$56,7,0)*B$3,-2)</f>
        <v>#REF!</v>
      </c>
      <c r="S145" s="97">
        <v>0</v>
      </c>
      <c r="T145" s="97" t="str">
        <f t="shared" ca="1" si="42"/>
        <v>#REF!</v>
      </c>
      <c r="U145" s="97" t="str">
        <f t="shared" ca="1" si="29"/>
        <v>#REF!</v>
      </c>
      <c r="V145" s="97" t="str">
        <f t="shared" ca="1" si="7"/>
        <v>#REF!</v>
      </c>
      <c r="W145" s="97" t="str">
        <f t="shared" ca="1" si="8"/>
        <v>#REF!</v>
      </c>
      <c r="X145" s="121">
        <v>0</v>
      </c>
      <c r="Y145" s="121" t="str">
        <f t="shared" ca="1" si="9"/>
        <v>#REF!</v>
      </c>
      <c r="Z145" s="121" t="str">
        <f t="shared" ca="1" si="10"/>
        <v>#REF!</v>
      </c>
      <c r="AA145" s="99" t="str">
        <f t="shared" ca="1" si="11"/>
        <v>#REF!</v>
      </c>
      <c r="AB145" s="234" t="str">
        <f t="shared" ca="1" si="12"/>
        <v>#REF!</v>
      </c>
      <c r="AC145" s="257" t="str">
        <f t="shared" ca="1" si="13"/>
        <v>#REF!</v>
      </c>
      <c r="AD145" s="234" t="str">
        <f t="shared" ca="1" si="14"/>
        <v>#REF!</v>
      </c>
      <c r="AE145" s="100" t="str">
        <f t="shared" ca="1" si="15"/>
        <v>#REF!</v>
      </c>
      <c r="AF145" s="101" t="str">
        <f t="shared" ca="1" si="16"/>
        <v>#REF!</v>
      </c>
      <c r="AG145" s="102" t="str">
        <f t="shared" ref="AG145:AH145" ca="1" si="163">AE145/V145</f>
        <v>#REF!</v>
      </c>
      <c r="AH145" s="102" t="str">
        <f t="shared" ca="1" si="163"/>
        <v>#REF!</v>
      </c>
    </row>
    <row r="146" spans="1:34" ht="13.2">
      <c r="A146" s="251"/>
      <c r="B146" s="251"/>
      <c r="C146" s="252"/>
      <c r="D146" s="252"/>
      <c r="E146" s="114"/>
      <c r="F146" s="252"/>
      <c r="G146" s="125" t="s">
        <v>145</v>
      </c>
      <c r="I146" s="172"/>
      <c r="J146" s="82" t="str">
        <f t="shared" ca="1" si="0"/>
        <v>#REF!</v>
      </c>
      <c r="K146" s="82" t="str">
        <f t="shared" ca="1" si="1"/>
        <v>#REF!</v>
      </c>
      <c r="L146" s="82" t="str">
        <f t="shared" ca="1" si="44"/>
        <v>#REF!</v>
      </c>
      <c r="M146" s="93"/>
      <c r="N146" s="93"/>
      <c r="O146" s="95">
        <f t="shared" si="2"/>
        <v>0</v>
      </c>
      <c r="P146" s="96">
        <f t="shared" si="3"/>
        <v>0</v>
      </c>
      <c r="Q146" s="97">
        <f t="shared" si="4"/>
        <v>0</v>
      </c>
      <c r="R146" s="97" t="str">
        <f ca="1">ROUNDUP(HLOOKUP(IF(CEILING(L146,0.5)&lt;1,0.5,CEILING(L146,0.5)),'배송비 조회'!A$44:AO$56,7,0)*B$3,-2)</f>
        <v>#REF!</v>
      </c>
      <c r="S146" s="97">
        <v>0</v>
      </c>
      <c r="T146" s="97" t="str">
        <f t="shared" ca="1" si="42"/>
        <v>#REF!</v>
      </c>
      <c r="U146" s="97" t="str">
        <f t="shared" ca="1" si="29"/>
        <v>#REF!</v>
      </c>
      <c r="V146" s="97" t="str">
        <f t="shared" ca="1" si="7"/>
        <v>#REF!</v>
      </c>
      <c r="W146" s="97" t="str">
        <f t="shared" ca="1" si="8"/>
        <v>#REF!</v>
      </c>
      <c r="X146" s="121">
        <v>0</v>
      </c>
      <c r="Y146" s="121" t="str">
        <f t="shared" ca="1" si="9"/>
        <v>#REF!</v>
      </c>
      <c r="Z146" s="121" t="str">
        <f t="shared" ca="1" si="10"/>
        <v>#REF!</v>
      </c>
      <c r="AA146" s="99" t="str">
        <f t="shared" ca="1" si="11"/>
        <v>#REF!</v>
      </c>
      <c r="AB146" s="234" t="str">
        <f t="shared" ca="1" si="12"/>
        <v>#REF!</v>
      </c>
      <c r="AC146" s="257" t="str">
        <f t="shared" ca="1" si="13"/>
        <v>#REF!</v>
      </c>
      <c r="AD146" s="234" t="str">
        <f t="shared" ca="1" si="14"/>
        <v>#REF!</v>
      </c>
      <c r="AE146" s="100" t="str">
        <f t="shared" ca="1" si="15"/>
        <v>#REF!</v>
      </c>
      <c r="AF146" s="101" t="str">
        <f t="shared" ca="1" si="16"/>
        <v>#REF!</v>
      </c>
      <c r="AG146" s="102" t="str">
        <f t="shared" ref="AG146:AH146" ca="1" si="164">AE146/V146</f>
        <v>#REF!</v>
      </c>
      <c r="AH146" s="102" t="str">
        <f t="shared" ca="1" si="164"/>
        <v>#REF!</v>
      </c>
    </row>
    <row r="147" spans="1:34" ht="13.2">
      <c r="A147" s="251"/>
      <c r="B147" s="251"/>
      <c r="C147" s="252"/>
      <c r="D147" s="252"/>
      <c r="E147" s="114"/>
      <c r="F147" s="252"/>
      <c r="G147" s="125" t="s">
        <v>145</v>
      </c>
      <c r="I147" s="172"/>
      <c r="J147" s="82" t="str">
        <f t="shared" ca="1" si="0"/>
        <v>#REF!</v>
      </c>
      <c r="K147" s="82" t="str">
        <f t="shared" ca="1" si="1"/>
        <v>#REF!</v>
      </c>
      <c r="L147" s="82" t="str">
        <f t="shared" ca="1" si="44"/>
        <v>#REF!</v>
      </c>
      <c r="M147" s="93"/>
      <c r="N147" s="93"/>
      <c r="O147" s="95">
        <f t="shared" si="2"/>
        <v>0</v>
      </c>
      <c r="P147" s="96">
        <f t="shared" si="3"/>
        <v>0</v>
      </c>
      <c r="Q147" s="97">
        <f t="shared" si="4"/>
        <v>0</v>
      </c>
      <c r="R147" s="97" t="str">
        <f ca="1">ROUNDUP(HLOOKUP(IF(CEILING(L147,0.5)&lt;1,0.5,CEILING(L147,0.5)),'배송비 조회'!A$44:AO$56,7,0)*B$3,-2)</f>
        <v>#REF!</v>
      </c>
      <c r="S147" s="97">
        <v>0</v>
      </c>
      <c r="T147" s="97" t="str">
        <f t="shared" ca="1" si="42"/>
        <v>#REF!</v>
      </c>
      <c r="U147" s="97" t="str">
        <f t="shared" ca="1" si="29"/>
        <v>#REF!</v>
      </c>
      <c r="V147" s="97" t="str">
        <f t="shared" ca="1" si="7"/>
        <v>#REF!</v>
      </c>
      <c r="W147" s="97" t="str">
        <f t="shared" ca="1" si="8"/>
        <v>#REF!</v>
      </c>
      <c r="X147" s="121">
        <v>0</v>
      </c>
      <c r="Y147" s="121" t="str">
        <f t="shared" ca="1" si="9"/>
        <v>#REF!</v>
      </c>
      <c r="Z147" s="121" t="str">
        <f t="shared" ca="1" si="10"/>
        <v>#REF!</v>
      </c>
      <c r="AA147" s="99" t="str">
        <f t="shared" ca="1" si="11"/>
        <v>#REF!</v>
      </c>
      <c r="AB147" s="234" t="str">
        <f t="shared" ca="1" si="12"/>
        <v>#REF!</v>
      </c>
      <c r="AC147" s="257" t="str">
        <f t="shared" ca="1" si="13"/>
        <v>#REF!</v>
      </c>
      <c r="AD147" s="234" t="str">
        <f t="shared" ca="1" si="14"/>
        <v>#REF!</v>
      </c>
      <c r="AE147" s="100" t="str">
        <f t="shared" ca="1" si="15"/>
        <v>#REF!</v>
      </c>
      <c r="AF147" s="101" t="str">
        <f t="shared" ca="1" si="16"/>
        <v>#REF!</v>
      </c>
      <c r="AG147" s="102" t="str">
        <f t="shared" ref="AG147:AH147" ca="1" si="165">AE147/V147</f>
        <v>#REF!</v>
      </c>
      <c r="AH147" s="102" t="str">
        <f t="shared" ca="1" si="165"/>
        <v>#REF!</v>
      </c>
    </row>
    <row r="148" spans="1:34" ht="13.2">
      <c r="A148" s="251"/>
      <c r="B148" s="251"/>
      <c r="C148" s="252"/>
      <c r="D148" s="252"/>
      <c r="E148" s="114"/>
      <c r="F148" s="252"/>
      <c r="G148" s="125" t="s">
        <v>145</v>
      </c>
      <c r="I148" s="172"/>
      <c r="J148" s="82" t="str">
        <f t="shared" ca="1" si="0"/>
        <v>#REF!</v>
      </c>
      <c r="K148" s="82" t="str">
        <f t="shared" ca="1" si="1"/>
        <v>#REF!</v>
      </c>
      <c r="L148" s="82" t="str">
        <f t="shared" ca="1" si="44"/>
        <v>#REF!</v>
      </c>
      <c r="M148" s="93"/>
      <c r="N148" s="93"/>
      <c r="O148" s="95">
        <f t="shared" si="2"/>
        <v>0</v>
      </c>
      <c r="P148" s="96">
        <f t="shared" si="3"/>
        <v>0</v>
      </c>
      <c r="Q148" s="97">
        <f t="shared" si="4"/>
        <v>0</v>
      </c>
      <c r="R148" s="97" t="str">
        <f ca="1">ROUNDUP(HLOOKUP(IF(CEILING(L148,0.5)&lt;1,0.5,CEILING(L148,0.5)),'배송비 조회'!A$44:AO$56,7,0)*B$3,-2)</f>
        <v>#REF!</v>
      </c>
      <c r="S148" s="97">
        <v>0</v>
      </c>
      <c r="T148" s="97" t="str">
        <f t="shared" ca="1" si="42"/>
        <v>#REF!</v>
      </c>
      <c r="U148" s="97" t="str">
        <f t="shared" ca="1" si="29"/>
        <v>#REF!</v>
      </c>
      <c r="V148" s="97" t="str">
        <f t="shared" ca="1" si="7"/>
        <v>#REF!</v>
      </c>
      <c r="W148" s="97" t="str">
        <f t="shared" ca="1" si="8"/>
        <v>#REF!</v>
      </c>
      <c r="X148" s="121">
        <v>0</v>
      </c>
      <c r="Y148" s="121" t="str">
        <f t="shared" ca="1" si="9"/>
        <v>#REF!</v>
      </c>
      <c r="Z148" s="121" t="str">
        <f t="shared" ca="1" si="10"/>
        <v>#REF!</v>
      </c>
      <c r="AA148" s="99" t="str">
        <f t="shared" ca="1" si="11"/>
        <v>#REF!</v>
      </c>
      <c r="AB148" s="234" t="str">
        <f t="shared" ca="1" si="12"/>
        <v>#REF!</v>
      </c>
      <c r="AC148" s="257" t="str">
        <f t="shared" ca="1" si="13"/>
        <v>#REF!</v>
      </c>
      <c r="AD148" s="234" t="str">
        <f t="shared" ca="1" si="14"/>
        <v>#REF!</v>
      </c>
      <c r="AE148" s="100" t="str">
        <f t="shared" ca="1" si="15"/>
        <v>#REF!</v>
      </c>
      <c r="AF148" s="101" t="str">
        <f t="shared" ca="1" si="16"/>
        <v>#REF!</v>
      </c>
      <c r="AG148" s="102" t="str">
        <f t="shared" ref="AG148:AH148" ca="1" si="166">AE148/V148</f>
        <v>#REF!</v>
      </c>
      <c r="AH148" s="102" t="str">
        <f t="shared" ca="1" si="166"/>
        <v>#REF!</v>
      </c>
    </row>
    <row r="149" spans="1:34" ht="13.2">
      <c r="A149" s="251"/>
      <c r="B149" s="251"/>
      <c r="C149" s="252"/>
      <c r="D149" s="252"/>
      <c r="E149" s="114"/>
      <c r="F149" s="252"/>
      <c r="G149" s="125" t="s">
        <v>145</v>
      </c>
      <c r="I149" s="172"/>
      <c r="J149" s="82" t="str">
        <f t="shared" ca="1" si="0"/>
        <v>#REF!</v>
      </c>
      <c r="K149" s="82" t="str">
        <f t="shared" ca="1" si="1"/>
        <v>#REF!</v>
      </c>
      <c r="L149" s="82" t="str">
        <f t="shared" ca="1" si="44"/>
        <v>#REF!</v>
      </c>
      <c r="M149" s="93"/>
      <c r="N149" s="93"/>
      <c r="O149" s="95">
        <f t="shared" si="2"/>
        <v>0</v>
      </c>
      <c r="P149" s="96">
        <f t="shared" si="3"/>
        <v>0</v>
      </c>
      <c r="Q149" s="97">
        <f t="shared" si="4"/>
        <v>0</v>
      </c>
      <c r="R149" s="97" t="str">
        <f ca="1">ROUNDUP(HLOOKUP(IF(CEILING(L149,0.5)&lt;1,0.5,CEILING(L149,0.5)),'배송비 조회'!A$44:AO$56,7,0)*B$3,-2)</f>
        <v>#REF!</v>
      </c>
      <c r="S149" s="97">
        <v>0</v>
      </c>
      <c r="T149" s="97" t="str">
        <f t="shared" ca="1" si="42"/>
        <v>#REF!</v>
      </c>
      <c r="U149" s="97" t="str">
        <f t="shared" ca="1" si="29"/>
        <v>#REF!</v>
      </c>
      <c r="V149" s="97" t="str">
        <f t="shared" ca="1" si="7"/>
        <v>#REF!</v>
      </c>
      <c r="W149" s="97" t="str">
        <f t="shared" ca="1" si="8"/>
        <v>#REF!</v>
      </c>
      <c r="X149" s="121">
        <v>0</v>
      </c>
      <c r="Y149" s="121" t="str">
        <f t="shared" ca="1" si="9"/>
        <v>#REF!</v>
      </c>
      <c r="Z149" s="121" t="str">
        <f t="shared" ca="1" si="10"/>
        <v>#REF!</v>
      </c>
      <c r="AA149" s="99" t="str">
        <f t="shared" ca="1" si="11"/>
        <v>#REF!</v>
      </c>
      <c r="AB149" s="234" t="str">
        <f t="shared" ca="1" si="12"/>
        <v>#REF!</v>
      </c>
      <c r="AC149" s="257" t="str">
        <f t="shared" ca="1" si="13"/>
        <v>#REF!</v>
      </c>
      <c r="AD149" s="234" t="str">
        <f t="shared" ca="1" si="14"/>
        <v>#REF!</v>
      </c>
      <c r="AE149" s="100" t="str">
        <f t="shared" ca="1" si="15"/>
        <v>#REF!</v>
      </c>
      <c r="AF149" s="101" t="str">
        <f t="shared" ca="1" si="16"/>
        <v>#REF!</v>
      </c>
      <c r="AG149" s="102" t="str">
        <f t="shared" ref="AG149:AH149" ca="1" si="167">AE149/V149</f>
        <v>#REF!</v>
      </c>
      <c r="AH149" s="102" t="str">
        <f t="shared" ca="1" si="167"/>
        <v>#REF!</v>
      </c>
    </row>
    <row r="150" spans="1:34" ht="13.2">
      <c r="A150" s="251"/>
      <c r="B150" s="251"/>
      <c r="C150" s="252"/>
      <c r="D150" s="252"/>
      <c r="E150" s="114"/>
      <c r="F150" s="252"/>
      <c r="G150" s="125" t="s">
        <v>145</v>
      </c>
      <c r="I150" s="172"/>
      <c r="J150" s="82" t="str">
        <f t="shared" ca="1" si="0"/>
        <v>#REF!</v>
      </c>
      <c r="K150" s="82" t="str">
        <f t="shared" ca="1" si="1"/>
        <v>#REF!</v>
      </c>
      <c r="L150" s="82" t="str">
        <f t="shared" ca="1" si="44"/>
        <v>#REF!</v>
      </c>
      <c r="M150" s="93"/>
      <c r="N150" s="93"/>
      <c r="O150" s="95">
        <f t="shared" si="2"/>
        <v>0</v>
      </c>
      <c r="P150" s="96">
        <f t="shared" si="3"/>
        <v>0</v>
      </c>
      <c r="Q150" s="97">
        <f t="shared" si="4"/>
        <v>0</v>
      </c>
      <c r="R150" s="97" t="str">
        <f ca="1">ROUNDUP(HLOOKUP(IF(CEILING(L150,0.5)&lt;1,0.5,CEILING(L150,0.5)),'배송비 조회'!A$44:AO$56,7,0)*B$3,-2)</f>
        <v>#REF!</v>
      </c>
      <c r="S150" s="97">
        <v>0</v>
      </c>
      <c r="T150" s="97" t="str">
        <f t="shared" ca="1" si="42"/>
        <v>#REF!</v>
      </c>
      <c r="U150" s="97" t="str">
        <f t="shared" ca="1" si="29"/>
        <v>#REF!</v>
      </c>
      <c r="V150" s="97" t="str">
        <f t="shared" ca="1" si="7"/>
        <v>#REF!</v>
      </c>
      <c r="W150" s="97" t="str">
        <f t="shared" ca="1" si="8"/>
        <v>#REF!</v>
      </c>
      <c r="X150" s="121">
        <v>0</v>
      </c>
      <c r="Y150" s="121" t="str">
        <f t="shared" ca="1" si="9"/>
        <v>#REF!</v>
      </c>
      <c r="Z150" s="121" t="str">
        <f t="shared" ca="1" si="10"/>
        <v>#REF!</v>
      </c>
      <c r="AA150" s="99" t="str">
        <f t="shared" ca="1" si="11"/>
        <v>#REF!</v>
      </c>
      <c r="AB150" s="234" t="str">
        <f t="shared" ca="1" si="12"/>
        <v>#REF!</v>
      </c>
      <c r="AC150" s="257" t="str">
        <f t="shared" ca="1" si="13"/>
        <v>#REF!</v>
      </c>
      <c r="AD150" s="234" t="str">
        <f t="shared" ca="1" si="14"/>
        <v>#REF!</v>
      </c>
      <c r="AE150" s="100" t="str">
        <f t="shared" ca="1" si="15"/>
        <v>#REF!</v>
      </c>
      <c r="AF150" s="101" t="str">
        <f t="shared" ca="1" si="16"/>
        <v>#REF!</v>
      </c>
      <c r="AG150" s="102" t="str">
        <f t="shared" ref="AG150:AH150" ca="1" si="168">AE150/V150</f>
        <v>#REF!</v>
      </c>
      <c r="AH150" s="102" t="str">
        <f t="shared" ca="1" si="168"/>
        <v>#REF!</v>
      </c>
    </row>
    <row r="151" spans="1:34" ht="13.2">
      <c r="A151" s="251"/>
      <c r="B151" s="251"/>
      <c r="C151" s="252"/>
      <c r="D151" s="252"/>
      <c r="E151" s="114"/>
      <c r="F151" s="252"/>
      <c r="G151" s="125" t="s">
        <v>145</v>
      </c>
      <c r="I151" s="172"/>
      <c r="J151" s="82" t="str">
        <f t="shared" ca="1" si="0"/>
        <v>#REF!</v>
      </c>
      <c r="K151" s="82" t="str">
        <f t="shared" ca="1" si="1"/>
        <v>#REF!</v>
      </c>
      <c r="L151" s="82" t="str">
        <f t="shared" ca="1" si="44"/>
        <v>#REF!</v>
      </c>
      <c r="M151" s="93"/>
      <c r="N151" s="93"/>
      <c r="O151" s="95">
        <f t="shared" si="2"/>
        <v>0</v>
      </c>
      <c r="P151" s="96">
        <f t="shared" si="3"/>
        <v>0</v>
      </c>
      <c r="Q151" s="97">
        <f t="shared" si="4"/>
        <v>0</v>
      </c>
      <c r="R151" s="97" t="str">
        <f ca="1">ROUNDUP(HLOOKUP(IF(CEILING(L151,0.5)&lt;1,0.5,CEILING(L151,0.5)),'배송비 조회'!A$44:AO$56,7,0)*B$3,-2)</f>
        <v>#REF!</v>
      </c>
      <c r="S151" s="97">
        <v>0</v>
      </c>
      <c r="T151" s="97" t="str">
        <f t="shared" ca="1" si="42"/>
        <v>#REF!</v>
      </c>
      <c r="U151" s="97" t="str">
        <f t="shared" ca="1" si="29"/>
        <v>#REF!</v>
      </c>
      <c r="V151" s="97" t="str">
        <f t="shared" ca="1" si="7"/>
        <v>#REF!</v>
      </c>
      <c r="W151" s="97" t="str">
        <f t="shared" ca="1" si="8"/>
        <v>#REF!</v>
      </c>
      <c r="X151" s="121">
        <v>0</v>
      </c>
      <c r="Y151" s="121" t="str">
        <f t="shared" ca="1" si="9"/>
        <v>#REF!</v>
      </c>
      <c r="Z151" s="121" t="str">
        <f t="shared" ca="1" si="10"/>
        <v>#REF!</v>
      </c>
      <c r="AA151" s="99" t="str">
        <f t="shared" ca="1" si="11"/>
        <v>#REF!</v>
      </c>
      <c r="AB151" s="234" t="str">
        <f t="shared" ca="1" si="12"/>
        <v>#REF!</v>
      </c>
      <c r="AC151" s="257" t="str">
        <f t="shared" ca="1" si="13"/>
        <v>#REF!</v>
      </c>
      <c r="AD151" s="234" t="str">
        <f t="shared" ca="1" si="14"/>
        <v>#REF!</v>
      </c>
      <c r="AE151" s="100" t="str">
        <f t="shared" ca="1" si="15"/>
        <v>#REF!</v>
      </c>
      <c r="AF151" s="101" t="str">
        <f t="shared" ca="1" si="16"/>
        <v>#REF!</v>
      </c>
      <c r="AG151" s="102" t="str">
        <f t="shared" ref="AG151:AH151" ca="1" si="169">AE151/V151</f>
        <v>#REF!</v>
      </c>
      <c r="AH151" s="102" t="str">
        <f t="shared" ca="1" si="169"/>
        <v>#REF!</v>
      </c>
    </row>
    <row r="152" spans="1:34" ht="13.2">
      <c r="A152" s="251"/>
      <c r="B152" s="251"/>
      <c r="C152" s="252"/>
      <c r="D152" s="252"/>
      <c r="E152" s="114"/>
      <c r="F152" s="252"/>
      <c r="G152" s="125" t="s">
        <v>145</v>
      </c>
      <c r="I152" s="172"/>
      <c r="J152" s="82" t="str">
        <f t="shared" ca="1" si="0"/>
        <v>#REF!</v>
      </c>
      <c r="K152" s="82" t="str">
        <f t="shared" ca="1" si="1"/>
        <v>#REF!</v>
      </c>
      <c r="L152" s="82" t="str">
        <f t="shared" ca="1" si="44"/>
        <v>#REF!</v>
      </c>
      <c r="M152" s="93"/>
      <c r="N152" s="93"/>
      <c r="O152" s="95">
        <f t="shared" si="2"/>
        <v>0</v>
      </c>
      <c r="P152" s="96">
        <f t="shared" si="3"/>
        <v>0</v>
      </c>
      <c r="Q152" s="97">
        <f t="shared" si="4"/>
        <v>0</v>
      </c>
      <c r="R152" s="97" t="str">
        <f ca="1">ROUNDUP(HLOOKUP(IF(CEILING(L152,0.5)&lt;1,0.5,CEILING(L152,0.5)),'배송비 조회'!A$44:AO$56,7,0)*B$3,-2)</f>
        <v>#REF!</v>
      </c>
      <c r="S152" s="97">
        <v>0</v>
      </c>
      <c r="T152" s="97" t="str">
        <f t="shared" ca="1" si="42"/>
        <v>#REF!</v>
      </c>
      <c r="U152" s="97" t="str">
        <f t="shared" ca="1" si="29"/>
        <v>#REF!</v>
      </c>
      <c r="V152" s="97" t="str">
        <f t="shared" ca="1" si="7"/>
        <v>#REF!</v>
      </c>
      <c r="W152" s="97" t="str">
        <f t="shared" ca="1" si="8"/>
        <v>#REF!</v>
      </c>
      <c r="X152" s="121">
        <v>0</v>
      </c>
      <c r="Y152" s="121" t="str">
        <f t="shared" ca="1" si="9"/>
        <v>#REF!</v>
      </c>
      <c r="Z152" s="121" t="str">
        <f t="shared" ca="1" si="10"/>
        <v>#REF!</v>
      </c>
      <c r="AA152" s="99" t="str">
        <f t="shared" ca="1" si="11"/>
        <v>#REF!</v>
      </c>
      <c r="AB152" s="234" t="str">
        <f t="shared" ca="1" si="12"/>
        <v>#REF!</v>
      </c>
      <c r="AC152" s="257" t="str">
        <f t="shared" ca="1" si="13"/>
        <v>#REF!</v>
      </c>
      <c r="AD152" s="234" t="str">
        <f t="shared" ca="1" si="14"/>
        <v>#REF!</v>
      </c>
      <c r="AE152" s="100" t="str">
        <f t="shared" ca="1" si="15"/>
        <v>#REF!</v>
      </c>
      <c r="AF152" s="101" t="str">
        <f t="shared" ca="1" si="16"/>
        <v>#REF!</v>
      </c>
      <c r="AG152" s="102" t="str">
        <f t="shared" ref="AG152:AH152" ca="1" si="170">AE152/V152</f>
        <v>#REF!</v>
      </c>
      <c r="AH152" s="102" t="str">
        <f t="shared" ca="1" si="170"/>
        <v>#REF!</v>
      </c>
    </row>
    <row r="153" spans="1:34" ht="13.2">
      <c r="A153" s="251"/>
      <c r="B153" s="251"/>
      <c r="C153" s="252"/>
      <c r="D153" s="252"/>
      <c r="E153" s="114"/>
      <c r="F153" s="252"/>
      <c r="G153" s="125" t="s">
        <v>145</v>
      </c>
      <c r="I153" s="172"/>
      <c r="J153" s="82" t="str">
        <f t="shared" ca="1" si="0"/>
        <v>#REF!</v>
      </c>
      <c r="K153" s="82" t="str">
        <f t="shared" ca="1" si="1"/>
        <v>#REF!</v>
      </c>
      <c r="L153" s="82" t="str">
        <f t="shared" ca="1" si="44"/>
        <v>#REF!</v>
      </c>
      <c r="M153" s="93"/>
      <c r="N153" s="93"/>
      <c r="O153" s="95">
        <f t="shared" si="2"/>
        <v>0</v>
      </c>
      <c r="P153" s="96">
        <f t="shared" si="3"/>
        <v>0</v>
      </c>
      <c r="Q153" s="97">
        <f t="shared" si="4"/>
        <v>0</v>
      </c>
      <c r="R153" s="97" t="str">
        <f ca="1">ROUNDUP(HLOOKUP(IF(CEILING(L153,0.5)&lt;1,0.5,CEILING(L153,0.5)),'배송비 조회'!A$44:AO$56,7,0)*B$3,-2)</f>
        <v>#REF!</v>
      </c>
      <c r="S153" s="97">
        <v>0</v>
      </c>
      <c r="T153" s="97" t="str">
        <f t="shared" ca="1" si="42"/>
        <v>#REF!</v>
      </c>
      <c r="U153" s="97" t="str">
        <f t="shared" ca="1" si="29"/>
        <v>#REF!</v>
      </c>
      <c r="V153" s="97" t="str">
        <f t="shared" ca="1" si="7"/>
        <v>#REF!</v>
      </c>
      <c r="W153" s="97" t="str">
        <f t="shared" ca="1" si="8"/>
        <v>#REF!</v>
      </c>
      <c r="X153" s="121">
        <v>0</v>
      </c>
      <c r="Y153" s="121" t="str">
        <f t="shared" ca="1" si="9"/>
        <v>#REF!</v>
      </c>
      <c r="Z153" s="121" t="str">
        <f t="shared" ca="1" si="10"/>
        <v>#REF!</v>
      </c>
      <c r="AA153" s="99" t="str">
        <f t="shared" ca="1" si="11"/>
        <v>#REF!</v>
      </c>
      <c r="AB153" s="234" t="str">
        <f t="shared" ca="1" si="12"/>
        <v>#REF!</v>
      </c>
      <c r="AC153" s="257" t="str">
        <f t="shared" ca="1" si="13"/>
        <v>#REF!</v>
      </c>
      <c r="AD153" s="234" t="str">
        <f t="shared" ca="1" si="14"/>
        <v>#REF!</v>
      </c>
      <c r="AE153" s="100" t="str">
        <f t="shared" ca="1" si="15"/>
        <v>#REF!</v>
      </c>
      <c r="AF153" s="101" t="str">
        <f t="shared" ca="1" si="16"/>
        <v>#REF!</v>
      </c>
      <c r="AG153" s="102" t="str">
        <f t="shared" ref="AG153:AH153" ca="1" si="171">AE153/V153</f>
        <v>#REF!</v>
      </c>
      <c r="AH153" s="102" t="str">
        <f t="shared" ca="1" si="171"/>
        <v>#REF!</v>
      </c>
    </row>
    <row r="154" spans="1:34" ht="13.2">
      <c r="A154" s="251"/>
      <c r="B154" s="251"/>
      <c r="C154" s="252"/>
      <c r="D154" s="252"/>
      <c r="E154" s="114"/>
      <c r="F154" s="252"/>
      <c r="G154" s="125" t="s">
        <v>145</v>
      </c>
      <c r="I154" s="172"/>
      <c r="J154" s="82" t="str">
        <f t="shared" ca="1" si="0"/>
        <v>#REF!</v>
      </c>
      <c r="K154" s="82" t="str">
        <f t="shared" ca="1" si="1"/>
        <v>#REF!</v>
      </c>
      <c r="L154" s="82" t="str">
        <f t="shared" ca="1" si="44"/>
        <v>#REF!</v>
      </c>
      <c r="M154" s="93"/>
      <c r="N154" s="93"/>
      <c r="O154" s="95">
        <f t="shared" si="2"/>
        <v>0</v>
      </c>
      <c r="P154" s="96">
        <f t="shared" si="3"/>
        <v>0</v>
      </c>
      <c r="Q154" s="97">
        <f t="shared" si="4"/>
        <v>0</v>
      </c>
      <c r="R154" s="97" t="str">
        <f ca="1">ROUNDUP(HLOOKUP(IF(CEILING(L154,0.5)&lt;1,0.5,CEILING(L154,0.5)),'배송비 조회'!A$44:AO$56,7,0)*B$3,-2)</f>
        <v>#REF!</v>
      </c>
      <c r="S154" s="97">
        <v>0</v>
      </c>
      <c r="T154" s="97" t="str">
        <f t="shared" ca="1" si="42"/>
        <v>#REF!</v>
      </c>
      <c r="U154" s="97" t="str">
        <f t="shared" ca="1" si="29"/>
        <v>#REF!</v>
      </c>
      <c r="V154" s="97" t="str">
        <f t="shared" ca="1" si="7"/>
        <v>#REF!</v>
      </c>
      <c r="W154" s="97" t="str">
        <f t="shared" ca="1" si="8"/>
        <v>#REF!</v>
      </c>
      <c r="X154" s="121">
        <v>0</v>
      </c>
      <c r="Y154" s="121" t="str">
        <f t="shared" ca="1" si="9"/>
        <v>#REF!</v>
      </c>
      <c r="Z154" s="121" t="str">
        <f t="shared" ca="1" si="10"/>
        <v>#REF!</v>
      </c>
      <c r="AA154" s="99" t="str">
        <f t="shared" ca="1" si="11"/>
        <v>#REF!</v>
      </c>
      <c r="AB154" s="234" t="str">
        <f t="shared" ca="1" si="12"/>
        <v>#REF!</v>
      </c>
      <c r="AC154" s="257" t="str">
        <f t="shared" ca="1" si="13"/>
        <v>#REF!</v>
      </c>
      <c r="AD154" s="234" t="str">
        <f t="shared" ca="1" si="14"/>
        <v>#REF!</v>
      </c>
      <c r="AE154" s="100" t="str">
        <f t="shared" ca="1" si="15"/>
        <v>#REF!</v>
      </c>
      <c r="AF154" s="101" t="str">
        <f t="shared" ca="1" si="16"/>
        <v>#REF!</v>
      </c>
      <c r="AG154" s="102" t="str">
        <f t="shared" ref="AG154:AH154" ca="1" si="172">AE154/V154</f>
        <v>#REF!</v>
      </c>
      <c r="AH154" s="102" t="str">
        <f t="shared" ca="1" si="172"/>
        <v>#REF!</v>
      </c>
    </row>
    <row r="155" spans="1:34" ht="13.2">
      <c r="A155" s="251"/>
      <c r="B155" s="251"/>
      <c r="C155" s="252"/>
      <c r="D155" s="252"/>
      <c r="E155" s="114"/>
      <c r="F155" s="252"/>
      <c r="G155" s="125" t="s">
        <v>145</v>
      </c>
      <c r="I155" s="172"/>
      <c r="J155" s="82" t="str">
        <f t="shared" ca="1" si="0"/>
        <v>#REF!</v>
      </c>
      <c r="K155" s="82" t="str">
        <f t="shared" ca="1" si="1"/>
        <v>#REF!</v>
      </c>
      <c r="L155" s="82" t="str">
        <f t="shared" ca="1" si="44"/>
        <v>#REF!</v>
      </c>
      <c r="M155" s="93"/>
      <c r="N155" s="93"/>
      <c r="O155" s="95">
        <f t="shared" si="2"/>
        <v>0</v>
      </c>
      <c r="P155" s="96">
        <f t="shared" si="3"/>
        <v>0</v>
      </c>
      <c r="Q155" s="97">
        <f t="shared" si="4"/>
        <v>0</v>
      </c>
      <c r="R155" s="97" t="str">
        <f ca="1">ROUNDUP(HLOOKUP(IF(CEILING(L155,0.5)&lt;1,0.5,CEILING(L155,0.5)),'배송비 조회'!A$44:AO$56,7,0)*B$3,-2)</f>
        <v>#REF!</v>
      </c>
      <c r="S155" s="97">
        <v>0</v>
      </c>
      <c r="T155" s="97" t="str">
        <f t="shared" ca="1" si="42"/>
        <v>#REF!</v>
      </c>
      <c r="U155" s="97" t="str">
        <f t="shared" ca="1" si="29"/>
        <v>#REF!</v>
      </c>
      <c r="V155" s="97" t="str">
        <f t="shared" ca="1" si="7"/>
        <v>#REF!</v>
      </c>
      <c r="W155" s="97" t="str">
        <f t="shared" ca="1" si="8"/>
        <v>#REF!</v>
      </c>
      <c r="X155" s="121">
        <v>0</v>
      </c>
      <c r="Y155" s="121" t="str">
        <f t="shared" ca="1" si="9"/>
        <v>#REF!</v>
      </c>
      <c r="Z155" s="121" t="str">
        <f t="shared" ca="1" si="10"/>
        <v>#REF!</v>
      </c>
      <c r="AA155" s="99" t="str">
        <f t="shared" ca="1" si="11"/>
        <v>#REF!</v>
      </c>
      <c r="AB155" s="234" t="str">
        <f t="shared" ca="1" si="12"/>
        <v>#REF!</v>
      </c>
      <c r="AC155" s="257" t="str">
        <f t="shared" ca="1" si="13"/>
        <v>#REF!</v>
      </c>
      <c r="AD155" s="234" t="str">
        <f t="shared" ca="1" si="14"/>
        <v>#REF!</v>
      </c>
      <c r="AE155" s="100" t="str">
        <f t="shared" ca="1" si="15"/>
        <v>#REF!</v>
      </c>
      <c r="AF155" s="101" t="str">
        <f t="shared" ca="1" si="16"/>
        <v>#REF!</v>
      </c>
      <c r="AG155" s="102" t="str">
        <f t="shared" ref="AG155:AH155" ca="1" si="173">AE155/V155</f>
        <v>#REF!</v>
      </c>
      <c r="AH155" s="102" t="str">
        <f t="shared" ca="1" si="173"/>
        <v>#REF!</v>
      </c>
    </row>
    <row r="156" spans="1:34" ht="13.2">
      <c r="A156" s="251"/>
      <c r="B156" s="251"/>
      <c r="C156" s="252"/>
      <c r="D156" s="252"/>
      <c r="E156" s="114"/>
      <c r="F156" s="252"/>
      <c r="G156" s="125" t="s">
        <v>145</v>
      </c>
      <c r="I156" s="172"/>
      <c r="J156" s="82" t="str">
        <f t="shared" ca="1" si="0"/>
        <v>#REF!</v>
      </c>
      <c r="K156" s="82" t="str">
        <f t="shared" ca="1" si="1"/>
        <v>#REF!</v>
      </c>
      <c r="L156" s="82" t="str">
        <f t="shared" ca="1" si="44"/>
        <v>#REF!</v>
      </c>
      <c r="M156" s="93"/>
      <c r="N156" s="93"/>
      <c r="O156" s="95">
        <f t="shared" si="2"/>
        <v>0</v>
      </c>
      <c r="P156" s="96">
        <f t="shared" si="3"/>
        <v>0</v>
      </c>
      <c r="Q156" s="97">
        <f t="shared" si="4"/>
        <v>0</v>
      </c>
      <c r="R156" s="97" t="str">
        <f ca="1">ROUNDUP(HLOOKUP(IF(CEILING(L156,0.5)&lt;1,0.5,CEILING(L156,0.5)),'배송비 조회'!A$44:AO$56,7,0)*B$3,-2)</f>
        <v>#REF!</v>
      </c>
      <c r="S156" s="97">
        <v>0</v>
      </c>
      <c r="T156" s="97" t="str">
        <f t="shared" ca="1" si="42"/>
        <v>#REF!</v>
      </c>
      <c r="U156" s="97" t="str">
        <f t="shared" ca="1" si="29"/>
        <v>#REF!</v>
      </c>
      <c r="V156" s="97" t="str">
        <f t="shared" ca="1" si="7"/>
        <v>#REF!</v>
      </c>
      <c r="W156" s="97" t="str">
        <f t="shared" ca="1" si="8"/>
        <v>#REF!</v>
      </c>
      <c r="X156" s="121">
        <v>0</v>
      </c>
      <c r="Y156" s="121" t="str">
        <f t="shared" ca="1" si="9"/>
        <v>#REF!</v>
      </c>
      <c r="Z156" s="121" t="str">
        <f t="shared" ca="1" si="10"/>
        <v>#REF!</v>
      </c>
      <c r="AA156" s="99" t="str">
        <f t="shared" ca="1" si="11"/>
        <v>#REF!</v>
      </c>
      <c r="AB156" s="234" t="str">
        <f t="shared" ca="1" si="12"/>
        <v>#REF!</v>
      </c>
      <c r="AC156" s="257" t="str">
        <f t="shared" ca="1" si="13"/>
        <v>#REF!</v>
      </c>
      <c r="AD156" s="234" t="str">
        <f t="shared" ca="1" si="14"/>
        <v>#REF!</v>
      </c>
      <c r="AE156" s="100" t="str">
        <f t="shared" ca="1" si="15"/>
        <v>#REF!</v>
      </c>
      <c r="AF156" s="101" t="str">
        <f t="shared" ca="1" si="16"/>
        <v>#REF!</v>
      </c>
      <c r="AG156" s="102" t="str">
        <f t="shared" ref="AG156:AH156" ca="1" si="174">AE156/V156</f>
        <v>#REF!</v>
      </c>
      <c r="AH156" s="102" t="str">
        <f t="shared" ca="1" si="174"/>
        <v>#REF!</v>
      </c>
    </row>
    <row r="157" spans="1:34" ht="13.2">
      <c r="A157" s="251"/>
      <c r="B157" s="251"/>
      <c r="C157" s="252"/>
      <c r="D157" s="252"/>
      <c r="E157" s="114"/>
      <c r="F157" s="252"/>
      <c r="G157" s="125" t="s">
        <v>145</v>
      </c>
      <c r="I157" s="172"/>
      <c r="J157" s="82" t="str">
        <f t="shared" ca="1" si="0"/>
        <v>#REF!</v>
      </c>
      <c r="K157" s="82" t="str">
        <f t="shared" ca="1" si="1"/>
        <v>#REF!</v>
      </c>
      <c r="L157" s="82" t="str">
        <f t="shared" ca="1" si="44"/>
        <v>#REF!</v>
      </c>
      <c r="M157" s="93"/>
      <c r="N157" s="93"/>
      <c r="O157" s="95">
        <f t="shared" si="2"/>
        <v>0</v>
      </c>
      <c r="P157" s="96">
        <f t="shared" si="3"/>
        <v>0</v>
      </c>
      <c r="Q157" s="97">
        <f t="shared" si="4"/>
        <v>0</v>
      </c>
      <c r="R157" s="97" t="str">
        <f ca="1">ROUNDUP(HLOOKUP(IF(CEILING(L157,0.5)&lt;1,0.5,CEILING(L157,0.5)),'배송비 조회'!A$44:AO$56,7,0)*B$3,-2)</f>
        <v>#REF!</v>
      </c>
      <c r="S157" s="97">
        <v>0</v>
      </c>
      <c r="T157" s="97" t="str">
        <f t="shared" ca="1" si="42"/>
        <v>#REF!</v>
      </c>
      <c r="U157" s="97" t="str">
        <f t="shared" ca="1" si="29"/>
        <v>#REF!</v>
      </c>
      <c r="V157" s="97" t="str">
        <f t="shared" ca="1" si="7"/>
        <v>#REF!</v>
      </c>
      <c r="W157" s="97" t="str">
        <f t="shared" ca="1" si="8"/>
        <v>#REF!</v>
      </c>
      <c r="X157" s="121">
        <v>0</v>
      </c>
      <c r="Y157" s="121" t="str">
        <f t="shared" ca="1" si="9"/>
        <v>#REF!</v>
      </c>
      <c r="Z157" s="121" t="str">
        <f t="shared" ca="1" si="10"/>
        <v>#REF!</v>
      </c>
      <c r="AA157" s="99" t="str">
        <f t="shared" ca="1" si="11"/>
        <v>#REF!</v>
      </c>
      <c r="AB157" s="234" t="str">
        <f t="shared" ca="1" si="12"/>
        <v>#REF!</v>
      </c>
      <c r="AC157" s="257" t="str">
        <f t="shared" ca="1" si="13"/>
        <v>#REF!</v>
      </c>
      <c r="AD157" s="234" t="str">
        <f t="shared" ca="1" si="14"/>
        <v>#REF!</v>
      </c>
      <c r="AE157" s="100" t="str">
        <f t="shared" ca="1" si="15"/>
        <v>#REF!</v>
      </c>
      <c r="AF157" s="101" t="str">
        <f t="shared" ca="1" si="16"/>
        <v>#REF!</v>
      </c>
      <c r="AG157" s="102" t="str">
        <f t="shared" ref="AG157:AH157" ca="1" si="175">AE157/V157</f>
        <v>#REF!</v>
      </c>
      <c r="AH157" s="102" t="str">
        <f t="shared" ca="1" si="175"/>
        <v>#REF!</v>
      </c>
    </row>
    <row r="158" spans="1:34" ht="13.2">
      <c r="A158" s="251"/>
      <c r="B158" s="251"/>
      <c r="C158" s="252"/>
      <c r="D158" s="252"/>
      <c r="E158" s="114"/>
      <c r="F158" s="252"/>
      <c r="G158" s="125" t="s">
        <v>145</v>
      </c>
      <c r="I158" s="172"/>
      <c r="J158" s="82" t="str">
        <f t="shared" ca="1" si="0"/>
        <v>#REF!</v>
      </c>
      <c r="K158" s="82" t="str">
        <f t="shared" ca="1" si="1"/>
        <v>#REF!</v>
      </c>
      <c r="L158" s="82" t="str">
        <f t="shared" ca="1" si="44"/>
        <v>#REF!</v>
      </c>
      <c r="M158" s="93"/>
      <c r="N158" s="93"/>
      <c r="O158" s="95">
        <f t="shared" si="2"/>
        <v>0</v>
      </c>
      <c r="P158" s="96">
        <f t="shared" si="3"/>
        <v>0</v>
      </c>
      <c r="Q158" s="97">
        <f t="shared" si="4"/>
        <v>0</v>
      </c>
      <c r="R158" s="97" t="str">
        <f ca="1">ROUNDUP(HLOOKUP(IF(CEILING(L158,0.5)&lt;1,0.5,CEILING(L158,0.5)),'배송비 조회'!A$44:AO$56,7,0)*B$3,-2)</f>
        <v>#REF!</v>
      </c>
      <c r="S158" s="97">
        <v>0</v>
      </c>
      <c r="T158" s="97" t="str">
        <f t="shared" ca="1" si="42"/>
        <v>#REF!</v>
      </c>
      <c r="U158" s="97" t="str">
        <f t="shared" ca="1" si="29"/>
        <v>#REF!</v>
      </c>
      <c r="V158" s="97" t="str">
        <f t="shared" ca="1" si="7"/>
        <v>#REF!</v>
      </c>
      <c r="W158" s="97" t="str">
        <f t="shared" ca="1" si="8"/>
        <v>#REF!</v>
      </c>
      <c r="X158" s="121">
        <v>0</v>
      </c>
      <c r="Y158" s="121" t="str">
        <f t="shared" ca="1" si="9"/>
        <v>#REF!</v>
      </c>
      <c r="Z158" s="121" t="str">
        <f t="shared" ca="1" si="10"/>
        <v>#REF!</v>
      </c>
      <c r="AA158" s="99" t="str">
        <f t="shared" ca="1" si="11"/>
        <v>#REF!</v>
      </c>
      <c r="AB158" s="234" t="str">
        <f t="shared" ca="1" si="12"/>
        <v>#REF!</v>
      </c>
      <c r="AC158" s="257" t="str">
        <f t="shared" ca="1" si="13"/>
        <v>#REF!</v>
      </c>
      <c r="AD158" s="234" t="str">
        <f t="shared" ca="1" si="14"/>
        <v>#REF!</v>
      </c>
      <c r="AE158" s="100" t="str">
        <f t="shared" ca="1" si="15"/>
        <v>#REF!</v>
      </c>
      <c r="AF158" s="101" t="str">
        <f t="shared" ca="1" si="16"/>
        <v>#REF!</v>
      </c>
      <c r="AG158" s="102" t="str">
        <f t="shared" ref="AG158:AH158" ca="1" si="176">AE158/V158</f>
        <v>#REF!</v>
      </c>
      <c r="AH158" s="102" t="str">
        <f t="shared" ca="1" si="176"/>
        <v>#REF!</v>
      </c>
    </row>
    <row r="159" spans="1:34" ht="13.2">
      <c r="A159" s="251"/>
      <c r="B159" s="251"/>
      <c r="C159" s="252"/>
      <c r="D159" s="252"/>
      <c r="E159" s="114"/>
      <c r="F159" s="252"/>
      <c r="G159" s="125" t="s">
        <v>145</v>
      </c>
      <c r="I159" s="172"/>
      <c r="J159" s="82" t="str">
        <f t="shared" ca="1" si="0"/>
        <v>#REF!</v>
      </c>
      <c r="K159" s="82" t="str">
        <f t="shared" ca="1" si="1"/>
        <v>#REF!</v>
      </c>
      <c r="L159" s="82" t="str">
        <f t="shared" ca="1" si="44"/>
        <v>#REF!</v>
      </c>
      <c r="M159" s="93"/>
      <c r="N159" s="93"/>
      <c r="O159" s="95">
        <f t="shared" si="2"/>
        <v>0</v>
      </c>
      <c r="P159" s="96">
        <f t="shared" si="3"/>
        <v>0</v>
      </c>
      <c r="Q159" s="97">
        <f t="shared" si="4"/>
        <v>0</v>
      </c>
      <c r="R159" s="97" t="str">
        <f ca="1">ROUNDUP(HLOOKUP(IF(CEILING(L159,0.5)&lt;1,0.5,CEILING(L159,0.5)),'배송비 조회'!A$44:AO$56,7,0)*B$3,-2)</f>
        <v>#REF!</v>
      </c>
      <c r="S159" s="97">
        <v>0</v>
      </c>
      <c r="T159" s="97" t="str">
        <f t="shared" ca="1" si="42"/>
        <v>#REF!</v>
      </c>
      <c r="U159" s="97" t="str">
        <f t="shared" ca="1" si="29"/>
        <v>#REF!</v>
      </c>
      <c r="V159" s="97" t="str">
        <f t="shared" ca="1" si="7"/>
        <v>#REF!</v>
      </c>
      <c r="W159" s="97" t="str">
        <f t="shared" ca="1" si="8"/>
        <v>#REF!</v>
      </c>
      <c r="X159" s="121">
        <v>0</v>
      </c>
      <c r="Y159" s="121" t="str">
        <f t="shared" ca="1" si="9"/>
        <v>#REF!</v>
      </c>
      <c r="Z159" s="121" t="str">
        <f t="shared" ca="1" si="10"/>
        <v>#REF!</v>
      </c>
      <c r="AA159" s="99" t="str">
        <f t="shared" ca="1" si="11"/>
        <v>#REF!</v>
      </c>
      <c r="AB159" s="234" t="str">
        <f t="shared" ca="1" si="12"/>
        <v>#REF!</v>
      </c>
      <c r="AC159" s="257" t="str">
        <f t="shared" ca="1" si="13"/>
        <v>#REF!</v>
      </c>
      <c r="AD159" s="234" t="str">
        <f t="shared" ca="1" si="14"/>
        <v>#REF!</v>
      </c>
      <c r="AE159" s="100" t="str">
        <f t="shared" ca="1" si="15"/>
        <v>#REF!</v>
      </c>
      <c r="AF159" s="101" t="str">
        <f t="shared" ca="1" si="16"/>
        <v>#REF!</v>
      </c>
      <c r="AG159" s="102" t="str">
        <f t="shared" ref="AG159:AH159" ca="1" si="177">AE159/V159</f>
        <v>#REF!</v>
      </c>
      <c r="AH159" s="102" t="str">
        <f t="shared" ca="1" si="177"/>
        <v>#REF!</v>
      </c>
    </row>
    <row r="160" spans="1:34" ht="13.2">
      <c r="A160" s="251"/>
      <c r="B160" s="251"/>
      <c r="C160" s="252"/>
      <c r="D160" s="252"/>
      <c r="E160" s="114"/>
      <c r="F160" s="252"/>
      <c r="G160" s="125" t="s">
        <v>145</v>
      </c>
      <c r="I160" s="172"/>
      <c r="J160" s="82" t="str">
        <f t="shared" ca="1" si="0"/>
        <v>#REF!</v>
      </c>
      <c r="K160" s="82" t="str">
        <f t="shared" ca="1" si="1"/>
        <v>#REF!</v>
      </c>
      <c r="L160" s="82" t="str">
        <f t="shared" ca="1" si="44"/>
        <v>#REF!</v>
      </c>
      <c r="M160" s="93"/>
      <c r="N160" s="93"/>
      <c r="O160" s="95">
        <f t="shared" si="2"/>
        <v>0</v>
      </c>
      <c r="P160" s="96">
        <f t="shared" si="3"/>
        <v>0</v>
      </c>
      <c r="Q160" s="97">
        <f t="shared" si="4"/>
        <v>0</v>
      </c>
      <c r="R160" s="97" t="str">
        <f ca="1">ROUNDUP(HLOOKUP(IF(CEILING(L160,0.5)&lt;1,0.5,CEILING(L160,0.5)),'배송비 조회'!A$44:AO$56,7,0)*B$3,-2)</f>
        <v>#REF!</v>
      </c>
      <c r="S160" s="97">
        <v>0</v>
      </c>
      <c r="T160" s="97" t="str">
        <f t="shared" ca="1" si="42"/>
        <v>#REF!</v>
      </c>
      <c r="U160" s="97" t="str">
        <f t="shared" ca="1" si="29"/>
        <v>#REF!</v>
      </c>
      <c r="V160" s="97" t="str">
        <f t="shared" ca="1" si="7"/>
        <v>#REF!</v>
      </c>
      <c r="W160" s="97" t="str">
        <f t="shared" ca="1" si="8"/>
        <v>#REF!</v>
      </c>
      <c r="X160" s="121">
        <v>0</v>
      </c>
      <c r="Y160" s="121" t="str">
        <f t="shared" ca="1" si="9"/>
        <v>#REF!</v>
      </c>
      <c r="Z160" s="121" t="str">
        <f t="shared" ca="1" si="10"/>
        <v>#REF!</v>
      </c>
      <c r="AA160" s="99" t="str">
        <f t="shared" ca="1" si="11"/>
        <v>#REF!</v>
      </c>
      <c r="AB160" s="234" t="str">
        <f t="shared" ca="1" si="12"/>
        <v>#REF!</v>
      </c>
      <c r="AC160" s="257" t="str">
        <f t="shared" ca="1" si="13"/>
        <v>#REF!</v>
      </c>
      <c r="AD160" s="234" t="str">
        <f t="shared" ca="1" si="14"/>
        <v>#REF!</v>
      </c>
      <c r="AE160" s="100" t="str">
        <f t="shared" ca="1" si="15"/>
        <v>#REF!</v>
      </c>
      <c r="AF160" s="101" t="str">
        <f t="shared" ca="1" si="16"/>
        <v>#REF!</v>
      </c>
      <c r="AG160" s="102" t="str">
        <f t="shared" ref="AG160:AH160" ca="1" si="178">AE160/V160</f>
        <v>#REF!</v>
      </c>
      <c r="AH160" s="102" t="str">
        <f t="shared" ca="1" si="178"/>
        <v>#REF!</v>
      </c>
    </row>
    <row r="161" spans="1:34" ht="13.2">
      <c r="A161" s="251"/>
      <c r="B161" s="251"/>
      <c r="C161" s="252"/>
      <c r="D161" s="252"/>
      <c r="E161" s="114"/>
      <c r="F161" s="252"/>
      <c r="G161" s="125" t="s">
        <v>145</v>
      </c>
      <c r="I161" s="172"/>
      <c r="J161" s="82" t="str">
        <f t="shared" ca="1" si="0"/>
        <v>#REF!</v>
      </c>
      <c r="K161" s="82" t="str">
        <f t="shared" ca="1" si="1"/>
        <v>#REF!</v>
      </c>
      <c r="L161" s="82" t="str">
        <f t="shared" ca="1" si="44"/>
        <v>#REF!</v>
      </c>
      <c r="M161" s="93"/>
      <c r="N161" s="93"/>
      <c r="O161" s="95">
        <f t="shared" si="2"/>
        <v>0</v>
      </c>
      <c r="P161" s="96">
        <f t="shared" si="3"/>
        <v>0</v>
      </c>
      <c r="Q161" s="97">
        <f t="shared" si="4"/>
        <v>0</v>
      </c>
      <c r="R161" s="97" t="str">
        <f ca="1">ROUNDUP(HLOOKUP(IF(CEILING(L161,0.5)&lt;1,0.5,CEILING(L161,0.5)),'배송비 조회'!A$44:AO$56,7,0)*B$3,-2)</f>
        <v>#REF!</v>
      </c>
      <c r="S161" s="97">
        <v>0</v>
      </c>
      <c r="T161" s="97" t="str">
        <f t="shared" ca="1" si="42"/>
        <v>#REF!</v>
      </c>
      <c r="U161" s="97" t="str">
        <f t="shared" ca="1" si="29"/>
        <v>#REF!</v>
      </c>
      <c r="V161" s="97" t="str">
        <f t="shared" ca="1" si="7"/>
        <v>#REF!</v>
      </c>
      <c r="W161" s="97" t="str">
        <f t="shared" ca="1" si="8"/>
        <v>#REF!</v>
      </c>
      <c r="X161" s="121">
        <v>0</v>
      </c>
      <c r="Y161" s="121" t="str">
        <f t="shared" ca="1" si="9"/>
        <v>#REF!</v>
      </c>
      <c r="Z161" s="121" t="str">
        <f t="shared" ca="1" si="10"/>
        <v>#REF!</v>
      </c>
      <c r="AA161" s="99" t="str">
        <f t="shared" ca="1" si="11"/>
        <v>#REF!</v>
      </c>
      <c r="AB161" s="234" t="str">
        <f t="shared" ca="1" si="12"/>
        <v>#REF!</v>
      </c>
      <c r="AC161" s="257" t="str">
        <f t="shared" ca="1" si="13"/>
        <v>#REF!</v>
      </c>
      <c r="AD161" s="234" t="str">
        <f t="shared" ca="1" si="14"/>
        <v>#REF!</v>
      </c>
      <c r="AE161" s="100" t="str">
        <f t="shared" ca="1" si="15"/>
        <v>#REF!</v>
      </c>
      <c r="AF161" s="101" t="str">
        <f t="shared" ca="1" si="16"/>
        <v>#REF!</v>
      </c>
      <c r="AG161" s="102" t="str">
        <f t="shared" ref="AG161:AH161" ca="1" si="179">AE161/V161</f>
        <v>#REF!</v>
      </c>
      <c r="AH161" s="102" t="str">
        <f t="shared" ca="1" si="179"/>
        <v>#REF!</v>
      </c>
    </row>
    <row r="162" spans="1:34" ht="13.2">
      <c r="A162" s="251"/>
      <c r="B162" s="251"/>
      <c r="C162" s="252"/>
      <c r="D162" s="252"/>
      <c r="E162" s="114"/>
      <c r="F162" s="252"/>
      <c r="G162" s="125" t="s">
        <v>145</v>
      </c>
      <c r="I162" s="172"/>
      <c r="J162" s="82" t="str">
        <f t="shared" ca="1" si="0"/>
        <v>#REF!</v>
      </c>
      <c r="K162" s="82" t="str">
        <f t="shared" ca="1" si="1"/>
        <v>#REF!</v>
      </c>
      <c r="L162" s="82" t="str">
        <f t="shared" ca="1" si="44"/>
        <v>#REF!</v>
      </c>
      <c r="M162" s="93"/>
      <c r="N162" s="93"/>
      <c r="O162" s="95">
        <f t="shared" si="2"/>
        <v>0</v>
      </c>
      <c r="P162" s="96">
        <f t="shared" si="3"/>
        <v>0</v>
      </c>
      <c r="Q162" s="97">
        <f t="shared" si="4"/>
        <v>0</v>
      </c>
      <c r="R162" s="97" t="str">
        <f ca="1">ROUNDUP(HLOOKUP(IF(CEILING(L162,0.5)&lt;1,0.5,CEILING(L162,0.5)),'배송비 조회'!A$44:AO$56,7,0)*B$3,-2)</f>
        <v>#REF!</v>
      </c>
      <c r="S162" s="97">
        <v>0</v>
      </c>
      <c r="T162" s="97" t="str">
        <f t="shared" ca="1" si="42"/>
        <v>#REF!</v>
      </c>
      <c r="U162" s="97" t="str">
        <f t="shared" ca="1" si="29"/>
        <v>#REF!</v>
      </c>
      <c r="V162" s="97" t="str">
        <f t="shared" ca="1" si="7"/>
        <v>#REF!</v>
      </c>
      <c r="W162" s="97" t="str">
        <f t="shared" ca="1" si="8"/>
        <v>#REF!</v>
      </c>
      <c r="X162" s="121">
        <v>0</v>
      </c>
      <c r="Y162" s="121" t="str">
        <f t="shared" ca="1" si="9"/>
        <v>#REF!</v>
      </c>
      <c r="Z162" s="121" t="str">
        <f t="shared" ca="1" si="10"/>
        <v>#REF!</v>
      </c>
      <c r="AA162" s="99" t="str">
        <f t="shared" ca="1" si="11"/>
        <v>#REF!</v>
      </c>
      <c r="AB162" s="234" t="str">
        <f t="shared" ca="1" si="12"/>
        <v>#REF!</v>
      </c>
      <c r="AC162" s="257" t="str">
        <f t="shared" ca="1" si="13"/>
        <v>#REF!</v>
      </c>
      <c r="AD162" s="234" t="str">
        <f t="shared" ca="1" si="14"/>
        <v>#REF!</v>
      </c>
      <c r="AE162" s="100" t="str">
        <f t="shared" ca="1" si="15"/>
        <v>#REF!</v>
      </c>
      <c r="AF162" s="101" t="str">
        <f t="shared" ca="1" si="16"/>
        <v>#REF!</v>
      </c>
      <c r="AG162" s="102" t="str">
        <f t="shared" ref="AG162:AH162" ca="1" si="180">AE162/V162</f>
        <v>#REF!</v>
      </c>
      <c r="AH162" s="102" t="str">
        <f t="shared" ca="1" si="180"/>
        <v>#REF!</v>
      </c>
    </row>
    <row r="163" spans="1:34" ht="13.2">
      <c r="A163" s="251"/>
      <c r="B163" s="251"/>
      <c r="C163" s="252"/>
      <c r="D163" s="252"/>
      <c r="E163" s="114"/>
      <c r="F163" s="252"/>
      <c r="G163" s="125" t="s">
        <v>145</v>
      </c>
      <c r="I163" s="172"/>
      <c r="J163" s="82" t="str">
        <f t="shared" ca="1" si="0"/>
        <v>#REF!</v>
      </c>
      <c r="K163" s="82" t="str">
        <f t="shared" ca="1" si="1"/>
        <v>#REF!</v>
      </c>
      <c r="L163" s="82" t="str">
        <f t="shared" ca="1" si="44"/>
        <v>#REF!</v>
      </c>
      <c r="M163" s="93"/>
      <c r="N163" s="93"/>
      <c r="O163" s="95">
        <f t="shared" si="2"/>
        <v>0</v>
      </c>
      <c r="P163" s="96">
        <f t="shared" si="3"/>
        <v>0</v>
      </c>
      <c r="Q163" s="97">
        <f t="shared" si="4"/>
        <v>0</v>
      </c>
      <c r="R163" s="97" t="str">
        <f ca="1">ROUNDUP(HLOOKUP(IF(CEILING(L163,0.5)&lt;1,0.5,CEILING(L163,0.5)),'배송비 조회'!A$44:AO$56,7,0)*B$3,-2)</f>
        <v>#REF!</v>
      </c>
      <c r="S163" s="97">
        <v>0</v>
      </c>
      <c r="T163" s="97" t="str">
        <f t="shared" ca="1" si="42"/>
        <v>#REF!</v>
      </c>
      <c r="U163" s="97" t="str">
        <f t="shared" ca="1" si="29"/>
        <v>#REF!</v>
      </c>
      <c r="V163" s="97" t="str">
        <f t="shared" ca="1" si="7"/>
        <v>#REF!</v>
      </c>
      <c r="W163" s="97" t="str">
        <f t="shared" ca="1" si="8"/>
        <v>#REF!</v>
      </c>
      <c r="X163" s="121">
        <v>0</v>
      </c>
      <c r="Y163" s="121" t="str">
        <f t="shared" ca="1" si="9"/>
        <v>#REF!</v>
      </c>
      <c r="Z163" s="121" t="str">
        <f t="shared" ca="1" si="10"/>
        <v>#REF!</v>
      </c>
      <c r="AA163" s="99" t="str">
        <f t="shared" ca="1" si="11"/>
        <v>#REF!</v>
      </c>
      <c r="AB163" s="234" t="str">
        <f t="shared" ca="1" si="12"/>
        <v>#REF!</v>
      </c>
      <c r="AC163" s="257" t="str">
        <f t="shared" ca="1" si="13"/>
        <v>#REF!</v>
      </c>
      <c r="AD163" s="234" t="str">
        <f t="shared" ca="1" si="14"/>
        <v>#REF!</v>
      </c>
      <c r="AE163" s="100" t="str">
        <f t="shared" ca="1" si="15"/>
        <v>#REF!</v>
      </c>
      <c r="AF163" s="101" t="str">
        <f t="shared" ca="1" si="16"/>
        <v>#REF!</v>
      </c>
      <c r="AG163" s="102" t="str">
        <f t="shared" ref="AG163:AH163" ca="1" si="181">AE163/V163</f>
        <v>#REF!</v>
      </c>
      <c r="AH163" s="102" t="str">
        <f t="shared" ca="1" si="181"/>
        <v>#REF!</v>
      </c>
    </row>
    <row r="164" spans="1:34" ht="13.2">
      <c r="A164" s="251"/>
      <c r="B164" s="251"/>
      <c r="C164" s="252"/>
      <c r="D164" s="252"/>
      <c r="E164" s="114"/>
      <c r="F164" s="252"/>
      <c r="G164" s="125" t="s">
        <v>145</v>
      </c>
      <c r="I164" s="172"/>
      <c r="J164" s="82" t="str">
        <f t="shared" ca="1" si="0"/>
        <v>#REF!</v>
      </c>
      <c r="K164" s="82" t="str">
        <f t="shared" ca="1" si="1"/>
        <v>#REF!</v>
      </c>
      <c r="L164" s="82" t="str">
        <f t="shared" ca="1" si="44"/>
        <v>#REF!</v>
      </c>
      <c r="M164" s="93"/>
      <c r="N164" s="93"/>
      <c r="O164" s="95">
        <f t="shared" si="2"/>
        <v>0</v>
      </c>
      <c r="P164" s="96">
        <f t="shared" si="3"/>
        <v>0</v>
      </c>
      <c r="Q164" s="97">
        <f t="shared" si="4"/>
        <v>0</v>
      </c>
      <c r="R164" s="97" t="str">
        <f ca="1">ROUNDUP(HLOOKUP(IF(CEILING(L164,0.5)&lt;1,0.5,CEILING(L164,0.5)),'배송비 조회'!A$44:AO$56,7,0)*B$3,-2)</f>
        <v>#REF!</v>
      </c>
      <c r="S164" s="97">
        <v>0</v>
      </c>
      <c r="T164" s="97" t="str">
        <f t="shared" ca="1" si="42"/>
        <v>#REF!</v>
      </c>
      <c r="U164" s="97" t="str">
        <f t="shared" ca="1" si="29"/>
        <v>#REF!</v>
      </c>
      <c r="V164" s="97" t="str">
        <f t="shared" ca="1" si="7"/>
        <v>#REF!</v>
      </c>
      <c r="W164" s="97" t="str">
        <f t="shared" ca="1" si="8"/>
        <v>#REF!</v>
      </c>
      <c r="X164" s="121">
        <v>0</v>
      </c>
      <c r="Y164" s="121" t="str">
        <f t="shared" ca="1" si="9"/>
        <v>#REF!</v>
      </c>
      <c r="Z164" s="121" t="str">
        <f t="shared" ca="1" si="10"/>
        <v>#REF!</v>
      </c>
      <c r="AA164" s="99" t="str">
        <f t="shared" ca="1" si="11"/>
        <v>#REF!</v>
      </c>
      <c r="AB164" s="234" t="str">
        <f t="shared" ca="1" si="12"/>
        <v>#REF!</v>
      </c>
      <c r="AC164" s="257" t="str">
        <f t="shared" ca="1" si="13"/>
        <v>#REF!</v>
      </c>
      <c r="AD164" s="234" t="str">
        <f t="shared" ca="1" si="14"/>
        <v>#REF!</v>
      </c>
      <c r="AE164" s="100" t="str">
        <f t="shared" ca="1" si="15"/>
        <v>#REF!</v>
      </c>
      <c r="AF164" s="101" t="str">
        <f t="shared" ca="1" si="16"/>
        <v>#REF!</v>
      </c>
      <c r="AG164" s="102" t="str">
        <f t="shared" ref="AG164:AH164" ca="1" si="182">AE164/V164</f>
        <v>#REF!</v>
      </c>
      <c r="AH164" s="102" t="str">
        <f t="shared" ca="1" si="182"/>
        <v>#REF!</v>
      </c>
    </row>
    <row r="165" spans="1:34" ht="13.2">
      <c r="A165" s="251"/>
      <c r="B165" s="251"/>
      <c r="C165" s="252"/>
      <c r="D165" s="252"/>
      <c r="E165" s="114"/>
      <c r="F165" s="252"/>
      <c r="G165" s="125" t="s">
        <v>145</v>
      </c>
      <c r="I165" s="172"/>
      <c r="J165" s="82" t="str">
        <f t="shared" ca="1" si="0"/>
        <v>#REF!</v>
      </c>
      <c r="K165" s="82" t="str">
        <f t="shared" ca="1" si="1"/>
        <v>#REF!</v>
      </c>
      <c r="L165" s="82" t="str">
        <f t="shared" ca="1" si="44"/>
        <v>#REF!</v>
      </c>
      <c r="M165" s="93"/>
      <c r="N165" s="93"/>
      <c r="O165" s="95">
        <f t="shared" si="2"/>
        <v>0</v>
      </c>
      <c r="P165" s="96">
        <f t="shared" si="3"/>
        <v>0</v>
      </c>
      <c r="Q165" s="97">
        <f t="shared" si="4"/>
        <v>0</v>
      </c>
      <c r="R165" s="97" t="str">
        <f ca="1">ROUNDUP(HLOOKUP(IF(CEILING(L165,0.5)&lt;1,0.5,CEILING(L165,0.5)),'배송비 조회'!A$44:AO$56,7,0)*B$3,-2)</f>
        <v>#REF!</v>
      </c>
      <c r="S165" s="97">
        <v>0</v>
      </c>
      <c r="T165" s="97" t="str">
        <f t="shared" ca="1" si="42"/>
        <v>#REF!</v>
      </c>
      <c r="U165" s="97" t="str">
        <f t="shared" ca="1" si="29"/>
        <v>#REF!</v>
      </c>
      <c r="V165" s="97" t="str">
        <f t="shared" ca="1" si="7"/>
        <v>#REF!</v>
      </c>
      <c r="W165" s="97" t="str">
        <f t="shared" ca="1" si="8"/>
        <v>#REF!</v>
      </c>
      <c r="X165" s="121">
        <v>0</v>
      </c>
      <c r="Y165" s="121" t="str">
        <f t="shared" ca="1" si="9"/>
        <v>#REF!</v>
      </c>
      <c r="Z165" s="121" t="str">
        <f t="shared" ca="1" si="10"/>
        <v>#REF!</v>
      </c>
      <c r="AA165" s="99" t="str">
        <f t="shared" ca="1" si="11"/>
        <v>#REF!</v>
      </c>
      <c r="AB165" s="234" t="str">
        <f t="shared" ca="1" si="12"/>
        <v>#REF!</v>
      </c>
      <c r="AC165" s="257" t="str">
        <f t="shared" ca="1" si="13"/>
        <v>#REF!</v>
      </c>
      <c r="AD165" s="234" t="str">
        <f t="shared" ca="1" si="14"/>
        <v>#REF!</v>
      </c>
      <c r="AE165" s="100" t="str">
        <f t="shared" ca="1" si="15"/>
        <v>#REF!</v>
      </c>
      <c r="AF165" s="101" t="str">
        <f t="shared" ca="1" si="16"/>
        <v>#REF!</v>
      </c>
      <c r="AG165" s="102" t="str">
        <f t="shared" ref="AG165:AH165" ca="1" si="183">AE165/V165</f>
        <v>#REF!</v>
      </c>
      <c r="AH165" s="102" t="str">
        <f t="shared" ca="1" si="183"/>
        <v>#REF!</v>
      </c>
    </row>
    <row r="166" spans="1:34" ht="13.2">
      <c r="A166" s="251"/>
      <c r="B166" s="251"/>
      <c r="C166" s="252"/>
      <c r="D166" s="252"/>
      <c r="E166" s="114"/>
      <c r="F166" s="252"/>
      <c r="G166" s="125" t="s">
        <v>145</v>
      </c>
      <c r="I166" s="172"/>
      <c r="J166" s="82" t="str">
        <f t="shared" ca="1" si="0"/>
        <v>#REF!</v>
      </c>
      <c r="K166" s="82" t="str">
        <f t="shared" ca="1" si="1"/>
        <v>#REF!</v>
      </c>
      <c r="L166" s="82" t="str">
        <f t="shared" ca="1" si="44"/>
        <v>#REF!</v>
      </c>
      <c r="M166" s="93"/>
      <c r="N166" s="93"/>
      <c r="O166" s="95">
        <f t="shared" si="2"/>
        <v>0</v>
      </c>
      <c r="P166" s="96">
        <f t="shared" si="3"/>
        <v>0</v>
      </c>
      <c r="Q166" s="97">
        <f t="shared" si="4"/>
        <v>0</v>
      </c>
      <c r="R166" s="97" t="str">
        <f ca="1">ROUNDUP(HLOOKUP(IF(CEILING(L166,0.5)&lt;1,0.5,CEILING(L166,0.5)),'배송비 조회'!A$44:AO$56,7,0)*B$3,-2)</f>
        <v>#REF!</v>
      </c>
      <c r="S166" s="97">
        <v>0</v>
      </c>
      <c r="T166" s="97" t="str">
        <f t="shared" ca="1" si="42"/>
        <v>#REF!</v>
      </c>
      <c r="U166" s="97" t="str">
        <f t="shared" ca="1" si="29"/>
        <v>#REF!</v>
      </c>
      <c r="V166" s="97" t="str">
        <f t="shared" ca="1" si="7"/>
        <v>#REF!</v>
      </c>
      <c r="W166" s="97" t="str">
        <f t="shared" ca="1" si="8"/>
        <v>#REF!</v>
      </c>
      <c r="X166" s="121">
        <v>0</v>
      </c>
      <c r="Y166" s="121" t="str">
        <f t="shared" ca="1" si="9"/>
        <v>#REF!</v>
      </c>
      <c r="Z166" s="121" t="str">
        <f t="shared" ca="1" si="10"/>
        <v>#REF!</v>
      </c>
      <c r="AA166" s="99" t="str">
        <f t="shared" ca="1" si="11"/>
        <v>#REF!</v>
      </c>
      <c r="AB166" s="234" t="str">
        <f t="shared" ca="1" si="12"/>
        <v>#REF!</v>
      </c>
      <c r="AC166" s="257" t="str">
        <f t="shared" ca="1" si="13"/>
        <v>#REF!</v>
      </c>
      <c r="AD166" s="234" t="str">
        <f t="shared" ca="1" si="14"/>
        <v>#REF!</v>
      </c>
      <c r="AE166" s="100" t="str">
        <f t="shared" ca="1" si="15"/>
        <v>#REF!</v>
      </c>
      <c r="AF166" s="101" t="str">
        <f t="shared" ca="1" si="16"/>
        <v>#REF!</v>
      </c>
      <c r="AG166" s="102" t="str">
        <f t="shared" ref="AG166:AH166" ca="1" si="184">AE166/V166</f>
        <v>#REF!</v>
      </c>
      <c r="AH166" s="102" t="str">
        <f t="shared" ca="1" si="184"/>
        <v>#REF!</v>
      </c>
    </row>
    <row r="167" spans="1:34" ht="13.2">
      <c r="A167" s="251"/>
      <c r="B167" s="251"/>
      <c r="C167" s="252"/>
      <c r="D167" s="252"/>
      <c r="E167" s="114"/>
      <c r="F167" s="252"/>
      <c r="G167" s="125" t="s">
        <v>145</v>
      </c>
      <c r="I167" s="172"/>
      <c r="J167" s="82" t="str">
        <f t="shared" ca="1" si="0"/>
        <v>#REF!</v>
      </c>
      <c r="K167" s="82" t="str">
        <f t="shared" ca="1" si="1"/>
        <v>#REF!</v>
      </c>
      <c r="L167" s="82" t="str">
        <f t="shared" ca="1" si="44"/>
        <v>#REF!</v>
      </c>
      <c r="M167" s="93"/>
      <c r="N167" s="93"/>
      <c r="O167" s="95">
        <f t="shared" si="2"/>
        <v>0</v>
      </c>
      <c r="P167" s="96">
        <f t="shared" si="3"/>
        <v>0</v>
      </c>
      <c r="Q167" s="97">
        <f t="shared" si="4"/>
        <v>0</v>
      </c>
      <c r="R167" s="97" t="str">
        <f ca="1">ROUNDUP(HLOOKUP(IF(CEILING(L167,0.5)&lt;1,0.5,CEILING(L167,0.5)),'배송비 조회'!A$44:AO$56,7,0)*B$3,-2)</f>
        <v>#REF!</v>
      </c>
      <c r="S167" s="97">
        <v>0</v>
      </c>
      <c r="T167" s="97" t="str">
        <f t="shared" ca="1" si="42"/>
        <v>#REF!</v>
      </c>
      <c r="U167" s="97" t="str">
        <f t="shared" ca="1" si="29"/>
        <v>#REF!</v>
      </c>
      <c r="V167" s="97" t="str">
        <f t="shared" ca="1" si="7"/>
        <v>#REF!</v>
      </c>
      <c r="W167" s="97" t="str">
        <f t="shared" ca="1" si="8"/>
        <v>#REF!</v>
      </c>
      <c r="X167" s="121">
        <v>0</v>
      </c>
      <c r="Y167" s="121" t="str">
        <f t="shared" ca="1" si="9"/>
        <v>#REF!</v>
      </c>
      <c r="Z167" s="121" t="str">
        <f t="shared" ca="1" si="10"/>
        <v>#REF!</v>
      </c>
      <c r="AA167" s="99" t="str">
        <f t="shared" ca="1" si="11"/>
        <v>#REF!</v>
      </c>
      <c r="AB167" s="234" t="str">
        <f t="shared" ca="1" si="12"/>
        <v>#REF!</v>
      </c>
      <c r="AC167" s="257" t="str">
        <f t="shared" ca="1" si="13"/>
        <v>#REF!</v>
      </c>
      <c r="AD167" s="234" t="str">
        <f t="shared" ca="1" si="14"/>
        <v>#REF!</v>
      </c>
      <c r="AE167" s="100" t="str">
        <f t="shared" ca="1" si="15"/>
        <v>#REF!</v>
      </c>
      <c r="AF167" s="101" t="str">
        <f t="shared" ca="1" si="16"/>
        <v>#REF!</v>
      </c>
      <c r="AG167" s="102" t="str">
        <f t="shared" ref="AG167:AH167" ca="1" si="185">AE167/V167</f>
        <v>#REF!</v>
      </c>
      <c r="AH167" s="102" t="str">
        <f t="shared" ca="1" si="185"/>
        <v>#REF!</v>
      </c>
    </row>
    <row r="168" spans="1:34" ht="13.2">
      <c r="A168" s="251"/>
      <c r="B168" s="251"/>
      <c r="C168" s="252"/>
      <c r="D168" s="252"/>
      <c r="E168" s="114"/>
      <c r="F168" s="252"/>
      <c r="G168" s="125" t="s">
        <v>145</v>
      </c>
      <c r="I168" s="172"/>
      <c r="J168" s="82" t="str">
        <f t="shared" ca="1" si="0"/>
        <v>#REF!</v>
      </c>
      <c r="K168" s="82" t="str">
        <f t="shared" ca="1" si="1"/>
        <v>#REF!</v>
      </c>
      <c r="L168" s="82" t="str">
        <f t="shared" ca="1" si="44"/>
        <v>#REF!</v>
      </c>
      <c r="M168" s="93"/>
      <c r="N168" s="93"/>
      <c r="O168" s="95">
        <f t="shared" si="2"/>
        <v>0</v>
      </c>
      <c r="P168" s="96">
        <f t="shared" si="3"/>
        <v>0</v>
      </c>
      <c r="Q168" s="97">
        <f t="shared" si="4"/>
        <v>0</v>
      </c>
      <c r="R168" s="97" t="str">
        <f ca="1">ROUNDUP(HLOOKUP(IF(CEILING(L168,0.5)&lt;1,0.5,CEILING(L168,0.5)),'배송비 조회'!A$44:AO$56,7,0)*B$3,-2)</f>
        <v>#REF!</v>
      </c>
      <c r="S168" s="97">
        <v>0</v>
      </c>
      <c r="T168" s="97" t="str">
        <f t="shared" ca="1" si="42"/>
        <v>#REF!</v>
      </c>
      <c r="U168" s="97" t="str">
        <f t="shared" ca="1" si="29"/>
        <v>#REF!</v>
      </c>
      <c r="V168" s="97" t="str">
        <f t="shared" ca="1" si="7"/>
        <v>#REF!</v>
      </c>
      <c r="W168" s="97" t="str">
        <f t="shared" ca="1" si="8"/>
        <v>#REF!</v>
      </c>
      <c r="X168" s="121">
        <v>0</v>
      </c>
      <c r="Y168" s="121" t="str">
        <f t="shared" ca="1" si="9"/>
        <v>#REF!</v>
      </c>
      <c r="Z168" s="121" t="str">
        <f t="shared" ca="1" si="10"/>
        <v>#REF!</v>
      </c>
      <c r="AA168" s="99" t="str">
        <f t="shared" ca="1" si="11"/>
        <v>#REF!</v>
      </c>
      <c r="AB168" s="234" t="str">
        <f t="shared" ca="1" si="12"/>
        <v>#REF!</v>
      </c>
      <c r="AC168" s="257" t="str">
        <f t="shared" ca="1" si="13"/>
        <v>#REF!</v>
      </c>
      <c r="AD168" s="234" t="str">
        <f t="shared" ca="1" si="14"/>
        <v>#REF!</v>
      </c>
      <c r="AE168" s="100" t="str">
        <f t="shared" ca="1" si="15"/>
        <v>#REF!</v>
      </c>
      <c r="AF168" s="101" t="str">
        <f t="shared" ca="1" si="16"/>
        <v>#REF!</v>
      </c>
      <c r="AG168" s="102" t="str">
        <f t="shared" ref="AG168:AH168" ca="1" si="186">AE168/V168</f>
        <v>#REF!</v>
      </c>
      <c r="AH168" s="102" t="str">
        <f t="shared" ca="1" si="186"/>
        <v>#REF!</v>
      </c>
    </row>
    <row r="169" spans="1:34" ht="13.2">
      <c r="A169" s="251"/>
      <c r="B169" s="251"/>
      <c r="C169" s="252"/>
      <c r="D169" s="252"/>
      <c r="E169" s="114"/>
      <c r="F169" s="252"/>
      <c r="G169" s="125" t="s">
        <v>145</v>
      </c>
      <c r="I169" s="172"/>
      <c r="J169" s="82" t="str">
        <f t="shared" ca="1" si="0"/>
        <v>#REF!</v>
      </c>
      <c r="K169" s="82" t="str">
        <f t="shared" ca="1" si="1"/>
        <v>#REF!</v>
      </c>
      <c r="L169" s="82" t="str">
        <f t="shared" ca="1" si="44"/>
        <v>#REF!</v>
      </c>
      <c r="M169" s="93"/>
      <c r="N169" s="93"/>
      <c r="O169" s="95">
        <f t="shared" si="2"/>
        <v>0</v>
      </c>
      <c r="P169" s="96">
        <f t="shared" si="3"/>
        <v>0</v>
      </c>
      <c r="Q169" s="97">
        <f t="shared" si="4"/>
        <v>0</v>
      </c>
      <c r="R169" s="97" t="str">
        <f ca="1">ROUNDUP(HLOOKUP(IF(CEILING(L169,0.5)&lt;1,0.5,CEILING(L169,0.5)),'배송비 조회'!A$44:AO$56,7,0)*B$3,-2)</f>
        <v>#REF!</v>
      </c>
      <c r="S169" s="97">
        <v>0</v>
      </c>
      <c r="T169" s="97" t="str">
        <f t="shared" ca="1" si="42"/>
        <v>#REF!</v>
      </c>
      <c r="U169" s="97" t="str">
        <f t="shared" ca="1" si="29"/>
        <v>#REF!</v>
      </c>
      <c r="V169" s="97" t="str">
        <f t="shared" ca="1" si="7"/>
        <v>#REF!</v>
      </c>
      <c r="W169" s="97" t="str">
        <f t="shared" ca="1" si="8"/>
        <v>#REF!</v>
      </c>
      <c r="X169" s="121">
        <v>0</v>
      </c>
      <c r="Y169" s="121" t="str">
        <f t="shared" ca="1" si="9"/>
        <v>#REF!</v>
      </c>
      <c r="Z169" s="121" t="str">
        <f t="shared" ca="1" si="10"/>
        <v>#REF!</v>
      </c>
      <c r="AA169" s="99" t="str">
        <f t="shared" ca="1" si="11"/>
        <v>#REF!</v>
      </c>
      <c r="AB169" s="234" t="str">
        <f t="shared" ca="1" si="12"/>
        <v>#REF!</v>
      </c>
      <c r="AC169" s="257" t="str">
        <f t="shared" ca="1" si="13"/>
        <v>#REF!</v>
      </c>
      <c r="AD169" s="234" t="str">
        <f t="shared" ca="1" si="14"/>
        <v>#REF!</v>
      </c>
      <c r="AE169" s="100" t="str">
        <f t="shared" ca="1" si="15"/>
        <v>#REF!</v>
      </c>
      <c r="AF169" s="101" t="str">
        <f t="shared" ca="1" si="16"/>
        <v>#REF!</v>
      </c>
      <c r="AG169" s="102" t="str">
        <f t="shared" ref="AG169:AH169" ca="1" si="187">AE169/V169</f>
        <v>#REF!</v>
      </c>
      <c r="AH169" s="102" t="str">
        <f t="shared" ca="1" si="187"/>
        <v>#REF!</v>
      </c>
    </row>
    <row r="170" spans="1:34" ht="13.2">
      <c r="A170" s="251"/>
      <c r="B170" s="251"/>
      <c r="C170" s="252"/>
      <c r="D170" s="252"/>
      <c r="E170" s="114"/>
      <c r="F170" s="252"/>
      <c r="G170" s="125" t="s">
        <v>145</v>
      </c>
      <c r="I170" s="172"/>
      <c r="J170" s="82" t="str">
        <f t="shared" ca="1" si="0"/>
        <v>#REF!</v>
      </c>
      <c r="K170" s="82" t="str">
        <f t="shared" ca="1" si="1"/>
        <v>#REF!</v>
      </c>
      <c r="L170" s="82" t="str">
        <f t="shared" ca="1" si="44"/>
        <v>#REF!</v>
      </c>
      <c r="M170" s="93"/>
      <c r="N170" s="93"/>
      <c r="O170" s="95">
        <f t="shared" si="2"/>
        <v>0</v>
      </c>
      <c r="P170" s="96">
        <f t="shared" si="3"/>
        <v>0</v>
      </c>
      <c r="Q170" s="97">
        <f t="shared" si="4"/>
        <v>0</v>
      </c>
      <c r="R170" s="97" t="str">
        <f ca="1">ROUNDUP(HLOOKUP(IF(CEILING(L170,0.5)&lt;1,0.5,CEILING(L170,0.5)),'배송비 조회'!A$44:AO$56,7,0)*B$3,-2)</f>
        <v>#REF!</v>
      </c>
      <c r="S170" s="97">
        <v>0</v>
      </c>
      <c r="T170" s="97" t="str">
        <f t="shared" ca="1" si="42"/>
        <v>#REF!</v>
      </c>
      <c r="U170" s="97" t="str">
        <f t="shared" ca="1" si="29"/>
        <v>#REF!</v>
      </c>
      <c r="V170" s="97" t="str">
        <f t="shared" ca="1" si="7"/>
        <v>#REF!</v>
      </c>
      <c r="W170" s="97" t="str">
        <f t="shared" ca="1" si="8"/>
        <v>#REF!</v>
      </c>
      <c r="X170" s="121">
        <v>0</v>
      </c>
      <c r="Y170" s="121" t="str">
        <f t="shared" ca="1" si="9"/>
        <v>#REF!</v>
      </c>
      <c r="Z170" s="121" t="str">
        <f t="shared" ca="1" si="10"/>
        <v>#REF!</v>
      </c>
      <c r="AA170" s="99" t="str">
        <f t="shared" ca="1" si="11"/>
        <v>#REF!</v>
      </c>
      <c r="AB170" s="234" t="str">
        <f t="shared" ca="1" si="12"/>
        <v>#REF!</v>
      </c>
      <c r="AC170" s="257" t="str">
        <f t="shared" ca="1" si="13"/>
        <v>#REF!</v>
      </c>
      <c r="AD170" s="234" t="str">
        <f t="shared" ca="1" si="14"/>
        <v>#REF!</v>
      </c>
      <c r="AE170" s="100" t="str">
        <f t="shared" ca="1" si="15"/>
        <v>#REF!</v>
      </c>
      <c r="AF170" s="101" t="str">
        <f t="shared" ca="1" si="16"/>
        <v>#REF!</v>
      </c>
      <c r="AG170" s="102" t="str">
        <f t="shared" ref="AG170:AH170" ca="1" si="188">AE170/V170</f>
        <v>#REF!</v>
      </c>
      <c r="AH170" s="102" t="str">
        <f t="shared" ca="1" si="188"/>
        <v>#REF!</v>
      </c>
    </row>
    <row r="171" spans="1:34" ht="13.2">
      <c r="A171" s="251"/>
      <c r="B171" s="251"/>
      <c r="C171" s="252"/>
      <c r="D171" s="252"/>
      <c r="E171" s="114"/>
      <c r="F171" s="252"/>
      <c r="G171" s="125" t="s">
        <v>145</v>
      </c>
      <c r="I171" s="172"/>
      <c r="J171" s="82" t="str">
        <f t="shared" ca="1" si="0"/>
        <v>#REF!</v>
      </c>
      <c r="K171" s="82" t="str">
        <f t="shared" ca="1" si="1"/>
        <v>#REF!</v>
      </c>
      <c r="L171" s="82" t="str">
        <f t="shared" ca="1" si="44"/>
        <v>#REF!</v>
      </c>
      <c r="M171" s="93"/>
      <c r="N171" s="93"/>
      <c r="O171" s="95">
        <f t="shared" si="2"/>
        <v>0</v>
      </c>
      <c r="P171" s="96">
        <f t="shared" si="3"/>
        <v>0</v>
      </c>
      <c r="Q171" s="97">
        <f t="shared" si="4"/>
        <v>0</v>
      </c>
      <c r="R171" s="97" t="str">
        <f ca="1">ROUNDUP(HLOOKUP(IF(CEILING(L171,0.5)&lt;1,0.5,CEILING(L171,0.5)),'배송비 조회'!A$44:AO$56,7,0)*B$3,-2)</f>
        <v>#REF!</v>
      </c>
      <c r="S171" s="97">
        <v>0</v>
      </c>
      <c r="T171" s="97" t="str">
        <f t="shared" ca="1" si="42"/>
        <v>#REF!</v>
      </c>
      <c r="U171" s="97" t="str">
        <f t="shared" ca="1" si="29"/>
        <v>#REF!</v>
      </c>
      <c r="V171" s="97" t="str">
        <f t="shared" ca="1" si="7"/>
        <v>#REF!</v>
      </c>
      <c r="W171" s="97" t="str">
        <f t="shared" ca="1" si="8"/>
        <v>#REF!</v>
      </c>
      <c r="X171" s="121">
        <v>0</v>
      </c>
      <c r="Y171" s="121" t="str">
        <f t="shared" ca="1" si="9"/>
        <v>#REF!</v>
      </c>
      <c r="Z171" s="121" t="str">
        <f t="shared" ca="1" si="10"/>
        <v>#REF!</v>
      </c>
      <c r="AA171" s="99" t="str">
        <f t="shared" ca="1" si="11"/>
        <v>#REF!</v>
      </c>
      <c r="AB171" s="234" t="str">
        <f t="shared" ca="1" si="12"/>
        <v>#REF!</v>
      </c>
      <c r="AC171" s="257" t="str">
        <f t="shared" ca="1" si="13"/>
        <v>#REF!</v>
      </c>
      <c r="AD171" s="234" t="str">
        <f t="shared" ca="1" si="14"/>
        <v>#REF!</v>
      </c>
      <c r="AE171" s="100" t="str">
        <f t="shared" ca="1" si="15"/>
        <v>#REF!</v>
      </c>
      <c r="AF171" s="101" t="str">
        <f t="shared" ca="1" si="16"/>
        <v>#REF!</v>
      </c>
      <c r="AG171" s="102" t="str">
        <f t="shared" ref="AG171:AH171" ca="1" si="189">AE171/V171</f>
        <v>#REF!</v>
      </c>
      <c r="AH171" s="102" t="str">
        <f t="shared" ca="1" si="189"/>
        <v>#REF!</v>
      </c>
    </row>
    <row r="172" spans="1:34" ht="13.2">
      <c r="A172" s="251"/>
      <c r="B172" s="251"/>
      <c r="C172" s="252"/>
      <c r="D172" s="252"/>
      <c r="E172" s="114"/>
      <c r="F172" s="252"/>
      <c r="G172" s="125" t="s">
        <v>145</v>
      </c>
      <c r="I172" s="172"/>
      <c r="J172" s="82" t="str">
        <f t="shared" ca="1" si="0"/>
        <v>#REF!</v>
      </c>
      <c r="K172" s="82" t="str">
        <f t="shared" ca="1" si="1"/>
        <v>#REF!</v>
      </c>
      <c r="L172" s="82" t="str">
        <f t="shared" ca="1" si="44"/>
        <v>#REF!</v>
      </c>
      <c r="M172" s="93"/>
      <c r="N172" s="93"/>
      <c r="O172" s="95">
        <f t="shared" si="2"/>
        <v>0</v>
      </c>
      <c r="P172" s="96">
        <f t="shared" si="3"/>
        <v>0</v>
      </c>
      <c r="Q172" s="97">
        <f t="shared" si="4"/>
        <v>0</v>
      </c>
      <c r="R172" s="97" t="str">
        <f ca="1">ROUNDUP(HLOOKUP(IF(CEILING(L172,0.5)&lt;1,0.5,CEILING(L172,0.5)),'배송비 조회'!A$44:AO$56,7,0)*B$3,-2)</f>
        <v>#REF!</v>
      </c>
      <c r="S172" s="97">
        <v>0</v>
      </c>
      <c r="T172" s="97" t="str">
        <f t="shared" ca="1" si="42"/>
        <v>#REF!</v>
      </c>
      <c r="U172" s="97" t="str">
        <f t="shared" ca="1" si="29"/>
        <v>#REF!</v>
      </c>
      <c r="V172" s="97" t="str">
        <f t="shared" ca="1" si="7"/>
        <v>#REF!</v>
      </c>
      <c r="W172" s="97" t="str">
        <f t="shared" ca="1" si="8"/>
        <v>#REF!</v>
      </c>
      <c r="X172" s="121">
        <v>0</v>
      </c>
      <c r="Y172" s="121" t="str">
        <f t="shared" ca="1" si="9"/>
        <v>#REF!</v>
      </c>
      <c r="Z172" s="121" t="str">
        <f t="shared" ca="1" si="10"/>
        <v>#REF!</v>
      </c>
      <c r="AA172" s="99" t="str">
        <f t="shared" ca="1" si="11"/>
        <v>#REF!</v>
      </c>
      <c r="AB172" s="234" t="str">
        <f t="shared" ca="1" si="12"/>
        <v>#REF!</v>
      </c>
      <c r="AC172" s="257" t="str">
        <f t="shared" ca="1" si="13"/>
        <v>#REF!</v>
      </c>
      <c r="AD172" s="234" t="str">
        <f t="shared" ca="1" si="14"/>
        <v>#REF!</v>
      </c>
      <c r="AE172" s="100" t="str">
        <f t="shared" ca="1" si="15"/>
        <v>#REF!</v>
      </c>
      <c r="AF172" s="101" t="str">
        <f t="shared" ca="1" si="16"/>
        <v>#REF!</v>
      </c>
      <c r="AG172" s="102" t="str">
        <f t="shared" ref="AG172:AH172" ca="1" si="190">AE172/V172</f>
        <v>#REF!</v>
      </c>
      <c r="AH172" s="102" t="str">
        <f t="shared" ca="1" si="190"/>
        <v>#REF!</v>
      </c>
    </row>
    <row r="173" spans="1:34" ht="13.2">
      <c r="A173" s="251"/>
      <c r="B173" s="251"/>
      <c r="C173" s="252"/>
      <c r="D173" s="252"/>
      <c r="E173" s="114"/>
      <c r="F173" s="252"/>
      <c r="G173" s="125" t="s">
        <v>145</v>
      </c>
      <c r="I173" s="172"/>
      <c r="J173" s="82" t="str">
        <f t="shared" ca="1" si="0"/>
        <v>#REF!</v>
      </c>
      <c r="K173" s="82" t="str">
        <f t="shared" ca="1" si="1"/>
        <v>#REF!</v>
      </c>
      <c r="L173" s="82" t="str">
        <f t="shared" ca="1" si="44"/>
        <v>#REF!</v>
      </c>
      <c r="M173" s="93"/>
      <c r="N173" s="93"/>
      <c r="O173" s="95">
        <f t="shared" si="2"/>
        <v>0</v>
      </c>
      <c r="P173" s="96">
        <f t="shared" si="3"/>
        <v>0</v>
      </c>
      <c r="Q173" s="97">
        <f t="shared" si="4"/>
        <v>0</v>
      </c>
      <c r="R173" s="97" t="str">
        <f ca="1">ROUNDUP(HLOOKUP(IF(CEILING(L173,0.5)&lt;1,0.5,CEILING(L173,0.5)),'배송비 조회'!A$44:AO$56,7,0)*B$3,-2)</f>
        <v>#REF!</v>
      </c>
      <c r="S173" s="97">
        <v>0</v>
      </c>
      <c r="T173" s="97" t="str">
        <f t="shared" ca="1" si="42"/>
        <v>#REF!</v>
      </c>
      <c r="U173" s="97" t="str">
        <f t="shared" ca="1" si="29"/>
        <v>#REF!</v>
      </c>
      <c r="V173" s="97" t="str">
        <f t="shared" ca="1" si="7"/>
        <v>#REF!</v>
      </c>
      <c r="W173" s="97" t="str">
        <f t="shared" ca="1" si="8"/>
        <v>#REF!</v>
      </c>
      <c r="X173" s="121">
        <v>0</v>
      </c>
      <c r="Y173" s="121" t="str">
        <f t="shared" ca="1" si="9"/>
        <v>#REF!</v>
      </c>
      <c r="Z173" s="121" t="str">
        <f t="shared" ca="1" si="10"/>
        <v>#REF!</v>
      </c>
      <c r="AA173" s="99" t="str">
        <f t="shared" ca="1" si="11"/>
        <v>#REF!</v>
      </c>
      <c r="AB173" s="234" t="str">
        <f t="shared" ca="1" si="12"/>
        <v>#REF!</v>
      </c>
      <c r="AC173" s="257" t="str">
        <f t="shared" ca="1" si="13"/>
        <v>#REF!</v>
      </c>
      <c r="AD173" s="234" t="str">
        <f t="shared" ca="1" si="14"/>
        <v>#REF!</v>
      </c>
      <c r="AE173" s="100" t="str">
        <f t="shared" ca="1" si="15"/>
        <v>#REF!</v>
      </c>
      <c r="AF173" s="101" t="str">
        <f t="shared" ca="1" si="16"/>
        <v>#REF!</v>
      </c>
      <c r="AG173" s="102" t="str">
        <f t="shared" ref="AG173:AH173" ca="1" si="191">AE173/V173</f>
        <v>#REF!</v>
      </c>
      <c r="AH173" s="102" t="str">
        <f t="shared" ca="1" si="191"/>
        <v>#REF!</v>
      </c>
    </row>
    <row r="174" spans="1:34" ht="13.2">
      <c r="A174" s="251"/>
      <c r="B174" s="251"/>
      <c r="C174" s="252"/>
      <c r="D174" s="252"/>
      <c r="E174" s="114"/>
      <c r="F174" s="252"/>
      <c r="G174" s="125" t="s">
        <v>145</v>
      </c>
      <c r="I174" s="172"/>
      <c r="J174" s="82" t="str">
        <f t="shared" ca="1" si="0"/>
        <v>#REF!</v>
      </c>
      <c r="K174" s="82" t="str">
        <f t="shared" ca="1" si="1"/>
        <v>#REF!</v>
      </c>
      <c r="L174" s="82" t="str">
        <f t="shared" ca="1" si="44"/>
        <v>#REF!</v>
      </c>
      <c r="M174" s="93"/>
      <c r="N174" s="93"/>
      <c r="O174" s="95">
        <f t="shared" si="2"/>
        <v>0</v>
      </c>
      <c r="P174" s="96">
        <f t="shared" si="3"/>
        <v>0</v>
      </c>
      <c r="Q174" s="97">
        <f t="shared" si="4"/>
        <v>0</v>
      </c>
      <c r="R174" s="97" t="str">
        <f ca="1">ROUNDUP(HLOOKUP(IF(CEILING(L174,0.5)&lt;1,0.5,CEILING(L174,0.5)),'배송비 조회'!A$44:AO$56,7,0)*B$3,-2)</f>
        <v>#REF!</v>
      </c>
      <c r="S174" s="97">
        <v>0</v>
      </c>
      <c r="T174" s="97" t="str">
        <f t="shared" ca="1" si="42"/>
        <v>#REF!</v>
      </c>
      <c r="U174" s="97" t="str">
        <f t="shared" ca="1" si="29"/>
        <v>#REF!</v>
      </c>
      <c r="V174" s="97" t="str">
        <f t="shared" ca="1" si="7"/>
        <v>#REF!</v>
      </c>
      <c r="W174" s="97" t="str">
        <f t="shared" ca="1" si="8"/>
        <v>#REF!</v>
      </c>
      <c r="X174" s="121">
        <v>0</v>
      </c>
      <c r="Y174" s="121" t="str">
        <f t="shared" ca="1" si="9"/>
        <v>#REF!</v>
      </c>
      <c r="Z174" s="121" t="str">
        <f t="shared" ca="1" si="10"/>
        <v>#REF!</v>
      </c>
      <c r="AA174" s="99" t="str">
        <f t="shared" ca="1" si="11"/>
        <v>#REF!</v>
      </c>
      <c r="AB174" s="234" t="str">
        <f t="shared" ca="1" si="12"/>
        <v>#REF!</v>
      </c>
      <c r="AC174" s="257" t="str">
        <f t="shared" ca="1" si="13"/>
        <v>#REF!</v>
      </c>
      <c r="AD174" s="234" t="str">
        <f t="shared" ca="1" si="14"/>
        <v>#REF!</v>
      </c>
      <c r="AE174" s="100" t="str">
        <f t="shared" ca="1" si="15"/>
        <v>#REF!</v>
      </c>
      <c r="AF174" s="101" t="str">
        <f t="shared" ca="1" si="16"/>
        <v>#REF!</v>
      </c>
      <c r="AG174" s="102" t="str">
        <f t="shared" ref="AG174:AH174" ca="1" si="192">AE174/V174</f>
        <v>#REF!</v>
      </c>
      <c r="AH174" s="102" t="str">
        <f t="shared" ca="1" si="192"/>
        <v>#REF!</v>
      </c>
    </row>
    <row r="175" spans="1:34" ht="13.2">
      <c r="A175" s="251"/>
      <c r="B175" s="251"/>
      <c r="C175" s="252"/>
      <c r="D175" s="252"/>
      <c r="E175" s="114"/>
      <c r="F175" s="252"/>
      <c r="G175" s="125" t="s">
        <v>145</v>
      </c>
      <c r="I175" s="172"/>
      <c r="J175" s="82" t="str">
        <f t="shared" ca="1" si="0"/>
        <v>#REF!</v>
      </c>
      <c r="K175" s="82" t="str">
        <f t="shared" ca="1" si="1"/>
        <v>#REF!</v>
      </c>
      <c r="L175" s="82" t="str">
        <f t="shared" ca="1" si="44"/>
        <v>#REF!</v>
      </c>
      <c r="M175" s="93"/>
      <c r="N175" s="93"/>
      <c r="O175" s="95">
        <f t="shared" si="2"/>
        <v>0</v>
      </c>
      <c r="P175" s="96">
        <f t="shared" si="3"/>
        <v>0</v>
      </c>
      <c r="Q175" s="97">
        <f t="shared" si="4"/>
        <v>0</v>
      </c>
      <c r="R175" s="97" t="str">
        <f ca="1">ROUNDUP(HLOOKUP(IF(CEILING(L175,0.5)&lt;1,0.5,CEILING(L175,0.5)),'배송비 조회'!A$44:AO$56,7,0)*B$3,-2)</f>
        <v>#REF!</v>
      </c>
      <c r="S175" s="97">
        <v>0</v>
      </c>
      <c r="T175" s="97" t="str">
        <f t="shared" ca="1" si="42"/>
        <v>#REF!</v>
      </c>
      <c r="U175" s="97" t="str">
        <f t="shared" ca="1" si="29"/>
        <v>#REF!</v>
      </c>
      <c r="V175" s="97" t="str">
        <f t="shared" ca="1" si="7"/>
        <v>#REF!</v>
      </c>
      <c r="W175" s="97" t="str">
        <f t="shared" ca="1" si="8"/>
        <v>#REF!</v>
      </c>
      <c r="X175" s="121">
        <v>0</v>
      </c>
      <c r="Y175" s="121" t="str">
        <f t="shared" ca="1" si="9"/>
        <v>#REF!</v>
      </c>
      <c r="Z175" s="121" t="str">
        <f t="shared" ca="1" si="10"/>
        <v>#REF!</v>
      </c>
      <c r="AA175" s="99" t="str">
        <f t="shared" ca="1" si="11"/>
        <v>#REF!</v>
      </c>
      <c r="AB175" s="234" t="str">
        <f t="shared" ca="1" si="12"/>
        <v>#REF!</v>
      </c>
      <c r="AC175" s="257" t="str">
        <f t="shared" ca="1" si="13"/>
        <v>#REF!</v>
      </c>
      <c r="AD175" s="234" t="str">
        <f t="shared" ca="1" si="14"/>
        <v>#REF!</v>
      </c>
      <c r="AE175" s="100" t="str">
        <f t="shared" ca="1" si="15"/>
        <v>#REF!</v>
      </c>
      <c r="AF175" s="101" t="str">
        <f t="shared" ca="1" si="16"/>
        <v>#REF!</v>
      </c>
      <c r="AG175" s="102" t="str">
        <f t="shared" ref="AG175:AH175" ca="1" si="193">AE175/V175</f>
        <v>#REF!</v>
      </c>
      <c r="AH175" s="102" t="str">
        <f t="shared" ca="1" si="193"/>
        <v>#REF!</v>
      </c>
    </row>
    <row r="176" spans="1:34" ht="13.2">
      <c r="A176" s="251"/>
      <c r="B176" s="251"/>
      <c r="C176" s="252"/>
      <c r="D176" s="252"/>
      <c r="E176" s="114"/>
      <c r="F176" s="252"/>
      <c r="G176" s="125" t="s">
        <v>145</v>
      </c>
      <c r="I176" s="172"/>
      <c r="J176" s="82" t="str">
        <f t="shared" ca="1" si="0"/>
        <v>#REF!</v>
      </c>
      <c r="K176" s="82" t="str">
        <f t="shared" ca="1" si="1"/>
        <v>#REF!</v>
      </c>
      <c r="L176" s="82" t="str">
        <f t="shared" ca="1" si="44"/>
        <v>#REF!</v>
      </c>
      <c r="M176" s="93"/>
      <c r="N176" s="93"/>
      <c r="O176" s="95">
        <f t="shared" si="2"/>
        <v>0</v>
      </c>
      <c r="P176" s="96">
        <f t="shared" si="3"/>
        <v>0</v>
      </c>
      <c r="Q176" s="97">
        <f t="shared" si="4"/>
        <v>0</v>
      </c>
      <c r="R176" s="97" t="str">
        <f ca="1">ROUNDUP(HLOOKUP(IF(CEILING(L176,0.5)&lt;1,0.5,CEILING(L176,0.5)),'배송비 조회'!A$44:AO$56,7,0)*B$3,-2)</f>
        <v>#REF!</v>
      </c>
      <c r="S176" s="97">
        <v>0</v>
      </c>
      <c r="T176" s="97" t="str">
        <f t="shared" ca="1" si="42"/>
        <v>#REF!</v>
      </c>
      <c r="U176" s="97" t="str">
        <f t="shared" ca="1" si="29"/>
        <v>#REF!</v>
      </c>
      <c r="V176" s="97" t="str">
        <f t="shared" ca="1" si="7"/>
        <v>#REF!</v>
      </c>
      <c r="W176" s="97" t="str">
        <f t="shared" ca="1" si="8"/>
        <v>#REF!</v>
      </c>
      <c r="X176" s="121">
        <v>0</v>
      </c>
      <c r="Y176" s="121" t="str">
        <f t="shared" ca="1" si="9"/>
        <v>#REF!</v>
      </c>
      <c r="Z176" s="121" t="str">
        <f t="shared" ca="1" si="10"/>
        <v>#REF!</v>
      </c>
      <c r="AA176" s="99" t="str">
        <f t="shared" ca="1" si="11"/>
        <v>#REF!</v>
      </c>
      <c r="AB176" s="234" t="str">
        <f t="shared" ca="1" si="12"/>
        <v>#REF!</v>
      </c>
      <c r="AC176" s="257" t="str">
        <f t="shared" ca="1" si="13"/>
        <v>#REF!</v>
      </c>
      <c r="AD176" s="234" t="str">
        <f t="shared" ca="1" si="14"/>
        <v>#REF!</v>
      </c>
      <c r="AE176" s="100" t="str">
        <f t="shared" ca="1" si="15"/>
        <v>#REF!</v>
      </c>
      <c r="AF176" s="101" t="str">
        <f t="shared" ca="1" si="16"/>
        <v>#REF!</v>
      </c>
      <c r="AG176" s="102" t="str">
        <f t="shared" ref="AG176:AH176" ca="1" si="194">AE176/V176</f>
        <v>#REF!</v>
      </c>
      <c r="AH176" s="102" t="str">
        <f t="shared" ca="1" si="194"/>
        <v>#REF!</v>
      </c>
    </row>
    <row r="177" spans="1:34" ht="13.2">
      <c r="A177" s="251"/>
      <c r="B177" s="251"/>
      <c r="C177" s="252"/>
      <c r="D177" s="252"/>
      <c r="E177" s="114"/>
      <c r="F177" s="252"/>
      <c r="G177" s="125" t="s">
        <v>145</v>
      </c>
      <c r="I177" s="172"/>
      <c r="J177" s="82" t="str">
        <f t="shared" ca="1" si="0"/>
        <v>#REF!</v>
      </c>
      <c r="K177" s="82" t="str">
        <f t="shared" ca="1" si="1"/>
        <v>#REF!</v>
      </c>
      <c r="L177" s="82" t="str">
        <f t="shared" ca="1" si="44"/>
        <v>#REF!</v>
      </c>
      <c r="M177" s="93"/>
      <c r="N177" s="93"/>
      <c r="O177" s="95">
        <f t="shared" si="2"/>
        <v>0</v>
      </c>
      <c r="P177" s="96">
        <f t="shared" si="3"/>
        <v>0</v>
      </c>
      <c r="Q177" s="97">
        <f t="shared" si="4"/>
        <v>0</v>
      </c>
      <c r="R177" s="97" t="str">
        <f ca="1">ROUNDUP(HLOOKUP(IF(CEILING(L177,0.5)&lt;1,0.5,CEILING(L177,0.5)),'배송비 조회'!A$44:AO$56,7,0)*B$3,-2)</f>
        <v>#REF!</v>
      </c>
      <c r="S177" s="97">
        <v>0</v>
      </c>
      <c r="T177" s="97" t="str">
        <f t="shared" ca="1" si="42"/>
        <v>#REF!</v>
      </c>
      <c r="U177" s="97" t="str">
        <f t="shared" ca="1" si="29"/>
        <v>#REF!</v>
      </c>
      <c r="V177" s="97" t="str">
        <f t="shared" ca="1" si="7"/>
        <v>#REF!</v>
      </c>
      <c r="W177" s="97" t="str">
        <f t="shared" ca="1" si="8"/>
        <v>#REF!</v>
      </c>
      <c r="X177" s="121">
        <v>0</v>
      </c>
      <c r="Y177" s="121" t="str">
        <f t="shared" ca="1" si="9"/>
        <v>#REF!</v>
      </c>
      <c r="Z177" s="121" t="str">
        <f t="shared" ca="1" si="10"/>
        <v>#REF!</v>
      </c>
      <c r="AA177" s="99" t="str">
        <f t="shared" ca="1" si="11"/>
        <v>#REF!</v>
      </c>
      <c r="AB177" s="234" t="str">
        <f t="shared" ca="1" si="12"/>
        <v>#REF!</v>
      </c>
      <c r="AC177" s="257" t="str">
        <f t="shared" ca="1" si="13"/>
        <v>#REF!</v>
      </c>
      <c r="AD177" s="234" t="str">
        <f t="shared" ca="1" si="14"/>
        <v>#REF!</v>
      </c>
      <c r="AE177" s="100" t="str">
        <f t="shared" ca="1" si="15"/>
        <v>#REF!</v>
      </c>
      <c r="AF177" s="101" t="str">
        <f t="shared" ca="1" si="16"/>
        <v>#REF!</v>
      </c>
      <c r="AG177" s="102" t="str">
        <f t="shared" ref="AG177:AH177" ca="1" si="195">AE177/V177</f>
        <v>#REF!</v>
      </c>
      <c r="AH177" s="102" t="str">
        <f t="shared" ca="1" si="195"/>
        <v>#REF!</v>
      </c>
    </row>
    <row r="178" spans="1:34" ht="13.2">
      <c r="A178" s="251"/>
      <c r="B178" s="251"/>
      <c r="C178" s="252"/>
      <c r="D178" s="252"/>
      <c r="E178" s="114"/>
      <c r="F178" s="252"/>
      <c r="G178" s="125" t="s">
        <v>145</v>
      </c>
      <c r="I178" s="172"/>
      <c r="J178" s="82" t="str">
        <f t="shared" ca="1" si="0"/>
        <v>#REF!</v>
      </c>
      <c r="K178" s="82" t="str">
        <f t="shared" ca="1" si="1"/>
        <v>#REF!</v>
      </c>
      <c r="L178" s="82" t="str">
        <f t="shared" ca="1" si="44"/>
        <v>#REF!</v>
      </c>
      <c r="M178" s="93"/>
      <c r="N178" s="93"/>
      <c r="O178" s="95">
        <f t="shared" si="2"/>
        <v>0</v>
      </c>
      <c r="P178" s="96">
        <f t="shared" si="3"/>
        <v>0</v>
      </c>
      <c r="Q178" s="97">
        <f t="shared" si="4"/>
        <v>0</v>
      </c>
      <c r="R178" s="97" t="str">
        <f ca="1">ROUNDUP(HLOOKUP(IF(CEILING(L178,0.5)&lt;1,0.5,CEILING(L178,0.5)),'배송비 조회'!A$44:AO$56,7,0)*B$3,-2)</f>
        <v>#REF!</v>
      </c>
      <c r="S178" s="97">
        <v>0</v>
      </c>
      <c r="T178" s="97" t="str">
        <f t="shared" ca="1" si="42"/>
        <v>#REF!</v>
      </c>
      <c r="U178" s="97" t="str">
        <f t="shared" ca="1" si="29"/>
        <v>#REF!</v>
      </c>
      <c r="V178" s="97" t="str">
        <f t="shared" ca="1" si="7"/>
        <v>#REF!</v>
      </c>
      <c r="W178" s="97" t="str">
        <f t="shared" ca="1" si="8"/>
        <v>#REF!</v>
      </c>
      <c r="X178" s="121">
        <v>0</v>
      </c>
      <c r="Y178" s="121" t="str">
        <f t="shared" ca="1" si="9"/>
        <v>#REF!</v>
      </c>
      <c r="Z178" s="121" t="str">
        <f t="shared" ca="1" si="10"/>
        <v>#REF!</v>
      </c>
      <c r="AA178" s="99" t="str">
        <f t="shared" ca="1" si="11"/>
        <v>#REF!</v>
      </c>
      <c r="AB178" s="234" t="str">
        <f t="shared" ca="1" si="12"/>
        <v>#REF!</v>
      </c>
      <c r="AC178" s="257" t="str">
        <f t="shared" ca="1" si="13"/>
        <v>#REF!</v>
      </c>
      <c r="AD178" s="234" t="str">
        <f t="shared" ca="1" si="14"/>
        <v>#REF!</v>
      </c>
      <c r="AE178" s="100" t="str">
        <f t="shared" ca="1" si="15"/>
        <v>#REF!</v>
      </c>
      <c r="AF178" s="101" t="str">
        <f t="shared" ca="1" si="16"/>
        <v>#REF!</v>
      </c>
      <c r="AG178" s="102" t="str">
        <f t="shared" ref="AG178:AH178" ca="1" si="196">AE178/V178</f>
        <v>#REF!</v>
      </c>
      <c r="AH178" s="102" t="str">
        <f t="shared" ca="1" si="196"/>
        <v>#REF!</v>
      </c>
    </row>
    <row r="179" spans="1:34" ht="13.2">
      <c r="A179" s="251"/>
      <c r="B179" s="251"/>
      <c r="C179" s="252"/>
      <c r="D179" s="252"/>
      <c r="E179" s="114"/>
      <c r="F179" s="252"/>
      <c r="G179" s="125" t="s">
        <v>145</v>
      </c>
      <c r="I179" s="172"/>
      <c r="J179" s="82" t="str">
        <f t="shared" ca="1" si="0"/>
        <v>#REF!</v>
      </c>
      <c r="K179" s="82" t="str">
        <f t="shared" ca="1" si="1"/>
        <v>#REF!</v>
      </c>
      <c r="L179" s="82" t="str">
        <f t="shared" ca="1" si="44"/>
        <v>#REF!</v>
      </c>
      <c r="M179" s="93"/>
      <c r="N179" s="93"/>
      <c r="O179" s="95">
        <f t="shared" si="2"/>
        <v>0</v>
      </c>
      <c r="P179" s="96">
        <f t="shared" si="3"/>
        <v>0</v>
      </c>
      <c r="Q179" s="97">
        <f t="shared" si="4"/>
        <v>0</v>
      </c>
      <c r="R179" s="97" t="str">
        <f ca="1">ROUNDUP(HLOOKUP(IF(CEILING(L179,0.5)&lt;1,0.5,CEILING(L179,0.5)),'배송비 조회'!A$44:AO$56,7,0)*B$3,-2)</f>
        <v>#REF!</v>
      </c>
      <c r="S179" s="97">
        <v>0</v>
      </c>
      <c r="T179" s="97" t="str">
        <f t="shared" ca="1" si="42"/>
        <v>#REF!</v>
      </c>
      <c r="U179" s="97" t="str">
        <f t="shared" ca="1" si="29"/>
        <v>#REF!</v>
      </c>
      <c r="V179" s="97" t="str">
        <f t="shared" ca="1" si="7"/>
        <v>#REF!</v>
      </c>
      <c r="W179" s="97" t="str">
        <f t="shared" ca="1" si="8"/>
        <v>#REF!</v>
      </c>
      <c r="X179" s="121">
        <v>0</v>
      </c>
      <c r="Y179" s="121" t="str">
        <f t="shared" ca="1" si="9"/>
        <v>#REF!</v>
      </c>
      <c r="Z179" s="121" t="str">
        <f t="shared" ca="1" si="10"/>
        <v>#REF!</v>
      </c>
      <c r="AA179" s="99" t="str">
        <f t="shared" ca="1" si="11"/>
        <v>#REF!</v>
      </c>
      <c r="AB179" s="234" t="str">
        <f t="shared" ca="1" si="12"/>
        <v>#REF!</v>
      </c>
      <c r="AC179" s="257" t="str">
        <f t="shared" ca="1" si="13"/>
        <v>#REF!</v>
      </c>
      <c r="AD179" s="234" t="str">
        <f t="shared" ca="1" si="14"/>
        <v>#REF!</v>
      </c>
      <c r="AE179" s="100" t="str">
        <f t="shared" ca="1" si="15"/>
        <v>#REF!</v>
      </c>
      <c r="AF179" s="101" t="str">
        <f t="shared" ca="1" si="16"/>
        <v>#REF!</v>
      </c>
      <c r="AG179" s="102" t="str">
        <f t="shared" ref="AG179:AH179" ca="1" si="197">AE179/V179</f>
        <v>#REF!</v>
      </c>
      <c r="AH179" s="102" t="str">
        <f t="shared" ca="1" si="197"/>
        <v>#REF!</v>
      </c>
    </row>
    <row r="180" spans="1:34" ht="13.2">
      <c r="A180" s="251"/>
      <c r="B180" s="251"/>
      <c r="C180" s="252"/>
      <c r="D180" s="252"/>
      <c r="E180" s="114"/>
      <c r="F180" s="252"/>
      <c r="G180" s="125" t="s">
        <v>145</v>
      </c>
      <c r="I180" s="172"/>
      <c r="J180" s="82" t="str">
        <f t="shared" ca="1" si="0"/>
        <v>#REF!</v>
      </c>
      <c r="K180" s="82" t="str">
        <f t="shared" ca="1" si="1"/>
        <v>#REF!</v>
      </c>
      <c r="L180" s="82" t="str">
        <f t="shared" ca="1" si="44"/>
        <v>#REF!</v>
      </c>
      <c r="M180" s="93"/>
      <c r="N180" s="93"/>
      <c r="O180" s="95">
        <f t="shared" si="2"/>
        <v>0</v>
      </c>
      <c r="P180" s="96">
        <f t="shared" si="3"/>
        <v>0</v>
      </c>
      <c r="Q180" s="97">
        <f t="shared" si="4"/>
        <v>0</v>
      </c>
      <c r="R180" s="97" t="str">
        <f ca="1">ROUNDUP(HLOOKUP(IF(CEILING(L180,0.5)&lt;1,0.5,CEILING(L180,0.5)),'배송비 조회'!A$44:AO$56,7,0)*B$3,-2)</f>
        <v>#REF!</v>
      </c>
      <c r="S180" s="97">
        <v>0</v>
      </c>
      <c r="T180" s="97" t="str">
        <f t="shared" ca="1" si="42"/>
        <v>#REF!</v>
      </c>
      <c r="U180" s="97" t="str">
        <f t="shared" ca="1" si="29"/>
        <v>#REF!</v>
      </c>
      <c r="V180" s="97" t="str">
        <f t="shared" ca="1" si="7"/>
        <v>#REF!</v>
      </c>
      <c r="W180" s="97" t="str">
        <f t="shared" ca="1" si="8"/>
        <v>#REF!</v>
      </c>
      <c r="X180" s="121">
        <v>0</v>
      </c>
      <c r="Y180" s="121" t="str">
        <f t="shared" ca="1" si="9"/>
        <v>#REF!</v>
      </c>
      <c r="Z180" s="121" t="str">
        <f t="shared" ca="1" si="10"/>
        <v>#REF!</v>
      </c>
      <c r="AA180" s="99" t="str">
        <f t="shared" ca="1" si="11"/>
        <v>#REF!</v>
      </c>
      <c r="AB180" s="234" t="str">
        <f t="shared" ca="1" si="12"/>
        <v>#REF!</v>
      </c>
      <c r="AC180" s="257" t="str">
        <f t="shared" ca="1" si="13"/>
        <v>#REF!</v>
      </c>
      <c r="AD180" s="234" t="str">
        <f t="shared" ca="1" si="14"/>
        <v>#REF!</v>
      </c>
      <c r="AE180" s="100" t="str">
        <f t="shared" ca="1" si="15"/>
        <v>#REF!</v>
      </c>
      <c r="AF180" s="101" t="str">
        <f t="shared" ca="1" si="16"/>
        <v>#REF!</v>
      </c>
      <c r="AG180" s="102" t="str">
        <f t="shared" ref="AG180:AH180" ca="1" si="198">AE180/V180</f>
        <v>#REF!</v>
      </c>
      <c r="AH180" s="102" t="str">
        <f t="shared" ca="1" si="198"/>
        <v>#REF!</v>
      </c>
    </row>
    <row r="181" spans="1:34" ht="13.2">
      <c r="A181" s="251"/>
      <c r="B181" s="251"/>
      <c r="C181" s="252"/>
      <c r="D181" s="252"/>
      <c r="E181" s="114"/>
      <c r="F181" s="252"/>
      <c r="G181" s="125" t="s">
        <v>145</v>
      </c>
      <c r="I181" s="172"/>
      <c r="J181" s="82" t="str">
        <f t="shared" ca="1" si="0"/>
        <v>#REF!</v>
      </c>
      <c r="K181" s="82" t="str">
        <f t="shared" ca="1" si="1"/>
        <v>#REF!</v>
      </c>
      <c r="L181" s="82" t="str">
        <f t="shared" ca="1" si="44"/>
        <v>#REF!</v>
      </c>
      <c r="M181" s="93"/>
      <c r="N181" s="93"/>
      <c r="O181" s="95">
        <f t="shared" si="2"/>
        <v>0</v>
      </c>
      <c r="P181" s="96">
        <f t="shared" si="3"/>
        <v>0</v>
      </c>
      <c r="Q181" s="97">
        <f t="shared" si="4"/>
        <v>0</v>
      </c>
      <c r="R181" s="97" t="str">
        <f ca="1">ROUNDUP(HLOOKUP(IF(CEILING(L181,0.5)&lt;1,0.5,CEILING(L181,0.5)),'배송비 조회'!A$44:AO$56,7,0)*B$3,-2)</f>
        <v>#REF!</v>
      </c>
      <c r="S181" s="97">
        <v>0</v>
      </c>
      <c r="T181" s="97" t="str">
        <f t="shared" ca="1" si="42"/>
        <v>#REF!</v>
      </c>
      <c r="U181" s="97" t="str">
        <f t="shared" ca="1" si="29"/>
        <v>#REF!</v>
      </c>
      <c r="V181" s="97" t="str">
        <f t="shared" ca="1" si="7"/>
        <v>#REF!</v>
      </c>
      <c r="W181" s="97" t="str">
        <f t="shared" ca="1" si="8"/>
        <v>#REF!</v>
      </c>
      <c r="X181" s="121">
        <v>0</v>
      </c>
      <c r="Y181" s="121" t="str">
        <f t="shared" ca="1" si="9"/>
        <v>#REF!</v>
      </c>
      <c r="Z181" s="121" t="str">
        <f t="shared" ca="1" si="10"/>
        <v>#REF!</v>
      </c>
      <c r="AA181" s="99" t="str">
        <f t="shared" ca="1" si="11"/>
        <v>#REF!</v>
      </c>
      <c r="AB181" s="234" t="str">
        <f t="shared" ca="1" si="12"/>
        <v>#REF!</v>
      </c>
      <c r="AC181" s="257" t="str">
        <f t="shared" ca="1" si="13"/>
        <v>#REF!</v>
      </c>
      <c r="AD181" s="234" t="str">
        <f t="shared" ca="1" si="14"/>
        <v>#REF!</v>
      </c>
      <c r="AE181" s="100" t="str">
        <f t="shared" ca="1" si="15"/>
        <v>#REF!</v>
      </c>
      <c r="AF181" s="101" t="str">
        <f t="shared" ca="1" si="16"/>
        <v>#REF!</v>
      </c>
      <c r="AG181" s="102" t="str">
        <f t="shared" ref="AG181:AH181" ca="1" si="199">AE181/V181</f>
        <v>#REF!</v>
      </c>
      <c r="AH181" s="102" t="str">
        <f t="shared" ca="1" si="199"/>
        <v>#REF!</v>
      </c>
    </row>
    <row r="182" spans="1:34" ht="13.2">
      <c r="A182" s="251"/>
      <c r="B182" s="251"/>
      <c r="C182" s="252"/>
      <c r="D182" s="252"/>
      <c r="E182" s="114"/>
      <c r="F182" s="252"/>
      <c r="G182" s="125" t="s">
        <v>145</v>
      </c>
      <c r="I182" s="172"/>
      <c r="J182" s="82" t="str">
        <f t="shared" ca="1" si="0"/>
        <v>#REF!</v>
      </c>
      <c r="K182" s="82" t="str">
        <f t="shared" ca="1" si="1"/>
        <v>#REF!</v>
      </c>
      <c r="L182" s="82" t="str">
        <f t="shared" ca="1" si="44"/>
        <v>#REF!</v>
      </c>
      <c r="M182" s="93"/>
      <c r="N182" s="93"/>
      <c r="O182" s="95">
        <f t="shared" si="2"/>
        <v>0</v>
      </c>
      <c r="P182" s="96">
        <f t="shared" si="3"/>
        <v>0</v>
      </c>
      <c r="Q182" s="97">
        <f t="shared" si="4"/>
        <v>0</v>
      </c>
      <c r="R182" s="97" t="str">
        <f ca="1">ROUNDUP(HLOOKUP(IF(CEILING(L182,0.5)&lt;1,0.5,CEILING(L182,0.5)),'배송비 조회'!A$44:AO$56,7,0)*B$3,-2)</f>
        <v>#REF!</v>
      </c>
      <c r="S182" s="97">
        <v>0</v>
      </c>
      <c r="T182" s="97" t="str">
        <f t="shared" ca="1" si="42"/>
        <v>#REF!</v>
      </c>
      <c r="U182" s="97" t="str">
        <f t="shared" ca="1" si="29"/>
        <v>#REF!</v>
      </c>
      <c r="V182" s="97" t="str">
        <f t="shared" ca="1" si="7"/>
        <v>#REF!</v>
      </c>
      <c r="W182" s="97" t="str">
        <f t="shared" ca="1" si="8"/>
        <v>#REF!</v>
      </c>
      <c r="X182" s="121">
        <v>0</v>
      </c>
      <c r="Y182" s="121" t="str">
        <f t="shared" ca="1" si="9"/>
        <v>#REF!</v>
      </c>
      <c r="Z182" s="121" t="str">
        <f t="shared" ca="1" si="10"/>
        <v>#REF!</v>
      </c>
      <c r="AA182" s="99" t="str">
        <f t="shared" ca="1" si="11"/>
        <v>#REF!</v>
      </c>
      <c r="AB182" s="234" t="str">
        <f t="shared" ca="1" si="12"/>
        <v>#REF!</v>
      </c>
      <c r="AC182" s="257" t="str">
        <f t="shared" ca="1" si="13"/>
        <v>#REF!</v>
      </c>
      <c r="AD182" s="234" t="str">
        <f t="shared" ca="1" si="14"/>
        <v>#REF!</v>
      </c>
      <c r="AE182" s="100" t="str">
        <f t="shared" ca="1" si="15"/>
        <v>#REF!</v>
      </c>
      <c r="AF182" s="101" t="str">
        <f t="shared" ca="1" si="16"/>
        <v>#REF!</v>
      </c>
      <c r="AG182" s="102" t="str">
        <f t="shared" ref="AG182:AH182" ca="1" si="200">AE182/V182</f>
        <v>#REF!</v>
      </c>
      <c r="AH182" s="102" t="str">
        <f t="shared" ca="1" si="200"/>
        <v>#REF!</v>
      </c>
    </row>
    <row r="183" spans="1:34" ht="13.2">
      <c r="A183" s="251"/>
      <c r="B183" s="251"/>
      <c r="C183" s="252"/>
      <c r="D183" s="252"/>
      <c r="E183" s="114"/>
      <c r="F183" s="252"/>
      <c r="G183" s="125" t="s">
        <v>145</v>
      </c>
      <c r="I183" s="172"/>
      <c r="J183" s="82" t="str">
        <f t="shared" ca="1" si="0"/>
        <v>#REF!</v>
      </c>
      <c r="K183" s="82" t="str">
        <f t="shared" ca="1" si="1"/>
        <v>#REF!</v>
      </c>
      <c r="L183" s="82" t="str">
        <f t="shared" ca="1" si="44"/>
        <v>#REF!</v>
      </c>
      <c r="M183" s="93"/>
      <c r="N183" s="93"/>
      <c r="O183" s="95">
        <f t="shared" si="2"/>
        <v>0</v>
      </c>
      <c r="P183" s="96">
        <f t="shared" si="3"/>
        <v>0</v>
      </c>
      <c r="Q183" s="97">
        <f t="shared" si="4"/>
        <v>0</v>
      </c>
      <c r="R183" s="97" t="str">
        <f ca="1">ROUNDUP(HLOOKUP(IF(CEILING(L183,0.5)&lt;1,0.5,CEILING(L183,0.5)),'배송비 조회'!A$44:AO$56,7,0)*B$3,-2)</f>
        <v>#REF!</v>
      </c>
      <c r="S183" s="97">
        <v>0</v>
      </c>
      <c r="T183" s="97" t="str">
        <f t="shared" ca="1" si="42"/>
        <v>#REF!</v>
      </c>
      <c r="U183" s="97" t="str">
        <f t="shared" ca="1" si="29"/>
        <v>#REF!</v>
      </c>
      <c r="V183" s="97" t="str">
        <f t="shared" ca="1" si="7"/>
        <v>#REF!</v>
      </c>
      <c r="W183" s="97" t="str">
        <f t="shared" ca="1" si="8"/>
        <v>#REF!</v>
      </c>
      <c r="X183" s="121">
        <v>0</v>
      </c>
      <c r="Y183" s="121" t="str">
        <f t="shared" ca="1" si="9"/>
        <v>#REF!</v>
      </c>
      <c r="Z183" s="121" t="str">
        <f t="shared" ca="1" si="10"/>
        <v>#REF!</v>
      </c>
      <c r="AA183" s="99" t="str">
        <f t="shared" ca="1" si="11"/>
        <v>#REF!</v>
      </c>
      <c r="AB183" s="234" t="str">
        <f t="shared" ca="1" si="12"/>
        <v>#REF!</v>
      </c>
      <c r="AC183" s="257" t="str">
        <f t="shared" ca="1" si="13"/>
        <v>#REF!</v>
      </c>
      <c r="AD183" s="234" t="str">
        <f t="shared" ca="1" si="14"/>
        <v>#REF!</v>
      </c>
      <c r="AE183" s="100" t="str">
        <f t="shared" ca="1" si="15"/>
        <v>#REF!</v>
      </c>
      <c r="AF183" s="101" t="str">
        <f t="shared" ca="1" si="16"/>
        <v>#REF!</v>
      </c>
      <c r="AG183" s="102" t="str">
        <f t="shared" ref="AG183:AH183" ca="1" si="201">AE183/V183</f>
        <v>#REF!</v>
      </c>
      <c r="AH183" s="102" t="str">
        <f t="shared" ca="1" si="201"/>
        <v>#REF!</v>
      </c>
    </row>
    <row r="184" spans="1:34" ht="13.2">
      <c r="A184" s="251"/>
      <c r="B184" s="251"/>
      <c r="C184" s="252"/>
      <c r="D184" s="252"/>
      <c r="E184" s="114"/>
      <c r="F184" s="252"/>
      <c r="G184" s="125" t="s">
        <v>145</v>
      </c>
      <c r="I184" s="172"/>
      <c r="J184" s="82" t="str">
        <f t="shared" ca="1" si="0"/>
        <v>#REF!</v>
      </c>
      <c r="K184" s="82" t="str">
        <f t="shared" ca="1" si="1"/>
        <v>#REF!</v>
      </c>
      <c r="L184" s="82" t="str">
        <f t="shared" ca="1" si="44"/>
        <v>#REF!</v>
      </c>
      <c r="M184" s="93"/>
      <c r="N184" s="93"/>
      <c r="O184" s="95">
        <f t="shared" si="2"/>
        <v>0</v>
      </c>
      <c r="P184" s="96">
        <f t="shared" si="3"/>
        <v>0</v>
      </c>
      <c r="Q184" s="97">
        <f t="shared" si="4"/>
        <v>0</v>
      </c>
      <c r="R184" s="97" t="str">
        <f ca="1">ROUNDUP(HLOOKUP(IF(CEILING(L184,0.5)&lt;1,0.5,CEILING(L184,0.5)),'배송비 조회'!A$44:AO$56,7,0)*B$3,-2)</f>
        <v>#REF!</v>
      </c>
      <c r="S184" s="97">
        <v>0</v>
      </c>
      <c r="T184" s="97" t="str">
        <f t="shared" ca="1" si="42"/>
        <v>#REF!</v>
      </c>
      <c r="U184" s="97" t="str">
        <f t="shared" ca="1" si="29"/>
        <v>#REF!</v>
      </c>
      <c r="V184" s="97" t="str">
        <f t="shared" ca="1" si="7"/>
        <v>#REF!</v>
      </c>
      <c r="W184" s="97" t="str">
        <f t="shared" ca="1" si="8"/>
        <v>#REF!</v>
      </c>
      <c r="X184" s="121">
        <v>0</v>
      </c>
      <c r="Y184" s="121" t="str">
        <f t="shared" ca="1" si="9"/>
        <v>#REF!</v>
      </c>
      <c r="Z184" s="121" t="str">
        <f t="shared" ca="1" si="10"/>
        <v>#REF!</v>
      </c>
      <c r="AA184" s="99" t="str">
        <f t="shared" ca="1" si="11"/>
        <v>#REF!</v>
      </c>
      <c r="AB184" s="234" t="str">
        <f t="shared" ca="1" si="12"/>
        <v>#REF!</v>
      </c>
      <c r="AC184" s="257" t="str">
        <f t="shared" ca="1" si="13"/>
        <v>#REF!</v>
      </c>
      <c r="AD184" s="234" t="str">
        <f t="shared" ca="1" si="14"/>
        <v>#REF!</v>
      </c>
      <c r="AE184" s="100" t="str">
        <f t="shared" ca="1" si="15"/>
        <v>#REF!</v>
      </c>
      <c r="AF184" s="101" t="str">
        <f t="shared" ca="1" si="16"/>
        <v>#REF!</v>
      </c>
      <c r="AG184" s="102" t="str">
        <f t="shared" ref="AG184:AH184" ca="1" si="202">AE184/V184</f>
        <v>#REF!</v>
      </c>
      <c r="AH184" s="102" t="str">
        <f t="shared" ca="1" si="202"/>
        <v>#REF!</v>
      </c>
    </row>
    <row r="185" spans="1:34" ht="13.2">
      <c r="A185" s="251"/>
      <c r="B185" s="251"/>
      <c r="C185" s="252"/>
      <c r="D185" s="252"/>
      <c r="E185" s="114"/>
      <c r="F185" s="252"/>
      <c r="G185" s="125" t="s">
        <v>145</v>
      </c>
      <c r="I185" s="172"/>
      <c r="J185" s="82" t="str">
        <f t="shared" ca="1" si="0"/>
        <v>#REF!</v>
      </c>
      <c r="K185" s="82" t="str">
        <f t="shared" ca="1" si="1"/>
        <v>#REF!</v>
      </c>
      <c r="L185" s="82" t="str">
        <f t="shared" ca="1" si="44"/>
        <v>#REF!</v>
      </c>
      <c r="M185" s="93"/>
      <c r="N185" s="93"/>
      <c r="O185" s="95">
        <f t="shared" si="2"/>
        <v>0</v>
      </c>
      <c r="P185" s="96">
        <f t="shared" si="3"/>
        <v>0</v>
      </c>
      <c r="Q185" s="97">
        <f t="shared" si="4"/>
        <v>0</v>
      </c>
      <c r="R185" s="97" t="str">
        <f ca="1">ROUNDUP(HLOOKUP(IF(CEILING(L185,0.5)&lt;1,0.5,CEILING(L185,0.5)),'배송비 조회'!A$44:AO$56,7,0)*B$3,-2)</f>
        <v>#REF!</v>
      </c>
      <c r="S185" s="97">
        <v>0</v>
      </c>
      <c r="T185" s="97" t="str">
        <f t="shared" ca="1" si="42"/>
        <v>#REF!</v>
      </c>
      <c r="U185" s="97" t="str">
        <f t="shared" ca="1" si="29"/>
        <v>#REF!</v>
      </c>
      <c r="V185" s="97" t="str">
        <f t="shared" ca="1" si="7"/>
        <v>#REF!</v>
      </c>
      <c r="W185" s="97" t="str">
        <f t="shared" ca="1" si="8"/>
        <v>#REF!</v>
      </c>
      <c r="X185" s="121">
        <v>0</v>
      </c>
      <c r="Y185" s="121" t="str">
        <f t="shared" ca="1" si="9"/>
        <v>#REF!</v>
      </c>
      <c r="Z185" s="121" t="str">
        <f t="shared" ca="1" si="10"/>
        <v>#REF!</v>
      </c>
      <c r="AA185" s="99" t="str">
        <f t="shared" ca="1" si="11"/>
        <v>#REF!</v>
      </c>
      <c r="AB185" s="234" t="str">
        <f t="shared" ca="1" si="12"/>
        <v>#REF!</v>
      </c>
      <c r="AC185" s="257" t="str">
        <f t="shared" ca="1" si="13"/>
        <v>#REF!</v>
      </c>
      <c r="AD185" s="234" t="str">
        <f t="shared" ca="1" si="14"/>
        <v>#REF!</v>
      </c>
      <c r="AE185" s="100" t="str">
        <f t="shared" ca="1" si="15"/>
        <v>#REF!</v>
      </c>
      <c r="AF185" s="101" t="str">
        <f t="shared" ca="1" si="16"/>
        <v>#REF!</v>
      </c>
      <c r="AG185" s="102" t="str">
        <f t="shared" ref="AG185:AH185" ca="1" si="203">AE185/V185</f>
        <v>#REF!</v>
      </c>
      <c r="AH185" s="102" t="str">
        <f t="shared" ca="1" si="203"/>
        <v>#REF!</v>
      </c>
    </row>
    <row r="186" spans="1:34" ht="13.2">
      <c r="A186" s="251"/>
      <c r="B186" s="251"/>
      <c r="C186" s="252"/>
      <c r="D186" s="252"/>
      <c r="E186" s="114"/>
      <c r="F186" s="252"/>
      <c r="G186" s="125" t="s">
        <v>145</v>
      </c>
      <c r="I186" s="172"/>
      <c r="J186" s="82" t="str">
        <f t="shared" ca="1" si="0"/>
        <v>#REF!</v>
      </c>
      <c r="K186" s="82" t="str">
        <f t="shared" ca="1" si="1"/>
        <v>#REF!</v>
      </c>
      <c r="L186" s="82" t="str">
        <f t="shared" ca="1" si="44"/>
        <v>#REF!</v>
      </c>
      <c r="M186" s="93"/>
      <c r="N186" s="93"/>
      <c r="O186" s="95">
        <f t="shared" si="2"/>
        <v>0</v>
      </c>
      <c r="P186" s="96">
        <f t="shared" si="3"/>
        <v>0</v>
      </c>
      <c r="Q186" s="97">
        <f t="shared" si="4"/>
        <v>0</v>
      </c>
      <c r="R186" s="97" t="str">
        <f ca="1">ROUNDUP(HLOOKUP(IF(CEILING(L186,0.5)&lt;1,0.5,CEILING(L186,0.5)),'배송비 조회'!A$44:AO$56,7,0)*B$3,-2)</f>
        <v>#REF!</v>
      </c>
      <c r="S186" s="97">
        <v>0</v>
      </c>
      <c r="T186" s="97" t="str">
        <f t="shared" ca="1" si="42"/>
        <v>#REF!</v>
      </c>
      <c r="U186" s="97" t="str">
        <f t="shared" ca="1" si="29"/>
        <v>#REF!</v>
      </c>
      <c r="V186" s="97" t="str">
        <f t="shared" ca="1" si="7"/>
        <v>#REF!</v>
      </c>
      <c r="W186" s="97" t="str">
        <f t="shared" ca="1" si="8"/>
        <v>#REF!</v>
      </c>
      <c r="X186" s="121">
        <v>0</v>
      </c>
      <c r="Y186" s="121" t="str">
        <f t="shared" ca="1" si="9"/>
        <v>#REF!</v>
      </c>
      <c r="Z186" s="121" t="str">
        <f t="shared" ca="1" si="10"/>
        <v>#REF!</v>
      </c>
      <c r="AA186" s="99" t="str">
        <f t="shared" ca="1" si="11"/>
        <v>#REF!</v>
      </c>
      <c r="AB186" s="234" t="str">
        <f t="shared" ca="1" si="12"/>
        <v>#REF!</v>
      </c>
      <c r="AC186" s="257" t="str">
        <f t="shared" ca="1" si="13"/>
        <v>#REF!</v>
      </c>
      <c r="AD186" s="234" t="str">
        <f t="shared" ca="1" si="14"/>
        <v>#REF!</v>
      </c>
      <c r="AE186" s="100" t="str">
        <f t="shared" ca="1" si="15"/>
        <v>#REF!</v>
      </c>
      <c r="AF186" s="101" t="str">
        <f t="shared" ca="1" si="16"/>
        <v>#REF!</v>
      </c>
      <c r="AG186" s="102" t="str">
        <f t="shared" ref="AG186:AH186" ca="1" si="204">AE186/V186</f>
        <v>#REF!</v>
      </c>
      <c r="AH186" s="102" t="str">
        <f t="shared" ca="1" si="204"/>
        <v>#REF!</v>
      </c>
    </row>
    <row r="187" spans="1:34" ht="13.2">
      <c r="A187" s="251"/>
      <c r="B187" s="251"/>
      <c r="C187" s="252"/>
      <c r="D187" s="252"/>
      <c r="E187" s="114"/>
      <c r="F187" s="252"/>
      <c r="G187" s="125" t="s">
        <v>145</v>
      </c>
      <c r="I187" s="172"/>
      <c r="J187" s="82" t="str">
        <f t="shared" ca="1" si="0"/>
        <v>#REF!</v>
      </c>
      <c r="K187" s="82" t="str">
        <f t="shared" ca="1" si="1"/>
        <v>#REF!</v>
      </c>
      <c r="L187" s="82" t="str">
        <f t="shared" ca="1" si="44"/>
        <v>#REF!</v>
      </c>
      <c r="M187" s="93"/>
      <c r="N187" s="93"/>
      <c r="O187" s="95">
        <f t="shared" si="2"/>
        <v>0</v>
      </c>
      <c r="P187" s="96">
        <f t="shared" si="3"/>
        <v>0</v>
      </c>
      <c r="Q187" s="97">
        <f t="shared" si="4"/>
        <v>0</v>
      </c>
      <c r="R187" s="97" t="str">
        <f ca="1">ROUNDUP(HLOOKUP(IF(CEILING(L187,0.5)&lt;1,0.5,CEILING(L187,0.5)),'배송비 조회'!A$44:AO$56,7,0)*B$3,-2)</f>
        <v>#REF!</v>
      </c>
      <c r="S187" s="97">
        <v>0</v>
      </c>
      <c r="T187" s="97" t="str">
        <f t="shared" ca="1" si="42"/>
        <v>#REF!</v>
      </c>
      <c r="U187" s="97" t="str">
        <f t="shared" ca="1" si="29"/>
        <v>#REF!</v>
      </c>
      <c r="V187" s="97" t="str">
        <f t="shared" ca="1" si="7"/>
        <v>#REF!</v>
      </c>
      <c r="W187" s="97" t="str">
        <f t="shared" ca="1" si="8"/>
        <v>#REF!</v>
      </c>
      <c r="X187" s="121">
        <v>0</v>
      </c>
      <c r="Y187" s="121" t="str">
        <f t="shared" ca="1" si="9"/>
        <v>#REF!</v>
      </c>
      <c r="Z187" s="121" t="str">
        <f t="shared" ca="1" si="10"/>
        <v>#REF!</v>
      </c>
      <c r="AA187" s="99" t="str">
        <f t="shared" ca="1" si="11"/>
        <v>#REF!</v>
      </c>
      <c r="AB187" s="234" t="str">
        <f t="shared" ca="1" si="12"/>
        <v>#REF!</v>
      </c>
      <c r="AC187" s="257" t="str">
        <f t="shared" ca="1" si="13"/>
        <v>#REF!</v>
      </c>
      <c r="AD187" s="234" t="str">
        <f t="shared" ca="1" si="14"/>
        <v>#REF!</v>
      </c>
      <c r="AE187" s="100" t="str">
        <f t="shared" ca="1" si="15"/>
        <v>#REF!</v>
      </c>
      <c r="AF187" s="101" t="str">
        <f t="shared" ca="1" si="16"/>
        <v>#REF!</v>
      </c>
      <c r="AG187" s="102" t="str">
        <f t="shared" ref="AG187:AH187" ca="1" si="205">AE187/V187</f>
        <v>#REF!</v>
      </c>
      <c r="AH187" s="102" t="str">
        <f t="shared" ca="1" si="205"/>
        <v>#REF!</v>
      </c>
    </row>
    <row r="188" spans="1:34" ht="13.2">
      <c r="A188" s="251"/>
      <c r="B188" s="251"/>
      <c r="C188" s="252"/>
      <c r="D188" s="252"/>
      <c r="E188" s="114"/>
      <c r="F188" s="252"/>
      <c r="G188" s="125" t="s">
        <v>145</v>
      </c>
      <c r="I188" s="172"/>
      <c r="J188" s="82" t="str">
        <f t="shared" ca="1" si="0"/>
        <v>#REF!</v>
      </c>
      <c r="K188" s="82" t="str">
        <f t="shared" ca="1" si="1"/>
        <v>#REF!</v>
      </c>
      <c r="L188" s="82" t="str">
        <f t="shared" ca="1" si="44"/>
        <v>#REF!</v>
      </c>
      <c r="M188" s="93"/>
      <c r="N188" s="93"/>
      <c r="O188" s="95">
        <f t="shared" si="2"/>
        <v>0</v>
      </c>
      <c r="P188" s="96">
        <f t="shared" si="3"/>
        <v>0</v>
      </c>
      <c r="Q188" s="97">
        <f t="shared" si="4"/>
        <v>0</v>
      </c>
      <c r="R188" s="97" t="str">
        <f ca="1">ROUNDUP(HLOOKUP(IF(CEILING(L188,0.5)&lt;1,0.5,CEILING(L188,0.5)),'배송비 조회'!A$44:AO$56,7,0)*B$3,-2)</f>
        <v>#REF!</v>
      </c>
      <c r="S188" s="97">
        <v>0</v>
      </c>
      <c r="T188" s="97" t="str">
        <f t="shared" ca="1" si="42"/>
        <v>#REF!</v>
      </c>
      <c r="U188" s="97" t="str">
        <f t="shared" ca="1" si="29"/>
        <v>#REF!</v>
      </c>
      <c r="V188" s="97" t="str">
        <f t="shared" ca="1" si="7"/>
        <v>#REF!</v>
      </c>
      <c r="W188" s="97" t="str">
        <f t="shared" ca="1" si="8"/>
        <v>#REF!</v>
      </c>
      <c r="X188" s="121">
        <v>0</v>
      </c>
      <c r="Y188" s="121" t="str">
        <f t="shared" ca="1" si="9"/>
        <v>#REF!</v>
      </c>
      <c r="Z188" s="121" t="str">
        <f t="shared" ca="1" si="10"/>
        <v>#REF!</v>
      </c>
      <c r="AA188" s="99" t="str">
        <f t="shared" ca="1" si="11"/>
        <v>#REF!</v>
      </c>
      <c r="AB188" s="234" t="str">
        <f t="shared" ca="1" si="12"/>
        <v>#REF!</v>
      </c>
      <c r="AC188" s="257" t="str">
        <f t="shared" ca="1" si="13"/>
        <v>#REF!</v>
      </c>
      <c r="AD188" s="234" t="str">
        <f t="shared" ca="1" si="14"/>
        <v>#REF!</v>
      </c>
      <c r="AE188" s="100" t="str">
        <f t="shared" ca="1" si="15"/>
        <v>#REF!</v>
      </c>
      <c r="AF188" s="101" t="str">
        <f t="shared" ca="1" si="16"/>
        <v>#REF!</v>
      </c>
      <c r="AG188" s="102" t="str">
        <f t="shared" ref="AG188:AH188" ca="1" si="206">AE188/V188</f>
        <v>#REF!</v>
      </c>
      <c r="AH188" s="102" t="str">
        <f t="shared" ca="1" si="206"/>
        <v>#REF!</v>
      </c>
    </row>
    <row r="189" spans="1:34" ht="13.2">
      <c r="A189" s="251"/>
      <c r="B189" s="251"/>
      <c r="C189" s="252"/>
      <c r="D189" s="252"/>
      <c r="E189" s="114"/>
      <c r="F189" s="252"/>
      <c r="G189" s="125" t="s">
        <v>145</v>
      </c>
      <c r="I189" s="172"/>
      <c r="J189" s="82" t="str">
        <f t="shared" ca="1" si="0"/>
        <v>#REF!</v>
      </c>
      <c r="K189" s="82" t="str">
        <f t="shared" ca="1" si="1"/>
        <v>#REF!</v>
      </c>
      <c r="L189" s="82" t="str">
        <f t="shared" ca="1" si="44"/>
        <v>#REF!</v>
      </c>
      <c r="M189" s="93"/>
      <c r="N189" s="93"/>
      <c r="O189" s="95">
        <f t="shared" si="2"/>
        <v>0</v>
      </c>
      <c r="P189" s="96">
        <f t="shared" si="3"/>
        <v>0</v>
      </c>
      <c r="Q189" s="97">
        <f t="shared" si="4"/>
        <v>0</v>
      </c>
      <c r="R189" s="97" t="str">
        <f ca="1">ROUNDUP(HLOOKUP(IF(CEILING(L189,0.5)&lt;1,0.5,CEILING(L189,0.5)),'배송비 조회'!A$44:AO$56,7,0)*B$3,-2)</f>
        <v>#REF!</v>
      </c>
      <c r="S189" s="97">
        <v>0</v>
      </c>
      <c r="T189" s="97" t="str">
        <f t="shared" ca="1" si="42"/>
        <v>#REF!</v>
      </c>
      <c r="U189" s="97" t="str">
        <f t="shared" ca="1" si="29"/>
        <v>#REF!</v>
      </c>
      <c r="V189" s="97" t="str">
        <f t="shared" ca="1" si="7"/>
        <v>#REF!</v>
      </c>
      <c r="W189" s="97" t="str">
        <f t="shared" ca="1" si="8"/>
        <v>#REF!</v>
      </c>
      <c r="X189" s="121">
        <v>0</v>
      </c>
      <c r="Y189" s="121" t="str">
        <f t="shared" ca="1" si="9"/>
        <v>#REF!</v>
      </c>
      <c r="Z189" s="121" t="str">
        <f t="shared" ca="1" si="10"/>
        <v>#REF!</v>
      </c>
      <c r="AA189" s="99" t="str">
        <f t="shared" ca="1" si="11"/>
        <v>#REF!</v>
      </c>
      <c r="AB189" s="234" t="str">
        <f t="shared" ca="1" si="12"/>
        <v>#REF!</v>
      </c>
      <c r="AC189" s="257" t="str">
        <f t="shared" ca="1" si="13"/>
        <v>#REF!</v>
      </c>
      <c r="AD189" s="234" t="str">
        <f t="shared" ca="1" si="14"/>
        <v>#REF!</v>
      </c>
      <c r="AE189" s="100" t="str">
        <f t="shared" ca="1" si="15"/>
        <v>#REF!</v>
      </c>
      <c r="AF189" s="101" t="str">
        <f t="shared" ca="1" si="16"/>
        <v>#REF!</v>
      </c>
      <c r="AG189" s="102" t="str">
        <f t="shared" ref="AG189:AH189" ca="1" si="207">AE189/V189</f>
        <v>#REF!</v>
      </c>
      <c r="AH189" s="102" t="str">
        <f t="shared" ca="1" si="207"/>
        <v>#REF!</v>
      </c>
    </row>
    <row r="190" spans="1:34" ht="13.2">
      <c r="A190" s="251"/>
      <c r="B190" s="251"/>
      <c r="C190" s="252"/>
      <c r="D190" s="252"/>
      <c r="E190" s="114"/>
      <c r="F190" s="252"/>
      <c r="G190" s="125" t="s">
        <v>145</v>
      </c>
      <c r="I190" s="172"/>
      <c r="J190" s="82" t="str">
        <f t="shared" ca="1" si="0"/>
        <v>#REF!</v>
      </c>
      <c r="K190" s="82" t="str">
        <f t="shared" ca="1" si="1"/>
        <v>#REF!</v>
      </c>
      <c r="L190" s="82" t="str">
        <f t="shared" ca="1" si="44"/>
        <v>#REF!</v>
      </c>
      <c r="M190" s="93"/>
      <c r="N190" s="93"/>
      <c r="O190" s="95">
        <f t="shared" si="2"/>
        <v>0</v>
      </c>
      <c r="P190" s="96">
        <f t="shared" si="3"/>
        <v>0</v>
      </c>
      <c r="Q190" s="97">
        <f t="shared" si="4"/>
        <v>0</v>
      </c>
      <c r="R190" s="97" t="str">
        <f ca="1">ROUNDUP(HLOOKUP(IF(CEILING(L190,0.5)&lt;1,0.5,CEILING(L190,0.5)),'배송비 조회'!A$44:AO$56,7,0)*B$3,-2)</f>
        <v>#REF!</v>
      </c>
      <c r="S190" s="97">
        <v>0</v>
      </c>
      <c r="T190" s="97" t="str">
        <f t="shared" ca="1" si="42"/>
        <v>#REF!</v>
      </c>
      <c r="U190" s="97" t="str">
        <f t="shared" ca="1" si="29"/>
        <v>#REF!</v>
      </c>
      <c r="V190" s="97" t="str">
        <f t="shared" ca="1" si="7"/>
        <v>#REF!</v>
      </c>
      <c r="W190" s="97" t="str">
        <f t="shared" ca="1" si="8"/>
        <v>#REF!</v>
      </c>
      <c r="X190" s="121">
        <v>0</v>
      </c>
      <c r="Y190" s="121" t="str">
        <f t="shared" ca="1" si="9"/>
        <v>#REF!</v>
      </c>
      <c r="Z190" s="121" t="str">
        <f t="shared" ca="1" si="10"/>
        <v>#REF!</v>
      </c>
      <c r="AA190" s="99" t="str">
        <f t="shared" ca="1" si="11"/>
        <v>#REF!</v>
      </c>
      <c r="AB190" s="234" t="str">
        <f t="shared" ca="1" si="12"/>
        <v>#REF!</v>
      </c>
      <c r="AC190" s="257" t="str">
        <f t="shared" ca="1" si="13"/>
        <v>#REF!</v>
      </c>
      <c r="AD190" s="234" t="str">
        <f t="shared" ca="1" si="14"/>
        <v>#REF!</v>
      </c>
      <c r="AE190" s="100" t="str">
        <f t="shared" ca="1" si="15"/>
        <v>#REF!</v>
      </c>
      <c r="AF190" s="101" t="str">
        <f t="shared" ca="1" si="16"/>
        <v>#REF!</v>
      </c>
      <c r="AG190" s="102" t="str">
        <f t="shared" ref="AG190:AH190" ca="1" si="208">AE190/V190</f>
        <v>#REF!</v>
      </c>
      <c r="AH190" s="102" t="str">
        <f t="shared" ca="1" si="208"/>
        <v>#REF!</v>
      </c>
    </row>
    <row r="191" spans="1:34" ht="13.2">
      <c r="A191" s="251"/>
      <c r="B191" s="251"/>
      <c r="C191" s="252"/>
      <c r="D191" s="252"/>
      <c r="E191" s="114"/>
      <c r="F191" s="252"/>
      <c r="G191" s="125" t="s">
        <v>145</v>
      </c>
      <c r="I191" s="172"/>
      <c r="J191" s="82" t="str">
        <f t="shared" ca="1" si="0"/>
        <v>#REF!</v>
      </c>
      <c r="K191" s="82" t="str">
        <f t="shared" ca="1" si="1"/>
        <v>#REF!</v>
      </c>
      <c r="L191" s="82" t="str">
        <f t="shared" ca="1" si="44"/>
        <v>#REF!</v>
      </c>
      <c r="M191" s="93"/>
      <c r="N191" s="93"/>
      <c r="O191" s="95">
        <f t="shared" si="2"/>
        <v>0</v>
      </c>
      <c r="P191" s="96">
        <f t="shared" si="3"/>
        <v>0</v>
      </c>
      <c r="Q191" s="97">
        <f t="shared" si="4"/>
        <v>0</v>
      </c>
      <c r="R191" s="97" t="str">
        <f ca="1">ROUNDUP(HLOOKUP(IF(CEILING(L191,0.5)&lt;1,0.5,CEILING(L191,0.5)),'배송비 조회'!A$44:AO$56,7,0)*B$3,-2)</f>
        <v>#REF!</v>
      </c>
      <c r="S191" s="97">
        <v>0</v>
      </c>
      <c r="T191" s="97" t="str">
        <f t="shared" ca="1" si="42"/>
        <v>#REF!</v>
      </c>
      <c r="U191" s="97" t="str">
        <f t="shared" ca="1" si="29"/>
        <v>#REF!</v>
      </c>
      <c r="V191" s="97" t="str">
        <f t="shared" ca="1" si="7"/>
        <v>#REF!</v>
      </c>
      <c r="W191" s="97" t="str">
        <f t="shared" ca="1" si="8"/>
        <v>#REF!</v>
      </c>
      <c r="X191" s="121">
        <v>0</v>
      </c>
      <c r="Y191" s="121" t="str">
        <f t="shared" ca="1" si="9"/>
        <v>#REF!</v>
      </c>
      <c r="Z191" s="121" t="str">
        <f t="shared" ca="1" si="10"/>
        <v>#REF!</v>
      </c>
      <c r="AA191" s="99" t="str">
        <f t="shared" ca="1" si="11"/>
        <v>#REF!</v>
      </c>
      <c r="AB191" s="234" t="str">
        <f t="shared" ca="1" si="12"/>
        <v>#REF!</v>
      </c>
      <c r="AC191" s="257" t="str">
        <f t="shared" ca="1" si="13"/>
        <v>#REF!</v>
      </c>
      <c r="AD191" s="234" t="str">
        <f t="shared" ca="1" si="14"/>
        <v>#REF!</v>
      </c>
      <c r="AE191" s="100" t="str">
        <f t="shared" ca="1" si="15"/>
        <v>#REF!</v>
      </c>
      <c r="AF191" s="101" t="str">
        <f t="shared" ca="1" si="16"/>
        <v>#REF!</v>
      </c>
      <c r="AG191" s="102" t="str">
        <f t="shared" ref="AG191:AH191" ca="1" si="209">AE191/V191</f>
        <v>#REF!</v>
      </c>
      <c r="AH191" s="102" t="str">
        <f t="shared" ca="1" si="209"/>
        <v>#REF!</v>
      </c>
    </row>
    <row r="192" spans="1:34" ht="13.2">
      <c r="A192" s="251"/>
      <c r="B192" s="251"/>
      <c r="C192" s="252"/>
      <c r="D192" s="252"/>
      <c r="E192" s="114"/>
      <c r="F192" s="252"/>
      <c r="G192" s="125" t="s">
        <v>145</v>
      </c>
      <c r="I192" s="172"/>
      <c r="J192" s="82" t="str">
        <f t="shared" ca="1" si="0"/>
        <v>#REF!</v>
      </c>
      <c r="K192" s="82" t="str">
        <f t="shared" ca="1" si="1"/>
        <v>#REF!</v>
      </c>
      <c r="L192" s="82" t="str">
        <f t="shared" ca="1" si="44"/>
        <v>#REF!</v>
      </c>
      <c r="M192" s="93"/>
      <c r="N192" s="93"/>
      <c r="O192" s="95">
        <f t="shared" si="2"/>
        <v>0</v>
      </c>
      <c r="P192" s="96">
        <f t="shared" si="3"/>
        <v>0</v>
      </c>
      <c r="Q192" s="97">
        <f t="shared" si="4"/>
        <v>0</v>
      </c>
      <c r="R192" s="97" t="str">
        <f ca="1">ROUNDUP(HLOOKUP(IF(CEILING(L192,0.5)&lt;1,0.5,CEILING(L192,0.5)),'배송비 조회'!A$44:AO$56,7,0)*B$3,-2)</f>
        <v>#REF!</v>
      </c>
      <c r="S192" s="97">
        <v>0</v>
      </c>
      <c r="T192" s="97" t="str">
        <f t="shared" ca="1" si="42"/>
        <v>#REF!</v>
      </c>
      <c r="U192" s="97" t="str">
        <f t="shared" ca="1" si="29"/>
        <v>#REF!</v>
      </c>
      <c r="V192" s="97" t="str">
        <f t="shared" ca="1" si="7"/>
        <v>#REF!</v>
      </c>
      <c r="W192" s="97" t="str">
        <f t="shared" ca="1" si="8"/>
        <v>#REF!</v>
      </c>
      <c r="X192" s="121">
        <v>0</v>
      </c>
      <c r="Y192" s="121" t="str">
        <f t="shared" ca="1" si="9"/>
        <v>#REF!</v>
      </c>
      <c r="Z192" s="121" t="str">
        <f t="shared" ca="1" si="10"/>
        <v>#REF!</v>
      </c>
      <c r="AA192" s="99" t="str">
        <f t="shared" ca="1" si="11"/>
        <v>#REF!</v>
      </c>
      <c r="AB192" s="234" t="str">
        <f t="shared" ca="1" si="12"/>
        <v>#REF!</v>
      </c>
      <c r="AC192" s="257" t="str">
        <f t="shared" ca="1" si="13"/>
        <v>#REF!</v>
      </c>
      <c r="AD192" s="234" t="str">
        <f t="shared" ca="1" si="14"/>
        <v>#REF!</v>
      </c>
      <c r="AE192" s="100" t="str">
        <f t="shared" ca="1" si="15"/>
        <v>#REF!</v>
      </c>
      <c r="AF192" s="101" t="str">
        <f t="shared" ca="1" si="16"/>
        <v>#REF!</v>
      </c>
      <c r="AG192" s="102" t="str">
        <f t="shared" ref="AG192:AH192" ca="1" si="210">AE192/V192</f>
        <v>#REF!</v>
      </c>
      <c r="AH192" s="102" t="str">
        <f t="shared" ca="1" si="210"/>
        <v>#REF!</v>
      </c>
    </row>
    <row r="193" spans="1:34" ht="13.2">
      <c r="A193" s="251"/>
      <c r="B193" s="251"/>
      <c r="C193" s="252"/>
      <c r="D193" s="252"/>
      <c r="E193" s="114"/>
      <c r="F193" s="252"/>
      <c r="G193" s="125" t="s">
        <v>145</v>
      </c>
      <c r="I193" s="172"/>
      <c r="J193" s="82" t="str">
        <f t="shared" ca="1" si="0"/>
        <v>#REF!</v>
      </c>
      <c r="K193" s="82" t="str">
        <f t="shared" ca="1" si="1"/>
        <v>#REF!</v>
      </c>
      <c r="L193" s="82" t="str">
        <f t="shared" ca="1" si="44"/>
        <v>#REF!</v>
      </c>
      <c r="M193" s="93"/>
      <c r="N193" s="93"/>
      <c r="O193" s="95">
        <f t="shared" si="2"/>
        <v>0</v>
      </c>
      <c r="P193" s="96">
        <f t="shared" si="3"/>
        <v>0</v>
      </c>
      <c r="Q193" s="97">
        <f t="shared" si="4"/>
        <v>0</v>
      </c>
      <c r="R193" s="97" t="str">
        <f ca="1">ROUNDUP(HLOOKUP(IF(CEILING(L193,0.5)&lt;1,0.5,CEILING(L193,0.5)),'배송비 조회'!A$44:AO$56,7,0)*B$3,-2)</f>
        <v>#REF!</v>
      </c>
      <c r="S193" s="97">
        <v>0</v>
      </c>
      <c r="T193" s="97" t="str">
        <f t="shared" ca="1" si="42"/>
        <v>#REF!</v>
      </c>
      <c r="U193" s="97" t="str">
        <f t="shared" ca="1" si="29"/>
        <v>#REF!</v>
      </c>
      <c r="V193" s="97" t="str">
        <f t="shared" ca="1" si="7"/>
        <v>#REF!</v>
      </c>
      <c r="W193" s="97" t="str">
        <f t="shared" ca="1" si="8"/>
        <v>#REF!</v>
      </c>
      <c r="X193" s="121">
        <v>0</v>
      </c>
      <c r="Y193" s="121" t="str">
        <f t="shared" ca="1" si="9"/>
        <v>#REF!</v>
      </c>
      <c r="Z193" s="121" t="str">
        <f t="shared" ca="1" si="10"/>
        <v>#REF!</v>
      </c>
      <c r="AA193" s="99" t="str">
        <f t="shared" ca="1" si="11"/>
        <v>#REF!</v>
      </c>
      <c r="AB193" s="234" t="str">
        <f t="shared" ca="1" si="12"/>
        <v>#REF!</v>
      </c>
      <c r="AC193" s="257" t="str">
        <f t="shared" ca="1" si="13"/>
        <v>#REF!</v>
      </c>
      <c r="AD193" s="234" t="str">
        <f t="shared" ca="1" si="14"/>
        <v>#REF!</v>
      </c>
      <c r="AE193" s="100" t="str">
        <f t="shared" ca="1" si="15"/>
        <v>#REF!</v>
      </c>
      <c r="AF193" s="101" t="str">
        <f t="shared" ca="1" si="16"/>
        <v>#REF!</v>
      </c>
      <c r="AG193" s="102" t="str">
        <f t="shared" ref="AG193:AH193" ca="1" si="211">AE193/V193</f>
        <v>#REF!</v>
      </c>
      <c r="AH193" s="102" t="str">
        <f t="shared" ca="1" si="211"/>
        <v>#REF!</v>
      </c>
    </row>
    <row r="194" spans="1:34" ht="13.2">
      <c r="A194" s="251"/>
      <c r="B194" s="251"/>
      <c r="C194" s="252"/>
      <c r="D194" s="252"/>
      <c r="E194" s="114"/>
      <c r="F194" s="252"/>
      <c r="G194" s="125" t="s">
        <v>145</v>
      </c>
      <c r="I194" s="172"/>
      <c r="J194" s="82" t="str">
        <f t="shared" ca="1" si="0"/>
        <v>#REF!</v>
      </c>
      <c r="K194" s="82" t="str">
        <f t="shared" ca="1" si="1"/>
        <v>#REF!</v>
      </c>
      <c r="L194" s="82" t="str">
        <f t="shared" ca="1" si="44"/>
        <v>#REF!</v>
      </c>
      <c r="M194" s="93"/>
      <c r="N194" s="93"/>
      <c r="O194" s="95">
        <f t="shared" si="2"/>
        <v>0</v>
      </c>
      <c r="P194" s="96">
        <f t="shared" si="3"/>
        <v>0</v>
      </c>
      <c r="Q194" s="97">
        <f t="shared" si="4"/>
        <v>0</v>
      </c>
      <c r="R194" s="97" t="str">
        <f ca="1">ROUNDUP(HLOOKUP(IF(CEILING(L194,0.5)&lt;1,0.5,CEILING(L194,0.5)),'배송비 조회'!A$44:AO$56,7,0)*B$3,-2)</f>
        <v>#REF!</v>
      </c>
      <c r="S194" s="97">
        <v>0</v>
      </c>
      <c r="T194" s="97" t="str">
        <f t="shared" ca="1" si="42"/>
        <v>#REF!</v>
      </c>
      <c r="U194" s="97" t="str">
        <f t="shared" ca="1" si="29"/>
        <v>#REF!</v>
      </c>
      <c r="V194" s="97" t="str">
        <f t="shared" ca="1" si="7"/>
        <v>#REF!</v>
      </c>
      <c r="W194" s="97" t="str">
        <f t="shared" ca="1" si="8"/>
        <v>#REF!</v>
      </c>
      <c r="X194" s="121">
        <v>0</v>
      </c>
      <c r="Y194" s="121" t="str">
        <f t="shared" ca="1" si="9"/>
        <v>#REF!</v>
      </c>
      <c r="Z194" s="121" t="str">
        <f t="shared" ca="1" si="10"/>
        <v>#REF!</v>
      </c>
      <c r="AA194" s="99" t="str">
        <f t="shared" ca="1" si="11"/>
        <v>#REF!</v>
      </c>
      <c r="AB194" s="234" t="str">
        <f t="shared" ca="1" si="12"/>
        <v>#REF!</v>
      </c>
      <c r="AC194" s="257" t="str">
        <f t="shared" ca="1" si="13"/>
        <v>#REF!</v>
      </c>
      <c r="AD194" s="234" t="str">
        <f t="shared" ca="1" si="14"/>
        <v>#REF!</v>
      </c>
      <c r="AE194" s="100" t="str">
        <f t="shared" ca="1" si="15"/>
        <v>#REF!</v>
      </c>
      <c r="AF194" s="101" t="str">
        <f t="shared" ca="1" si="16"/>
        <v>#REF!</v>
      </c>
      <c r="AG194" s="102" t="str">
        <f t="shared" ref="AG194:AH194" ca="1" si="212">AE194/V194</f>
        <v>#REF!</v>
      </c>
      <c r="AH194" s="102" t="str">
        <f t="shared" ca="1" si="212"/>
        <v>#REF!</v>
      </c>
    </row>
    <row r="195" spans="1:34" ht="13.2">
      <c r="A195" s="251"/>
      <c r="B195" s="251"/>
      <c r="C195" s="252"/>
      <c r="D195" s="252"/>
      <c r="E195" s="114"/>
      <c r="F195" s="252"/>
      <c r="G195" s="125" t="s">
        <v>145</v>
      </c>
      <c r="I195" s="172"/>
      <c r="J195" s="82" t="str">
        <f t="shared" ca="1" si="0"/>
        <v>#REF!</v>
      </c>
      <c r="K195" s="82" t="str">
        <f t="shared" ca="1" si="1"/>
        <v>#REF!</v>
      </c>
      <c r="L195" s="82" t="str">
        <f t="shared" ca="1" si="44"/>
        <v>#REF!</v>
      </c>
      <c r="M195" s="93"/>
      <c r="N195" s="93"/>
      <c r="O195" s="95">
        <f t="shared" si="2"/>
        <v>0</v>
      </c>
      <c r="P195" s="96">
        <f t="shared" si="3"/>
        <v>0</v>
      </c>
      <c r="Q195" s="97">
        <f t="shared" si="4"/>
        <v>0</v>
      </c>
      <c r="R195" s="97" t="str">
        <f ca="1">ROUNDUP(HLOOKUP(IF(CEILING(L195,0.5)&lt;1,0.5,CEILING(L195,0.5)),'배송비 조회'!A$44:AO$56,7,0)*B$3,-2)</f>
        <v>#REF!</v>
      </c>
      <c r="S195" s="97">
        <v>0</v>
      </c>
      <c r="T195" s="97" t="str">
        <f t="shared" ca="1" si="42"/>
        <v>#REF!</v>
      </c>
      <c r="U195" s="97" t="str">
        <f t="shared" ca="1" si="29"/>
        <v>#REF!</v>
      </c>
      <c r="V195" s="97" t="str">
        <f t="shared" ca="1" si="7"/>
        <v>#REF!</v>
      </c>
      <c r="W195" s="97" t="str">
        <f t="shared" ca="1" si="8"/>
        <v>#REF!</v>
      </c>
      <c r="X195" s="121">
        <v>0</v>
      </c>
      <c r="Y195" s="121" t="str">
        <f t="shared" ca="1" si="9"/>
        <v>#REF!</v>
      </c>
      <c r="Z195" s="121" t="str">
        <f t="shared" ca="1" si="10"/>
        <v>#REF!</v>
      </c>
      <c r="AA195" s="99" t="str">
        <f t="shared" ca="1" si="11"/>
        <v>#REF!</v>
      </c>
      <c r="AB195" s="234" t="str">
        <f t="shared" ca="1" si="12"/>
        <v>#REF!</v>
      </c>
      <c r="AC195" s="257" t="str">
        <f t="shared" ca="1" si="13"/>
        <v>#REF!</v>
      </c>
      <c r="AD195" s="234" t="str">
        <f t="shared" ca="1" si="14"/>
        <v>#REF!</v>
      </c>
      <c r="AE195" s="100" t="str">
        <f t="shared" ca="1" si="15"/>
        <v>#REF!</v>
      </c>
      <c r="AF195" s="101" t="str">
        <f t="shared" ca="1" si="16"/>
        <v>#REF!</v>
      </c>
      <c r="AG195" s="102" t="str">
        <f t="shared" ref="AG195:AH195" ca="1" si="213">AE195/V195</f>
        <v>#REF!</v>
      </c>
      <c r="AH195" s="102" t="str">
        <f t="shared" ca="1" si="213"/>
        <v>#REF!</v>
      </c>
    </row>
    <row r="196" spans="1:34" ht="13.2">
      <c r="A196" s="251"/>
      <c r="B196" s="251"/>
      <c r="C196" s="252"/>
      <c r="D196" s="252"/>
      <c r="E196" s="114"/>
      <c r="F196" s="252"/>
      <c r="G196" s="125" t="s">
        <v>145</v>
      </c>
      <c r="I196" s="172"/>
      <c r="J196" s="82" t="str">
        <f t="shared" ca="1" si="0"/>
        <v>#REF!</v>
      </c>
      <c r="K196" s="82" t="str">
        <f t="shared" ca="1" si="1"/>
        <v>#REF!</v>
      </c>
      <c r="L196" s="82" t="str">
        <f t="shared" ca="1" si="44"/>
        <v>#REF!</v>
      </c>
      <c r="M196" s="93"/>
      <c r="N196" s="93"/>
      <c r="O196" s="95">
        <f t="shared" si="2"/>
        <v>0</v>
      </c>
      <c r="P196" s="96">
        <f t="shared" si="3"/>
        <v>0</v>
      </c>
      <c r="Q196" s="97">
        <f t="shared" si="4"/>
        <v>0</v>
      </c>
      <c r="R196" s="97" t="str">
        <f ca="1">ROUNDUP(HLOOKUP(IF(CEILING(L196,0.5)&lt;1,0.5,CEILING(L196,0.5)),'배송비 조회'!A$44:AO$56,7,0)*B$3,-2)</f>
        <v>#REF!</v>
      </c>
      <c r="S196" s="97">
        <v>0</v>
      </c>
      <c r="T196" s="97" t="str">
        <f t="shared" ca="1" si="42"/>
        <v>#REF!</v>
      </c>
      <c r="U196" s="97" t="str">
        <f t="shared" ca="1" si="29"/>
        <v>#REF!</v>
      </c>
      <c r="V196" s="97" t="str">
        <f t="shared" ca="1" si="7"/>
        <v>#REF!</v>
      </c>
      <c r="W196" s="97" t="str">
        <f t="shared" ca="1" si="8"/>
        <v>#REF!</v>
      </c>
      <c r="X196" s="121">
        <v>0</v>
      </c>
      <c r="Y196" s="121" t="str">
        <f t="shared" ca="1" si="9"/>
        <v>#REF!</v>
      </c>
      <c r="Z196" s="121" t="str">
        <f t="shared" ca="1" si="10"/>
        <v>#REF!</v>
      </c>
      <c r="AA196" s="99" t="str">
        <f t="shared" ca="1" si="11"/>
        <v>#REF!</v>
      </c>
      <c r="AB196" s="234" t="str">
        <f t="shared" ca="1" si="12"/>
        <v>#REF!</v>
      </c>
      <c r="AC196" s="257" t="str">
        <f t="shared" ca="1" si="13"/>
        <v>#REF!</v>
      </c>
      <c r="AD196" s="234" t="str">
        <f t="shared" ca="1" si="14"/>
        <v>#REF!</v>
      </c>
      <c r="AE196" s="100" t="str">
        <f t="shared" ca="1" si="15"/>
        <v>#REF!</v>
      </c>
      <c r="AF196" s="101" t="str">
        <f t="shared" ca="1" si="16"/>
        <v>#REF!</v>
      </c>
      <c r="AG196" s="102" t="str">
        <f t="shared" ref="AG196:AH196" ca="1" si="214">AE196/V196</f>
        <v>#REF!</v>
      </c>
      <c r="AH196" s="102" t="str">
        <f t="shared" ca="1" si="214"/>
        <v>#REF!</v>
      </c>
    </row>
    <row r="197" spans="1:34" ht="13.2">
      <c r="A197" s="251"/>
      <c r="B197" s="251"/>
      <c r="C197" s="252"/>
      <c r="D197" s="252"/>
      <c r="E197" s="114"/>
      <c r="F197" s="252"/>
      <c r="G197" s="125" t="s">
        <v>145</v>
      </c>
      <c r="I197" s="172"/>
      <c r="J197" s="82" t="str">
        <f t="shared" ca="1" si="0"/>
        <v>#REF!</v>
      </c>
      <c r="K197" s="82" t="str">
        <f t="shared" ca="1" si="1"/>
        <v>#REF!</v>
      </c>
      <c r="L197" s="82" t="str">
        <f t="shared" ca="1" si="44"/>
        <v>#REF!</v>
      </c>
      <c r="M197" s="93"/>
      <c r="N197" s="93"/>
      <c r="O197" s="95">
        <f t="shared" si="2"/>
        <v>0</v>
      </c>
      <c r="P197" s="96">
        <f t="shared" si="3"/>
        <v>0</v>
      </c>
      <c r="Q197" s="97">
        <f t="shared" si="4"/>
        <v>0</v>
      </c>
      <c r="R197" s="97" t="str">
        <f ca="1">ROUNDUP(HLOOKUP(IF(CEILING(L197,0.5)&lt;1,0.5,CEILING(L197,0.5)),'배송비 조회'!A$44:AO$56,7,0)*B$3,-2)</f>
        <v>#REF!</v>
      </c>
      <c r="S197" s="97">
        <v>0</v>
      </c>
      <c r="T197" s="97" t="str">
        <f t="shared" ca="1" si="42"/>
        <v>#REF!</v>
      </c>
      <c r="U197" s="97" t="str">
        <f t="shared" ca="1" si="29"/>
        <v>#REF!</v>
      </c>
      <c r="V197" s="97" t="str">
        <f t="shared" ca="1" si="7"/>
        <v>#REF!</v>
      </c>
      <c r="W197" s="97" t="str">
        <f t="shared" ca="1" si="8"/>
        <v>#REF!</v>
      </c>
      <c r="X197" s="121">
        <v>0</v>
      </c>
      <c r="Y197" s="121" t="str">
        <f t="shared" ca="1" si="9"/>
        <v>#REF!</v>
      </c>
      <c r="Z197" s="121" t="str">
        <f t="shared" ca="1" si="10"/>
        <v>#REF!</v>
      </c>
      <c r="AA197" s="99" t="str">
        <f t="shared" ca="1" si="11"/>
        <v>#REF!</v>
      </c>
      <c r="AB197" s="234" t="str">
        <f t="shared" ca="1" si="12"/>
        <v>#REF!</v>
      </c>
      <c r="AC197" s="257" t="str">
        <f t="shared" ca="1" si="13"/>
        <v>#REF!</v>
      </c>
      <c r="AD197" s="234" t="str">
        <f t="shared" ca="1" si="14"/>
        <v>#REF!</v>
      </c>
      <c r="AE197" s="100" t="str">
        <f t="shared" ca="1" si="15"/>
        <v>#REF!</v>
      </c>
      <c r="AF197" s="101" t="str">
        <f t="shared" ca="1" si="16"/>
        <v>#REF!</v>
      </c>
      <c r="AG197" s="102" t="str">
        <f t="shared" ref="AG197:AH197" ca="1" si="215">AE197/V197</f>
        <v>#REF!</v>
      </c>
      <c r="AH197" s="102" t="str">
        <f t="shared" ca="1" si="215"/>
        <v>#REF!</v>
      </c>
    </row>
    <row r="198" spans="1:34" ht="13.2">
      <c r="A198" s="251"/>
      <c r="B198" s="251"/>
      <c r="C198" s="252"/>
      <c r="D198" s="252"/>
      <c r="E198" s="114"/>
      <c r="F198" s="252"/>
      <c r="G198" s="125" t="s">
        <v>145</v>
      </c>
      <c r="I198" s="172"/>
      <c r="J198" s="82" t="str">
        <f t="shared" ca="1" si="0"/>
        <v>#REF!</v>
      </c>
      <c r="K198" s="82" t="str">
        <f t="shared" ca="1" si="1"/>
        <v>#REF!</v>
      </c>
      <c r="L198" s="82" t="str">
        <f t="shared" ca="1" si="44"/>
        <v>#REF!</v>
      </c>
      <c r="M198" s="93"/>
      <c r="N198" s="93"/>
      <c r="O198" s="95">
        <f t="shared" si="2"/>
        <v>0</v>
      </c>
      <c r="P198" s="96">
        <f t="shared" si="3"/>
        <v>0</v>
      </c>
      <c r="Q198" s="97">
        <f t="shared" si="4"/>
        <v>0</v>
      </c>
      <c r="R198" s="97" t="str">
        <f ca="1">ROUNDUP(HLOOKUP(IF(CEILING(L198,0.5)&lt;1,0.5,CEILING(L198,0.5)),'배송비 조회'!A$44:AO$56,7,0)*B$3,-2)</f>
        <v>#REF!</v>
      </c>
      <c r="S198" s="97">
        <v>0</v>
      </c>
      <c r="T198" s="97" t="str">
        <f t="shared" ca="1" si="42"/>
        <v>#REF!</v>
      </c>
      <c r="U198" s="97" t="str">
        <f t="shared" ca="1" si="29"/>
        <v>#REF!</v>
      </c>
      <c r="V198" s="97" t="str">
        <f t="shared" ca="1" si="7"/>
        <v>#REF!</v>
      </c>
      <c r="W198" s="97" t="str">
        <f t="shared" ca="1" si="8"/>
        <v>#REF!</v>
      </c>
      <c r="X198" s="121">
        <v>0</v>
      </c>
      <c r="Y198" s="121" t="str">
        <f t="shared" ca="1" si="9"/>
        <v>#REF!</v>
      </c>
      <c r="Z198" s="121" t="str">
        <f t="shared" ca="1" si="10"/>
        <v>#REF!</v>
      </c>
      <c r="AA198" s="99" t="str">
        <f t="shared" ca="1" si="11"/>
        <v>#REF!</v>
      </c>
      <c r="AB198" s="234" t="str">
        <f t="shared" ca="1" si="12"/>
        <v>#REF!</v>
      </c>
      <c r="AC198" s="257" t="str">
        <f t="shared" ca="1" si="13"/>
        <v>#REF!</v>
      </c>
      <c r="AD198" s="234" t="str">
        <f t="shared" ca="1" si="14"/>
        <v>#REF!</v>
      </c>
      <c r="AE198" s="100" t="str">
        <f t="shared" ca="1" si="15"/>
        <v>#REF!</v>
      </c>
      <c r="AF198" s="101" t="str">
        <f t="shared" ca="1" si="16"/>
        <v>#REF!</v>
      </c>
      <c r="AG198" s="102" t="str">
        <f t="shared" ref="AG198:AH198" ca="1" si="216">AE198/V198</f>
        <v>#REF!</v>
      </c>
      <c r="AH198" s="102" t="str">
        <f t="shared" ca="1" si="216"/>
        <v>#REF!</v>
      </c>
    </row>
    <row r="199" spans="1:34" ht="13.2">
      <c r="A199" s="251"/>
      <c r="B199" s="251"/>
      <c r="C199" s="252"/>
      <c r="D199" s="252"/>
      <c r="E199" s="114"/>
      <c r="F199" s="252"/>
      <c r="G199" s="125" t="s">
        <v>145</v>
      </c>
      <c r="I199" s="172"/>
      <c r="J199" s="82" t="str">
        <f t="shared" ca="1" si="0"/>
        <v>#REF!</v>
      </c>
      <c r="K199" s="82" t="str">
        <f t="shared" ca="1" si="1"/>
        <v>#REF!</v>
      </c>
      <c r="L199" s="82" t="str">
        <f t="shared" ca="1" si="44"/>
        <v>#REF!</v>
      </c>
      <c r="M199" s="93"/>
      <c r="N199" s="93"/>
      <c r="O199" s="95">
        <f t="shared" si="2"/>
        <v>0</v>
      </c>
      <c r="P199" s="96">
        <f t="shared" si="3"/>
        <v>0</v>
      </c>
      <c r="Q199" s="97">
        <f t="shared" si="4"/>
        <v>0</v>
      </c>
      <c r="R199" s="97" t="str">
        <f ca="1">ROUNDUP(HLOOKUP(IF(CEILING(L199,0.5)&lt;1,0.5,CEILING(L199,0.5)),'배송비 조회'!A$44:AO$56,7,0)*B$3,-2)</f>
        <v>#REF!</v>
      </c>
      <c r="S199" s="97">
        <v>0</v>
      </c>
      <c r="T199" s="97" t="str">
        <f t="shared" ca="1" si="42"/>
        <v>#REF!</v>
      </c>
      <c r="U199" s="97" t="str">
        <f t="shared" ca="1" si="29"/>
        <v>#REF!</v>
      </c>
      <c r="V199" s="97" t="str">
        <f t="shared" ca="1" si="7"/>
        <v>#REF!</v>
      </c>
      <c r="W199" s="97" t="str">
        <f t="shared" ca="1" si="8"/>
        <v>#REF!</v>
      </c>
      <c r="X199" s="121">
        <v>0</v>
      </c>
      <c r="Y199" s="121" t="str">
        <f t="shared" ca="1" si="9"/>
        <v>#REF!</v>
      </c>
      <c r="Z199" s="121" t="str">
        <f t="shared" ca="1" si="10"/>
        <v>#REF!</v>
      </c>
      <c r="AA199" s="99" t="str">
        <f t="shared" ca="1" si="11"/>
        <v>#REF!</v>
      </c>
      <c r="AB199" s="234" t="str">
        <f t="shared" ca="1" si="12"/>
        <v>#REF!</v>
      </c>
      <c r="AC199" s="257" t="str">
        <f t="shared" ca="1" si="13"/>
        <v>#REF!</v>
      </c>
      <c r="AD199" s="234" t="str">
        <f t="shared" ca="1" si="14"/>
        <v>#REF!</v>
      </c>
      <c r="AE199" s="100" t="str">
        <f t="shared" ca="1" si="15"/>
        <v>#REF!</v>
      </c>
      <c r="AF199" s="101" t="str">
        <f t="shared" ca="1" si="16"/>
        <v>#REF!</v>
      </c>
      <c r="AG199" s="102" t="str">
        <f t="shared" ref="AG199:AH199" ca="1" si="217">AE199/V199</f>
        <v>#REF!</v>
      </c>
      <c r="AH199" s="102" t="str">
        <f t="shared" ca="1" si="217"/>
        <v>#REF!</v>
      </c>
    </row>
    <row r="200" spans="1:34" ht="13.2">
      <c r="A200" s="251"/>
      <c r="B200" s="251"/>
      <c r="C200" s="252"/>
      <c r="D200" s="252"/>
      <c r="E200" s="114"/>
      <c r="F200" s="252"/>
      <c r="G200" s="125" t="s">
        <v>145</v>
      </c>
      <c r="I200" s="172"/>
      <c r="J200" s="82" t="str">
        <f t="shared" ca="1" si="0"/>
        <v>#REF!</v>
      </c>
      <c r="K200" s="82" t="str">
        <f t="shared" ca="1" si="1"/>
        <v>#REF!</v>
      </c>
      <c r="L200" s="82" t="str">
        <f t="shared" ca="1" si="44"/>
        <v>#REF!</v>
      </c>
      <c r="M200" s="93"/>
      <c r="N200" s="93"/>
      <c r="O200" s="95">
        <f t="shared" si="2"/>
        <v>0</v>
      </c>
      <c r="P200" s="96">
        <f t="shared" si="3"/>
        <v>0</v>
      </c>
      <c r="Q200" s="97">
        <f t="shared" si="4"/>
        <v>0</v>
      </c>
      <c r="R200" s="97" t="str">
        <f ca="1">ROUNDUP(HLOOKUP(IF(CEILING(L200,0.5)&lt;1,0.5,CEILING(L200,0.5)),'배송비 조회'!A$44:AO$56,7,0)*B$3,-2)</f>
        <v>#REF!</v>
      </c>
      <c r="S200" s="97">
        <v>0</v>
      </c>
      <c r="T200" s="97" t="str">
        <f t="shared" ca="1" si="42"/>
        <v>#REF!</v>
      </c>
      <c r="U200" s="97" t="str">
        <f t="shared" ca="1" si="29"/>
        <v>#REF!</v>
      </c>
      <c r="V200" s="97" t="str">
        <f t="shared" ca="1" si="7"/>
        <v>#REF!</v>
      </c>
      <c r="W200" s="97" t="str">
        <f t="shared" ca="1" si="8"/>
        <v>#REF!</v>
      </c>
      <c r="X200" s="121">
        <v>0</v>
      </c>
      <c r="Y200" s="121" t="str">
        <f t="shared" ca="1" si="9"/>
        <v>#REF!</v>
      </c>
      <c r="Z200" s="121" t="str">
        <f t="shared" ca="1" si="10"/>
        <v>#REF!</v>
      </c>
      <c r="AA200" s="99" t="str">
        <f t="shared" ca="1" si="11"/>
        <v>#REF!</v>
      </c>
      <c r="AB200" s="234" t="str">
        <f t="shared" ca="1" si="12"/>
        <v>#REF!</v>
      </c>
      <c r="AC200" s="257" t="str">
        <f t="shared" ca="1" si="13"/>
        <v>#REF!</v>
      </c>
      <c r="AD200" s="234" t="str">
        <f t="shared" ca="1" si="14"/>
        <v>#REF!</v>
      </c>
      <c r="AE200" s="100" t="str">
        <f t="shared" ca="1" si="15"/>
        <v>#REF!</v>
      </c>
      <c r="AF200" s="101" t="str">
        <f t="shared" ca="1" si="16"/>
        <v>#REF!</v>
      </c>
      <c r="AG200" s="102" t="str">
        <f t="shared" ref="AG200:AH200" ca="1" si="218">AE200/V200</f>
        <v>#REF!</v>
      </c>
      <c r="AH200" s="102" t="str">
        <f t="shared" ca="1" si="218"/>
        <v>#REF!</v>
      </c>
    </row>
    <row r="201" spans="1:34" ht="13.2">
      <c r="A201" s="251"/>
      <c r="B201" s="251"/>
      <c r="C201" s="252"/>
      <c r="D201" s="252"/>
      <c r="E201" s="114"/>
      <c r="F201" s="252"/>
      <c r="G201" s="125" t="s">
        <v>145</v>
      </c>
      <c r="I201" s="172"/>
      <c r="J201" s="82" t="str">
        <f t="shared" ca="1" si="0"/>
        <v>#REF!</v>
      </c>
      <c r="K201" s="82" t="str">
        <f t="shared" ca="1" si="1"/>
        <v>#REF!</v>
      </c>
      <c r="L201" s="82" t="str">
        <f t="shared" ca="1" si="44"/>
        <v>#REF!</v>
      </c>
      <c r="M201" s="93"/>
      <c r="N201" s="93"/>
      <c r="O201" s="95">
        <f t="shared" si="2"/>
        <v>0</v>
      </c>
      <c r="P201" s="96">
        <f t="shared" si="3"/>
        <v>0</v>
      </c>
      <c r="Q201" s="97">
        <f t="shared" si="4"/>
        <v>0</v>
      </c>
      <c r="R201" s="97" t="str">
        <f ca="1">ROUNDUP(HLOOKUP(IF(CEILING(L201,0.5)&lt;1,0.5,CEILING(L201,0.5)),'배송비 조회'!A$44:AO$56,7,0)*B$3,-2)</f>
        <v>#REF!</v>
      </c>
      <c r="S201" s="97">
        <v>0</v>
      </c>
      <c r="T201" s="97" t="str">
        <f t="shared" ca="1" si="42"/>
        <v>#REF!</v>
      </c>
      <c r="U201" s="97" t="str">
        <f t="shared" ca="1" si="29"/>
        <v>#REF!</v>
      </c>
      <c r="V201" s="97" t="str">
        <f t="shared" ca="1" si="7"/>
        <v>#REF!</v>
      </c>
      <c r="W201" s="97" t="str">
        <f t="shared" ca="1" si="8"/>
        <v>#REF!</v>
      </c>
      <c r="X201" s="121">
        <v>0</v>
      </c>
      <c r="Y201" s="121" t="str">
        <f t="shared" ca="1" si="9"/>
        <v>#REF!</v>
      </c>
      <c r="Z201" s="121" t="str">
        <f t="shared" ca="1" si="10"/>
        <v>#REF!</v>
      </c>
      <c r="AA201" s="99" t="str">
        <f t="shared" ca="1" si="11"/>
        <v>#REF!</v>
      </c>
      <c r="AB201" s="234" t="str">
        <f t="shared" ca="1" si="12"/>
        <v>#REF!</v>
      </c>
      <c r="AC201" s="257" t="str">
        <f t="shared" ca="1" si="13"/>
        <v>#REF!</v>
      </c>
      <c r="AD201" s="234" t="str">
        <f t="shared" ca="1" si="14"/>
        <v>#REF!</v>
      </c>
      <c r="AE201" s="100" t="str">
        <f t="shared" ca="1" si="15"/>
        <v>#REF!</v>
      </c>
      <c r="AF201" s="101" t="str">
        <f t="shared" ca="1" si="16"/>
        <v>#REF!</v>
      </c>
      <c r="AG201" s="102" t="str">
        <f t="shared" ref="AG201:AH201" ca="1" si="219">AE201/V201</f>
        <v>#REF!</v>
      </c>
      <c r="AH201" s="102" t="str">
        <f t="shared" ca="1" si="219"/>
        <v>#REF!</v>
      </c>
    </row>
    <row r="202" spans="1:34" ht="13.2">
      <c r="A202" s="251"/>
      <c r="B202" s="251"/>
      <c r="C202" s="252"/>
      <c r="D202" s="252"/>
      <c r="E202" s="114"/>
      <c r="F202" s="252"/>
      <c r="G202" s="125" t="s">
        <v>145</v>
      </c>
      <c r="I202" s="172"/>
      <c r="J202" s="82" t="str">
        <f t="shared" ca="1" si="0"/>
        <v>#REF!</v>
      </c>
      <c r="K202" s="82" t="str">
        <f t="shared" ca="1" si="1"/>
        <v>#REF!</v>
      </c>
      <c r="L202" s="82" t="str">
        <f t="shared" ca="1" si="44"/>
        <v>#REF!</v>
      </c>
      <c r="M202" s="93"/>
      <c r="N202" s="93"/>
      <c r="O202" s="95">
        <f t="shared" si="2"/>
        <v>0</v>
      </c>
      <c r="P202" s="96">
        <f t="shared" si="3"/>
        <v>0</v>
      </c>
      <c r="Q202" s="97">
        <f t="shared" si="4"/>
        <v>0</v>
      </c>
      <c r="R202" s="97" t="str">
        <f ca="1">ROUNDUP(HLOOKUP(IF(CEILING(L202,0.5)&lt;1,0.5,CEILING(L202,0.5)),'배송비 조회'!A$44:AO$56,7,0)*B$3,-2)</f>
        <v>#REF!</v>
      </c>
      <c r="S202" s="97">
        <v>0</v>
      </c>
      <c r="T202" s="97" t="str">
        <f t="shared" ca="1" si="42"/>
        <v>#REF!</v>
      </c>
      <c r="U202" s="97" t="str">
        <f t="shared" ca="1" si="29"/>
        <v>#REF!</v>
      </c>
      <c r="V202" s="97" t="str">
        <f t="shared" ca="1" si="7"/>
        <v>#REF!</v>
      </c>
      <c r="W202" s="97" t="str">
        <f t="shared" ca="1" si="8"/>
        <v>#REF!</v>
      </c>
      <c r="X202" s="121">
        <v>0</v>
      </c>
      <c r="Y202" s="121" t="str">
        <f t="shared" ca="1" si="9"/>
        <v>#REF!</v>
      </c>
      <c r="Z202" s="121" t="str">
        <f t="shared" ca="1" si="10"/>
        <v>#REF!</v>
      </c>
      <c r="AA202" s="99" t="str">
        <f t="shared" ca="1" si="11"/>
        <v>#REF!</v>
      </c>
      <c r="AB202" s="234" t="str">
        <f t="shared" ca="1" si="12"/>
        <v>#REF!</v>
      </c>
      <c r="AC202" s="257" t="str">
        <f t="shared" ca="1" si="13"/>
        <v>#REF!</v>
      </c>
      <c r="AD202" s="234" t="str">
        <f t="shared" ca="1" si="14"/>
        <v>#REF!</v>
      </c>
      <c r="AE202" s="100" t="str">
        <f t="shared" ca="1" si="15"/>
        <v>#REF!</v>
      </c>
      <c r="AF202" s="101" t="str">
        <f t="shared" ca="1" si="16"/>
        <v>#REF!</v>
      </c>
      <c r="AG202" s="102" t="str">
        <f t="shared" ref="AG202:AH202" ca="1" si="220">AE202/V202</f>
        <v>#REF!</v>
      </c>
      <c r="AH202" s="102" t="str">
        <f t="shared" ca="1" si="220"/>
        <v>#REF!</v>
      </c>
    </row>
    <row r="203" spans="1:34" ht="13.2">
      <c r="A203" s="251"/>
      <c r="B203" s="251"/>
      <c r="C203" s="252"/>
      <c r="D203" s="252"/>
      <c r="E203" s="114"/>
      <c r="F203" s="252"/>
      <c r="G203" s="125" t="s">
        <v>145</v>
      </c>
      <c r="I203" s="172"/>
      <c r="J203" s="82" t="str">
        <f t="shared" ca="1" si="0"/>
        <v>#REF!</v>
      </c>
      <c r="K203" s="82" t="str">
        <f t="shared" ca="1" si="1"/>
        <v>#REF!</v>
      </c>
      <c r="L203" s="82" t="str">
        <f t="shared" ca="1" si="44"/>
        <v>#REF!</v>
      </c>
      <c r="M203" s="93"/>
      <c r="N203" s="93"/>
      <c r="O203" s="95">
        <f t="shared" si="2"/>
        <v>0</v>
      </c>
      <c r="P203" s="96">
        <f t="shared" si="3"/>
        <v>0</v>
      </c>
      <c r="Q203" s="97">
        <f t="shared" si="4"/>
        <v>0</v>
      </c>
      <c r="R203" s="97" t="str">
        <f ca="1">ROUNDUP(HLOOKUP(IF(CEILING(L203,0.5)&lt;1,0.5,CEILING(L203,0.5)),'배송비 조회'!A$44:AO$56,7,0)*B$3,-2)</f>
        <v>#REF!</v>
      </c>
      <c r="S203" s="97">
        <v>0</v>
      </c>
      <c r="T203" s="97" t="str">
        <f t="shared" ca="1" si="42"/>
        <v>#REF!</v>
      </c>
      <c r="U203" s="97" t="str">
        <f t="shared" ca="1" si="29"/>
        <v>#REF!</v>
      </c>
      <c r="V203" s="97" t="str">
        <f t="shared" ca="1" si="7"/>
        <v>#REF!</v>
      </c>
      <c r="W203" s="97" t="str">
        <f t="shared" ca="1" si="8"/>
        <v>#REF!</v>
      </c>
      <c r="X203" s="121">
        <v>0</v>
      </c>
      <c r="Y203" s="121" t="str">
        <f t="shared" ca="1" si="9"/>
        <v>#REF!</v>
      </c>
      <c r="Z203" s="121" t="str">
        <f t="shared" ca="1" si="10"/>
        <v>#REF!</v>
      </c>
      <c r="AA203" s="99" t="str">
        <f t="shared" ca="1" si="11"/>
        <v>#REF!</v>
      </c>
      <c r="AB203" s="234" t="str">
        <f t="shared" ca="1" si="12"/>
        <v>#REF!</v>
      </c>
      <c r="AC203" s="257" t="str">
        <f t="shared" ca="1" si="13"/>
        <v>#REF!</v>
      </c>
      <c r="AD203" s="234" t="str">
        <f t="shared" ca="1" si="14"/>
        <v>#REF!</v>
      </c>
      <c r="AE203" s="100" t="str">
        <f t="shared" ca="1" si="15"/>
        <v>#REF!</v>
      </c>
      <c r="AF203" s="101" t="str">
        <f t="shared" ca="1" si="16"/>
        <v>#REF!</v>
      </c>
      <c r="AG203" s="102" t="str">
        <f t="shared" ref="AG203:AH203" ca="1" si="221">AE203/V203</f>
        <v>#REF!</v>
      </c>
      <c r="AH203" s="102" t="str">
        <f t="shared" ca="1" si="221"/>
        <v>#REF!</v>
      </c>
    </row>
    <row r="204" spans="1:34" ht="13.2">
      <c r="A204" s="251"/>
      <c r="B204" s="251"/>
      <c r="C204" s="252"/>
      <c r="D204" s="252"/>
      <c r="E204" s="114"/>
      <c r="F204" s="252"/>
      <c r="G204" s="125" t="s">
        <v>145</v>
      </c>
      <c r="I204" s="172"/>
      <c r="J204" s="82" t="str">
        <f t="shared" ca="1" si="0"/>
        <v>#REF!</v>
      </c>
      <c r="K204" s="82" t="str">
        <f t="shared" ca="1" si="1"/>
        <v>#REF!</v>
      </c>
      <c r="L204" s="82" t="str">
        <f t="shared" ca="1" si="44"/>
        <v>#REF!</v>
      </c>
      <c r="M204" s="93"/>
      <c r="N204" s="93"/>
      <c r="O204" s="95">
        <f t="shared" si="2"/>
        <v>0</v>
      </c>
      <c r="P204" s="96">
        <f t="shared" si="3"/>
        <v>0</v>
      </c>
      <c r="Q204" s="97">
        <f t="shared" si="4"/>
        <v>0</v>
      </c>
      <c r="R204" s="97" t="str">
        <f ca="1">ROUNDUP(HLOOKUP(IF(CEILING(L204,0.5)&lt;1,0.5,CEILING(L204,0.5)),'배송비 조회'!A$44:AO$56,7,0)*B$3,-2)</f>
        <v>#REF!</v>
      </c>
      <c r="S204" s="97">
        <v>0</v>
      </c>
      <c r="T204" s="97" t="str">
        <f t="shared" ca="1" si="42"/>
        <v>#REF!</v>
      </c>
      <c r="U204" s="97" t="str">
        <f t="shared" ca="1" si="29"/>
        <v>#REF!</v>
      </c>
      <c r="V204" s="97" t="str">
        <f t="shared" ca="1" si="7"/>
        <v>#REF!</v>
      </c>
      <c r="W204" s="97" t="str">
        <f t="shared" ca="1" si="8"/>
        <v>#REF!</v>
      </c>
      <c r="X204" s="121">
        <v>0</v>
      </c>
      <c r="Y204" s="121" t="str">
        <f t="shared" ca="1" si="9"/>
        <v>#REF!</v>
      </c>
      <c r="Z204" s="121" t="str">
        <f t="shared" ca="1" si="10"/>
        <v>#REF!</v>
      </c>
      <c r="AA204" s="99" t="str">
        <f t="shared" ca="1" si="11"/>
        <v>#REF!</v>
      </c>
      <c r="AB204" s="234" t="str">
        <f t="shared" ca="1" si="12"/>
        <v>#REF!</v>
      </c>
      <c r="AC204" s="257" t="str">
        <f t="shared" ca="1" si="13"/>
        <v>#REF!</v>
      </c>
      <c r="AD204" s="234" t="str">
        <f t="shared" ca="1" si="14"/>
        <v>#REF!</v>
      </c>
      <c r="AE204" s="100" t="str">
        <f t="shared" ca="1" si="15"/>
        <v>#REF!</v>
      </c>
      <c r="AF204" s="101" t="str">
        <f t="shared" ca="1" si="16"/>
        <v>#REF!</v>
      </c>
      <c r="AG204" s="102" t="str">
        <f t="shared" ref="AG204:AH204" ca="1" si="222">AE204/V204</f>
        <v>#REF!</v>
      </c>
      <c r="AH204" s="102" t="str">
        <f t="shared" ca="1" si="222"/>
        <v>#REF!</v>
      </c>
    </row>
    <row r="205" spans="1:34" ht="13.2">
      <c r="A205" s="251"/>
      <c r="B205" s="251"/>
      <c r="C205" s="252"/>
      <c r="D205" s="252"/>
      <c r="E205" s="114"/>
      <c r="F205" s="252"/>
      <c r="G205" s="125" t="s">
        <v>145</v>
      </c>
      <c r="I205" s="172"/>
      <c r="J205" s="82" t="str">
        <f t="shared" ca="1" si="0"/>
        <v>#REF!</v>
      </c>
      <c r="K205" s="82" t="str">
        <f t="shared" ca="1" si="1"/>
        <v>#REF!</v>
      </c>
      <c r="L205" s="82" t="str">
        <f t="shared" ca="1" si="44"/>
        <v>#REF!</v>
      </c>
      <c r="M205" s="93"/>
      <c r="N205" s="93"/>
      <c r="O205" s="95">
        <f t="shared" si="2"/>
        <v>0</v>
      </c>
      <c r="P205" s="96">
        <f t="shared" si="3"/>
        <v>0</v>
      </c>
      <c r="Q205" s="97">
        <f t="shared" si="4"/>
        <v>0</v>
      </c>
      <c r="R205" s="97" t="str">
        <f ca="1">ROUNDUP(HLOOKUP(IF(CEILING(L205,0.5)&lt;1,0.5,CEILING(L205,0.5)),'배송비 조회'!A$44:AO$56,7,0)*B$3,-2)</f>
        <v>#REF!</v>
      </c>
      <c r="S205" s="97">
        <v>0</v>
      </c>
      <c r="T205" s="97" t="str">
        <f t="shared" ca="1" si="42"/>
        <v>#REF!</v>
      </c>
      <c r="U205" s="97" t="str">
        <f t="shared" ca="1" si="29"/>
        <v>#REF!</v>
      </c>
      <c r="V205" s="97" t="str">
        <f t="shared" ca="1" si="7"/>
        <v>#REF!</v>
      </c>
      <c r="W205" s="97" t="str">
        <f t="shared" ca="1" si="8"/>
        <v>#REF!</v>
      </c>
      <c r="X205" s="121">
        <v>0</v>
      </c>
      <c r="Y205" s="121" t="str">
        <f t="shared" ca="1" si="9"/>
        <v>#REF!</v>
      </c>
      <c r="Z205" s="121" t="str">
        <f t="shared" ca="1" si="10"/>
        <v>#REF!</v>
      </c>
      <c r="AA205" s="99" t="str">
        <f t="shared" ca="1" si="11"/>
        <v>#REF!</v>
      </c>
      <c r="AB205" s="234" t="str">
        <f t="shared" ca="1" si="12"/>
        <v>#REF!</v>
      </c>
      <c r="AC205" s="257" t="str">
        <f t="shared" ca="1" si="13"/>
        <v>#REF!</v>
      </c>
      <c r="AD205" s="234" t="str">
        <f t="shared" ca="1" si="14"/>
        <v>#REF!</v>
      </c>
      <c r="AE205" s="100" t="str">
        <f t="shared" ca="1" si="15"/>
        <v>#REF!</v>
      </c>
      <c r="AF205" s="101" t="str">
        <f t="shared" ca="1" si="16"/>
        <v>#REF!</v>
      </c>
      <c r="AG205" s="102" t="str">
        <f t="shared" ref="AG205:AH205" ca="1" si="223">AE205/V205</f>
        <v>#REF!</v>
      </c>
      <c r="AH205" s="102" t="str">
        <f t="shared" ca="1" si="223"/>
        <v>#REF!</v>
      </c>
    </row>
    <row r="206" spans="1:34" ht="13.2">
      <c r="A206" s="251"/>
      <c r="B206" s="251"/>
      <c r="C206" s="252"/>
      <c r="D206" s="252"/>
      <c r="E206" s="114"/>
      <c r="F206" s="252"/>
      <c r="G206" s="125" t="s">
        <v>145</v>
      </c>
      <c r="I206" s="172"/>
      <c r="J206" s="82" t="str">
        <f t="shared" ca="1" si="0"/>
        <v>#REF!</v>
      </c>
      <c r="K206" s="82" t="str">
        <f t="shared" ca="1" si="1"/>
        <v>#REF!</v>
      </c>
      <c r="L206" s="82" t="str">
        <f t="shared" ca="1" si="44"/>
        <v>#REF!</v>
      </c>
      <c r="M206" s="93"/>
      <c r="N206" s="93"/>
      <c r="O206" s="95">
        <f t="shared" si="2"/>
        <v>0</v>
      </c>
      <c r="P206" s="96">
        <f t="shared" si="3"/>
        <v>0</v>
      </c>
      <c r="Q206" s="97">
        <f t="shared" si="4"/>
        <v>0</v>
      </c>
      <c r="R206" s="97" t="str">
        <f ca="1">ROUNDUP(HLOOKUP(IF(CEILING(L206,0.5)&lt;1,0.5,CEILING(L206,0.5)),'배송비 조회'!A$44:AO$56,7,0)*B$3,-2)</f>
        <v>#REF!</v>
      </c>
      <c r="S206" s="97">
        <v>0</v>
      </c>
      <c r="T206" s="97" t="str">
        <f t="shared" ca="1" si="42"/>
        <v>#REF!</v>
      </c>
      <c r="U206" s="97" t="str">
        <f t="shared" ca="1" si="29"/>
        <v>#REF!</v>
      </c>
      <c r="V206" s="97" t="str">
        <f t="shared" ca="1" si="7"/>
        <v>#REF!</v>
      </c>
      <c r="W206" s="97" t="str">
        <f t="shared" ca="1" si="8"/>
        <v>#REF!</v>
      </c>
      <c r="X206" s="121">
        <v>0</v>
      </c>
      <c r="Y206" s="121" t="str">
        <f t="shared" ca="1" si="9"/>
        <v>#REF!</v>
      </c>
      <c r="Z206" s="121" t="str">
        <f t="shared" ca="1" si="10"/>
        <v>#REF!</v>
      </c>
      <c r="AA206" s="99" t="str">
        <f t="shared" ca="1" si="11"/>
        <v>#REF!</v>
      </c>
      <c r="AB206" s="234" t="str">
        <f t="shared" ca="1" si="12"/>
        <v>#REF!</v>
      </c>
      <c r="AC206" s="257" t="str">
        <f t="shared" ca="1" si="13"/>
        <v>#REF!</v>
      </c>
      <c r="AD206" s="234" t="str">
        <f t="shared" ca="1" si="14"/>
        <v>#REF!</v>
      </c>
      <c r="AE206" s="100" t="str">
        <f t="shared" ca="1" si="15"/>
        <v>#REF!</v>
      </c>
      <c r="AF206" s="101" t="str">
        <f t="shared" ca="1" si="16"/>
        <v>#REF!</v>
      </c>
      <c r="AG206" s="102" t="str">
        <f t="shared" ref="AG206:AH206" ca="1" si="224">AE206/V206</f>
        <v>#REF!</v>
      </c>
      <c r="AH206" s="102" t="str">
        <f t="shared" ca="1" si="224"/>
        <v>#REF!</v>
      </c>
    </row>
    <row r="207" spans="1:34" ht="13.2">
      <c r="A207" s="251"/>
      <c r="B207" s="251"/>
      <c r="C207" s="252"/>
      <c r="D207" s="252"/>
      <c r="E207" s="114"/>
      <c r="F207" s="252"/>
      <c r="G207" s="125" t="s">
        <v>145</v>
      </c>
      <c r="I207" s="172"/>
      <c r="J207" s="82" t="str">
        <f t="shared" ca="1" si="0"/>
        <v>#REF!</v>
      </c>
      <c r="K207" s="82" t="str">
        <f t="shared" ca="1" si="1"/>
        <v>#REF!</v>
      </c>
      <c r="L207" s="82" t="str">
        <f t="shared" ca="1" si="44"/>
        <v>#REF!</v>
      </c>
      <c r="M207" s="93"/>
      <c r="N207" s="93"/>
      <c r="O207" s="95">
        <f t="shared" si="2"/>
        <v>0</v>
      </c>
      <c r="P207" s="96">
        <f t="shared" si="3"/>
        <v>0</v>
      </c>
      <c r="Q207" s="97">
        <f t="shared" si="4"/>
        <v>0</v>
      </c>
      <c r="R207" s="97" t="str">
        <f ca="1">ROUNDUP(HLOOKUP(IF(CEILING(L207,0.5)&lt;1,0.5,CEILING(L207,0.5)),'배송비 조회'!A$44:AO$56,7,0)*B$3,-2)</f>
        <v>#REF!</v>
      </c>
      <c r="S207" s="97">
        <v>0</v>
      </c>
      <c r="T207" s="97" t="str">
        <f t="shared" ca="1" si="42"/>
        <v>#REF!</v>
      </c>
      <c r="U207" s="97" t="str">
        <f t="shared" ca="1" si="29"/>
        <v>#REF!</v>
      </c>
      <c r="V207" s="97" t="str">
        <f t="shared" ca="1" si="7"/>
        <v>#REF!</v>
      </c>
      <c r="W207" s="97" t="str">
        <f t="shared" ca="1" si="8"/>
        <v>#REF!</v>
      </c>
      <c r="X207" s="121">
        <v>0</v>
      </c>
      <c r="Y207" s="121" t="str">
        <f t="shared" ca="1" si="9"/>
        <v>#REF!</v>
      </c>
      <c r="Z207" s="121" t="str">
        <f t="shared" ca="1" si="10"/>
        <v>#REF!</v>
      </c>
      <c r="AA207" s="99" t="str">
        <f t="shared" ca="1" si="11"/>
        <v>#REF!</v>
      </c>
      <c r="AB207" s="234" t="str">
        <f t="shared" ca="1" si="12"/>
        <v>#REF!</v>
      </c>
      <c r="AC207" s="257" t="str">
        <f t="shared" ca="1" si="13"/>
        <v>#REF!</v>
      </c>
      <c r="AD207" s="234" t="str">
        <f t="shared" ca="1" si="14"/>
        <v>#REF!</v>
      </c>
      <c r="AE207" s="100" t="str">
        <f t="shared" ca="1" si="15"/>
        <v>#REF!</v>
      </c>
      <c r="AF207" s="101" t="str">
        <f t="shared" ca="1" si="16"/>
        <v>#REF!</v>
      </c>
      <c r="AG207" s="102" t="str">
        <f t="shared" ref="AG207:AH207" ca="1" si="225">AE207/V207</f>
        <v>#REF!</v>
      </c>
      <c r="AH207" s="102" t="str">
        <f t="shared" ca="1" si="225"/>
        <v>#REF!</v>
      </c>
    </row>
    <row r="208" spans="1:34" ht="13.2">
      <c r="A208" s="251"/>
      <c r="B208" s="251"/>
      <c r="C208" s="252"/>
      <c r="D208" s="252"/>
      <c r="E208" s="114"/>
      <c r="F208" s="252"/>
      <c r="G208" s="125" t="s">
        <v>145</v>
      </c>
      <c r="I208" s="172"/>
      <c r="J208" s="82" t="str">
        <f t="shared" ca="1" si="0"/>
        <v>#REF!</v>
      </c>
      <c r="K208" s="82" t="str">
        <f t="shared" ca="1" si="1"/>
        <v>#REF!</v>
      </c>
      <c r="L208" s="82" t="str">
        <f t="shared" ca="1" si="44"/>
        <v>#REF!</v>
      </c>
      <c r="M208" s="93"/>
      <c r="N208" s="93"/>
      <c r="O208" s="95">
        <f t="shared" si="2"/>
        <v>0</v>
      </c>
      <c r="P208" s="96">
        <f t="shared" si="3"/>
        <v>0</v>
      </c>
      <c r="Q208" s="97">
        <f t="shared" si="4"/>
        <v>0</v>
      </c>
      <c r="R208" s="97" t="str">
        <f ca="1">ROUNDUP(HLOOKUP(IF(CEILING(L208,0.5)&lt;1,0.5,CEILING(L208,0.5)),'배송비 조회'!A$44:AO$56,7,0)*B$3,-2)</f>
        <v>#REF!</v>
      </c>
      <c r="S208" s="97">
        <v>0</v>
      </c>
      <c r="T208" s="97" t="str">
        <f t="shared" ca="1" si="42"/>
        <v>#REF!</v>
      </c>
      <c r="U208" s="97" t="str">
        <f t="shared" ca="1" si="29"/>
        <v>#REF!</v>
      </c>
      <c r="V208" s="97" t="str">
        <f t="shared" ca="1" si="7"/>
        <v>#REF!</v>
      </c>
      <c r="W208" s="97" t="str">
        <f t="shared" ca="1" si="8"/>
        <v>#REF!</v>
      </c>
      <c r="X208" s="121">
        <v>0</v>
      </c>
      <c r="Y208" s="121" t="str">
        <f t="shared" ca="1" si="9"/>
        <v>#REF!</v>
      </c>
      <c r="Z208" s="121" t="str">
        <f t="shared" ca="1" si="10"/>
        <v>#REF!</v>
      </c>
      <c r="AA208" s="99" t="str">
        <f t="shared" ca="1" si="11"/>
        <v>#REF!</v>
      </c>
      <c r="AB208" s="234" t="str">
        <f t="shared" ca="1" si="12"/>
        <v>#REF!</v>
      </c>
      <c r="AC208" s="257" t="str">
        <f t="shared" ca="1" si="13"/>
        <v>#REF!</v>
      </c>
      <c r="AD208" s="234" t="str">
        <f t="shared" ca="1" si="14"/>
        <v>#REF!</v>
      </c>
      <c r="AE208" s="100" t="str">
        <f t="shared" ca="1" si="15"/>
        <v>#REF!</v>
      </c>
      <c r="AF208" s="101" t="str">
        <f t="shared" ca="1" si="16"/>
        <v>#REF!</v>
      </c>
      <c r="AG208" s="102" t="str">
        <f t="shared" ref="AG208:AH208" ca="1" si="226">AE208/V208</f>
        <v>#REF!</v>
      </c>
      <c r="AH208" s="102" t="str">
        <f t="shared" ca="1" si="226"/>
        <v>#REF!</v>
      </c>
    </row>
    <row r="209" spans="1:34" ht="13.2">
      <c r="A209" s="251"/>
      <c r="B209" s="251"/>
      <c r="C209" s="252"/>
      <c r="D209" s="252"/>
      <c r="E209" s="114"/>
      <c r="F209" s="252"/>
      <c r="G209" s="125" t="s">
        <v>145</v>
      </c>
      <c r="I209" s="172"/>
      <c r="J209" s="82" t="str">
        <f t="shared" ca="1" si="0"/>
        <v>#REF!</v>
      </c>
      <c r="K209" s="82" t="str">
        <f t="shared" ca="1" si="1"/>
        <v>#REF!</v>
      </c>
      <c r="L209" s="82" t="str">
        <f t="shared" ca="1" si="44"/>
        <v>#REF!</v>
      </c>
      <c r="M209" s="93"/>
      <c r="N209" s="93"/>
      <c r="O209" s="95">
        <f t="shared" si="2"/>
        <v>0</v>
      </c>
      <c r="P209" s="96">
        <f t="shared" si="3"/>
        <v>0</v>
      </c>
      <c r="Q209" s="97">
        <f t="shared" si="4"/>
        <v>0</v>
      </c>
      <c r="R209" s="97" t="str">
        <f ca="1">ROUNDUP(HLOOKUP(IF(CEILING(L209,0.5)&lt;1,0.5,CEILING(L209,0.5)),'배송비 조회'!A$44:AO$56,7,0)*B$3,-2)</f>
        <v>#REF!</v>
      </c>
      <c r="S209" s="97">
        <v>0</v>
      </c>
      <c r="T209" s="97" t="str">
        <f t="shared" ca="1" si="42"/>
        <v>#REF!</v>
      </c>
      <c r="U209" s="97" t="str">
        <f t="shared" ca="1" si="29"/>
        <v>#REF!</v>
      </c>
      <c r="V209" s="97" t="str">
        <f t="shared" ca="1" si="7"/>
        <v>#REF!</v>
      </c>
      <c r="W209" s="97" t="str">
        <f t="shared" ca="1" si="8"/>
        <v>#REF!</v>
      </c>
      <c r="X209" s="121">
        <v>0</v>
      </c>
      <c r="Y209" s="121" t="str">
        <f t="shared" ca="1" si="9"/>
        <v>#REF!</v>
      </c>
      <c r="Z209" s="121" t="str">
        <f t="shared" ca="1" si="10"/>
        <v>#REF!</v>
      </c>
      <c r="AA209" s="99" t="str">
        <f t="shared" ca="1" si="11"/>
        <v>#REF!</v>
      </c>
      <c r="AB209" s="234" t="str">
        <f t="shared" ca="1" si="12"/>
        <v>#REF!</v>
      </c>
      <c r="AC209" s="257" t="str">
        <f t="shared" ca="1" si="13"/>
        <v>#REF!</v>
      </c>
      <c r="AD209" s="234" t="str">
        <f t="shared" ca="1" si="14"/>
        <v>#REF!</v>
      </c>
      <c r="AE209" s="100" t="str">
        <f t="shared" ca="1" si="15"/>
        <v>#REF!</v>
      </c>
      <c r="AF209" s="101" t="str">
        <f t="shared" ca="1" si="16"/>
        <v>#REF!</v>
      </c>
      <c r="AG209" s="102" t="str">
        <f t="shared" ref="AG209:AH209" ca="1" si="227">AE209/V209</f>
        <v>#REF!</v>
      </c>
      <c r="AH209" s="102" t="str">
        <f t="shared" ca="1" si="227"/>
        <v>#REF!</v>
      </c>
    </row>
    <row r="210" spans="1:34" ht="13.2">
      <c r="A210" s="251"/>
      <c r="B210" s="251"/>
      <c r="C210" s="252"/>
      <c r="D210" s="252"/>
      <c r="E210" s="114"/>
      <c r="F210" s="252"/>
      <c r="G210" s="125" t="s">
        <v>145</v>
      </c>
      <c r="I210" s="172"/>
      <c r="J210" s="82" t="str">
        <f t="shared" ca="1" si="0"/>
        <v>#REF!</v>
      </c>
      <c r="K210" s="82" t="str">
        <f t="shared" ca="1" si="1"/>
        <v>#REF!</v>
      </c>
      <c r="L210" s="82" t="str">
        <f t="shared" ca="1" si="44"/>
        <v>#REF!</v>
      </c>
      <c r="M210" s="93"/>
      <c r="N210" s="93"/>
      <c r="O210" s="95">
        <f t="shared" si="2"/>
        <v>0</v>
      </c>
      <c r="P210" s="96">
        <f t="shared" si="3"/>
        <v>0</v>
      </c>
      <c r="Q210" s="97">
        <f t="shared" si="4"/>
        <v>0</v>
      </c>
      <c r="R210" s="97" t="str">
        <f ca="1">ROUNDUP(HLOOKUP(IF(CEILING(L210,0.5)&lt;1,0.5,CEILING(L210,0.5)),'배송비 조회'!A$44:AO$56,7,0)*B$3,-2)</f>
        <v>#REF!</v>
      </c>
      <c r="S210" s="97">
        <v>0</v>
      </c>
      <c r="T210" s="97" t="str">
        <f t="shared" ca="1" si="42"/>
        <v>#REF!</v>
      </c>
      <c r="U210" s="97" t="str">
        <f t="shared" ca="1" si="29"/>
        <v>#REF!</v>
      </c>
      <c r="V210" s="97" t="str">
        <f t="shared" ca="1" si="7"/>
        <v>#REF!</v>
      </c>
      <c r="W210" s="97" t="str">
        <f t="shared" ca="1" si="8"/>
        <v>#REF!</v>
      </c>
      <c r="X210" s="121">
        <v>0</v>
      </c>
      <c r="Y210" s="121" t="str">
        <f t="shared" ca="1" si="9"/>
        <v>#REF!</v>
      </c>
      <c r="Z210" s="121" t="str">
        <f t="shared" ca="1" si="10"/>
        <v>#REF!</v>
      </c>
      <c r="AA210" s="99" t="str">
        <f t="shared" ca="1" si="11"/>
        <v>#REF!</v>
      </c>
      <c r="AB210" s="234" t="str">
        <f t="shared" ca="1" si="12"/>
        <v>#REF!</v>
      </c>
      <c r="AC210" s="257" t="str">
        <f t="shared" ca="1" si="13"/>
        <v>#REF!</v>
      </c>
      <c r="AD210" s="234" t="str">
        <f t="shared" ca="1" si="14"/>
        <v>#REF!</v>
      </c>
      <c r="AE210" s="100" t="str">
        <f t="shared" ca="1" si="15"/>
        <v>#REF!</v>
      </c>
      <c r="AF210" s="101" t="str">
        <f t="shared" ca="1" si="16"/>
        <v>#REF!</v>
      </c>
      <c r="AG210" s="102" t="str">
        <f t="shared" ref="AG210:AH210" ca="1" si="228">AE210/V210</f>
        <v>#REF!</v>
      </c>
      <c r="AH210" s="102" t="str">
        <f t="shared" ca="1" si="228"/>
        <v>#REF!</v>
      </c>
    </row>
    <row r="211" spans="1:34" ht="13.2">
      <c r="A211" s="251"/>
      <c r="B211" s="251"/>
      <c r="C211" s="252"/>
      <c r="D211" s="252"/>
      <c r="E211" s="114"/>
      <c r="F211" s="252"/>
      <c r="G211" s="125" t="s">
        <v>145</v>
      </c>
      <c r="I211" s="172"/>
      <c r="J211" s="82" t="str">
        <f t="shared" ca="1" si="0"/>
        <v>#REF!</v>
      </c>
      <c r="K211" s="82" t="str">
        <f t="shared" ca="1" si="1"/>
        <v>#REF!</v>
      </c>
      <c r="L211" s="82" t="str">
        <f t="shared" ca="1" si="44"/>
        <v>#REF!</v>
      </c>
      <c r="M211" s="93"/>
      <c r="N211" s="93"/>
      <c r="O211" s="95">
        <f t="shared" si="2"/>
        <v>0</v>
      </c>
      <c r="P211" s="96">
        <f t="shared" si="3"/>
        <v>0</v>
      </c>
      <c r="Q211" s="97">
        <f t="shared" si="4"/>
        <v>0</v>
      </c>
      <c r="R211" s="97" t="str">
        <f ca="1">ROUNDUP(HLOOKUP(IF(CEILING(L211,0.5)&lt;1,0.5,CEILING(L211,0.5)),'배송비 조회'!A$44:AO$56,7,0)*B$3,-2)</f>
        <v>#REF!</v>
      </c>
      <c r="S211" s="97">
        <v>0</v>
      </c>
      <c r="T211" s="97" t="str">
        <f t="shared" ca="1" si="42"/>
        <v>#REF!</v>
      </c>
      <c r="U211" s="97" t="str">
        <f t="shared" ca="1" si="29"/>
        <v>#REF!</v>
      </c>
      <c r="V211" s="97" t="str">
        <f t="shared" ca="1" si="7"/>
        <v>#REF!</v>
      </c>
      <c r="W211" s="97" t="str">
        <f t="shared" ca="1" si="8"/>
        <v>#REF!</v>
      </c>
      <c r="X211" s="121">
        <v>0</v>
      </c>
      <c r="Y211" s="121" t="str">
        <f t="shared" ca="1" si="9"/>
        <v>#REF!</v>
      </c>
      <c r="Z211" s="121" t="str">
        <f t="shared" ca="1" si="10"/>
        <v>#REF!</v>
      </c>
      <c r="AA211" s="99" t="str">
        <f t="shared" ca="1" si="11"/>
        <v>#REF!</v>
      </c>
      <c r="AB211" s="234" t="str">
        <f t="shared" ca="1" si="12"/>
        <v>#REF!</v>
      </c>
      <c r="AC211" s="257" t="str">
        <f t="shared" ca="1" si="13"/>
        <v>#REF!</v>
      </c>
      <c r="AD211" s="234" t="str">
        <f t="shared" ca="1" si="14"/>
        <v>#REF!</v>
      </c>
      <c r="AE211" s="100" t="str">
        <f t="shared" ca="1" si="15"/>
        <v>#REF!</v>
      </c>
      <c r="AF211" s="101" t="str">
        <f t="shared" ca="1" si="16"/>
        <v>#REF!</v>
      </c>
      <c r="AG211" s="102" t="str">
        <f t="shared" ref="AG211:AH211" ca="1" si="229">AE211/V211</f>
        <v>#REF!</v>
      </c>
      <c r="AH211" s="102" t="str">
        <f t="shared" ca="1" si="229"/>
        <v>#REF!</v>
      </c>
    </row>
    <row r="212" spans="1:34" ht="13.2">
      <c r="A212" s="251"/>
      <c r="B212" s="251"/>
      <c r="C212" s="252"/>
      <c r="D212" s="252"/>
      <c r="E212" s="114"/>
      <c r="F212" s="252"/>
      <c r="G212" s="125" t="s">
        <v>145</v>
      </c>
      <c r="I212" s="172"/>
      <c r="J212" s="82" t="str">
        <f t="shared" ca="1" si="0"/>
        <v>#REF!</v>
      </c>
      <c r="K212" s="82" t="str">
        <f t="shared" ca="1" si="1"/>
        <v>#REF!</v>
      </c>
      <c r="L212" s="82" t="str">
        <f t="shared" ca="1" si="44"/>
        <v>#REF!</v>
      </c>
      <c r="M212" s="93"/>
      <c r="N212" s="93"/>
      <c r="O212" s="95">
        <f t="shared" si="2"/>
        <v>0</v>
      </c>
      <c r="P212" s="96">
        <f t="shared" si="3"/>
        <v>0</v>
      </c>
      <c r="Q212" s="97">
        <f t="shared" si="4"/>
        <v>0</v>
      </c>
      <c r="R212" s="97" t="str">
        <f ca="1">ROUNDUP(HLOOKUP(IF(CEILING(L212,0.5)&lt;1,0.5,CEILING(L212,0.5)),'배송비 조회'!A$44:AO$56,7,0)*B$3,-2)</f>
        <v>#REF!</v>
      </c>
      <c r="S212" s="97">
        <v>0</v>
      </c>
      <c r="T212" s="97" t="str">
        <f t="shared" ca="1" si="42"/>
        <v>#REF!</v>
      </c>
      <c r="U212" s="97" t="str">
        <f t="shared" ca="1" si="29"/>
        <v>#REF!</v>
      </c>
      <c r="V212" s="97" t="str">
        <f t="shared" ca="1" si="7"/>
        <v>#REF!</v>
      </c>
      <c r="W212" s="97" t="str">
        <f t="shared" ca="1" si="8"/>
        <v>#REF!</v>
      </c>
      <c r="X212" s="121">
        <v>0</v>
      </c>
      <c r="Y212" s="121" t="str">
        <f t="shared" ca="1" si="9"/>
        <v>#REF!</v>
      </c>
      <c r="Z212" s="121" t="str">
        <f t="shared" ca="1" si="10"/>
        <v>#REF!</v>
      </c>
      <c r="AA212" s="99" t="str">
        <f t="shared" ca="1" si="11"/>
        <v>#REF!</v>
      </c>
      <c r="AB212" s="234" t="str">
        <f t="shared" ca="1" si="12"/>
        <v>#REF!</v>
      </c>
      <c r="AC212" s="257" t="str">
        <f t="shared" ca="1" si="13"/>
        <v>#REF!</v>
      </c>
      <c r="AD212" s="234" t="str">
        <f t="shared" ca="1" si="14"/>
        <v>#REF!</v>
      </c>
      <c r="AE212" s="100" t="str">
        <f t="shared" ca="1" si="15"/>
        <v>#REF!</v>
      </c>
      <c r="AF212" s="101" t="str">
        <f t="shared" ca="1" si="16"/>
        <v>#REF!</v>
      </c>
      <c r="AG212" s="102" t="str">
        <f t="shared" ref="AG212:AH212" ca="1" si="230">AE212/V212</f>
        <v>#REF!</v>
      </c>
      <c r="AH212" s="102" t="str">
        <f t="shared" ca="1" si="230"/>
        <v>#REF!</v>
      </c>
    </row>
    <row r="213" spans="1:34" ht="13.2">
      <c r="A213" s="251"/>
      <c r="B213" s="251"/>
      <c r="C213" s="252"/>
      <c r="D213" s="252"/>
      <c r="E213" s="114"/>
      <c r="F213" s="252"/>
      <c r="G213" s="125" t="s">
        <v>145</v>
      </c>
      <c r="I213" s="172"/>
      <c r="J213" s="82" t="str">
        <f t="shared" ca="1" si="0"/>
        <v>#REF!</v>
      </c>
      <c r="K213" s="82" t="str">
        <f t="shared" ca="1" si="1"/>
        <v>#REF!</v>
      </c>
      <c r="L213" s="82" t="str">
        <f t="shared" ca="1" si="44"/>
        <v>#REF!</v>
      </c>
      <c r="M213" s="93"/>
      <c r="N213" s="93"/>
      <c r="O213" s="95">
        <f t="shared" si="2"/>
        <v>0</v>
      </c>
      <c r="P213" s="96">
        <f t="shared" si="3"/>
        <v>0</v>
      </c>
      <c r="Q213" s="97">
        <f t="shared" si="4"/>
        <v>0</v>
      </c>
      <c r="R213" s="97" t="str">
        <f ca="1">ROUNDUP(HLOOKUP(IF(CEILING(L213,0.5)&lt;1,0.5,CEILING(L213,0.5)),'배송비 조회'!A$44:AO$56,7,0)*B$3,-2)</f>
        <v>#REF!</v>
      </c>
      <c r="S213" s="97">
        <v>0</v>
      </c>
      <c r="T213" s="97" t="str">
        <f t="shared" ca="1" si="42"/>
        <v>#REF!</v>
      </c>
      <c r="U213" s="97" t="str">
        <f t="shared" ca="1" si="29"/>
        <v>#REF!</v>
      </c>
      <c r="V213" s="97" t="str">
        <f t="shared" ca="1" si="7"/>
        <v>#REF!</v>
      </c>
      <c r="W213" s="97" t="str">
        <f t="shared" ca="1" si="8"/>
        <v>#REF!</v>
      </c>
      <c r="X213" s="121">
        <v>0</v>
      </c>
      <c r="Y213" s="121" t="str">
        <f t="shared" ca="1" si="9"/>
        <v>#REF!</v>
      </c>
      <c r="Z213" s="121" t="str">
        <f t="shared" ca="1" si="10"/>
        <v>#REF!</v>
      </c>
      <c r="AA213" s="99" t="str">
        <f t="shared" ca="1" si="11"/>
        <v>#REF!</v>
      </c>
      <c r="AB213" s="234" t="str">
        <f t="shared" ca="1" si="12"/>
        <v>#REF!</v>
      </c>
      <c r="AC213" s="257" t="str">
        <f t="shared" ca="1" si="13"/>
        <v>#REF!</v>
      </c>
      <c r="AD213" s="234" t="str">
        <f t="shared" ca="1" si="14"/>
        <v>#REF!</v>
      </c>
      <c r="AE213" s="100" t="str">
        <f t="shared" ca="1" si="15"/>
        <v>#REF!</v>
      </c>
      <c r="AF213" s="101" t="str">
        <f t="shared" ca="1" si="16"/>
        <v>#REF!</v>
      </c>
      <c r="AG213" s="102" t="str">
        <f t="shared" ref="AG213:AH213" ca="1" si="231">AE213/V213</f>
        <v>#REF!</v>
      </c>
      <c r="AH213" s="102" t="str">
        <f t="shared" ca="1" si="231"/>
        <v>#REF!</v>
      </c>
    </row>
    <row r="214" spans="1:34" ht="13.2">
      <c r="A214" s="251"/>
      <c r="B214" s="251"/>
      <c r="C214" s="252"/>
      <c r="D214" s="252"/>
      <c r="E214" s="114"/>
      <c r="F214" s="252"/>
      <c r="G214" s="125" t="s">
        <v>145</v>
      </c>
      <c r="I214" s="172"/>
      <c r="J214" s="82" t="str">
        <f t="shared" ca="1" si="0"/>
        <v>#REF!</v>
      </c>
      <c r="K214" s="82" t="str">
        <f t="shared" ca="1" si="1"/>
        <v>#REF!</v>
      </c>
      <c r="L214" s="82" t="str">
        <f t="shared" ca="1" si="44"/>
        <v>#REF!</v>
      </c>
      <c r="M214" s="93"/>
      <c r="N214" s="93"/>
      <c r="O214" s="95">
        <f t="shared" si="2"/>
        <v>0</v>
      </c>
      <c r="P214" s="96">
        <f t="shared" si="3"/>
        <v>0</v>
      </c>
      <c r="Q214" s="97">
        <f t="shared" si="4"/>
        <v>0</v>
      </c>
      <c r="R214" s="97" t="str">
        <f ca="1">ROUNDUP(HLOOKUP(IF(CEILING(L214,0.5)&lt;1,0.5,CEILING(L214,0.5)),'배송비 조회'!A$44:AO$56,7,0)*B$3,-2)</f>
        <v>#REF!</v>
      </c>
      <c r="S214" s="97">
        <v>0</v>
      </c>
      <c r="T214" s="97" t="str">
        <f t="shared" ca="1" si="42"/>
        <v>#REF!</v>
      </c>
      <c r="U214" s="97" t="str">
        <f t="shared" ca="1" si="29"/>
        <v>#REF!</v>
      </c>
      <c r="V214" s="97" t="str">
        <f t="shared" ca="1" si="7"/>
        <v>#REF!</v>
      </c>
      <c r="W214" s="97" t="str">
        <f t="shared" ca="1" si="8"/>
        <v>#REF!</v>
      </c>
      <c r="X214" s="121">
        <v>0</v>
      </c>
      <c r="Y214" s="121" t="str">
        <f t="shared" ca="1" si="9"/>
        <v>#REF!</v>
      </c>
      <c r="Z214" s="121" t="str">
        <f t="shared" ca="1" si="10"/>
        <v>#REF!</v>
      </c>
      <c r="AA214" s="99" t="str">
        <f t="shared" ca="1" si="11"/>
        <v>#REF!</v>
      </c>
      <c r="AB214" s="234" t="str">
        <f t="shared" ca="1" si="12"/>
        <v>#REF!</v>
      </c>
      <c r="AC214" s="257" t="str">
        <f t="shared" ca="1" si="13"/>
        <v>#REF!</v>
      </c>
      <c r="AD214" s="234" t="str">
        <f t="shared" ca="1" si="14"/>
        <v>#REF!</v>
      </c>
      <c r="AE214" s="100" t="str">
        <f t="shared" ca="1" si="15"/>
        <v>#REF!</v>
      </c>
      <c r="AF214" s="101" t="str">
        <f t="shared" ca="1" si="16"/>
        <v>#REF!</v>
      </c>
      <c r="AG214" s="102" t="str">
        <f t="shared" ref="AG214:AH214" ca="1" si="232">AE214/V214</f>
        <v>#REF!</v>
      </c>
      <c r="AH214" s="102" t="str">
        <f t="shared" ca="1" si="232"/>
        <v>#REF!</v>
      </c>
    </row>
    <row r="215" spans="1:34" ht="13.2">
      <c r="A215" s="251"/>
      <c r="B215" s="251"/>
      <c r="C215" s="252"/>
      <c r="D215" s="252"/>
      <c r="E215" s="114"/>
      <c r="F215" s="252"/>
      <c r="G215" s="125" t="s">
        <v>145</v>
      </c>
      <c r="I215" s="172"/>
      <c r="J215" s="82" t="str">
        <f t="shared" ca="1" si="0"/>
        <v>#REF!</v>
      </c>
      <c r="K215" s="82" t="str">
        <f t="shared" ca="1" si="1"/>
        <v>#REF!</v>
      </c>
      <c r="L215" s="82" t="str">
        <f t="shared" ca="1" si="44"/>
        <v>#REF!</v>
      </c>
      <c r="M215" s="93"/>
      <c r="N215" s="93"/>
      <c r="O215" s="95">
        <f t="shared" si="2"/>
        <v>0</v>
      </c>
      <c r="P215" s="96">
        <f t="shared" si="3"/>
        <v>0</v>
      </c>
      <c r="Q215" s="97">
        <f t="shared" si="4"/>
        <v>0</v>
      </c>
      <c r="R215" s="97" t="str">
        <f ca="1">ROUNDUP(HLOOKUP(IF(CEILING(L215,0.5)&lt;1,0.5,CEILING(L215,0.5)),'배송비 조회'!A$44:AO$56,7,0)*B$3,-2)</f>
        <v>#REF!</v>
      </c>
      <c r="S215" s="97">
        <v>0</v>
      </c>
      <c r="T215" s="97" t="str">
        <f t="shared" ca="1" si="42"/>
        <v>#REF!</v>
      </c>
      <c r="U215" s="97" t="str">
        <f t="shared" ca="1" si="29"/>
        <v>#REF!</v>
      </c>
      <c r="V215" s="97" t="str">
        <f t="shared" ca="1" si="7"/>
        <v>#REF!</v>
      </c>
      <c r="W215" s="97" t="str">
        <f t="shared" ca="1" si="8"/>
        <v>#REF!</v>
      </c>
      <c r="X215" s="121">
        <v>0</v>
      </c>
      <c r="Y215" s="121" t="str">
        <f t="shared" ca="1" si="9"/>
        <v>#REF!</v>
      </c>
      <c r="Z215" s="121" t="str">
        <f t="shared" ca="1" si="10"/>
        <v>#REF!</v>
      </c>
      <c r="AA215" s="99" t="str">
        <f t="shared" ca="1" si="11"/>
        <v>#REF!</v>
      </c>
      <c r="AB215" s="234" t="str">
        <f t="shared" ca="1" si="12"/>
        <v>#REF!</v>
      </c>
      <c r="AC215" s="257" t="str">
        <f t="shared" ca="1" si="13"/>
        <v>#REF!</v>
      </c>
      <c r="AD215" s="234" t="str">
        <f t="shared" ca="1" si="14"/>
        <v>#REF!</v>
      </c>
      <c r="AE215" s="100" t="str">
        <f t="shared" ca="1" si="15"/>
        <v>#REF!</v>
      </c>
      <c r="AF215" s="101" t="str">
        <f t="shared" ca="1" si="16"/>
        <v>#REF!</v>
      </c>
      <c r="AG215" s="102" t="str">
        <f t="shared" ref="AG215:AH215" ca="1" si="233">AE215/V215</f>
        <v>#REF!</v>
      </c>
      <c r="AH215" s="102" t="str">
        <f t="shared" ca="1" si="233"/>
        <v>#REF!</v>
      </c>
    </row>
    <row r="216" spans="1:34" ht="13.2">
      <c r="A216" s="251"/>
      <c r="B216" s="251"/>
      <c r="C216" s="252"/>
      <c r="D216" s="252"/>
      <c r="E216" s="114"/>
      <c r="F216" s="252"/>
      <c r="G216" s="125" t="s">
        <v>145</v>
      </c>
      <c r="I216" s="172"/>
      <c r="J216" s="82" t="str">
        <f t="shared" ca="1" si="0"/>
        <v>#REF!</v>
      </c>
      <c r="K216" s="82" t="str">
        <f t="shared" ca="1" si="1"/>
        <v>#REF!</v>
      </c>
      <c r="L216" s="82" t="str">
        <f t="shared" ca="1" si="44"/>
        <v>#REF!</v>
      </c>
      <c r="M216" s="93"/>
      <c r="N216" s="93"/>
      <c r="O216" s="95">
        <f t="shared" si="2"/>
        <v>0</v>
      </c>
      <c r="P216" s="96">
        <f t="shared" si="3"/>
        <v>0</v>
      </c>
      <c r="Q216" s="97">
        <f t="shared" si="4"/>
        <v>0</v>
      </c>
      <c r="R216" s="97" t="str">
        <f ca="1">ROUNDUP(HLOOKUP(IF(CEILING(L216,0.5)&lt;1,0.5,CEILING(L216,0.5)),'배송비 조회'!A$44:AO$56,7,0)*B$3,-2)</f>
        <v>#REF!</v>
      </c>
      <c r="S216" s="97">
        <v>0</v>
      </c>
      <c r="T216" s="97" t="str">
        <f t="shared" ca="1" si="42"/>
        <v>#REF!</v>
      </c>
      <c r="U216" s="97" t="str">
        <f t="shared" ca="1" si="29"/>
        <v>#REF!</v>
      </c>
      <c r="V216" s="97" t="str">
        <f t="shared" ca="1" si="7"/>
        <v>#REF!</v>
      </c>
      <c r="W216" s="97" t="str">
        <f t="shared" ca="1" si="8"/>
        <v>#REF!</v>
      </c>
      <c r="X216" s="121">
        <v>0</v>
      </c>
      <c r="Y216" s="121" t="str">
        <f t="shared" ca="1" si="9"/>
        <v>#REF!</v>
      </c>
      <c r="Z216" s="121" t="str">
        <f t="shared" ca="1" si="10"/>
        <v>#REF!</v>
      </c>
      <c r="AA216" s="99" t="str">
        <f t="shared" ca="1" si="11"/>
        <v>#REF!</v>
      </c>
      <c r="AB216" s="234" t="str">
        <f t="shared" ca="1" si="12"/>
        <v>#REF!</v>
      </c>
      <c r="AC216" s="257" t="str">
        <f t="shared" ca="1" si="13"/>
        <v>#REF!</v>
      </c>
      <c r="AD216" s="234" t="str">
        <f t="shared" ca="1" si="14"/>
        <v>#REF!</v>
      </c>
      <c r="AE216" s="100" t="str">
        <f t="shared" ca="1" si="15"/>
        <v>#REF!</v>
      </c>
      <c r="AF216" s="101" t="str">
        <f t="shared" ca="1" si="16"/>
        <v>#REF!</v>
      </c>
      <c r="AG216" s="102" t="str">
        <f t="shared" ref="AG216:AH216" ca="1" si="234">AE216/V216</f>
        <v>#REF!</v>
      </c>
      <c r="AH216" s="102" t="str">
        <f t="shared" ca="1" si="234"/>
        <v>#REF!</v>
      </c>
    </row>
    <row r="217" spans="1:34" ht="13.2">
      <c r="A217" s="251"/>
      <c r="B217" s="251"/>
      <c r="C217" s="252"/>
      <c r="D217" s="252"/>
      <c r="E217" s="114"/>
      <c r="F217" s="252"/>
      <c r="G217" s="125" t="s">
        <v>145</v>
      </c>
      <c r="I217" s="172"/>
      <c r="J217" s="82" t="str">
        <f t="shared" ca="1" si="0"/>
        <v>#REF!</v>
      </c>
      <c r="K217" s="82" t="str">
        <f t="shared" ca="1" si="1"/>
        <v>#REF!</v>
      </c>
      <c r="L217" s="82" t="str">
        <f t="shared" ca="1" si="44"/>
        <v>#REF!</v>
      </c>
      <c r="M217" s="93"/>
      <c r="N217" s="93"/>
      <c r="O217" s="95">
        <f t="shared" si="2"/>
        <v>0</v>
      </c>
      <c r="P217" s="96">
        <f t="shared" si="3"/>
        <v>0</v>
      </c>
      <c r="Q217" s="97">
        <f t="shared" si="4"/>
        <v>0</v>
      </c>
      <c r="R217" s="97" t="str">
        <f ca="1">ROUNDUP(HLOOKUP(IF(CEILING(L217,0.5)&lt;1,0.5,CEILING(L217,0.5)),'배송비 조회'!A$44:AO$56,7,0)*B$3,-2)</f>
        <v>#REF!</v>
      </c>
      <c r="S217" s="97">
        <v>0</v>
      </c>
      <c r="T217" s="97" t="str">
        <f t="shared" ca="1" si="42"/>
        <v>#REF!</v>
      </c>
      <c r="U217" s="97" t="str">
        <f t="shared" ca="1" si="29"/>
        <v>#REF!</v>
      </c>
      <c r="V217" s="97" t="str">
        <f t="shared" ca="1" si="7"/>
        <v>#REF!</v>
      </c>
      <c r="W217" s="97" t="str">
        <f t="shared" ca="1" si="8"/>
        <v>#REF!</v>
      </c>
      <c r="X217" s="121">
        <v>0</v>
      </c>
      <c r="Y217" s="121" t="str">
        <f t="shared" ca="1" si="9"/>
        <v>#REF!</v>
      </c>
      <c r="Z217" s="121" t="str">
        <f t="shared" ca="1" si="10"/>
        <v>#REF!</v>
      </c>
      <c r="AA217" s="99" t="str">
        <f t="shared" ca="1" si="11"/>
        <v>#REF!</v>
      </c>
      <c r="AB217" s="234" t="str">
        <f t="shared" ca="1" si="12"/>
        <v>#REF!</v>
      </c>
      <c r="AC217" s="257" t="str">
        <f t="shared" ca="1" si="13"/>
        <v>#REF!</v>
      </c>
      <c r="AD217" s="234" t="str">
        <f t="shared" ca="1" si="14"/>
        <v>#REF!</v>
      </c>
      <c r="AE217" s="100" t="str">
        <f t="shared" ca="1" si="15"/>
        <v>#REF!</v>
      </c>
      <c r="AF217" s="101" t="str">
        <f t="shared" ca="1" si="16"/>
        <v>#REF!</v>
      </c>
      <c r="AG217" s="102" t="str">
        <f t="shared" ref="AG217:AH217" ca="1" si="235">AE217/V217</f>
        <v>#REF!</v>
      </c>
      <c r="AH217" s="102" t="str">
        <f t="shared" ca="1" si="235"/>
        <v>#REF!</v>
      </c>
    </row>
    <row r="218" spans="1:34" ht="13.2">
      <c r="A218" s="251"/>
      <c r="B218" s="251"/>
      <c r="C218" s="252"/>
      <c r="D218" s="252"/>
      <c r="E218" s="114"/>
      <c r="F218" s="252"/>
      <c r="G218" s="125" t="s">
        <v>145</v>
      </c>
      <c r="I218" s="172"/>
      <c r="J218" s="82" t="str">
        <f t="shared" ca="1" si="0"/>
        <v>#REF!</v>
      </c>
      <c r="K218" s="82" t="str">
        <f t="shared" ca="1" si="1"/>
        <v>#REF!</v>
      </c>
      <c r="L218" s="82" t="str">
        <f t="shared" ca="1" si="44"/>
        <v>#REF!</v>
      </c>
      <c r="M218" s="93"/>
      <c r="N218" s="93"/>
      <c r="O218" s="95">
        <f t="shared" si="2"/>
        <v>0</v>
      </c>
      <c r="P218" s="96">
        <f t="shared" si="3"/>
        <v>0</v>
      </c>
      <c r="Q218" s="97">
        <f t="shared" si="4"/>
        <v>0</v>
      </c>
      <c r="R218" s="97" t="str">
        <f ca="1">ROUNDUP(HLOOKUP(IF(CEILING(L218,0.5)&lt;1,0.5,CEILING(L218,0.5)),'배송비 조회'!A$44:AO$56,7,0)*B$3,-2)</f>
        <v>#REF!</v>
      </c>
      <c r="S218" s="97">
        <v>0</v>
      </c>
      <c r="T218" s="97" t="str">
        <f t="shared" ca="1" si="42"/>
        <v>#REF!</v>
      </c>
      <c r="U218" s="97" t="str">
        <f t="shared" ca="1" si="29"/>
        <v>#REF!</v>
      </c>
      <c r="V218" s="97" t="str">
        <f t="shared" ca="1" si="7"/>
        <v>#REF!</v>
      </c>
      <c r="W218" s="97" t="str">
        <f t="shared" ca="1" si="8"/>
        <v>#REF!</v>
      </c>
      <c r="X218" s="121">
        <v>0</v>
      </c>
      <c r="Y218" s="121" t="str">
        <f t="shared" ca="1" si="9"/>
        <v>#REF!</v>
      </c>
      <c r="Z218" s="121" t="str">
        <f t="shared" ca="1" si="10"/>
        <v>#REF!</v>
      </c>
      <c r="AA218" s="99" t="str">
        <f t="shared" ca="1" si="11"/>
        <v>#REF!</v>
      </c>
      <c r="AB218" s="234" t="str">
        <f t="shared" ca="1" si="12"/>
        <v>#REF!</v>
      </c>
      <c r="AC218" s="257" t="str">
        <f t="shared" ca="1" si="13"/>
        <v>#REF!</v>
      </c>
      <c r="AD218" s="234" t="str">
        <f t="shared" ca="1" si="14"/>
        <v>#REF!</v>
      </c>
      <c r="AE218" s="100" t="str">
        <f t="shared" ca="1" si="15"/>
        <v>#REF!</v>
      </c>
      <c r="AF218" s="101" t="str">
        <f t="shared" ca="1" si="16"/>
        <v>#REF!</v>
      </c>
      <c r="AG218" s="102" t="str">
        <f t="shared" ref="AG218:AH218" ca="1" si="236">AE218/V218</f>
        <v>#REF!</v>
      </c>
      <c r="AH218" s="102" t="str">
        <f t="shared" ca="1" si="236"/>
        <v>#REF!</v>
      </c>
    </row>
    <row r="219" spans="1:34" ht="13.2">
      <c r="A219" s="251"/>
      <c r="B219" s="251"/>
      <c r="C219" s="252"/>
      <c r="D219" s="252"/>
      <c r="E219" s="114"/>
      <c r="F219" s="252"/>
      <c r="G219" s="125" t="s">
        <v>145</v>
      </c>
      <c r="I219" s="172"/>
      <c r="J219" s="82" t="str">
        <f t="shared" ca="1" si="0"/>
        <v>#REF!</v>
      </c>
      <c r="K219" s="82" t="str">
        <f t="shared" ca="1" si="1"/>
        <v>#REF!</v>
      </c>
      <c r="L219" s="82" t="str">
        <f t="shared" ca="1" si="44"/>
        <v>#REF!</v>
      </c>
      <c r="M219" s="93"/>
      <c r="N219" s="93"/>
      <c r="O219" s="95">
        <f t="shared" si="2"/>
        <v>0</v>
      </c>
      <c r="P219" s="96">
        <f t="shared" si="3"/>
        <v>0</v>
      </c>
      <c r="Q219" s="97">
        <f t="shared" si="4"/>
        <v>0</v>
      </c>
      <c r="R219" s="97" t="str">
        <f ca="1">ROUNDUP(HLOOKUP(IF(CEILING(L219,0.5)&lt;1,0.5,CEILING(L219,0.5)),'배송비 조회'!A$44:AO$56,7,0)*B$3,-2)</f>
        <v>#REF!</v>
      </c>
      <c r="S219" s="97">
        <v>0</v>
      </c>
      <c r="T219" s="97" t="str">
        <f t="shared" ca="1" si="42"/>
        <v>#REF!</v>
      </c>
      <c r="U219" s="97" t="str">
        <f t="shared" ca="1" si="29"/>
        <v>#REF!</v>
      </c>
      <c r="V219" s="97" t="str">
        <f t="shared" ca="1" si="7"/>
        <v>#REF!</v>
      </c>
      <c r="W219" s="97" t="str">
        <f t="shared" ca="1" si="8"/>
        <v>#REF!</v>
      </c>
      <c r="X219" s="121">
        <v>0</v>
      </c>
      <c r="Y219" s="121" t="str">
        <f t="shared" ca="1" si="9"/>
        <v>#REF!</v>
      </c>
      <c r="Z219" s="121" t="str">
        <f t="shared" ca="1" si="10"/>
        <v>#REF!</v>
      </c>
      <c r="AA219" s="99" t="str">
        <f t="shared" ca="1" si="11"/>
        <v>#REF!</v>
      </c>
      <c r="AB219" s="234" t="str">
        <f t="shared" ca="1" si="12"/>
        <v>#REF!</v>
      </c>
      <c r="AC219" s="257" t="str">
        <f t="shared" ca="1" si="13"/>
        <v>#REF!</v>
      </c>
      <c r="AD219" s="234" t="str">
        <f t="shared" ca="1" si="14"/>
        <v>#REF!</v>
      </c>
      <c r="AE219" s="100" t="str">
        <f t="shared" ca="1" si="15"/>
        <v>#REF!</v>
      </c>
      <c r="AF219" s="101" t="str">
        <f t="shared" ca="1" si="16"/>
        <v>#REF!</v>
      </c>
      <c r="AG219" s="102" t="str">
        <f t="shared" ref="AG219:AH219" ca="1" si="237">AE219/V219</f>
        <v>#REF!</v>
      </c>
      <c r="AH219" s="102" t="str">
        <f t="shared" ca="1" si="237"/>
        <v>#REF!</v>
      </c>
    </row>
    <row r="220" spans="1:34" ht="13.2">
      <c r="A220" s="251"/>
      <c r="B220" s="251"/>
      <c r="C220" s="252"/>
      <c r="D220" s="252"/>
      <c r="E220" s="114"/>
      <c r="F220" s="252"/>
      <c r="G220" s="125" t="s">
        <v>145</v>
      </c>
      <c r="I220" s="172"/>
      <c r="J220" s="82" t="str">
        <f t="shared" ca="1" si="0"/>
        <v>#REF!</v>
      </c>
      <c r="K220" s="82" t="str">
        <f t="shared" ca="1" si="1"/>
        <v>#REF!</v>
      </c>
      <c r="L220" s="82" t="str">
        <f t="shared" ca="1" si="44"/>
        <v>#REF!</v>
      </c>
      <c r="M220" s="93"/>
      <c r="N220" s="93"/>
      <c r="O220" s="95">
        <f t="shared" si="2"/>
        <v>0</v>
      </c>
      <c r="P220" s="96">
        <f t="shared" si="3"/>
        <v>0</v>
      </c>
      <c r="Q220" s="97">
        <f t="shared" si="4"/>
        <v>0</v>
      </c>
      <c r="R220" s="97" t="str">
        <f ca="1">ROUNDUP(HLOOKUP(IF(CEILING(L220,0.5)&lt;1,0.5,CEILING(L220,0.5)),'배송비 조회'!A$44:AO$56,7,0)*B$3,-2)</f>
        <v>#REF!</v>
      </c>
      <c r="S220" s="97">
        <v>0</v>
      </c>
      <c r="T220" s="97" t="str">
        <f t="shared" ca="1" si="42"/>
        <v>#REF!</v>
      </c>
      <c r="U220" s="97" t="str">
        <f t="shared" ca="1" si="29"/>
        <v>#REF!</v>
      </c>
      <c r="V220" s="97" t="str">
        <f t="shared" ca="1" si="7"/>
        <v>#REF!</v>
      </c>
      <c r="W220" s="97" t="str">
        <f t="shared" ca="1" si="8"/>
        <v>#REF!</v>
      </c>
      <c r="X220" s="121">
        <v>0</v>
      </c>
      <c r="Y220" s="121" t="str">
        <f t="shared" ca="1" si="9"/>
        <v>#REF!</v>
      </c>
      <c r="Z220" s="121" t="str">
        <f t="shared" ca="1" si="10"/>
        <v>#REF!</v>
      </c>
      <c r="AA220" s="99" t="str">
        <f t="shared" ca="1" si="11"/>
        <v>#REF!</v>
      </c>
      <c r="AB220" s="234" t="str">
        <f t="shared" ca="1" si="12"/>
        <v>#REF!</v>
      </c>
      <c r="AC220" s="257" t="str">
        <f t="shared" ca="1" si="13"/>
        <v>#REF!</v>
      </c>
      <c r="AD220" s="234" t="str">
        <f t="shared" ca="1" si="14"/>
        <v>#REF!</v>
      </c>
      <c r="AE220" s="100" t="str">
        <f t="shared" ca="1" si="15"/>
        <v>#REF!</v>
      </c>
      <c r="AF220" s="101" t="str">
        <f t="shared" ca="1" si="16"/>
        <v>#REF!</v>
      </c>
      <c r="AG220" s="102" t="str">
        <f t="shared" ref="AG220:AH220" ca="1" si="238">AE220/V220</f>
        <v>#REF!</v>
      </c>
      <c r="AH220" s="102" t="str">
        <f t="shared" ca="1" si="238"/>
        <v>#REF!</v>
      </c>
    </row>
    <row r="221" spans="1:34" ht="13.2">
      <c r="A221" s="251"/>
      <c r="B221" s="251"/>
      <c r="C221" s="252"/>
      <c r="D221" s="252"/>
      <c r="E221" s="114"/>
      <c r="F221" s="252"/>
      <c r="G221" s="125" t="s">
        <v>145</v>
      </c>
      <c r="I221" s="172"/>
      <c r="J221" s="82" t="str">
        <f t="shared" ca="1" si="0"/>
        <v>#REF!</v>
      </c>
      <c r="K221" s="82" t="str">
        <f t="shared" ca="1" si="1"/>
        <v>#REF!</v>
      </c>
      <c r="L221" s="82" t="str">
        <f t="shared" ca="1" si="44"/>
        <v>#REF!</v>
      </c>
      <c r="M221" s="93"/>
      <c r="N221" s="93"/>
      <c r="O221" s="95">
        <f t="shared" si="2"/>
        <v>0</v>
      </c>
      <c r="P221" s="96">
        <f t="shared" si="3"/>
        <v>0</v>
      </c>
      <c r="Q221" s="97">
        <f t="shared" si="4"/>
        <v>0</v>
      </c>
      <c r="R221" s="97" t="str">
        <f ca="1">ROUNDUP(HLOOKUP(IF(CEILING(L221,0.5)&lt;1,0.5,CEILING(L221,0.5)),'배송비 조회'!A$44:AO$56,7,0)*B$3,-2)</f>
        <v>#REF!</v>
      </c>
      <c r="S221" s="97">
        <v>0</v>
      </c>
      <c r="T221" s="97" t="str">
        <f t="shared" ca="1" si="42"/>
        <v>#REF!</v>
      </c>
      <c r="U221" s="97" t="str">
        <f t="shared" ca="1" si="29"/>
        <v>#REF!</v>
      </c>
      <c r="V221" s="97" t="str">
        <f t="shared" ca="1" si="7"/>
        <v>#REF!</v>
      </c>
      <c r="W221" s="97" t="str">
        <f t="shared" ca="1" si="8"/>
        <v>#REF!</v>
      </c>
      <c r="X221" s="121">
        <v>0</v>
      </c>
      <c r="Y221" s="121" t="str">
        <f t="shared" ca="1" si="9"/>
        <v>#REF!</v>
      </c>
      <c r="Z221" s="121" t="str">
        <f t="shared" ca="1" si="10"/>
        <v>#REF!</v>
      </c>
      <c r="AA221" s="99" t="str">
        <f t="shared" ca="1" si="11"/>
        <v>#REF!</v>
      </c>
      <c r="AB221" s="234" t="str">
        <f t="shared" ca="1" si="12"/>
        <v>#REF!</v>
      </c>
      <c r="AC221" s="257" t="str">
        <f t="shared" ca="1" si="13"/>
        <v>#REF!</v>
      </c>
      <c r="AD221" s="234" t="str">
        <f t="shared" ca="1" si="14"/>
        <v>#REF!</v>
      </c>
      <c r="AE221" s="100" t="str">
        <f t="shared" ca="1" si="15"/>
        <v>#REF!</v>
      </c>
      <c r="AF221" s="101" t="str">
        <f t="shared" ca="1" si="16"/>
        <v>#REF!</v>
      </c>
      <c r="AG221" s="102" t="str">
        <f t="shared" ref="AG221:AH221" ca="1" si="239">AE221/V221</f>
        <v>#REF!</v>
      </c>
      <c r="AH221" s="102" t="str">
        <f t="shared" ca="1" si="239"/>
        <v>#REF!</v>
      </c>
    </row>
    <row r="222" spans="1:34" ht="13.2">
      <c r="A222" s="251"/>
      <c r="B222" s="251"/>
      <c r="C222" s="252"/>
      <c r="D222" s="252"/>
      <c r="E222" s="114"/>
      <c r="F222" s="252"/>
      <c r="G222" s="125" t="s">
        <v>145</v>
      </c>
      <c r="I222" s="172"/>
      <c r="J222" s="82" t="str">
        <f t="shared" ca="1" si="0"/>
        <v>#REF!</v>
      </c>
      <c r="K222" s="82" t="str">
        <f t="shared" ca="1" si="1"/>
        <v>#REF!</v>
      </c>
      <c r="L222" s="82" t="str">
        <f t="shared" ca="1" si="44"/>
        <v>#REF!</v>
      </c>
      <c r="M222" s="93"/>
      <c r="N222" s="93"/>
      <c r="O222" s="95">
        <f t="shared" si="2"/>
        <v>0</v>
      </c>
      <c r="P222" s="96">
        <f t="shared" si="3"/>
        <v>0</v>
      </c>
      <c r="Q222" s="97">
        <f t="shared" si="4"/>
        <v>0</v>
      </c>
      <c r="R222" s="97" t="str">
        <f ca="1">ROUNDUP(HLOOKUP(IF(CEILING(L222,0.5)&lt;1,0.5,CEILING(L222,0.5)),'배송비 조회'!A$44:AO$56,7,0)*B$3,-2)</f>
        <v>#REF!</v>
      </c>
      <c r="S222" s="97">
        <v>0</v>
      </c>
      <c r="T222" s="97" t="str">
        <f t="shared" ca="1" si="42"/>
        <v>#REF!</v>
      </c>
      <c r="U222" s="97" t="str">
        <f t="shared" ca="1" si="29"/>
        <v>#REF!</v>
      </c>
      <c r="V222" s="97" t="str">
        <f t="shared" ca="1" si="7"/>
        <v>#REF!</v>
      </c>
      <c r="W222" s="97" t="str">
        <f t="shared" ca="1" si="8"/>
        <v>#REF!</v>
      </c>
      <c r="X222" s="121">
        <v>0</v>
      </c>
      <c r="Y222" s="121" t="str">
        <f t="shared" ca="1" si="9"/>
        <v>#REF!</v>
      </c>
      <c r="Z222" s="121" t="str">
        <f t="shared" ca="1" si="10"/>
        <v>#REF!</v>
      </c>
      <c r="AA222" s="99" t="str">
        <f t="shared" ca="1" si="11"/>
        <v>#REF!</v>
      </c>
      <c r="AB222" s="234" t="str">
        <f t="shared" ca="1" si="12"/>
        <v>#REF!</v>
      </c>
      <c r="AC222" s="257" t="str">
        <f t="shared" ca="1" si="13"/>
        <v>#REF!</v>
      </c>
      <c r="AD222" s="234" t="str">
        <f t="shared" ca="1" si="14"/>
        <v>#REF!</v>
      </c>
      <c r="AE222" s="100" t="str">
        <f t="shared" ca="1" si="15"/>
        <v>#REF!</v>
      </c>
      <c r="AF222" s="101" t="str">
        <f t="shared" ca="1" si="16"/>
        <v>#REF!</v>
      </c>
      <c r="AG222" s="102" t="str">
        <f t="shared" ref="AG222:AH222" ca="1" si="240">AE222/V222</f>
        <v>#REF!</v>
      </c>
      <c r="AH222" s="102" t="str">
        <f t="shared" ca="1" si="240"/>
        <v>#REF!</v>
      </c>
    </row>
    <row r="223" spans="1:34" ht="13.2">
      <c r="A223" s="251"/>
      <c r="B223" s="251"/>
      <c r="C223" s="252"/>
      <c r="D223" s="252"/>
      <c r="E223" s="114"/>
      <c r="F223" s="252"/>
      <c r="G223" s="125" t="s">
        <v>145</v>
      </c>
      <c r="I223" s="172"/>
      <c r="J223" s="82" t="str">
        <f t="shared" ca="1" si="0"/>
        <v>#REF!</v>
      </c>
      <c r="K223" s="82" t="str">
        <f t="shared" ca="1" si="1"/>
        <v>#REF!</v>
      </c>
      <c r="L223" s="82" t="str">
        <f t="shared" ca="1" si="44"/>
        <v>#REF!</v>
      </c>
      <c r="M223" s="93"/>
      <c r="N223" s="93"/>
      <c r="O223" s="95">
        <f t="shared" si="2"/>
        <v>0</v>
      </c>
      <c r="P223" s="96">
        <f t="shared" si="3"/>
        <v>0</v>
      </c>
      <c r="Q223" s="97">
        <f t="shared" si="4"/>
        <v>0</v>
      </c>
      <c r="R223" s="97" t="str">
        <f ca="1">ROUNDUP(HLOOKUP(IF(CEILING(L223,0.5)&lt;1,0.5,CEILING(L223,0.5)),'배송비 조회'!A$44:AO$56,7,0)*B$3,-2)</f>
        <v>#REF!</v>
      </c>
      <c r="S223" s="97">
        <v>0</v>
      </c>
      <c r="T223" s="97" t="str">
        <f t="shared" ca="1" si="42"/>
        <v>#REF!</v>
      </c>
      <c r="U223" s="97" t="str">
        <f t="shared" ca="1" si="29"/>
        <v>#REF!</v>
      </c>
      <c r="V223" s="97" t="str">
        <f t="shared" ca="1" si="7"/>
        <v>#REF!</v>
      </c>
      <c r="W223" s="97" t="str">
        <f t="shared" ca="1" si="8"/>
        <v>#REF!</v>
      </c>
      <c r="X223" s="121">
        <v>0</v>
      </c>
      <c r="Y223" s="121" t="str">
        <f t="shared" ca="1" si="9"/>
        <v>#REF!</v>
      </c>
      <c r="Z223" s="121" t="str">
        <f t="shared" ca="1" si="10"/>
        <v>#REF!</v>
      </c>
      <c r="AA223" s="99" t="str">
        <f t="shared" ca="1" si="11"/>
        <v>#REF!</v>
      </c>
      <c r="AB223" s="234" t="str">
        <f t="shared" ca="1" si="12"/>
        <v>#REF!</v>
      </c>
      <c r="AC223" s="257" t="str">
        <f t="shared" ca="1" si="13"/>
        <v>#REF!</v>
      </c>
      <c r="AD223" s="234" t="str">
        <f t="shared" ca="1" si="14"/>
        <v>#REF!</v>
      </c>
      <c r="AE223" s="100" t="str">
        <f t="shared" ca="1" si="15"/>
        <v>#REF!</v>
      </c>
      <c r="AF223" s="101" t="str">
        <f t="shared" ca="1" si="16"/>
        <v>#REF!</v>
      </c>
      <c r="AG223" s="102" t="str">
        <f t="shared" ref="AG223:AH223" ca="1" si="241">AE223/V223</f>
        <v>#REF!</v>
      </c>
      <c r="AH223" s="102" t="str">
        <f t="shared" ca="1" si="241"/>
        <v>#REF!</v>
      </c>
    </row>
    <row r="224" spans="1:34" ht="13.2">
      <c r="A224" s="251"/>
      <c r="B224" s="251"/>
      <c r="C224" s="252"/>
      <c r="D224" s="252"/>
      <c r="E224" s="114"/>
      <c r="F224" s="252"/>
      <c r="G224" s="125" t="s">
        <v>145</v>
      </c>
      <c r="I224" s="172"/>
      <c r="J224" s="82" t="str">
        <f t="shared" ca="1" si="0"/>
        <v>#REF!</v>
      </c>
      <c r="K224" s="82" t="str">
        <f t="shared" ca="1" si="1"/>
        <v>#REF!</v>
      </c>
      <c r="L224" s="82" t="str">
        <f t="shared" ca="1" si="44"/>
        <v>#REF!</v>
      </c>
      <c r="M224" s="93"/>
      <c r="N224" s="93"/>
      <c r="O224" s="95">
        <f t="shared" si="2"/>
        <v>0</v>
      </c>
      <c r="P224" s="96">
        <f t="shared" si="3"/>
        <v>0</v>
      </c>
      <c r="Q224" s="97">
        <f t="shared" si="4"/>
        <v>0</v>
      </c>
      <c r="R224" s="97" t="str">
        <f ca="1">ROUNDUP(HLOOKUP(IF(CEILING(L224,0.5)&lt;1,0.5,CEILING(L224,0.5)),'배송비 조회'!A$44:AO$56,7,0)*B$3,-2)</f>
        <v>#REF!</v>
      </c>
      <c r="S224" s="97">
        <v>0</v>
      </c>
      <c r="T224" s="97" t="str">
        <f t="shared" ca="1" si="42"/>
        <v>#REF!</v>
      </c>
      <c r="U224" s="97" t="str">
        <f t="shared" ca="1" si="29"/>
        <v>#REF!</v>
      </c>
      <c r="V224" s="97" t="str">
        <f t="shared" ca="1" si="7"/>
        <v>#REF!</v>
      </c>
      <c r="W224" s="97" t="str">
        <f t="shared" ca="1" si="8"/>
        <v>#REF!</v>
      </c>
      <c r="X224" s="121">
        <v>0</v>
      </c>
      <c r="Y224" s="121" t="str">
        <f t="shared" ca="1" si="9"/>
        <v>#REF!</v>
      </c>
      <c r="Z224" s="121" t="str">
        <f t="shared" ca="1" si="10"/>
        <v>#REF!</v>
      </c>
      <c r="AA224" s="99" t="str">
        <f t="shared" ca="1" si="11"/>
        <v>#REF!</v>
      </c>
      <c r="AB224" s="234" t="str">
        <f t="shared" ca="1" si="12"/>
        <v>#REF!</v>
      </c>
      <c r="AC224" s="257" t="str">
        <f t="shared" ca="1" si="13"/>
        <v>#REF!</v>
      </c>
      <c r="AD224" s="234" t="str">
        <f t="shared" ca="1" si="14"/>
        <v>#REF!</v>
      </c>
      <c r="AE224" s="100" t="str">
        <f t="shared" ca="1" si="15"/>
        <v>#REF!</v>
      </c>
      <c r="AF224" s="101" t="str">
        <f t="shared" ca="1" si="16"/>
        <v>#REF!</v>
      </c>
      <c r="AG224" s="102" t="str">
        <f t="shared" ref="AG224:AH224" ca="1" si="242">AE224/V224</f>
        <v>#REF!</v>
      </c>
      <c r="AH224" s="102" t="str">
        <f t="shared" ca="1" si="242"/>
        <v>#REF!</v>
      </c>
    </row>
    <row r="225" spans="1:34" ht="13.2">
      <c r="A225" s="251"/>
      <c r="B225" s="251"/>
      <c r="C225" s="252"/>
      <c r="D225" s="252"/>
      <c r="E225" s="114"/>
      <c r="F225" s="252"/>
      <c r="G225" s="125" t="s">
        <v>145</v>
      </c>
      <c r="I225" s="172"/>
      <c r="J225" s="82" t="str">
        <f t="shared" ca="1" si="0"/>
        <v>#REF!</v>
      </c>
      <c r="K225" s="82" t="str">
        <f t="shared" ca="1" si="1"/>
        <v>#REF!</v>
      </c>
      <c r="L225" s="82" t="str">
        <f t="shared" ca="1" si="44"/>
        <v>#REF!</v>
      </c>
      <c r="M225" s="93"/>
      <c r="N225" s="93"/>
      <c r="O225" s="95">
        <f t="shared" si="2"/>
        <v>0</v>
      </c>
      <c r="P225" s="96">
        <f t="shared" si="3"/>
        <v>0</v>
      </c>
      <c r="Q225" s="97">
        <f t="shared" si="4"/>
        <v>0</v>
      </c>
      <c r="R225" s="97" t="str">
        <f ca="1">ROUNDUP(HLOOKUP(IF(CEILING(L225,0.5)&lt;1,0.5,CEILING(L225,0.5)),'배송비 조회'!A$44:AO$56,7,0)*B$3,-2)</f>
        <v>#REF!</v>
      </c>
      <c r="S225" s="97">
        <v>0</v>
      </c>
      <c r="T225" s="97" t="str">
        <f t="shared" ca="1" si="42"/>
        <v>#REF!</v>
      </c>
      <c r="U225" s="97" t="str">
        <f t="shared" ca="1" si="29"/>
        <v>#REF!</v>
      </c>
      <c r="V225" s="97" t="str">
        <f t="shared" ca="1" si="7"/>
        <v>#REF!</v>
      </c>
      <c r="W225" s="97" t="str">
        <f t="shared" ca="1" si="8"/>
        <v>#REF!</v>
      </c>
      <c r="X225" s="121">
        <v>0</v>
      </c>
      <c r="Y225" s="121" t="str">
        <f t="shared" ca="1" si="9"/>
        <v>#REF!</v>
      </c>
      <c r="Z225" s="121" t="str">
        <f t="shared" ca="1" si="10"/>
        <v>#REF!</v>
      </c>
      <c r="AA225" s="99" t="str">
        <f t="shared" ca="1" si="11"/>
        <v>#REF!</v>
      </c>
      <c r="AB225" s="234" t="str">
        <f t="shared" ca="1" si="12"/>
        <v>#REF!</v>
      </c>
      <c r="AC225" s="257" t="str">
        <f t="shared" ca="1" si="13"/>
        <v>#REF!</v>
      </c>
      <c r="AD225" s="234" t="str">
        <f t="shared" ca="1" si="14"/>
        <v>#REF!</v>
      </c>
      <c r="AE225" s="100" t="str">
        <f t="shared" ca="1" si="15"/>
        <v>#REF!</v>
      </c>
      <c r="AF225" s="101" t="str">
        <f t="shared" ca="1" si="16"/>
        <v>#REF!</v>
      </c>
      <c r="AG225" s="102" t="str">
        <f t="shared" ref="AG225:AH225" ca="1" si="243">AE225/V225</f>
        <v>#REF!</v>
      </c>
      <c r="AH225" s="102" t="str">
        <f t="shared" ca="1" si="243"/>
        <v>#REF!</v>
      </c>
    </row>
    <row r="226" spans="1:34" ht="13.2">
      <c r="A226" s="251"/>
      <c r="B226" s="251"/>
      <c r="C226" s="252"/>
      <c r="D226" s="252"/>
      <c r="E226" s="114"/>
      <c r="F226" s="252"/>
      <c r="G226" s="125" t="s">
        <v>145</v>
      </c>
      <c r="I226" s="172"/>
      <c r="J226" s="82" t="str">
        <f t="shared" ca="1" si="0"/>
        <v>#REF!</v>
      </c>
      <c r="K226" s="82" t="str">
        <f t="shared" ca="1" si="1"/>
        <v>#REF!</v>
      </c>
      <c r="L226" s="82" t="str">
        <f t="shared" ca="1" si="44"/>
        <v>#REF!</v>
      </c>
      <c r="M226" s="93"/>
      <c r="N226" s="93"/>
      <c r="O226" s="95">
        <f t="shared" si="2"/>
        <v>0</v>
      </c>
      <c r="P226" s="96">
        <f t="shared" si="3"/>
        <v>0</v>
      </c>
      <c r="Q226" s="97">
        <f t="shared" si="4"/>
        <v>0</v>
      </c>
      <c r="R226" s="97" t="str">
        <f ca="1">ROUNDUP(HLOOKUP(IF(CEILING(L226,0.5)&lt;1,0.5,CEILING(L226,0.5)),'배송비 조회'!A$44:AO$56,7,0)*B$3,-2)</f>
        <v>#REF!</v>
      </c>
      <c r="S226" s="97">
        <v>0</v>
      </c>
      <c r="T226" s="97" t="str">
        <f t="shared" ca="1" si="42"/>
        <v>#REF!</v>
      </c>
      <c r="U226" s="97" t="str">
        <f t="shared" ca="1" si="29"/>
        <v>#REF!</v>
      </c>
      <c r="V226" s="97" t="str">
        <f t="shared" ca="1" si="7"/>
        <v>#REF!</v>
      </c>
      <c r="W226" s="97" t="str">
        <f t="shared" ca="1" si="8"/>
        <v>#REF!</v>
      </c>
      <c r="X226" s="121">
        <v>0</v>
      </c>
      <c r="Y226" s="121" t="str">
        <f t="shared" ca="1" si="9"/>
        <v>#REF!</v>
      </c>
      <c r="Z226" s="121" t="str">
        <f t="shared" ca="1" si="10"/>
        <v>#REF!</v>
      </c>
      <c r="AA226" s="99" t="str">
        <f t="shared" ca="1" si="11"/>
        <v>#REF!</v>
      </c>
      <c r="AB226" s="234" t="str">
        <f t="shared" ca="1" si="12"/>
        <v>#REF!</v>
      </c>
      <c r="AC226" s="257" t="str">
        <f t="shared" ca="1" si="13"/>
        <v>#REF!</v>
      </c>
      <c r="AD226" s="234" t="str">
        <f t="shared" ca="1" si="14"/>
        <v>#REF!</v>
      </c>
      <c r="AE226" s="100" t="str">
        <f t="shared" ca="1" si="15"/>
        <v>#REF!</v>
      </c>
      <c r="AF226" s="101" t="str">
        <f t="shared" ca="1" si="16"/>
        <v>#REF!</v>
      </c>
      <c r="AG226" s="102" t="str">
        <f t="shared" ref="AG226:AH226" ca="1" si="244">AE226/V226</f>
        <v>#REF!</v>
      </c>
      <c r="AH226" s="102" t="str">
        <f t="shared" ca="1" si="244"/>
        <v>#REF!</v>
      </c>
    </row>
    <row r="227" spans="1:34" ht="13.2">
      <c r="A227" s="251"/>
      <c r="B227" s="251"/>
      <c r="C227" s="252"/>
      <c r="D227" s="252"/>
      <c r="E227" s="114"/>
      <c r="F227" s="252"/>
      <c r="G227" s="125" t="s">
        <v>145</v>
      </c>
      <c r="I227" s="172"/>
      <c r="J227" s="82" t="str">
        <f t="shared" ca="1" si="0"/>
        <v>#REF!</v>
      </c>
      <c r="K227" s="82" t="str">
        <f t="shared" ca="1" si="1"/>
        <v>#REF!</v>
      </c>
      <c r="L227" s="82" t="str">
        <f t="shared" ca="1" si="44"/>
        <v>#REF!</v>
      </c>
      <c r="M227" s="93"/>
      <c r="N227" s="93"/>
      <c r="O227" s="95">
        <f t="shared" si="2"/>
        <v>0</v>
      </c>
      <c r="P227" s="96">
        <f t="shared" si="3"/>
        <v>0</v>
      </c>
      <c r="Q227" s="97">
        <f t="shared" si="4"/>
        <v>0</v>
      </c>
      <c r="R227" s="97" t="str">
        <f ca="1">ROUNDUP(HLOOKUP(IF(CEILING(L227,0.5)&lt;1,0.5,CEILING(L227,0.5)),'배송비 조회'!A$44:AO$56,7,0)*B$3,-2)</f>
        <v>#REF!</v>
      </c>
      <c r="S227" s="97">
        <v>0</v>
      </c>
      <c r="T227" s="97" t="str">
        <f t="shared" ca="1" si="42"/>
        <v>#REF!</v>
      </c>
      <c r="U227" s="97" t="str">
        <f t="shared" ca="1" si="29"/>
        <v>#REF!</v>
      </c>
      <c r="V227" s="97" t="str">
        <f t="shared" ca="1" si="7"/>
        <v>#REF!</v>
      </c>
      <c r="W227" s="97" t="str">
        <f t="shared" ca="1" si="8"/>
        <v>#REF!</v>
      </c>
      <c r="X227" s="121">
        <v>0</v>
      </c>
      <c r="Y227" s="121" t="str">
        <f t="shared" ca="1" si="9"/>
        <v>#REF!</v>
      </c>
      <c r="Z227" s="121" t="str">
        <f t="shared" ca="1" si="10"/>
        <v>#REF!</v>
      </c>
      <c r="AA227" s="99" t="str">
        <f t="shared" ca="1" si="11"/>
        <v>#REF!</v>
      </c>
      <c r="AB227" s="234" t="str">
        <f t="shared" ca="1" si="12"/>
        <v>#REF!</v>
      </c>
      <c r="AC227" s="257" t="str">
        <f t="shared" ca="1" si="13"/>
        <v>#REF!</v>
      </c>
      <c r="AD227" s="234" t="str">
        <f t="shared" ca="1" si="14"/>
        <v>#REF!</v>
      </c>
      <c r="AE227" s="100" t="str">
        <f t="shared" ca="1" si="15"/>
        <v>#REF!</v>
      </c>
      <c r="AF227" s="101" t="str">
        <f t="shared" ca="1" si="16"/>
        <v>#REF!</v>
      </c>
      <c r="AG227" s="102" t="str">
        <f t="shared" ref="AG227:AH227" ca="1" si="245">AE227/V227</f>
        <v>#REF!</v>
      </c>
      <c r="AH227" s="102" t="str">
        <f t="shared" ca="1" si="245"/>
        <v>#REF!</v>
      </c>
    </row>
    <row r="228" spans="1:34" ht="13.2">
      <c r="A228" s="251"/>
      <c r="B228" s="251"/>
      <c r="C228" s="252"/>
      <c r="D228" s="252"/>
      <c r="E228" s="114"/>
      <c r="F228" s="252"/>
      <c r="G228" s="125" t="s">
        <v>145</v>
      </c>
      <c r="I228" s="172"/>
      <c r="J228" s="82" t="str">
        <f t="shared" ca="1" si="0"/>
        <v>#REF!</v>
      </c>
      <c r="K228" s="82" t="str">
        <f t="shared" ca="1" si="1"/>
        <v>#REF!</v>
      </c>
      <c r="L228" s="82" t="str">
        <f t="shared" ca="1" si="44"/>
        <v>#REF!</v>
      </c>
      <c r="M228" s="93"/>
      <c r="N228" s="93"/>
      <c r="O228" s="95">
        <f t="shared" si="2"/>
        <v>0</v>
      </c>
      <c r="P228" s="96">
        <f t="shared" si="3"/>
        <v>0</v>
      </c>
      <c r="Q228" s="97">
        <f t="shared" si="4"/>
        <v>0</v>
      </c>
      <c r="R228" s="97" t="str">
        <f ca="1">ROUNDUP(HLOOKUP(IF(CEILING(L228,0.5)&lt;1,0.5,CEILING(L228,0.5)),'배송비 조회'!A$44:AO$56,7,0)*B$3,-2)</f>
        <v>#REF!</v>
      </c>
      <c r="S228" s="97">
        <v>0</v>
      </c>
      <c r="T228" s="97" t="str">
        <f t="shared" ca="1" si="42"/>
        <v>#REF!</v>
      </c>
      <c r="U228" s="97" t="str">
        <f t="shared" ca="1" si="29"/>
        <v>#REF!</v>
      </c>
      <c r="V228" s="97" t="str">
        <f t="shared" ca="1" si="7"/>
        <v>#REF!</v>
      </c>
      <c r="W228" s="97" t="str">
        <f t="shared" ca="1" si="8"/>
        <v>#REF!</v>
      </c>
      <c r="X228" s="121">
        <v>0</v>
      </c>
      <c r="Y228" s="121" t="str">
        <f t="shared" ca="1" si="9"/>
        <v>#REF!</v>
      </c>
      <c r="Z228" s="121" t="str">
        <f t="shared" ca="1" si="10"/>
        <v>#REF!</v>
      </c>
      <c r="AA228" s="99" t="str">
        <f t="shared" ca="1" si="11"/>
        <v>#REF!</v>
      </c>
      <c r="AB228" s="234" t="str">
        <f t="shared" ca="1" si="12"/>
        <v>#REF!</v>
      </c>
      <c r="AC228" s="257" t="str">
        <f t="shared" ca="1" si="13"/>
        <v>#REF!</v>
      </c>
      <c r="AD228" s="234" t="str">
        <f t="shared" ca="1" si="14"/>
        <v>#REF!</v>
      </c>
      <c r="AE228" s="100" t="str">
        <f t="shared" ca="1" si="15"/>
        <v>#REF!</v>
      </c>
      <c r="AF228" s="101" t="str">
        <f t="shared" ca="1" si="16"/>
        <v>#REF!</v>
      </c>
      <c r="AG228" s="102" t="str">
        <f t="shared" ref="AG228:AH228" ca="1" si="246">AE228/V228</f>
        <v>#REF!</v>
      </c>
      <c r="AH228" s="102" t="str">
        <f t="shared" ca="1" si="246"/>
        <v>#REF!</v>
      </c>
    </row>
    <row r="229" spans="1:34" ht="13.2">
      <c r="A229" s="251"/>
      <c r="B229" s="251"/>
      <c r="C229" s="252"/>
      <c r="D229" s="252"/>
      <c r="E229" s="114"/>
      <c r="F229" s="252"/>
      <c r="G229" s="125" t="s">
        <v>145</v>
      </c>
      <c r="I229" s="172"/>
      <c r="J229" s="82" t="str">
        <f t="shared" ca="1" si="0"/>
        <v>#REF!</v>
      </c>
      <c r="K229" s="82" t="str">
        <f t="shared" ca="1" si="1"/>
        <v>#REF!</v>
      </c>
      <c r="L229" s="82" t="str">
        <f t="shared" ca="1" si="44"/>
        <v>#REF!</v>
      </c>
      <c r="M229" s="93"/>
      <c r="N229" s="93"/>
      <c r="O229" s="95">
        <f t="shared" si="2"/>
        <v>0</v>
      </c>
      <c r="P229" s="96">
        <f t="shared" si="3"/>
        <v>0</v>
      </c>
      <c r="Q229" s="97">
        <f t="shared" si="4"/>
        <v>0</v>
      </c>
      <c r="R229" s="97" t="str">
        <f ca="1">ROUNDUP(HLOOKUP(IF(CEILING(L229,0.5)&lt;1,0.5,CEILING(L229,0.5)),'배송비 조회'!A$44:AO$56,7,0)*B$3,-2)</f>
        <v>#REF!</v>
      </c>
      <c r="S229" s="97">
        <v>0</v>
      </c>
      <c r="T229" s="97" t="str">
        <f t="shared" ca="1" si="42"/>
        <v>#REF!</v>
      </c>
      <c r="U229" s="97" t="str">
        <f t="shared" ca="1" si="29"/>
        <v>#REF!</v>
      </c>
      <c r="V229" s="97" t="str">
        <f t="shared" ca="1" si="7"/>
        <v>#REF!</v>
      </c>
      <c r="W229" s="97" t="str">
        <f t="shared" ca="1" si="8"/>
        <v>#REF!</v>
      </c>
      <c r="X229" s="121">
        <v>0</v>
      </c>
      <c r="Y229" s="121" t="str">
        <f t="shared" ca="1" si="9"/>
        <v>#REF!</v>
      </c>
      <c r="Z229" s="121" t="str">
        <f t="shared" ca="1" si="10"/>
        <v>#REF!</v>
      </c>
      <c r="AA229" s="99" t="str">
        <f t="shared" ca="1" si="11"/>
        <v>#REF!</v>
      </c>
      <c r="AB229" s="234" t="str">
        <f t="shared" ca="1" si="12"/>
        <v>#REF!</v>
      </c>
      <c r="AC229" s="257" t="str">
        <f t="shared" ca="1" si="13"/>
        <v>#REF!</v>
      </c>
      <c r="AD229" s="234" t="str">
        <f t="shared" ca="1" si="14"/>
        <v>#REF!</v>
      </c>
      <c r="AE229" s="100" t="str">
        <f t="shared" ca="1" si="15"/>
        <v>#REF!</v>
      </c>
      <c r="AF229" s="101" t="str">
        <f t="shared" ca="1" si="16"/>
        <v>#REF!</v>
      </c>
      <c r="AG229" s="102" t="str">
        <f t="shared" ref="AG229:AH229" ca="1" si="247">AE229/V229</f>
        <v>#REF!</v>
      </c>
      <c r="AH229" s="102" t="str">
        <f t="shared" ca="1" si="247"/>
        <v>#REF!</v>
      </c>
    </row>
    <row r="230" spans="1:34" ht="13.2">
      <c r="A230" s="251"/>
      <c r="B230" s="251"/>
      <c r="C230" s="252"/>
      <c r="D230" s="252"/>
      <c r="E230" s="114"/>
      <c r="F230" s="252"/>
      <c r="G230" s="125" t="s">
        <v>145</v>
      </c>
      <c r="I230" s="172"/>
      <c r="J230" s="82" t="str">
        <f t="shared" ca="1" si="0"/>
        <v>#REF!</v>
      </c>
      <c r="K230" s="82" t="str">
        <f t="shared" ca="1" si="1"/>
        <v>#REF!</v>
      </c>
      <c r="L230" s="82" t="str">
        <f t="shared" ca="1" si="44"/>
        <v>#REF!</v>
      </c>
      <c r="M230" s="93"/>
      <c r="N230" s="93"/>
      <c r="O230" s="95">
        <f t="shared" si="2"/>
        <v>0</v>
      </c>
      <c r="P230" s="96">
        <f t="shared" si="3"/>
        <v>0</v>
      </c>
      <c r="Q230" s="97">
        <f t="shared" si="4"/>
        <v>0</v>
      </c>
      <c r="R230" s="97" t="str">
        <f ca="1">ROUNDUP(HLOOKUP(IF(CEILING(L230,0.5)&lt;1,0.5,CEILING(L230,0.5)),'배송비 조회'!A$44:AO$56,7,0)*B$3,-2)</f>
        <v>#REF!</v>
      </c>
      <c r="S230" s="97">
        <v>0</v>
      </c>
      <c r="T230" s="97" t="str">
        <f t="shared" ca="1" si="42"/>
        <v>#REF!</v>
      </c>
      <c r="U230" s="97" t="str">
        <f t="shared" ca="1" si="29"/>
        <v>#REF!</v>
      </c>
      <c r="V230" s="97" t="str">
        <f t="shared" ca="1" si="7"/>
        <v>#REF!</v>
      </c>
      <c r="W230" s="97" t="str">
        <f t="shared" ca="1" si="8"/>
        <v>#REF!</v>
      </c>
      <c r="X230" s="121">
        <v>0</v>
      </c>
      <c r="Y230" s="121" t="str">
        <f t="shared" ca="1" si="9"/>
        <v>#REF!</v>
      </c>
      <c r="Z230" s="121" t="str">
        <f t="shared" ca="1" si="10"/>
        <v>#REF!</v>
      </c>
      <c r="AA230" s="99" t="str">
        <f t="shared" ca="1" si="11"/>
        <v>#REF!</v>
      </c>
      <c r="AB230" s="234" t="str">
        <f t="shared" ca="1" si="12"/>
        <v>#REF!</v>
      </c>
      <c r="AC230" s="257" t="str">
        <f t="shared" ca="1" si="13"/>
        <v>#REF!</v>
      </c>
      <c r="AD230" s="234" t="str">
        <f t="shared" ca="1" si="14"/>
        <v>#REF!</v>
      </c>
      <c r="AE230" s="100" t="str">
        <f t="shared" ca="1" si="15"/>
        <v>#REF!</v>
      </c>
      <c r="AF230" s="101" t="str">
        <f t="shared" ca="1" si="16"/>
        <v>#REF!</v>
      </c>
      <c r="AG230" s="102" t="str">
        <f t="shared" ref="AG230:AH230" ca="1" si="248">AE230/V230</f>
        <v>#REF!</v>
      </c>
      <c r="AH230" s="102" t="str">
        <f t="shared" ca="1" si="248"/>
        <v>#REF!</v>
      </c>
    </row>
    <row r="231" spans="1:34" ht="13.2">
      <c r="A231" s="251"/>
      <c r="B231" s="251"/>
      <c r="C231" s="252"/>
      <c r="D231" s="252"/>
      <c r="E231" s="114"/>
      <c r="F231" s="252"/>
      <c r="G231" s="125" t="s">
        <v>145</v>
      </c>
      <c r="I231" s="172"/>
      <c r="J231" s="82" t="str">
        <f t="shared" ca="1" si="0"/>
        <v>#REF!</v>
      </c>
      <c r="K231" s="82" t="str">
        <f t="shared" ca="1" si="1"/>
        <v>#REF!</v>
      </c>
      <c r="L231" s="82" t="str">
        <f t="shared" ca="1" si="44"/>
        <v>#REF!</v>
      </c>
      <c r="M231" s="93"/>
      <c r="N231" s="93"/>
      <c r="O231" s="95">
        <f t="shared" si="2"/>
        <v>0</v>
      </c>
      <c r="P231" s="96">
        <f t="shared" si="3"/>
        <v>0</v>
      </c>
      <c r="Q231" s="97">
        <f t="shared" si="4"/>
        <v>0</v>
      </c>
      <c r="R231" s="97" t="str">
        <f ca="1">ROUNDUP(HLOOKUP(IF(CEILING(L231,0.5)&lt;1,0.5,CEILING(L231,0.5)),'배송비 조회'!A$44:AO$56,7,0)*B$3,-2)</f>
        <v>#REF!</v>
      </c>
      <c r="S231" s="97">
        <v>0</v>
      </c>
      <c r="T231" s="97" t="str">
        <f t="shared" ca="1" si="42"/>
        <v>#REF!</v>
      </c>
      <c r="U231" s="97" t="str">
        <f t="shared" ca="1" si="29"/>
        <v>#REF!</v>
      </c>
      <c r="V231" s="97" t="str">
        <f t="shared" ca="1" si="7"/>
        <v>#REF!</v>
      </c>
      <c r="W231" s="97" t="str">
        <f t="shared" ca="1" si="8"/>
        <v>#REF!</v>
      </c>
      <c r="X231" s="121">
        <v>0</v>
      </c>
      <c r="Y231" s="121" t="str">
        <f t="shared" ca="1" si="9"/>
        <v>#REF!</v>
      </c>
      <c r="Z231" s="121" t="str">
        <f t="shared" ca="1" si="10"/>
        <v>#REF!</v>
      </c>
      <c r="AA231" s="99" t="str">
        <f t="shared" ca="1" si="11"/>
        <v>#REF!</v>
      </c>
      <c r="AB231" s="234" t="str">
        <f t="shared" ca="1" si="12"/>
        <v>#REF!</v>
      </c>
      <c r="AC231" s="257" t="str">
        <f t="shared" ca="1" si="13"/>
        <v>#REF!</v>
      </c>
      <c r="AD231" s="234" t="str">
        <f t="shared" ca="1" si="14"/>
        <v>#REF!</v>
      </c>
      <c r="AE231" s="100" t="str">
        <f t="shared" ca="1" si="15"/>
        <v>#REF!</v>
      </c>
      <c r="AF231" s="101" t="str">
        <f t="shared" ca="1" si="16"/>
        <v>#REF!</v>
      </c>
      <c r="AG231" s="102" t="str">
        <f t="shared" ref="AG231:AH231" ca="1" si="249">AE231/V231</f>
        <v>#REF!</v>
      </c>
      <c r="AH231" s="102" t="str">
        <f t="shared" ca="1" si="249"/>
        <v>#REF!</v>
      </c>
    </row>
    <row r="232" spans="1:34" ht="13.2">
      <c r="A232" s="251"/>
      <c r="B232" s="251"/>
      <c r="C232" s="252"/>
      <c r="D232" s="252"/>
      <c r="E232" s="114"/>
      <c r="F232" s="252"/>
      <c r="G232" s="125" t="s">
        <v>145</v>
      </c>
      <c r="I232" s="172"/>
      <c r="J232" s="82" t="str">
        <f t="shared" ca="1" si="0"/>
        <v>#REF!</v>
      </c>
      <c r="K232" s="82" t="str">
        <f t="shared" ca="1" si="1"/>
        <v>#REF!</v>
      </c>
      <c r="L232" s="82" t="str">
        <f t="shared" ca="1" si="44"/>
        <v>#REF!</v>
      </c>
      <c r="M232" s="93"/>
      <c r="N232" s="93"/>
      <c r="O232" s="95">
        <f t="shared" si="2"/>
        <v>0</v>
      </c>
      <c r="P232" s="96">
        <f t="shared" si="3"/>
        <v>0</v>
      </c>
      <c r="Q232" s="97">
        <f t="shared" si="4"/>
        <v>0</v>
      </c>
      <c r="R232" s="97" t="str">
        <f ca="1">ROUNDUP(HLOOKUP(IF(CEILING(L232,0.5)&lt;1,0.5,CEILING(L232,0.5)),'배송비 조회'!A$44:AO$56,7,0)*B$3,-2)</f>
        <v>#REF!</v>
      </c>
      <c r="S232" s="97">
        <v>0</v>
      </c>
      <c r="T232" s="97" t="str">
        <f t="shared" ca="1" si="42"/>
        <v>#REF!</v>
      </c>
      <c r="U232" s="97" t="str">
        <f t="shared" ca="1" si="29"/>
        <v>#REF!</v>
      </c>
      <c r="V232" s="97" t="str">
        <f t="shared" ca="1" si="7"/>
        <v>#REF!</v>
      </c>
      <c r="W232" s="97" t="str">
        <f t="shared" ca="1" si="8"/>
        <v>#REF!</v>
      </c>
      <c r="X232" s="121">
        <v>0</v>
      </c>
      <c r="Y232" s="121" t="str">
        <f t="shared" ca="1" si="9"/>
        <v>#REF!</v>
      </c>
      <c r="Z232" s="121" t="str">
        <f t="shared" ca="1" si="10"/>
        <v>#REF!</v>
      </c>
      <c r="AA232" s="99" t="str">
        <f t="shared" ca="1" si="11"/>
        <v>#REF!</v>
      </c>
      <c r="AB232" s="234" t="str">
        <f t="shared" ca="1" si="12"/>
        <v>#REF!</v>
      </c>
      <c r="AC232" s="257" t="str">
        <f t="shared" ca="1" si="13"/>
        <v>#REF!</v>
      </c>
      <c r="AD232" s="234" t="str">
        <f t="shared" ca="1" si="14"/>
        <v>#REF!</v>
      </c>
      <c r="AE232" s="100" t="str">
        <f t="shared" ca="1" si="15"/>
        <v>#REF!</v>
      </c>
      <c r="AF232" s="101" t="str">
        <f t="shared" ca="1" si="16"/>
        <v>#REF!</v>
      </c>
      <c r="AG232" s="102" t="str">
        <f t="shared" ref="AG232:AH232" ca="1" si="250">AE232/V232</f>
        <v>#REF!</v>
      </c>
      <c r="AH232" s="102" t="str">
        <f t="shared" ca="1" si="250"/>
        <v>#REF!</v>
      </c>
    </row>
    <row r="233" spans="1:34" ht="13.2">
      <c r="A233" s="251"/>
      <c r="B233" s="251"/>
      <c r="C233" s="252"/>
      <c r="D233" s="252"/>
      <c r="E233" s="114"/>
      <c r="F233" s="252"/>
      <c r="G233" s="125" t="s">
        <v>145</v>
      </c>
      <c r="I233" s="172"/>
      <c r="J233" s="82" t="str">
        <f t="shared" ca="1" si="0"/>
        <v>#REF!</v>
      </c>
      <c r="K233" s="82" t="str">
        <f t="shared" ca="1" si="1"/>
        <v>#REF!</v>
      </c>
      <c r="L233" s="82" t="str">
        <f t="shared" ca="1" si="44"/>
        <v>#REF!</v>
      </c>
      <c r="M233" s="93"/>
      <c r="N233" s="93"/>
      <c r="O233" s="95">
        <f t="shared" si="2"/>
        <v>0</v>
      </c>
      <c r="P233" s="96">
        <f t="shared" si="3"/>
        <v>0</v>
      </c>
      <c r="Q233" s="97">
        <f t="shared" si="4"/>
        <v>0</v>
      </c>
      <c r="R233" s="97" t="str">
        <f ca="1">ROUNDUP(HLOOKUP(IF(CEILING(L233,0.5)&lt;1,0.5,CEILING(L233,0.5)),'배송비 조회'!A$44:AO$56,7,0)*B$3,-2)</f>
        <v>#REF!</v>
      </c>
      <c r="S233" s="97">
        <v>0</v>
      </c>
      <c r="T233" s="97" t="str">
        <f t="shared" ca="1" si="42"/>
        <v>#REF!</v>
      </c>
      <c r="U233" s="97" t="str">
        <f t="shared" ca="1" si="29"/>
        <v>#REF!</v>
      </c>
      <c r="V233" s="97" t="str">
        <f t="shared" ca="1" si="7"/>
        <v>#REF!</v>
      </c>
      <c r="W233" s="97" t="str">
        <f t="shared" ca="1" si="8"/>
        <v>#REF!</v>
      </c>
      <c r="X233" s="121">
        <v>0</v>
      </c>
      <c r="Y233" s="121" t="str">
        <f t="shared" ca="1" si="9"/>
        <v>#REF!</v>
      </c>
      <c r="Z233" s="121" t="str">
        <f t="shared" ca="1" si="10"/>
        <v>#REF!</v>
      </c>
      <c r="AA233" s="99" t="str">
        <f t="shared" ca="1" si="11"/>
        <v>#REF!</v>
      </c>
      <c r="AB233" s="234" t="str">
        <f t="shared" ca="1" si="12"/>
        <v>#REF!</v>
      </c>
      <c r="AC233" s="257" t="str">
        <f t="shared" ca="1" si="13"/>
        <v>#REF!</v>
      </c>
      <c r="AD233" s="234" t="str">
        <f t="shared" ca="1" si="14"/>
        <v>#REF!</v>
      </c>
      <c r="AE233" s="100" t="str">
        <f t="shared" ca="1" si="15"/>
        <v>#REF!</v>
      </c>
      <c r="AF233" s="101" t="str">
        <f t="shared" ca="1" si="16"/>
        <v>#REF!</v>
      </c>
      <c r="AG233" s="102" t="str">
        <f t="shared" ref="AG233:AH233" ca="1" si="251">AE233/V233</f>
        <v>#REF!</v>
      </c>
      <c r="AH233" s="102" t="str">
        <f t="shared" ca="1" si="251"/>
        <v>#REF!</v>
      </c>
    </row>
    <row r="234" spans="1:34" ht="13.2">
      <c r="A234" s="251"/>
      <c r="B234" s="251"/>
      <c r="C234" s="252"/>
      <c r="D234" s="252"/>
      <c r="E234" s="114"/>
      <c r="F234" s="252"/>
      <c r="G234" s="125" t="s">
        <v>145</v>
      </c>
      <c r="I234" s="172"/>
      <c r="J234" s="82" t="str">
        <f t="shared" ca="1" si="0"/>
        <v>#REF!</v>
      </c>
      <c r="K234" s="82" t="str">
        <f t="shared" ca="1" si="1"/>
        <v>#REF!</v>
      </c>
      <c r="L234" s="82" t="str">
        <f t="shared" ca="1" si="44"/>
        <v>#REF!</v>
      </c>
      <c r="M234" s="93"/>
      <c r="N234" s="93"/>
      <c r="O234" s="95">
        <f t="shared" si="2"/>
        <v>0</v>
      </c>
      <c r="P234" s="96">
        <f t="shared" si="3"/>
        <v>0</v>
      </c>
      <c r="Q234" s="97">
        <f t="shared" si="4"/>
        <v>0</v>
      </c>
      <c r="R234" s="97" t="str">
        <f ca="1">ROUNDUP(HLOOKUP(IF(CEILING(L234,0.5)&lt;1,0.5,CEILING(L234,0.5)),'배송비 조회'!A$44:AO$56,7,0)*B$3,-2)</f>
        <v>#REF!</v>
      </c>
      <c r="S234" s="97">
        <v>0</v>
      </c>
      <c r="T234" s="97" t="str">
        <f t="shared" ca="1" si="42"/>
        <v>#REF!</v>
      </c>
      <c r="U234" s="97" t="str">
        <f t="shared" ca="1" si="29"/>
        <v>#REF!</v>
      </c>
      <c r="V234" s="97" t="str">
        <f t="shared" ca="1" si="7"/>
        <v>#REF!</v>
      </c>
      <c r="W234" s="97" t="str">
        <f t="shared" ca="1" si="8"/>
        <v>#REF!</v>
      </c>
      <c r="X234" s="121">
        <v>0</v>
      </c>
      <c r="Y234" s="121" t="str">
        <f t="shared" ca="1" si="9"/>
        <v>#REF!</v>
      </c>
      <c r="Z234" s="121" t="str">
        <f t="shared" ca="1" si="10"/>
        <v>#REF!</v>
      </c>
      <c r="AA234" s="99" t="str">
        <f t="shared" ca="1" si="11"/>
        <v>#REF!</v>
      </c>
      <c r="AB234" s="234" t="str">
        <f t="shared" ca="1" si="12"/>
        <v>#REF!</v>
      </c>
      <c r="AC234" s="257" t="str">
        <f t="shared" ca="1" si="13"/>
        <v>#REF!</v>
      </c>
      <c r="AD234" s="234" t="str">
        <f t="shared" ca="1" si="14"/>
        <v>#REF!</v>
      </c>
      <c r="AE234" s="100" t="str">
        <f t="shared" ca="1" si="15"/>
        <v>#REF!</v>
      </c>
      <c r="AF234" s="101" t="str">
        <f t="shared" ca="1" si="16"/>
        <v>#REF!</v>
      </c>
      <c r="AG234" s="102" t="str">
        <f t="shared" ref="AG234:AH234" ca="1" si="252">AE234/V234</f>
        <v>#REF!</v>
      </c>
      <c r="AH234" s="102" t="str">
        <f t="shared" ca="1" si="252"/>
        <v>#REF!</v>
      </c>
    </row>
    <row r="235" spans="1:34" ht="13.2">
      <c r="A235" s="251"/>
      <c r="B235" s="251"/>
      <c r="C235" s="252"/>
      <c r="D235" s="252"/>
      <c r="E235" s="114"/>
      <c r="F235" s="252"/>
      <c r="G235" s="125" t="s">
        <v>145</v>
      </c>
      <c r="I235" s="172"/>
      <c r="J235" s="82" t="str">
        <f t="shared" ca="1" si="0"/>
        <v>#REF!</v>
      </c>
      <c r="K235" s="82" t="str">
        <f t="shared" ca="1" si="1"/>
        <v>#REF!</v>
      </c>
      <c r="L235" s="82" t="str">
        <f t="shared" ca="1" si="44"/>
        <v>#REF!</v>
      </c>
      <c r="M235" s="93"/>
      <c r="N235" s="93"/>
      <c r="O235" s="95">
        <f t="shared" si="2"/>
        <v>0</v>
      </c>
      <c r="P235" s="96">
        <f t="shared" si="3"/>
        <v>0</v>
      </c>
      <c r="Q235" s="97">
        <f t="shared" si="4"/>
        <v>0</v>
      </c>
      <c r="R235" s="97" t="str">
        <f ca="1">ROUNDUP(HLOOKUP(IF(CEILING(L235,0.5)&lt;1,0.5,CEILING(L235,0.5)),'배송비 조회'!A$44:AO$56,7,0)*B$3,-2)</f>
        <v>#REF!</v>
      </c>
      <c r="S235" s="97">
        <v>0</v>
      </c>
      <c r="T235" s="97" t="str">
        <f t="shared" ca="1" si="42"/>
        <v>#REF!</v>
      </c>
      <c r="U235" s="97" t="str">
        <f t="shared" ca="1" si="29"/>
        <v>#REF!</v>
      </c>
      <c r="V235" s="97" t="str">
        <f t="shared" ca="1" si="7"/>
        <v>#REF!</v>
      </c>
      <c r="W235" s="97" t="str">
        <f t="shared" ca="1" si="8"/>
        <v>#REF!</v>
      </c>
      <c r="X235" s="121">
        <v>0</v>
      </c>
      <c r="Y235" s="121" t="str">
        <f t="shared" ca="1" si="9"/>
        <v>#REF!</v>
      </c>
      <c r="Z235" s="121" t="str">
        <f t="shared" ca="1" si="10"/>
        <v>#REF!</v>
      </c>
      <c r="AA235" s="99" t="str">
        <f t="shared" ca="1" si="11"/>
        <v>#REF!</v>
      </c>
      <c r="AB235" s="234" t="str">
        <f t="shared" ca="1" si="12"/>
        <v>#REF!</v>
      </c>
      <c r="AC235" s="257" t="str">
        <f t="shared" ca="1" si="13"/>
        <v>#REF!</v>
      </c>
      <c r="AD235" s="234" t="str">
        <f t="shared" ca="1" si="14"/>
        <v>#REF!</v>
      </c>
      <c r="AE235" s="100" t="str">
        <f t="shared" ca="1" si="15"/>
        <v>#REF!</v>
      </c>
      <c r="AF235" s="101" t="str">
        <f t="shared" ca="1" si="16"/>
        <v>#REF!</v>
      </c>
      <c r="AG235" s="102" t="str">
        <f t="shared" ref="AG235:AH235" ca="1" si="253">AE235/V235</f>
        <v>#REF!</v>
      </c>
      <c r="AH235" s="102" t="str">
        <f t="shared" ca="1" si="253"/>
        <v>#REF!</v>
      </c>
    </row>
    <row r="236" spans="1:34" ht="13.2">
      <c r="A236" s="251"/>
      <c r="B236" s="251"/>
      <c r="C236" s="252"/>
      <c r="D236" s="252"/>
      <c r="E236" s="114"/>
      <c r="F236" s="252"/>
      <c r="G236" s="125" t="s">
        <v>145</v>
      </c>
      <c r="I236" s="172"/>
      <c r="J236" s="82" t="str">
        <f t="shared" ca="1" si="0"/>
        <v>#REF!</v>
      </c>
      <c r="K236" s="82" t="str">
        <f t="shared" ca="1" si="1"/>
        <v>#REF!</v>
      </c>
      <c r="L236" s="82" t="str">
        <f t="shared" ca="1" si="44"/>
        <v>#REF!</v>
      </c>
      <c r="M236" s="93"/>
      <c r="N236" s="93"/>
      <c r="O236" s="95">
        <f t="shared" si="2"/>
        <v>0</v>
      </c>
      <c r="P236" s="96">
        <f t="shared" si="3"/>
        <v>0</v>
      </c>
      <c r="Q236" s="97">
        <f t="shared" si="4"/>
        <v>0</v>
      </c>
      <c r="R236" s="97" t="str">
        <f ca="1">ROUNDUP(HLOOKUP(IF(CEILING(L236,0.5)&lt;1,0.5,CEILING(L236,0.5)),'배송비 조회'!A$44:AO$56,7,0)*B$3,-2)</f>
        <v>#REF!</v>
      </c>
      <c r="S236" s="97">
        <v>0</v>
      </c>
      <c r="T236" s="97" t="str">
        <f t="shared" ca="1" si="42"/>
        <v>#REF!</v>
      </c>
      <c r="U236" s="97" t="str">
        <f t="shared" ca="1" si="29"/>
        <v>#REF!</v>
      </c>
      <c r="V236" s="97" t="str">
        <f t="shared" ca="1" si="7"/>
        <v>#REF!</v>
      </c>
      <c r="W236" s="97" t="str">
        <f t="shared" ca="1" si="8"/>
        <v>#REF!</v>
      </c>
      <c r="X236" s="121">
        <v>0</v>
      </c>
      <c r="Y236" s="121" t="str">
        <f t="shared" ca="1" si="9"/>
        <v>#REF!</v>
      </c>
      <c r="Z236" s="121" t="str">
        <f t="shared" ca="1" si="10"/>
        <v>#REF!</v>
      </c>
      <c r="AA236" s="99" t="str">
        <f t="shared" ca="1" si="11"/>
        <v>#REF!</v>
      </c>
      <c r="AB236" s="234" t="str">
        <f t="shared" ca="1" si="12"/>
        <v>#REF!</v>
      </c>
      <c r="AC236" s="257" t="str">
        <f t="shared" ca="1" si="13"/>
        <v>#REF!</v>
      </c>
      <c r="AD236" s="234" t="str">
        <f t="shared" ca="1" si="14"/>
        <v>#REF!</v>
      </c>
      <c r="AE236" s="100" t="str">
        <f t="shared" ca="1" si="15"/>
        <v>#REF!</v>
      </c>
      <c r="AF236" s="101" t="str">
        <f t="shared" ca="1" si="16"/>
        <v>#REF!</v>
      </c>
      <c r="AG236" s="102" t="str">
        <f t="shared" ref="AG236:AH236" ca="1" si="254">AE236/V236</f>
        <v>#REF!</v>
      </c>
      <c r="AH236" s="102" t="str">
        <f t="shared" ca="1" si="254"/>
        <v>#REF!</v>
      </c>
    </row>
    <row r="237" spans="1:34" ht="13.2">
      <c r="A237" s="251"/>
      <c r="B237" s="251"/>
      <c r="C237" s="252"/>
      <c r="D237" s="252"/>
      <c r="E237" s="114"/>
      <c r="F237" s="252"/>
      <c r="G237" s="125" t="s">
        <v>145</v>
      </c>
      <c r="I237" s="172"/>
      <c r="J237" s="82" t="str">
        <f t="shared" ca="1" si="0"/>
        <v>#REF!</v>
      </c>
      <c r="K237" s="82" t="str">
        <f t="shared" ca="1" si="1"/>
        <v>#REF!</v>
      </c>
      <c r="L237" s="82" t="str">
        <f t="shared" ca="1" si="44"/>
        <v>#REF!</v>
      </c>
      <c r="M237" s="93"/>
      <c r="N237" s="93"/>
      <c r="O237" s="95">
        <f t="shared" si="2"/>
        <v>0</v>
      </c>
      <c r="P237" s="96">
        <f t="shared" si="3"/>
        <v>0</v>
      </c>
      <c r="Q237" s="97">
        <f t="shared" si="4"/>
        <v>0</v>
      </c>
      <c r="R237" s="97" t="str">
        <f ca="1">ROUNDUP(HLOOKUP(IF(CEILING(L237,0.5)&lt;1,0.5,CEILING(L237,0.5)),'배송비 조회'!A$44:AO$56,7,0)*B$3,-2)</f>
        <v>#REF!</v>
      </c>
      <c r="S237" s="97">
        <v>0</v>
      </c>
      <c r="T237" s="97" t="str">
        <f t="shared" ca="1" si="42"/>
        <v>#REF!</v>
      </c>
      <c r="U237" s="97" t="str">
        <f t="shared" ca="1" si="29"/>
        <v>#REF!</v>
      </c>
      <c r="V237" s="97" t="str">
        <f t="shared" ca="1" si="7"/>
        <v>#REF!</v>
      </c>
      <c r="W237" s="97" t="str">
        <f t="shared" ca="1" si="8"/>
        <v>#REF!</v>
      </c>
      <c r="X237" s="121">
        <v>0</v>
      </c>
      <c r="Y237" s="121" t="str">
        <f t="shared" ca="1" si="9"/>
        <v>#REF!</v>
      </c>
      <c r="Z237" s="121" t="str">
        <f t="shared" ca="1" si="10"/>
        <v>#REF!</v>
      </c>
      <c r="AA237" s="99" t="str">
        <f t="shared" ca="1" si="11"/>
        <v>#REF!</v>
      </c>
      <c r="AB237" s="234" t="str">
        <f t="shared" ca="1" si="12"/>
        <v>#REF!</v>
      </c>
      <c r="AC237" s="257" t="str">
        <f t="shared" ca="1" si="13"/>
        <v>#REF!</v>
      </c>
      <c r="AD237" s="234" t="str">
        <f t="shared" ca="1" si="14"/>
        <v>#REF!</v>
      </c>
      <c r="AE237" s="100" t="str">
        <f t="shared" ca="1" si="15"/>
        <v>#REF!</v>
      </c>
      <c r="AF237" s="101" t="str">
        <f t="shared" ca="1" si="16"/>
        <v>#REF!</v>
      </c>
      <c r="AG237" s="102" t="str">
        <f t="shared" ref="AG237:AH237" ca="1" si="255">AE237/V237</f>
        <v>#REF!</v>
      </c>
      <c r="AH237" s="102" t="str">
        <f t="shared" ca="1" si="255"/>
        <v>#REF!</v>
      </c>
    </row>
    <row r="238" spans="1:34" ht="13.2">
      <c r="A238" s="251"/>
      <c r="B238" s="251"/>
      <c r="C238" s="252"/>
      <c r="D238" s="252"/>
      <c r="E238" s="114"/>
      <c r="F238" s="252"/>
      <c r="G238" s="125" t="s">
        <v>145</v>
      </c>
      <c r="I238" s="172"/>
      <c r="J238" s="82" t="str">
        <f t="shared" ca="1" si="0"/>
        <v>#REF!</v>
      </c>
      <c r="K238" s="82" t="str">
        <f t="shared" ca="1" si="1"/>
        <v>#REF!</v>
      </c>
      <c r="L238" s="82" t="str">
        <f t="shared" ca="1" si="44"/>
        <v>#REF!</v>
      </c>
      <c r="M238" s="93"/>
      <c r="N238" s="93"/>
      <c r="O238" s="95">
        <f t="shared" si="2"/>
        <v>0</v>
      </c>
      <c r="P238" s="96">
        <f t="shared" si="3"/>
        <v>0</v>
      </c>
      <c r="Q238" s="97">
        <f t="shared" si="4"/>
        <v>0</v>
      </c>
      <c r="R238" s="97" t="str">
        <f ca="1">ROUNDUP(HLOOKUP(IF(CEILING(L238,0.5)&lt;1,0.5,CEILING(L238,0.5)),'배송비 조회'!A$44:AO$56,7,0)*B$3,-2)</f>
        <v>#REF!</v>
      </c>
      <c r="S238" s="97">
        <v>0</v>
      </c>
      <c r="T238" s="97" t="str">
        <f t="shared" ca="1" si="42"/>
        <v>#REF!</v>
      </c>
      <c r="U238" s="97" t="str">
        <f t="shared" ca="1" si="29"/>
        <v>#REF!</v>
      </c>
      <c r="V238" s="97" t="str">
        <f t="shared" ca="1" si="7"/>
        <v>#REF!</v>
      </c>
      <c r="W238" s="97" t="str">
        <f t="shared" ca="1" si="8"/>
        <v>#REF!</v>
      </c>
      <c r="X238" s="121">
        <v>0</v>
      </c>
      <c r="Y238" s="121" t="str">
        <f t="shared" ca="1" si="9"/>
        <v>#REF!</v>
      </c>
      <c r="Z238" s="121" t="str">
        <f t="shared" ca="1" si="10"/>
        <v>#REF!</v>
      </c>
      <c r="AA238" s="99" t="str">
        <f t="shared" ca="1" si="11"/>
        <v>#REF!</v>
      </c>
      <c r="AB238" s="234" t="str">
        <f t="shared" ca="1" si="12"/>
        <v>#REF!</v>
      </c>
      <c r="AC238" s="257" t="str">
        <f t="shared" ca="1" si="13"/>
        <v>#REF!</v>
      </c>
      <c r="AD238" s="234" t="str">
        <f t="shared" ca="1" si="14"/>
        <v>#REF!</v>
      </c>
      <c r="AE238" s="100" t="str">
        <f t="shared" ca="1" si="15"/>
        <v>#REF!</v>
      </c>
      <c r="AF238" s="101" t="str">
        <f t="shared" ca="1" si="16"/>
        <v>#REF!</v>
      </c>
      <c r="AG238" s="102" t="str">
        <f t="shared" ref="AG238:AH238" ca="1" si="256">AE238/V238</f>
        <v>#REF!</v>
      </c>
      <c r="AH238" s="102" t="str">
        <f t="shared" ca="1" si="256"/>
        <v>#REF!</v>
      </c>
    </row>
    <row r="239" spans="1:34" ht="13.2">
      <c r="A239" s="251"/>
      <c r="B239" s="251"/>
      <c r="C239" s="252"/>
      <c r="D239" s="252"/>
      <c r="E239" s="114"/>
      <c r="F239" s="252"/>
      <c r="G239" s="125" t="s">
        <v>145</v>
      </c>
      <c r="I239" s="172"/>
      <c r="J239" s="82" t="str">
        <f t="shared" ca="1" si="0"/>
        <v>#REF!</v>
      </c>
      <c r="K239" s="82" t="str">
        <f t="shared" ca="1" si="1"/>
        <v>#REF!</v>
      </c>
      <c r="L239" s="82" t="str">
        <f t="shared" ca="1" si="44"/>
        <v>#REF!</v>
      </c>
      <c r="M239" s="93"/>
      <c r="N239" s="93"/>
      <c r="O239" s="95">
        <f t="shared" si="2"/>
        <v>0</v>
      </c>
      <c r="P239" s="96">
        <f t="shared" si="3"/>
        <v>0</v>
      </c>
      <c r="Q239" s="97">
        <f t="shared" si="4"/>
        <v>0</v>
      </c>
      <c r="R239" s="97" t="str">
        <f ca="1">ROUNDUP(HLOOKUP(IF(CEILING(L239,0.5)&lt;1,0.5,CEILING(L239,0.5)),'배송비 조회'!A$44:AO$56,7,0)*B$3,-2)</f>
        <v>#REF!</v>
      </c>
      <c r="S239" s="97">
        <v>0</v>
      </c>
      <c r="T239" s="97" t="str">
        <f t="shared" ca="1" si="42"/>
        <v>#REF!</v>
      </c>
      <c r="U239" s="97" t="str">
        <f t="shared" ca="1" si="29"/>
        <v>#REF!</v>
      </c>
      <c r="V239" s="97" t="str">
        <f t="shared" ca="1" si="7"/>
        <v>#REF!</v>
      </c>
      <c r="W239" s="97" t="str">
        <f t="shared" ca="1" si="8"/>
        <v>#REF!</v>
      </c>
      <c r="X239" s="121">
        <v>0</v>
      </c>
      <c r="Y239" s="121" t="str">
        <f t="shared" ca="1" si="9"/>
        <v>#REF!</v>
      </c>
      <c r="Z239" s="121" t="str">
        <f t="shared" ca="1" si="10"/>
        <v>#REF!</v>
      </c>
      <c r="AA239" s="99" t="str">
        <f t="shared" ca="1" si="11"/>
        <v>#REF!</v>
      </c>
      <c r="AB239" s="234" t="str">
        <f t="shared" ca="1" si="12"/>
        <v>#REF!</v>
      </c>
      <c r="AC239" s="257" t="str">
        <f t="shared" ca="1" si="13"/>
        <v>#REF!</v>
      </c>
      <c r="AD239" s="234" t="str">
        <f t="shared" ca="1" si="14"/>
        <v>#REF!</v>
      </c>
      <c r="AE239" s="100" t="str">
        <f t="shared" ca="1" si="15"/>
        <v>#REF!</v>
      </c>
      <c r="AF239" s="101" t="str">
        <f t="shared" ca="1" si="16"/>
        <v>#REF!</v>
      </c>
      <c r="AG239" s="102" t="str">
        <f t="shared" ref="AG239:AH239" ca="1" si="257">AE239/V239</f>
        <v>#REF!</v>
      </c>
      <c r="AH239" s="102" t="str">
        <f t="shared" ca="1" si="257"/>
        <v>#REF!</v>
      </c>
    </row>
    <row r="240" spans="1:34" ht="13.2">
      <c r="A240" s="251"/>
      <c r="B240" s="251"/>
      <c r="C240" s="252"/>
      <c r="D240" s="252"/>
      <c r="E240" s="114"/>
      <c r="F240" s="252"/>
      <c r="G240" s="125" t="s">
        <v>145</v>
      </c>
      <c r="I240" s="172"/>
      <c r="J240" s="82" t="str">
        <f t="shared" ca="1" si="0"/>
        <v>#REF!</v>
      </c>
      <c r="K240" s="82" t="str">
        <f t="shared" ca="1" si="1"/>
        <v>#REF!</v>
      </c>
      <c r="L240" s="82" t="str">
        <f t="shared" ca="1" si="44"/>
        <v>#REF!</v>
      </c>
      <c r="M240" s="93"/>
      <c r="N240" s="93"/>
      <c r="O240" s="95">
        <f t="shared" si="2"/>
        <v>0</v>
      </c>
      <c r="P240" s="96">
        <f t="shared" si="3"/>
        <v>0</v>
      </c>
      <c r="Q240" s="97">
        <f t="shared" si="4"/>
        <v>0</v>
      </c>
      <c r="R240" s="97" t="str">
        <f ca="1">ROUNDUP(HLOOKUP(IF(CEILING(L240,0.5)&lt;1,0.5,CEILING(L240,0.5)),'배송비 조회'!A$44:AO$56,7,0)*B$3,-2)</f>
        <v>#REF!</v>
      </c>
      <c r="S240" s="97">
        <v>0</v>
      </c>
      <c r="T240" s="97" t="str">
        <f t="shared" ca="1" si="42"/>
        <v>#REF!</v>
      </c>
      <c r="U240" s="97" t="str">
        <f t="shared" ca="1" si="29"/>
        <v>#REF!</v>
      </c>
      <c r="V240" s="97" t="str">
        <f t="shared" ca="1" si="7"/>
        <v>#REF!</v>
      </c>
      <c r="W240" s="97" t="str">
        <f t="shared" ca="1" si="8"/>
        <v>#REF!</v>
      </c>
      <c r="X240" s="121">
        <v>0</v>
      </c>
      <c r="Y240" s="121" t="str">
        <f t="shared" ca="1" si="9"/>
        <v>#REF!</v>
      </c>
      <c r="Z240" s="121" t="str">
        <f t="shared" ca="1" si="10"/>
        <v>#REF!</v>
      </c>
      <c r="AA240" s="99" t="str">
        <f t="shared" ca="1" si="11"/>
        <v>#REF!</v>
      </c>
      <c r="AB240" s="234" t="str">
        <f t="shared" ca="1" si="12"/>
        <v>#REF!</v>
      </c>
      <c r="AC240" s="257" t="str">
        <f t="shared" ca="1" si="13"/>
        <v>#REF!</v>
      </c>
      <c r="AD240" s="234" t="str">
        <f t="shared" ca="1" si="14"/>
        <v>#REF!</v>
      </c>
      <c r="AE240" s="100" t="str">
        <f t="shared" ca="1" si="15"/>
        <v>#REF!</v>
      </c>
      <c r="AF240" s="101" t="str">
        <f t="shared" ca="1" si="16"/>
        <v>#REF!</v>
      </c>
      <c r="AG240" s="102" t="str">
        <f t="shared" ref="AG240:AH240" ca="1" si="258">AE240/V240</f>
        <v>#REF!</v>
      </c>
      <c r="AH240" s="102" t="str">
        <f t="shared" ca="1" si="258"/>
        <v>#REF!</v>
      </c>
    </row>
    <row r="241" spans="1:34" ht="13.2">
      <c r="A241" s="251"/>
      <c r="B241" s="251"/>
      <c r="C241" s="252"/>
      <c r="D241" s="252"/>
      <c r="E241" s="114"/>
      <c r="F241" s="252"/>
      <c r="G241" s="125" t="s">
        <v>145</v>
      </c>
      <c r="I241" s="172"/>
      <c r="J241" s="82" t="str">
        <f t="shared" ca="1" si="0"/>
        <v>#REF!</v>
      </c>
      <c r="K241" s="82" t="str">
        <f t="shared" ca="1" si="1"/>
        <v>#REF!</v>
      </c>
      <c r="L241" s="82" t="str">
        <f t="shared" ca="1" si="44"/>
        <v>#REF!</v>
      </c>
      <c r="M241" s="93"/>
      <c r="N241" s="93"/>
      <c r="O241" s="95">
        <f t="shared" si="2"/>
        <v>0</v>
      </c>
      <c r="P241" s="96">
        <f t="shared" si="3"/>
        <v>0</v>
      </c>
      <c r="Q241" s="97">
        <f t="shared" si="4"/>
        <v>0</v>
      </c>
      <c r="R241" s="97" t="str">
        <f ca="1">ROUNDUP(HLOOKUP(IF(CEILING(L241,0.5)&lt;1,0.5,CEILING(L241,0.5)),'배송비 조회'!A$44:AO$56,7,0)*B$3,-2)</f>
        <v>#REF!</v>
      </c>
      <c r="S241" s="97">
        <v>0</v>
      </c>
      <c r="T241" s="97" t="str">
        <f t="shared" ca="1" si="42"/>
        <v>#REF!</v>
      </c>
      <c r="U241" s="97" t="str">
        <f t="shared" ca="1" si="29"/>
        <v>#REF!</v>
      </c>
      <c r="V241" s="97" t="str">
        <f t="shared" ca="1" si="7"/>
        <v>#REF!</v>
      </c>
      <c r="W241" s="97" t="str">
        <f t="shared" ca="1" si="8"/>
        <v>#REF!</v>
      </c>
      <c r="X241" s="121">
        <v>0</v>
      </c>
      <c r="Y241" s="121" t="str">
        <f t="shared" ca="1" si="9"/>
        <v>#REF!</v>
      </c>
      <c r="Z241" s="121" t="str">
        <f t="shared" ca="1" si="10"/>
        <v>#REF!</v>
      </c>
      <c r="AA241" s="99" t="str">
        <f t="shared" ca="1" si="11"/>
        <v>#REF!</v>
      </c>
      <c r="AB241" s="234" t="str">
        <f t="shared" ca="1" si="12"/>
        <v>#REF!</v>
      </c>
      <c r="AC241" s="257" t="str">
        <f t="shared" ca="1" si="13"/>
        <v>#REF!</v>
      </c>
      <c r="AD241" s="234" t="str">
        <f t="shared" ca="1" si="14"/>
        <v>#REF!</v>
      </c>
      <c r="AE241" s="100" t="str">
        <f t="shared" ca="1" si="15"/>
        <v>#REF!</v>
      </c>
      <c r="AF241" s="101" t="str">
        <f t="shared" ca="1" si="16"/>
        <v>#REF!</v>
      </c>
      <c r="AG241" s="102" t="str">
        <f t="shared" ref="AG241:AH241" ca="1" si="259">AE241/V241</f>
        <v>#REF!</v>
      </c>
      <c r="AH241" s="102" t="str">
        <f t="shared" ca="1" si="259"/>
        <v>#REF!</v>
      </c>
    </row>
    <row r="242" spans="1:34" ht="13.2">
      <c r="A242" s="251"/>
      <c r="B242" s="251"/>
      <c r="C242" s="252"/>
      <c r="D242" s="252"/>
      <c r="E242" s="114"/>
      <c r="F242" s="252"/>
      <c r="G242" s="125" t="s">
        <v>145</v>
      </c>
      <c r="I242" s="172"/>
      <c r="J242" s="82" t="str">
        <f t="shared" ca="1" si="0"/>
        <v>#REF!</v>
      </c>
      <c r="K242" s="82" t="str">
        <f t="shared" ca="1" si="1"/>
        <v>#REF!</v>
      </c>
      <c r="L242" s="82" t="str">
        <f t="shared" ca="1" si="44"/>
        <v>#REF!</v>
      </c>
      <c r="M242" s="93"/>
      <c r="N242" s="93"/>
      <c r="O242" s="95">
        <f t="shared" si="2"/>
        <v>0</v>
      </c>
      <c r="P242" s="96">
        <f t="shared" si="3"/>
        <v>0</v>
      </c>
      <c r="Q242" s="97">
        <f t="shared" si="4"/>
        <v>0</v>
      </c>
      <c r="R242" s="97" t="str">
        <f ca="1">ROUNDUP(HLOOKUP(IF(CEILING(L242,0.5)&lt;1,0.5,CEILING(L242,0.5)),'배송비 조회'!A$44:AO$56,7,0)*B$3,-2)</f>
        <v>#REF!</v>
      </c>
      <c r="S242" s="97">
        <v>0</v>
      </c>
      <c r="T242" s="97" t="str">
        <f t="shared" ca="1" si="42"/>
        <v>#REF!</v>
      </c>
      <c r="U242" s="97" t="str">
        <f t="shared" ca="1" si="29"/>
        <v>#REF!</v>
      </c>
      <c r="V242" s="97" t="str">
        <f t="shared" ca="1" si="7"/>
        <v>#REF!</v>
      </c>
      <c r="W242" s="97" t="str">
        <f t="shared" ca="1" si="8"/>
        <v>#REF!</v>
      </c>
      <c r="X242" s="121">
        <v>0</v>
      </c>
      <c r="Y242" s="121" t="str">
        <f t="shared" ca="1" si="9"/>
        <v>#REF!</v>
      </c>
      <c r="Z242" s="121" t="str">
        <f t="shared" ca="1" si="10"/>
        <v>#REF!</v>
      </c>
      <c r="AA242" s="99" t="str">
        <f t="shared" ca="1" si="11"/>
        <v>#REF!</v>
      </c>
      <c r="AB242" s="234" t="str">
        <f t="shared" ca="1" si="12"/>
        <v>#REF!</v>
      </c>
      <c r="AC242" s="257" t="str">
        <f t="shared" ca="1" si="13"/>
        <v>#REF!</v>
      </c>
      <c r="AD242" s="234" t="str">
        <f t="shared" ca="1" si="14"/>
        <v>#REF!</v>
      </c>
      <c r="AE242" s="100" t="str">
        <f t="shared" ca="1" si="15"/>
        <v>#REF!</v>
      </c>
      <c r="AF242" s="101" t="str">
        <f t="shared" ca="1" si="16"/>
        <v>#REF!</v>
      </c>
      <c r="AG242" s="102" t="str">
        <f t="shared" ref="AG242:AH242" ca="1" si="260">AE242/V242</f>
        <v>#REF!</v>
      </c>
      <c r="AH242" s="102" t="str">
        <f t="shared" ca="1" si="260"/>
        <v>#REF!</v>
      </c>
    </row>
    <row r="243" spans="1:34" ht="13.2">
      <c r="A243" s="251"/>
      <c r="B243" s="251"/>
      <c r="C243" s="252"/>
      <c r="D243" s="252"/>
      <c r="E243" s="114"/>
      <c r="F243" s="252"/>
      <c r="G243" s="125" t="s">
        <v>145</v>
      </c>
      <c r="I243" s="172"/>
      <c r="J243" s="82" t="str">
        <f t="shared" ca="1" si="0"/>
        <v>#REF!</v>
      </c>
      <c r="K243" s="82" t="str">
        <f t="shared" ca="1" si="1"/>
        <v>#REF!</v>
      </c>
      <c r="L243" s="82" t="str">
        <f t="shared" ca="1" si="44"/>
        <v>#REF!</v>
      </c>
      <c r="M243" s="93"/>
      <c r="N243" s="93"/>
      <c r="O243" s="95">
        <f t="shared" si="2"/>
        <v>0</v>
      </c>
      <c r="P243" s="96">
        <f t="shared" si="3"/>
        <v>0</v>
      </c>
      <c r="Q243" s="97">
        <f t="shared" si="4"/>
        <v>0</v>
      </c>
      <c r="R243" s="97" t="str">
        <f ca="1">ROUNDUP(HLOOKUP(IF(CEILING(L243,0.5)&lt;1,0.5,CEILING(L243,0.5)),'배송비 조회'!A$44:AO$56,7,0)*B$3,-2)</f>
        <v>#REF!</v>
      </c>
      <c r="S243" s="97">
        <v>0</v>
      </c>
      <c r="T243" s="97" t="str">
        <f t="shared" ca="1" si="42"/>
        <v>#REF!</v>
      </c>
      <c r="U243" s="97" t="str">
        <f t="shared" ca="1" si="29"/>
        <v>#REF!</v>
      </c>
      <c r="V243" s="97" t="str">
        <f t="shared" ca="1" si="7"/>
        <v>#REF!</v>
      </c>
      <c r="W243" s="97" t="str">
        <f t="shared" ca="1" si="8"/>
        <v>#REF!</v>
      </c>
      <c r="X243" s="121">
        <v>0</v>
      </c>
      <c r="Y243" s="121" t="str">
        <f t="shared" ca="1" si="9"/>
        <v>#REF!</v>
      </c>
      <c r="Z243" s="121" t="str">
        <f t="shared" ca="1" si="10"/>
        <v>#REF!</v>
      </c>
      <c r="AA243" s="99" t="str">
        <f t="shared" ca="1" si="11"/>
        <v>#REF!</v>
      </c>
      <c r="AB243" s="234" t="str">
        <f t="shared" ca="1" si="12"/>
        <v>#REF!</v>
      </c>
      <c r="AC243" s="257" t="str">
        <f t="shared" ca="1" si="13"/>
        <v>#REF!</v>
      </c>
      <c r="AD243" s="234" t="str">
        <f t="shared" ca="1" si="14"/>
        <v>#REF!</v>
      </c>
      <c r="AE243" s="100" t="str">
        <f t="shared" ca="1" si="15"/>
        <v>#REF!</v>
      </c>
      <c r="AF243" s="101" t="str">
        <f t="shared" ca="1" si="16"/>
        <v>#REF!</v>
      </c>
      <c r="AG243" s="102" t="str">
        <f t="shared" ref="AG243:AH243" ca="1" si="261">AE243/V243</f>
        <v>#REF!</v>
      </c>
      <c r="AH243" s="102" t="str">
        <f t="shared" ca="1" si="261"/>
        <v>#REF!</v>
      </c>
    </row>
    <row r="244" spans="1:34" ht="13.2">
      <c r="A244" s="251"/>
      <c r="B244" s="251"/>
      <c r="C244" s="252"/>
      <c r="D244" s="252"/>
      <c r="E244" s="114"/>
      <c r="F244" s="252"/>
      <c r="G244" s="125" t="s">
        <v>145</v>
      </c>
      <c r="I244" s="172"/>
      <c r="J244" s="82" t="str">
        <f t="shared" ca="1" si="0"/>
        <v>#REF!</v>
      </c>
      <c r="K244" s="82" t="str">
        <f t="shared" ca="1" si="1"/>
        <v>#REF!</v>
      </c>
      <c r="L244" s="82" t="str">
        <f t="shared" ca="1" si="44"/>
        <v>#REF!</v>
      </c>
      <c r="M244" s="93"/>
      <c r="N244" s="93"/>
      <c r="O244" s="95">
        <f t="shared" si="2"/>
        <v>0</v>
      </c>
      <c r="P244" s="96">
        <f t="shared" si="3"/>
        <v>0</v>
      </c>
      <c r="Q244" s="97">
        <f t="shared" si="4"/>
        <v>0</v>
      </c>
      <c r="R244" s="97" t="str">
        <f ca="1">ROUNDUP(HLOOKUP(IF(CEILING(L244,0.5)&lt;1,0.5,CEILING(L244,0.5)),'배송비 조회'!A$44:AO$56,7,0)*B$3,-2)</f>
        <v>#REF!</v>
      </c>
      <c r="S244" s="97">
        <v>0</v>
      </c>
      <c r="T244" s="97" t="str">
        <f t="shared" ca="1" si="42"/>
        <v>#REF!</v>
      </c>
      <c r="U244" s="97" t="str">
        <f t="shared" ca="1" si="29"/>
        <v>#REF!</v>
      </c>
      <c r="V244" s="97" t="str">
        <f t="shared" ca="1" si="7"/>
        <v>#REF!</v>
      </c>
      <c r="W244" s="97" t="str">
        <f t="shared" ca="1" si="8"/>
        <v>#REF!</v>
      </c>
      <c r="X244" s="121">
        <v>0</v>
      </c>
      <c r="Y244" s="121" t="str">
        <f t="shared" ca="1" si="9"/>
        <v>#REF!</v>
      </c>
      <c r="Z244" s="121" t="str">
        <f t="shared" ca="1" si="10"/>
        <v>#REF!</v>
      </c>
      <c r="AA244" s="99" t="str">
        <f t="shared" ca="1" si="11"/>
        <v>#REF!</v>
      </c>
      <c r="AB244" s="234" t="str">
        <f t="shared" ca="1" si="12"/>
        <v>#REF!</v>
      </c>
      <c r="AC244" s="257" t="str">
        <f t="shared" ca="1" si="13"/>
        <v>#REF!</v>
      </c>
      <c r="AD244" s="234" t="str">
        <f t="shared" ca="1" si="14"/>
        <v>#REF!</v>
      </c>
      <c r="AE244" s="100" t="str">
        <f t="shared" ca="1" si="15"/>
        <v>#REF!</v>
      </c>
      <c r="AF244" s="101" t="str">
        <f t="shared" ca="1" si="16"/>
        <v>#REF!</v>
      </c>
      <c r="AG244" s="102" t="str">
        <f t="shared" ref="AG244:AH244" ca="1" si="262">AE244/V244</f>
        <v>#REF!</v>
      </c>
      <c r="AH244" s="102" t="str">
        <f t="shared" ca="1" si="262"/>
        <v>#REF!</v>
      </c>
    </row>
    <row r="245" spans="1:34" ht="13.2">
      <c r="A245" s="251"/>
      <c r="B245" s="251"/>
      <c r="C245" s="252"/>
      <c r="D245" s="252"/>
      <c r="E245" s="114"/>
      <c r="F245" s="252"/>
      <c r="G245" s="125" t="s">
        <v>145</v>
      </c>
      <c r="I245" s="172"/>
      <c r="J245" s="82" t="str">
        <f t="shared" ca="1" si="0"/>
        <v>#REF!</v>
      </c>
      <c r="K245" s="82" t="str">
        <f t="shared" ca="1" si="1"/>
        <v>#REF!</v>
      </c>
      <c r="L245" s="82" t="str">
        <f t="shared" ca="1" si="44"/>
        <v>#REF!</v>
      </c>
      <c r="M245" s="93"/>
      <c r="N245" s="93"/>
      <c r="O245" s="95">
        <f t="shared" si="2"/>
        <v>0</v>
      </c>
      <c r="P245" s="96">
        <f t="shared" si="3"/>
        <v>0</v>
      </c>
      <c r="Q245" s="97">
        <f t="shared" si="4"/>
        <v>0</v>
      </c>
      <c r="R245" s="97" t="str">
        <f ca="1">ROUNDUP(HLOOKUP(IF(CEILING(L245,0.5)&lt;1,0.5,CEILING(L245,0.5)),'배송비 조회'!A$44:AO$56,7,0)*B$3,-2)</f>
        <v>#REF!</v>
      </c>
      <c r="S245" s="97">
        <v>0</v>
      </c>
      <c r="T245" s="97" t="str">
        <f t="shared" ca="1" si="42"/>
        <v>#REF!</v>
      </c>
      <c r="U245" s="97" t="str">
        <f t="shared" ca="1" si="29"/>
        <v>#REF!</v>
      </c>
      <c r="V245" s="97" t="str">
        <f t="shared" ca="1" si="7"/>
        <v>#REF!</v>
      </c>
      <c r="W245" s="97" t="str">
        <f t="shared" ca="1" si="8"/>
        <v>#REF!</v>
      </c>
      <c r="X245" s="121">
        <v>0</v>
      </c>
      <c r="Y245" s="121" t="str">
        <f t="shared" ca="1" si="9"/>
        <v>#REF!</v>
      </c>
      <c r="Z245" s="121" t="str">
        <f t="shared" ca="1" si="10"/>
        <v>#REF!</v>
      </c>
      <c r="AA245" s="99" t="str">
        <f t="shared" ca="1" si="11"/>
        <v>#REF!</v>
      </c>
      <c r="AB245" s="234" t="str">
        <f t="shared" ca="1" si="12"/>
        <v>#REF!</v>
      </c>
      <c r="AC245" s="257" t="str">
        <f t="shared" ca="1" si="13"/>
        <v>#REF!</v>
      </c>
      <c r="AD245" s="234" t="str">
        <f t="shared" ca="1" si="14"/>
        <v>#REF!</v>
      </c>
      <c r="AE245" s="100" t="str">
        <f t="shared" ca="1" si="15"/>
        <v>#REF!</v>
      </c>
      <c r="AF245" s="101" t="str">
        <f t="shared" ca="1" si="16"/>
        <v>#REF!</v>
      </c>
      <c r="AG245" s="102" t="str">
        <f t="shared" ref="AG245:AH245" ca="1" si="263">AE245/V245</f>
        <v>#REF!</v>
      </c>
      <c r="AH245" s="102" t="str">
        <f t="shared" ca="1" si="263"/>
        <v>#REF!</v>
      </c>
    </row>
    <row r="246" spans="1:34" ht="13.2">
      <c r="A246" s="251"/>
      <c r="B246" s="251"/>
      <c r="C246" s="252"/>
      <c r="D246" s="252"/>
      <c r="E246" s="114"/>
      <c r="F246" s="252"/>
      <c r="G246" s="125" t="s">
        <v>145</v>
      </c>
      <c r="I246" s="172"/>
      <c r="J246" s="82" t="str">
        <f t="shared" ca="1" si="0"/>
        <v>#REF!</v>
      </c>
      <c r="K246" s="82" t="str">
        <f t="shared" ca="1" si="1"/>
        <v>#REF!</v>
      </c>
      <c r="L246" s="82" t="str">
        <f t="shared" ca="1" si="44"/>
        <v>#REF!</v>
      </c>
      <c r="M246" s="93"/>
      <c r="N246" s="93"/>
      <c r="O246" s="95">
        <f t="shared" si="2"/>
        <v>0</v>
      </c>
      <c r="P246" s="96">
        <f t="shared" si="3"/>
        <v>0</v>
      </c>
      <c r="Q246" s="97">
        <f t="shared" si="4"/>
        <v>0</v>
      </c>
      <c r="R246" s="97" t="str">
        <f ca="1">ROUNDUP(HLOOKUP(IF(CEILING(L246,0.5)&lt;1,0.5,CEILING(L246,0.5)),'배송비 조회'!A$44:AO$56,7,0)*B$3,-2)</f>
        <v>#REF!</v>
      </c>
      <c r="S246" s="97">
        <v>0</v>
      </c>
      <c r="T246" s="97" t="str">
        <f t="shared" ca="1" si="42"/>
        <v>#REF!</v>
      </c>
      <c r="U246" s="97" t="str">
        <f t="shared" ca="1" si="29"/>
        <v>#REF!</v>
      </c>
      <c r="V246" s="97" t="str">
        <f t="shared" ca="1" si="7"/>
        <v>#REF!</v>
      </c>
      <c r="W246" s="97" t="str">
        <f t="shared" ca="1" si="8"/>
        <v>#REF!</v>
      </c>
      <c r="X246" s="121">
        <v>0</v>
      </c>
      <c r="Y246" s="121" t="str">
        <f t="shared" ca="1" si="9"/>
        <v>#REF!</v>
      </c>
      <c r="Z246" s="121" t="str">
        <f t="shared" ca="1" si="10"/>
        <v>#REF!</v>
      </c>
      <c r="AA246" s="99" t="str">
        <f t="shared" ca="1" si="11"/>
        <v>#REF!</v>
      </c>
      <c r="AB246" s="234" t="str">
        <f t="shared" ca="1" si="12"/>
        <v>#REF!</v>
      </c>
      <c r="AC246" s="257" t="str">
        <f t="shared" ca="1" si="13"/>
        <v>#REF!</v>
      </c>
      <c r="AD246" s="234" t="str">
        <f t="shared" ca="1" si="14"/>
        <v>#REF!</v>
      </c>
      <c r="AE246" s="100" t="str">
        <f t="shared" ca="1" si="15"/>
        <v>#REF!</v>
      </c>
      <c r="AF246" s="101" t="str">
        <f t="shared" ca="1" si="16"/>
        <v>#REF!</v>
      </c>
      <c r="AG246" s="102" t="str">
        <f t="shared" ref="AG246:AH246" ca="1" si="264">AE246/V246</f>
        <v>#REF!</v>
      </c>
      <c r="AH246" s="102" t="str">
        <f t="shared" ca="1" si="264"/>
        <v>#REF!</v>
      </c>
    </row>
    <row r="247" spans="1:34" ht="13.2">
      <c r="A247" s="251"/>
      <c r="B247" s="251"/>
      <c r="C247" s="252"/>
      <c r="D247" s="252"/>
      <c r="E247" s="114"/>
      <c r="F247" s="252"/>
      <c r="G247" s="125" t="s">
        <v>145</v>
      </c>
      <c r="I247" s="172"/>
      <c r="J247" s="82" t="str">
        <f t="shared" ca="1" si="0"/>
        <v>#REF!</v>
      </c>
      <c r="K247" s="82" t="str">
        <f t="shared" ca="1" si="1"/>
        <v>#REF!</v>
      </c>
      <c r="L247" s="82" t="str">
        <f t="shared" ca="1" si="44"/>
        <v>#REF!</v>
      </c>
      <c r="M247" s="93"/>
      <c r="N247" s="93"/>
      <c r="O247" s="95">
        <f t="shared" si="2"/>
        <v>0</v>
      </c>
      <c r="P247" s="96">
        <f t="shared" si="3"/>
        <v>0</v>
      </c>
      <c r="Q247" s="97">
        <f t="shared" si="4"/>
        <v>0</v>
      </c>
      <c r="R247" s="97" t="str">
        <f ca="1">ROUNDUP(HLOOKUP(IF(CEILING(L247,0.5)&lt;1,0.5,CEILING(L247,0.5)),'배송비 조회'!A$44:AO$56,7,0)*B$3,-2)</f>
        <v>#REF!</v>
      </c>
      <c r="S247" s="97">
        <v>0</v>
      </c>
      <c r="T247" s="97" t="str">
        <f t="shared" ca="1" si="42"/>
        <v>#REF!</v>
      </c>
      <c r="U247" s="97" t="str">
        <f t="shared" ca="1" si="29"/>
        <v>#REF!</v>
      </c>
      <c r="V247" s="97" t="str">
        <f t="shared" ca="1" si="7"/>
        <v>#REF!</v>
      </c>
      <c r="W247" s="97" t="str">
        <f t="shared" ca="1" si="8"/>
        <v>#REF!</v>
      </c>
      <c r="X247" s="121">
        <v>0</v>
      </c>
      <c r="Y247" s="121" t="str">
        <f t="shared" ca="1" si="9"/>
        <v>#REF!</v>
      </c>
      <c r="Z247" s="121" t="str">
        <f t="shared" ca="1" si="10"/>
        <v>#REF!</v>
      </c>
      <c r="AA247" s="99" t="str">
        <f t="shared" ca="1" si="11"/>
        <v>#REF!</v>
      </c>
      <c r="AB247" s="234" t="str">
        <f t="shared" ca="1" si="12"/>
        <v>#REF!</v>
      </c>
      <c r="AC247" s="257" t="str">
        <f t="shared" ca="1" si="13"/>
        <v>#REF!</v>
      </c>
      <c r="AD247" s="234" t="str">
        <f t="shared" ca="1" si="14"/>
        <v>#REF!</v>
      </c>
      <c r="AE247" s="100" t="str">
        <f t="shared" ca="1" si="15"/>
        <v>#REF!</v>
      </c>
      <c r="AF247" s="101" t="str">
        <f t="shared" ca="1" si="16"/>
        <v>#REF!</v>
      </c>
      <c r="AG247" s="102" t="str">
        <f t="shared" ref="AG247:AH247" ca="1" si="265">AE247/V247</f>
        <v>#REF!</v>
      </c>
      <c r="AH247" s="102" t="str">
        <f t="shared" ca="1" si="265"/>
        <v>#REF!</v>
      </c>
    </row>
    <row r="248" spans="1:34" ht="13.2">
      <c r="A248" s="251"/>
      <c r="B248" s="251"/>
      <c r="C248" s="252"/>
      <c r="D248" s="252"/>
      <c r="E248" s="114"/>
      <c r="F248" s="252"/>
      <c r="G248" s="125" t="s">
        <v>145</v>
      </c>
      <c r="I248" s="172"/>
      <c r="J248" s="82" t="str">
        <f t="shared" ca="1" si="0"/>
        <v>#REF!</v>
      </c>
      <c r="K248" s="82" t="str">
        <f t="shared" ca="1" si="1"/>
        <v>#REF!</v>
      </c>
      <c r="L248" s="82" t="str">
        <f t="shared" ca="1" si="44"/>
        <v>#REF!</v>
      </c>
      <c r="M248" s="93"/>
      <c r="N248" s="93"/>
      <c r="O248" s="95">
        <f t="shared" si="2"/>
        <v>0</v>
      </c>
      <c r="P248" s="96">
        <f t="shared" si="3"/>
        <v>0</v>
      </c>
      <c r="Q248" s="97">
        <f t="shared" si="4"/>
        <v>0</v>
      </c>
      <c r="R248" s="97" t="str">
        <f ca="1">ROUNDUP(HLOOKUP(IF(CEILING(L248,0.5)&lt;1,0.5,CEILING(L248,0.5)),'배송비 조회'!A$44:AO$56,7,0)*B$3,-2)</f>
        <v>#REF!</v>
      </c>
      <c r="S248" s="97">
        <v>0</v>
      </c>
      <c r="T248" s="97" t="str">
        <f t="shared" ca="1" si="42"/>
        <v>#REF!</v>
      </c>
      <c r="U248" s="97" t="str">
        <f t="shared" ca="1" si="29"/>
        <v>#REF!</v>
      </c>
      <c r="V248" s="97" t="str">
        <f t="shared" ca="1" si="7"/>
        <v>#REF!</v>
      </c>
      <c r="W248" s="97" t="str">
        <f t="shared" ca="1" si="8"/>
        <v>#REF!</v>
      </c>
      <c r="X248" s="121">
        <v>0</v>
      </c>
      <c r="Y248" s="121" t="str">
        <f t="shared" ca="1" si="9"/>
        <v>#REF!</v>
      </c>
      <c r="Z248" s="121" t="str">
        <f t="shared" ca="1" si="10"/>
        <v>#REF!</v>
      </c>
      <c r="AA248" s="99" t="str">
        <f t="shared" ca="1" si="11"/>
        <v>#REF!</v>
      </c>
      <c r="AB248" s="234" t="str">
        <f t="shared" ca="1" si="12"/>
        <v>#REF!</v>
      </c>
      <c r="AC248" s="257" t="str">
        <f t="shared" ca="1" si="13"/>
        <v>#REF!</v>
      </c>
      <c r="AD248" s="234" t="str">
        <f t="shared" ca="1" si="14"/>
        <v>#REF!</v>
      </c>
      <c r="AE248" s="100" t="str">
        <f t="shared" ca="1" si="15"/>
        <v>#REF!</v>
      </c>
      <c r="AF248" s="101" t="str">
        <f t="shared" ca="1" si="16"/>
        <v>#REF!</v>
      </c>
      <c r="AG248" s="102" t="str">
        <f t="shared" ref="AG248:AH248" ca="1" si="266">AE248/V248</f>
        <v>#REF!</v>
      </c>
      <c r="AH248" s="102" t="str">
        <f t="shared" ca="1" si="266"/>
        <v>#REF!</v>
      </c>
    </row>
    <row r="249" spans="1:34" ht="13.2">
      <c r="A249" s="251"/>
      <c r="B249" s="251"/>
      <c r="C249" s="252"/>
      <c r="D249" s="252"/>
      <c r="E249" s="114"/>
      <c r="F249" s="252"/>
      <c r="G249" s="125" t="s">
        <v>145</v>
      </c>
      <c r="I249" s="172"/>
      <c r="J249" s="82" t="str">
        <f t="shared" ca="1" si="0"/>
        <v>#REF!</v>
      </c>
      <c r="K249" s="82" t="str">
        <f t="shared" ca="1" si="1"/>
        <v>#REF!</v>
      </c>
      <c r="L249" s="82" t="str">
        <f t="shared" ca="1" si="44"/>
        <v>#REF!</v>
      </c>
      <c r="M249" s="93"/>
      <c r="N249" s="93"/>
      <c r="O249" s="95">
        <f t="shared" si="2"/>
        <v>0</v>
      </c>
      <c r="P249" s="96">
        <f t="shared" si="3"/>
        <v>0</v>
      </c>
      <c r="Q249" s="97">
        <f t="shared" si="4"/>
        <v>0</v>
      </c>
      <c r="R249" s="97" t="str">
        <f ca="1">ROUNDUP(HLOOKUP(IF(CEILING(L249,0.5)&lt;1,0.5,CEILING(L249,0.5)),'배송비 조회'!A$44:AO$56,7,0)*B$3,-2)</f>
        <v>#REF!</v>
      </c>
      <c r="S249" s="97">
        <v>0</v>
      </c>
      <c r="T249" s="97" t="str">
        <f t="shared" ca="1" si="42"/>
        <v>#REF!</v>
      </c>
      <c r="U249" s="97" t="str">
        <f t="shared" ca="1" si="29"/>
        <v>#REF!</v>
      </c>
      <c r="V249" s="97" t="str">
        <f t="shared" ca="1" si="7"/>
        <v>#REF!</v>
      </c>
      <c r="W249" s="97" t="str">
        <f t="shared" ca="1" si="8"/>
        <v>#REF!</v>
      </c>
      <c r="X249" s="121">
        <v>0</v>
      </c>
      <c r="Y249" s="121" t="str">
        <f t="shared" ca="1" si="9"/>
        <v>#REF!</v>
      </c>
      <c r="Z249" s="121" t="str">
        <f t="shared" ca="1" si="10"/>
        <v>#REF!</v>
      </c>
      <c r="AA249" s="99" t="str">
        <f t="shared" ca="1" si="11"/>
        <v>#REF!</v>
      </c>
      <c r="AB249" s="234" t="str">
        <f t="shared" ca="1" si="12"/>
        <v>#REF!</v>
      </c>
      <c r="AC249" s="257" t="str">
        <f t="shared" ca="1" si="13"/>
        <v>#REF!</v>
      </c>
      <c r="AD249" s="234" t="str">
        <f t="shared" ca="1" si="14"/>
        <v>#REF!</v>
      </c>
      <c r="AE249" s="100" t="str">
        <f t="shared" ca="1" si="15"/>
        <v>#REF!</v>
      </c>
      <c r="AF249" s="101" t="str">
        <f t="shared" ca="1" si="16"/>
        <v>#REF!</v>
      </c>
      <c r="AG249" s="102" t="str">
        <f t="shared" ref="AG249:AH249" ca="1" si="267">AE249/V249</f>
        <v>#REF!</v>
      </c>
      <c r="AH249" s="102" t="str">
        <f t="shared" ca="1" si="267"/>
        <v>#REF!</v>
      </c>
    </row>
    <row r="250" spans="1:34" ht="13.2">
      <c r="A250" s="251"/>
      <c r="B250" s="251"/>
      <c r="C250" s="252"/>
      <c r="D250" s="252"/>
      <c r="E250" s="114"/>
      <c r="F250" s="252"/>
      <c r="G250" s="125" t="s">
        <v>145</v>
      </c>
      <c r="I250" s="172"/>
      <c r="J250" s="82" t="str">
        <f t="shared" ca="1" si="0"/>
        <v>#REF!</v>
      </c>
      <c r="K250" s="82" t="str">
        <f t="shared" ca="1" si="1"/>
        <v>#REF!</v>
      </c>
      <c r="L250" s="82" t="str">
        <f t="shared" ca="1" si="44"/>
        <v>#REF!</v>
      </c>
      <c r="M250" s="93"/>
      <c r="N250" s="93"/>
      <c r="O250" s="95">
        <f t="shared" si="2"/>
        <v>0</v>
      </c>
      <c r="P250" s="96">
        <f t="shared" si="3"/>
        <v>0</v>
      </c>
      <c r="Q250" s="97">
        <f t="shared" si="4"/>
        <v>0</v>
      </c>
      <c r="R250" s="97" t="str">
        <f ca="1">ROUNDUP(HLOOKUP(IF(CEILING(L250,0.5)&lt;1,0.5,CEILING(L250,0.5)),'배송비 조회'!A$44:AO$56,7,0)*B$3,-2)</f>
        <v>#REF!</v>
      </c>
      <c r="S250" s="97">
        <v>0</v>
      </c>
      <c r="T250" s="97" t="str">
        <f t="shared" ca="1" si="42"/>
        <v>#REF!</v>
      </c>
      <c r="U250" s="97" t="str">
        <f t="shared" ca="1" si="29"/>
        <v>#REF!</v>
      </c>
      <c r="V250" s="97" t="str">
        <f t="shared" ca="1" si="7"/>
        <v>#REF!</v>
      </c>
      <c r="W250" s="97" t="str">
        <f t="shared" ca="1" si="8"/>
        <v>#REF!</v>
      </c>
      <c r="X250" s="121">
        <v>0</v>
      </c>
      <c r="Y250" s="121" t="str">
        <f t="shared" ca="1" si="9"/>
        <v>#REF!</v>
      </c>
      <c r="Z250" s="121" t="str">
        <f t="shared" ca="1" si="10"/>
        <v>#REF!</v>
      </c>
      <c r="AA250" s="99" t="str">
        <f t="shared" ca="1" si="11"/>
        <v>#REF!</v>
      </c>
      <c r="AB250" s="234" t="str">
        <f t="shared" ca="1" si="12"/>
        <v>#REF!</v>
      </c>
      <c r="AC250" s="257" t="str">
        <f t="shared" ca="1" si="13"/>
        <v>#REF!</v>
      </c>
      <c r="AD250" s="234" t="str">
        <f t="shared" ca="1" si="14"/>
        <v>#REF!</v>
      </c>
      <c r="AE250" s="100" t="str">
        <f t="shared" ca="1" si="15"/>
        <v>#REF!</v>
      </c>
      <c r="AF250" s="101" t="str">
        <f t="shared" ca="1" si="16"/>
        <v>#REF!</v>
      </c>
      <c r="AG250" s="102" t="str">
        <f t="shared" ref="AG250:AH250" ca="1" si="268">AE250/V250</f>
        <v>#REF!</v>
      </c>
      <c r="AH250" s="102" t="str">
        <f t="shared" ca="1" si="268"/>
        <v>#REF!</v>
      </c>
    </row>
    <row r="251" spans="1:34" ht="13.2">
      <c r="A251" s="251"/>
      <c r="B251" s="251"/>
      <c r="C251" s="252"/>
      <c r="D251" s="252"/>
      <c r="E251" s="114"/>
      <c r="F251" s="252"/>
      <c r="G251" s="125" t="s">
        <v>145</v>
      </c>
      <c r="I251" s="172"/>
      <c r="J251" s="82" t="str">
        <f t="shared" ca="1" si="0"/>
        <v>#REF!</v>
      </c>
      <c r="K251" s="82" t="str">
        <f t="shared" ca="1" si="1"/>
        <v>#REF!</v>
      </c>
      <c r="L251" s="82" t="str">
        <f t="shared" ca="1" si="44"/>
        <v>#REF!</v>
      </c>
      <c r="M251" s="93"/>
      <c r="N251" s="93"/>
      <c r="O251" s="95">
        <f t="shared" si="2"/>
        <v>0</v>
      </c>
      <c r="P251" s="96">
        <f t="shared" si="3"/>
        <v>0</v>
      </c>
      <c r="Q251" s="97">
        <f t="shared" si="4"/>
        <v>0</v>
      </c>
      <c r="R251" s="97" t="str">
        <f ca="1">ROUNDUP(HLOOKUP(IF(CEILING(L251,0.5)&lt;1,0.5,CEILING(L251,0.5)),'배송비 조회'!A$44:AO$56,7,0)*B$3,-2)</f>
        <v>#REF!</v>
      </c>
      <c r="S251" s="97">
        <v>0</v>
      </c>
      <c r="T251" s="97" t="str">
        <f t="shared" ca="1" si="42"/>
        <v>#REF!</v>
      </c>
      <c r="U251" s="97" t="str">
        <f t="shared" ca="1" si="29"/>
        <v>#REF!</v>
      </c>
      <c r="V251" s="97" t="str">
        <f t="shared" ca="1" si="7"/>
        <v>#REF!</v>
      </c>
      <c r="W251" s="97" t="str">
        <f t="shared" ca="1" si="8"/>
        <v>#REF!</v>
      </c>
      <c r="X251" s="121">
        <v>0</v>
      </c>
      <c r="Y251" s="121" t="str">
        <f t="shared" ca="1" si="9"/>
        <v>#REF!</v>
      </c>
      <c r="Z251" s="121" t="str">
        <f t="shared" ca="1" si="10"/>
        <v>#REF!</v>
      </c>
      <c r="AA251" s="99" t="str">
        <f t="shared" ca="1" si="11"/>
        <v>#REF!</v>
      </c>
      <c r="AB251" s="234" t="str">
        <f t="shared" ca="1" si="12"/>
        <v>#REF!</v>
      </c>
      <c r="AC251" s="257" t="str">
        <f t="shared" ca="1" si="13"/>
        <v>#REF!</v>
      </c>
      <c r="AD251" s="234" t="str">
        <f t="shared" ca="1" si="14"/>
        <v>#REF!</v>
      </c>
      <c r="AE251" s="100" t="str">
        <f t="shared" ca="1" si="15"/>
        <v>#REF!</v>
      </c>
      <c r="AF251" s="101" t="str">
        <f t="shared" ca="1" si="16"/>
        <v>#REF!</v>
      </c>
      <c r="AG251" s="102" t="str">
        <f t="shared" ref="AG251:AH251" ca="1" si="269">AE251/V251</f>
        <v>#REF!</v>
      </c>
      <c r="AH251" s="102" t="str">
        <f t="shared" ca="1" si="269"/>
        <v>#REF!</v>
      </c>
    </row>
    <row r="252" spans="1:34" ht="13.2">
      <c r="A252" s="251"/>
      <c r="B252" s="251"/>
      <c r="C252" s="252"/>
      <c r="D252" s="252"/>
      <c r="E252" s="114"/>
      <c r="F252" s="252"/>
      <c r="G252" s="125" t="s">
        <v>145</v>
      </c>
      <c r="I252" s="172"/>
      <c r="J252" s="82" t="str">
        <f t="shared" ca="1" si="0"/>
        <v>#REF!</v>
      </c>
      <c r="K252" s="82" t="str">
        <f t="shared" ca="1" si="1"/>
        <v>#REF!</v>
      </c>
      <c r="L252" s="82" t="str">
        <f t="shared" ca="1" si="44"/>
        <v>#REF!</v>
      </c>
      <c r="M252" s="93"/>
      <c r="N252" s="93"/>
      <c r="O252" s="95">
        <f t="shared" si="2"/>
        <v>0</v>
      </c>
      <c r="P252" s="96">
        <f t="shared" si="3"/>
        <v>0</v>
      </c>
      <c r="Q252" s="97">
        <f t="shared" si="4"/>
        <v>0</v>
      </c>
      <c r="R252" s="97" t="str">
        <f ca="1">ROUNDUP(HLOOKUP(IF(CEILING(L252,0.5)&lt;1,0.5,CEILING(L252,0.5)),'배송비 조회'!A$44:AO$56,7,0)*B$3,-2)</f>
        <v>#REF!</v>
      </c>
      <c r="S252" s="97">
        <v>0</v>
      </c>
      <c r="T252" s="97" t="str">
        <f t="shared" ca="1" si="42"/>
        <v>#REF!</v>
      </c>
      <c r="U252" s="97" t="str">
        <f t="shared" ca="1" si="29"/>
        <v>#REF!</v>
      </c>
      <c r="V252" s="97" t="str">
        <f t="shared" ca="1" si="7"/>
        <v>#REF!</v>
      </c>
      <c r="W252" s="97" t="str">
        <f t="shared" ca="1" si="8"/>
        <v>#REF!</v>
      </c>
      <c r="X252" s="121">
        <v>0</v>
      </c>
      <c r="Y252" s="121" t="str">
        <f t="shared" ca="1" si="9"/>
        <v>#REF!</v>
      </c>
      <c r="Z252" s="121" t="str">
        <f t="shared" ca="1" si="10"/>
        <v>#REF!</v>
      </c>
      <c r="AA252" s="99" t="str">
        <f t="shared" ca="1" si="11"/>
        <v>#REF!</v>
      </c>
      <c r="AB252" s="234" t="str">
        <f t="shared" ca="1" si="12"/>
        <v>#REF!</v>
      </c>
      <c r="AC252" s="257" t="str">
        <f t="shared" ca="1" si="13"/>
        <v>#REF!</v>
      </c>
      <c r="AD252" s="234" t="str">
        <f t="shared" ca="1" si="14"/>
        <v>#REF!</v>
      </c>
      <c r="AE252" s="100" t="str">
        <f t="shared" ca="1" si="15"/>
        <v>#REF!</v>
      </c>
      <c r="AF252" s="101" t="str">
        <f t="shared" ca="1" si="16"/>
        <v>#REF!</v>
      </c>
      <c r="AG252" s="102" t="str">
        <f t="shared" ref="AG252:AH252" ca="1" si="270">AE252/V252</f>
        <v>#REF!</v>
      </c>
      <c r="AH252" s="102" t="str">
        <f t="shared" ca="1" si="270"/>
        <v>#REF!</v>
      </c>
    </row>
    <row r="253" spans="1:34" ht="13.2">
      <c r="A253" s="251"/>
      <c r="B253" s="251"/>
      <c r="C253" s="252"/>
      <c r="D253" s="252"/>
      <c r="E253" s="114"/>
      <c r="F253" s="252"/>
      <c r="G253" s="125" t="s">
        <v>145</v>
      </c>
      <c r="I253" s="172"/>
      <c r="J253" s="82" t="str">
        <f t="shared" ca="1" si="0"/>
        <v>#REF!</v>
      </c>
      <c r="K253" s="82" t="str">
        <f t="shared" ca="1" si="1"/>
        <v>#REF!</v>
      </c>
      <c r="L253" s="82" t="str">
        <f t="shared" ca="1" si="44"/>
        <v>#REF!</v>
      </c>
      <c r="M253" s="93"/>
      <c r="N253" s="93"/>
      <c r="O253" s="95">
        <f t="shared" si="2"/>
        <v>0</v>
      </c>
      <c r="P253" s="96">
        <f t="shared" si="3"/>
        <v>0</v>
      </c>
      <c r="Q253" s="97">
        <f t="shared" si="4"/>
        <v>0</v>
      </c>
      <c r="R253" s="97" t="str">
        <f ca="1">ROUNDUP(HLOOKUP(IF(CEILING(L253,0.5)&lt;1,0.5,CEILING(L253,0.5)),'배송비 조회'!A$44:AO$56,7,0)*B$3,-2)</f>
        <v>#REF!</v>
      </c>
      <c r="S253" s="97">
        <v>0</v>
      </c>
      <c r="T253" s="97" t="str">
        <f t="shared" ca="1" si="42"/>
        <v>#REF!</v>
      </c>
      <c r="U253" s="97" t="str">
        <f t="shared" ca="1" si="29"/>
        <v>#REF!</v>
      </c>
      <c r="V253" s="97" t="str">
        <f t="shared" ca="1" si="7"/>
        <v>#REF!</v>
      </c>
      <c r="W253" s="97" t="str">
        <f t="shared" ca="1" si="8"/>
        <v>#REF!</v>
      </c>
      <c r="X253" s="121">
        <v>0</v>
      </c>
      <c r="Y253" s="121" t="str">
        <f t="shared" ca="1" si="9"/>
        <v>#REF!</v>
      </c>
      <c r="Z253" s="121" t="str">
        <f t="shared" ca="1" si="10"/>
        <v>#REF!</v>
      </c>
      <c r="AA253" s="99" t="str">
        <f t="shared" ca="1" si="11"/>
        <v>#REF!</v>
      </c>
      <c r="AB253" s="234" t="str">
        <f t="shared" ca="1" si="12"/>
        <v>#REF!</v>
      </c>
      <c r="AC253" s="257" t="str">
        <f t="shared" ca="1" si="13"/>
        <v>#REF!</v>
      </c>
      <c r="AD253" s="234" t="str">
        <f t="shared" ca="1" si="14"/>
        <v>#REF!</v>
      </c>
      <c r="AE253" s="100" t="str">
        <f t="shared" ca="1" si="15"/>
        <v>#REF!</v>
      </c>
      <c r="AF253" s="101" t="str">
        <f t="shared" ca="1" si="16"/>
        <v>#REF!</v>
      </c>
      <c r="AG253" s="102" t="str">
        <f t="shared" ref="AG253:AH253" ca="1" si="271">AE253/V253</f>
        <v>#REF!</v>
      </c>
      <c r="AH253" s="102" t="str">
        <f t="shared" ca="1" si="271"/>
        <v>#REF!</v>
      </c>
    </row>
    <row r="254" spans="1:34" ht="13.2">
      <c r="A254" s="251"/>
      <c r="B254" s="251"/>
      <c r="C254" s="252"/>
      <c r="D254" s="252"/>
      <c r="E254" s="114"/>
      <c r="F254" s="252"/>
      <c r="G254" s="125" t="s">
        <v>145</v>
      </c>
      <c r="I254" s="172"/>
      <c r="J254" s="82" t="str">
        <f t="shared" ca="1" si="0"/>
        <v>#REF!</v>
      </c>
      <c r="K254" s="82" t="str">
        <f t="shared" ca="1" si="1"/>
        <v>#REF!</v>
      </c>
      <c r="L254" s="82" t="str">
        <f t="shared" ca="1" si="44"/>
        <v>#REF!</v>
      </c>
      <c r="M254" s="93"/>
      <c r="N254" s="93"/>
      <c r="O254" s="95">
        <f t="shared" si="2"/>
        <v>0</v>
      </c>
      <c r="P254" s="96">
        <f t="shared" si="3"/>
        <v>0</v>
      </c>
      <c r="Q254" s="97">
        <f t="shared" si="4"/>
        <v>0</v>
      </c>
      <c r="R254" s="97" t="str">
        <f ca="1">ROUNDUP(HLOOKUP(IF(CEILING(L254,0.5)&lt;1,0.5,CEILING(L254,0.5)),'배송비 조회'!A$44:AO$56,7,0)*B$3,-2)</f>
        <v>#REF!</v>
      </c>
      <c r="S254" s="97">
        <v>0</v>
      </c>
      <c r="T254" s="97" t="str">
        <f t="shared" ca="1" si="42"/>
        <v>#REF!</v>
      </c>
      <c r="U254" s="97" t="str">
        <f t="shared" ca="1" si="29"/>
        <v>#REF!</v>
      </c>
      <c r="V254" s="97" t="str">
        <f t="shared" ca="1" si="7"/>
        <v>#REF!</v>
      </c>
      <c r="W254" s="97" t="str">
        <f t="shared" ca="1" si="8"/>
        <v>#REF!</v>
      </c>
      <c r="X254" s="121">
        <v>0</v>
      </c>
      <c r="Y254" s="121" t="str">
        <f t="shared" ca="1" si="9"/>
        <v>#REF!</v>
      </c>
      <c r="Z254" s="121" t="str">
        <f t="shared" ca="1" si="10"/>
        <v>#REF!</v>
      </c>
      <c r="AA254" s="99" t="str">
        <f t="shared" ca="1" si="11"/>
        <v>#REF!</v>
      </c>
      <c r="AB254" s="234" t="str">
        <f t="shared" ca="1" si="12"/>
        <v>#REF!</v>
      </c>
      <c r="AC254" s="257" t="str">
        <f t="shared" ca="1" si="13"/>
        <v>#REF!</v>
      </c>
      <c r="AD254" s="234" t="str">
        <f t="shared" ca="1" si="14"/>
        <v>#REF!</v>
      </c>
      <c r="AE254" s="100" t="str">
        <f t="shared" ca="1" si="15"/>
        <v>#REF!</v>
      </c>
      <c r="AF254" s="101" t="str">
        <f t="shared" ca="1" si="16"/>
        <v>#REF!</v>
      </c>
      <c r="AG254" s="102" t="str">
        <f t="shared" ref="AG254:AH254" ca="1" si="272">AE254/V254</f>
        <v>#REF!</v>
      </c>
      <c r="AH254" s="102" t="str">
        <f t="shared" ca="1" si="272"/>
        <v>#REF!</v>
      </c>
    </row>
    <row r="255" spans="1:34" ht="13.2">
      <c r="A255" s="251"/>
      <c r="B255" s="251"/>
      <c r="C255" s="252"/>
      <c r="D255" s="252"/>
      <c r="E255" s="114"/>
      <c r="F255" s="252"/>
      <c r="G255" s="125" t="s">
        <v>145</v>
      </c>
      <c r="I255" s="172"/>
      <c r="J255" s="82" t="str">
        <f t="shared" ca="1" si="0"/>
        <v>#REF!</v>
      </c>
      <c r="K255" s="82" t="str">
        <f t="shared" ca="1" si="1"/>
        <v>#REF!</v>
      </c>
      <c r="L255" s="82" t="str">
        <f t="shared" ca="1" si="44"/>
        <v>#REF!</v>
      </c>
      <c r="M255" s="93"/>
      <c r="N255" s="93"/>
      <c r="O255" s="95">
        <f t="shared" si="2"/>
        <v>0</v>
      </c>
      <c r="P255" s="96">
        <f t="shared" si="3"/>
        <v>0</v>
      </c>
      <c r="Q255" s="97">
        <f t="shared" si="4"/>
        <v>0</v>
      </c>
      <c r="R255" s="97" t="str">
        <f ca="1">ROUNDUP(HLOOKUP(IF(CEILING(L255,0.5)&lt;1,0.5,CEILING(L255,0.5)),'배송비 조회'!A$44:AO$56,7,0)*B$3,-2)</f>
        <v>#REF!</v>
      </c>
      <c r="S255" s="97">
        <v>0</v>
      </c>
      <c r="T255" s="97" t="str">
        <f t="shared" ca="1" si="42"/>
        <v>#REF!</v>
      </c>
      <c r="U255" s="97" t="str">
        <f t="shared" ca="1" si="29"/>
        <v>#REF!</v>
      </c>
      <c r="V255" s="97" t="str">
        <f t="shared" ca="1" si="7"/>
        <v>#REF!</v>
      </c>
      <c r="W255" s="97" t="str">
        <f t="shared" ca="1" si="8"/>
        <v>#REF!</v>
      </c>
      <c r="X255" s="121">
        <v>0</v>
      </c>
      <c r="Y255" s="121" t="str">
        <f t="shared" ca="1" si="9"/>
        <v>#REF!</v>
      </c>
      <c r="Z255" s="121" t="str">
        <f t="shared" ca="1" si="10"/>
        <v>#REF!</v>
      </c>
      <c r="AA255" s="99" t="str">
        <f t="shared" ca="1" si="11"/>
        <v>#REF!</v>
      </c>
      <c r="AB255" s="234" t="str">
        <f t="shared" ca="1" si="12"/>
        <v>#REF!</v>
      </c>
      <c r="AC255" s="257" t="str">
        <f t="shared" ca="1" si="13"/>
        <v>#REF!</v>
      </c>
      <c r="AD255" s="234" t="str">
        <f t="shared" ca="1" si="14"/>
        <v>#REF!</v>
      </c>
      <c r="AE255" s="100" t="str">
        <f t="shared" ca="1" si="15"/>
        <v>#REF!</v>
      </c>
      <c r="AF255" s="101" t="str">
        <f t="shared" ca="1" si="16"/>
        <v>#REF!</v>
      </c>
      <c r="AG255" s="102" t="str">
        <f t="shared" ref="AG255:AH255" ca="1" si="273">AE255/V255</f>
        <v>#REF!</v>
      </c>
      <c r="AH255" s="102" t="str">
        <f t="shared" ca="1" si="273"/>
        <v>#REF!</v>
      </c>
    </row>
    <row r="256" spans="1:34" ht="13.2">
      <c r="A256" s="251"/>
      <c r="B256" s="251"/>
      <c r="C256" s="252"/>
      <c r="D256" s="252"/>
      <c r="E256" s="114"/>
      <c r="F256" s="252"/>
      <c r="G256" s="125" t="s">
        <v>145</v>
      </c>
      <c r="I256" s="172"/>
      <c r="J256" s="82" t="str">
        <f t="shared" ca="1" si="0"/>
        <v>#REF!</v>
      </c>
      <c r="K256" s="82" t="str">
        <f t="shared" ca="1" si="1"/>
        <v>#REF!</v>
      </c>
      <c r="L256" s="82" t="str">
        <f t="shared" ca="1" si="44"/>
        <v>#REF!</v>
      </c>
      <c r="M256" s="93"/>
      <c r="N256" s="93"/>
      <c r="O256" s="95">
        <f t="shared" si="2"/>
        <v>0</v>
      </c>
      <c r="P256" s="96">
        <f t="shared" si="3"/>
        <v>0</v>
      </c>
      <c r="Q256" s="97">
        <f t="shared" si="4"/>
        <v>0</v>
      </c>
      <c r="R256" s="97" t="str">
        <f ca="1">ROUNDUP(HLOOKUP(IF(CEILING(L256,0.5)&lt;1,0.5,CEILING(L256,0.5)),'배송비 조회'!A$44:AO$56,7,0)*B$3,-2)</f>
        <v>#REF!</v>
      </c>
      <c r="S256" s="97">
        <v>0</v>
      </c>
      <c r="T256" s="97" t="str">
        <f t="shared" ca="1" si="42"/>
        <v>#REF!</v>
      </c>
      <c r="U256" s="97" t="str">
        <f t="shared" ca="1" si="29"/>
        <v>#REF!</v>
      </c>
      <c r="V256" s="97" t="str">
        <f t="shared" ca="1" si="7"/>
        <v>#REF!</v>
      </c>
      <c r="W256" s="97" t="str">
        <f t="shared" ca="1" si="8"/>
        <v>#REF!</v>
      </c>
      <c r="X256" s="121">
        <v>0</v>
      </c>
      <c r="Y256" s="121" t="str">
        <f t="shared" ca="1" si="9"/>
        <v>#REF!</v>
      </c>
      <c r="Z256" s="121" t="str">
        <f t="shared" ca="1" si="10"/>
        <v>#REF!</v>
      </c>
      <c r="AA256" s="99" t="str">
        <f t="shared" ca="1" si="11"/>
        <v>#REF!</v>
      </c>
      <c r="AB256" s="234" t="str">
        <f t="shared" ca="1" si="12"/>
        <v>#REF!</v>
      </c>
      <c r="AC256" s="257" t="str">
        <f t="shared" ca="1" si="13"/>
        <v>#REF!</v>
      </c>
      <c r="AD256" s="234" t="str">
        <f t="shared" ca="1" si="14"/>
        <v>#REF!</v>
      </c>
      <c r="AE256" s="100" t="str">
        <f t="shared" ca="1" si="15"/>
        <v>#REF!</v>
      </c>
      <c r="AF256" s="101" t="str">
        <f t="shared" ca="1" si="16"/>
        <v>#REF!</v>
      </c>
      <c r="AG256" s="102" t="str">
        <f t="shared" ref="AG256:AH256" ca="1" si="274">AE256/V256</f>
        <v>#REF!</v>
      </c>
      <c r="AH256" s="102" t="str">
        <f t="shared" ca="1" si="274"/>
        <v>#REF!</v>
      </c>
    </row>
    <row r="257" spans="1:34" ht="13.2">
      <c r="A257" s="251"/>
      <c r="B257" s="251"/>
      <c r="C257" s="252"/>
      <c r="D257" s="252"/>
      <c r="E257" s="114"/>
      <c r="F257" s="252"/>
      <c r="G257" s="125" t="s">
        <v>145</v>
      </c>
      <c r="I257" s="172"/>
      <c r="J257" s="82" t="str">
        <f t="shared" ca="1" si="0"/>
        <v>#REF!</v>
      </c>
      <c r="K257" s="82" t="str">
        <f t="shared" ca="1" si="1"/>
        <v>#REF!</v>
      </c>
      <c r="L257" s="82" t="str">
        <f t="shared" ca="1" si="44"/>
        <v>#REF!</v>
      </c>
      <c r="M257" s="93"/>
      <c r="N257" s="93"/>
      <c r="O257" s="95">
        <f t="shared" si="2"/>
        <v>0</v>
      </c>
      <c r="P257" s="96">
        <f t="shared" si="3"/>
        <v>0</v>
      </c>
      <c r="Q257" s="97">
        <f t="shared" si="4"/>
        <v>0</v>
      </c>
      <c r="R257" s="97" t="str">
        <f ca="1">ROUNDUP(HLOOKUP(IF(CEILING(L257,0.5)&lt;1,0.5,CEILING(L257,0.5)),'배송비 조회'!A$44:AO$56,7,0)*B$3,-2)</f>
        <v>#REF!</v>
      </c>
      <c r="S257" s="97">
        <v>0</v>
      </c>
      <c r="T257" s="97" t="str">
        <f t="shared" ca="1" si="42"/>
        <v>#REF!</v>
      </c>
      <c r="U257" s="97" t="str">
        <f t="shared" ca="1" si="29"/>
        <v>#REF!</v>
      </c>
      <c r="V257" s="97" t="str">
        <f t="shared" ca="1" si="7"/>
        <v>#REF!</v>
      </c>
      <c r="W257" s="97" t="str">
        <f t="shared" ca="1" si="8"/>
        <v>#REF!</v>
      </c>
      <c r="X257" s="121">
        <v>0</v>
      </c>
      <c r="Y257" s="121" t="str">
        <f t="shared" ca="1" si="9"/>
        <v>#REF!</v>
      </c>
      <c r="Z257" s="121" t="str">
        <f t="shared" ca="1" si="10"/>
        <v>#REF!</v>
      </c>
      <c r="AA257" s="99" t="str">
        <f t="shared" ca="1" si="11"/>
        <v>#REF!</v>
      </c>
      <c r="AB257" s="234" t="str">
        <f t="shared" ca="1" si="12"/>
        <v>#REF!</v>
      </c>
      <c r="AC257" s="257" t="str">
        <f t="shared" ca="1" si="13"/>
        <v>#REF!</v>
      </c>
      <c r="AD257" s="234" t="str">
        <f t="shared" ca="1" si="14"/>
        <v>#REF!</v>
      </c>
      <c r="AE257" s="100" t="str">
        <f t="shared" ca="1" si="15"/>
        <v>#REF!</v>
      </c>
      <c r="AF257" s="101" t="str">
        <f t="shared" ca="1" si="16"/>
        <v>#REF!</v>
      </c>
      <c r="AG257" s="102" t="str">
        <f t="shared" ref="AG257:AH257" ca="1" si="275">AE257/V257</f>
        <v>#REF!</v>
      </c>
      <c r="AH257" s="102" t="str">
        <f t="shared" ca="1" si="275"/>
        <v>#REF!</v>
      </c>
    </row>
    <row r="258" spans="1:34" ht="13.2">
      <c r="A258" s="251"/>
      <c r="B258" s="251"/>
      <c r="C258" s="252"/>
      <c r="D258" s="252"/>
      <c r="E258" s="114"/>
      <c r="F258" s="252"/>
      <c r="G258" s="125" t="s">
        <v>145</v>
      </c>
      <c r="I258" s="172"/>
      <c r="J258" s="82" t="str">
        <f t="shared" ca="1" si="0"/>
        <v>#REF!</v>
      </c>
      <c r="K258" s="82" t="str">
        <f t="shared" ca="1" si="1"/>
        <v>#REF!</v>
      </c>
      <c r="L258" s="82" t="str">
        <f t="shared" ca="1" si="44"/>
        <v>#REF!</v>
      </c>
      <c r="M258" s="93"/>
      <c r="N258" s="93"/>
      <c r="O258" s="95">
        <f t="shared" si="2"/>
        <v>0</v>
      </c>
      <c r="P258" s="96">
        <f t="shared" si="3"/>
        <v>0</v>
      </c>
      <c r="Q258" s="97">
        <f t="shared" si="4"/>
        <v>0</v>
      </c>
      <c r="R258" s="97" t="str">
        <f ca="1">ROUNDUP(HLOOKUP(IF(CEILING(L258,0.5)&lt;1,0.5,CEILING(L258,0.5)),'배송비 조회'!A$44:AO$56,7,0)*B$3,-2)</f>
        <v>#REF!</v>
      </c>
      <c r="S258" s="97">
        <v>0</v>
      </c>
      <c r="T258" s="97" t="str">
        <f t="shared" ca="1" si="42"/>
        <v>#REF!</v>
      </c>
      <c r="U258" s="97" t="str">
        <f t="shared" ca="1" si="29"/>
        <v>#REF!</v>
      </c>
      <c r="V258" s="97" t="str">
        <f t="shared" ca="1" si="7"/>
        <v>#REF!</v>
      </c>
      <c r="W258" s="97" t="str">
        <f t="shared" ca="1" si="8"/>
        <v>#REF!</v>
      </c>
      <c r="X258" s="121">
        <v>0</v>
      </c>
      <c r="Y258" s="121" t="str">
        <f t="shared" ca="1" si="9"/>
        <v>#REF!</v>
      </c>
      <c r="Z258" s="121" t="str">
        <f t="shared" ca="1" si="10"/>
        <v>#REF!</v>
      </c>
      <c r="AA258" s="99" t="str">
        <f t="shared" ca="1" si="11"/>
        <v>#REF!</v>
      </c>
      <c r="AB258" s="234" t="str">
        <f t="shared" ca="1" si="12"/>
        <v>#REF!</v>
      </c>
      <c r="AC258" s="257" t="str">
        <f t="shared" ca="1" si="13"/>
        <v>#REF!</v>
      </c>
      <c r="AD258" s="234" t="str">
        <f t="shared" ca="1" si="14"/>
        <v>#REF!</v>
      </c>
      <c r="AE258" s="100" t="str">
        <f t="shared" ca="1" si="15"/>
        <v>#REF!</v>
      </c>
      <c r="AF258" s="101" t="str">
        <f t="shared" ca="1" si="16"/>
        <v>#REF!</v>
      </c>
      <c r="AG258" s="102" t="str">
        <f t="shared" ref="AG258:AH258" ca="1" si="276">AE258/V258</f>
        <v>#REF!</v>
      </c>
      <c r="AH258" s="102" t="str">
        <f t="shared" ca="1" si="276"/>
        <v>#REF!</v>
      </c>
    </row>
    <row r="259" spans="1:34" ht="13.2">
      <c r="A259" s="251"/>
      <c r="B259" s="251"/>
      <c r="C259" s="252"/>
      <c r="D259" s="252"/>
      <c r="E259" s="114"/>
      <c r="F259" s="252"/>
      <c r="G259" s="125" t="s">
        <v>145</v>
      </c>
      <c r="I259" s="172"/>
      <c r="J259" s="82" t="str">
        <f t="shared" ca="1" si="0"/>
        <v>#REF!</v>
      </c>
      <c r="K259" s="82" t="str">
        <f t="shared" ca="1" si="1"/>
        <v>#REF!</v>
      </c>
      <c r="L259" s="82" t="str">
        <f t="shared" ca="1" si="44"/>
        <v>#REF!</v>
      </c>
      <c r="M259" s="93"/>
      <c r="N259" s="93"/>
      <c r="O259" s="95">
        <f t="shared" si="2"/>
        <v>0</v>
      </c>
      <c r="P259" s="96">
        <f t="shared" si="3"/>
        <v>0</v>
      </c>
      <c r="Q259" s="97">
        <f t="shared" si="4"/>
        <v>0</v>
      </c>
      <c r="R259" s="97" t="str">
        <f ca="1">ROUNDUP(HLOOKUP(IF(CEILING(L259,0.5)&lt;1,0.5,CEILING(L259,0.5)),'배송비 조회'!A$44:AO$56,7,0)*B$3,-2)</f>
        <v>#REF!</v>
      </c>
      <c r="S259" s="97">
        <v>0</v>
      </c>
      <c r="T259" s="97" t="str">
        <f t="shared" ca="1" si="42"/>
        <v>#REF!</v>
      </c>
      <c r="U259" s="97" t="str">
        <f t="shared" ca="1" si="29"/>
        <v>#REF!</v>
      </c>
      <c r="V259" s="97" t="str">
        <f t="shared" ca="1" si="7"/>
        <v>#REF!</v>
      </c>
      <c r="W259" s="97" t="str">
        <f t="shared" ca="1" si="8"/>
        <v>#REF!</v>
      </c>
      <c r="X259" s="121">
        <v>0</v>
      </c>
      <c r="Y259" s="121" t="str">
        <f t="shared" ca="1" si="9"/>
        <v>#REF!</v>
      </c>
      <c r="Z259" s="121" t="str">
        <f t="shared" ca="1" si="10"/>
        <v>#REF!</v>
      </c>
      <c r="AA259" s="99" t="str">
        <f t="shared" ca="1" si="11"/>
        <v>#REF!</v>
      </c>
      <c r="AB259" s="234" t="str">
        <f t="shared" ca="1" si="12"/>
        <v>#REF!</v>
      </c>
      <c r="AC259" s="257" t="str">
        <f t="shared" ca="1" si="13"/>
        <v>#REF!</v>
      </c>
      <c r="AD259" s="234" t="str">
        <f t="shared" ca="1" si="14"/>
        <v>#REF!</v>
      </c>
      <c r="AE259" s="100" t="str">
        <f t="shared" ca="1" si="15"/>
        <v>#REF!</v>
      </c>
      <c r="AF259" s="101" t="str">
        <f t="shared" ca="1" si="16"/>
        <v>#REF!</v>
      </c>
      <c r="AG259" s="102" t="str">
        <f t="shared" ref="AG259:AH259" ca="1" si="277">AE259/V259</f>
        <v>#REF!</v>
      </c>
      <c r="AH259" s="102" t="str">
        <f t="shared" ca="1" si="277"/>
        <v>#REF!</v>
      </c>
    </row>
    <row r="260" spans="1:34" ht="13.2">
      <c r="A260" s="251"/>
      <c r="B260" s="251"/>
      <c r="C260" s="252"/>
      <c r="D260" s="252"/>
      <c r="E260" s="114"/>
      <c r="F260" s="252"/>
      <c r="G260" s="125" t="s">
        <v>145</v>
      </c>
      <c r="I260" s="172"/>
      <c r="J260" s="82" t="str">
        <f t="shared" ca="1" si="0"/>
        <v>#REF!</v>
      </c>
      <c r="K260" s="82" t="str">
        <f t="shared" ca="1" si="1"/>
        <v>#REF!</v>
      </c>
      <c r="L260" s="82" t="str">
        <f t="shared" ca="1" si="44"/>
        <v>#REF!</v>
      </c>
      <c r="M260" s="93"/>
      <c r="N260" s="93"/>
      <c r="O260" s="95">
        <f t="shared" si="2"/>
        <v>0</v>
      </c>
      <c r="P260" s="96">
        <f t="shared" si="3"/>
        <v>0</v>
      </c>
      <c r="Q260" s="97">
        <f t="shared" si="4"/>
        <v>0</v>
      </c>
      <c r="R260" s="97" t="str">
        <f ca="1">ROUNDUP(HLOOKUP(IF(CEILING(L260,0.5)&lt;1,0.5,CEILING(L260,0.5)),'배송비 조회'!A$44:AO$56,7,0)*B$3,-2)</f>
        <v>#REF!</v>
      </c>
      <c r="S260" s="97">
        <v>0</v>
      </c>
      <c r="T260" s="97" t="str">
        <f t="shared" ca="1" si="42"/>
        <v>#REF!</v>
      </c>
      <c r="U260" s="97" t="str">
        <f t="shared" ca="1" si="29"/>
        <v>#REF!</v>
      </c>
      <c r="V260" s="97" t="str">
        <f t="shared" ca="1" si="7"/>
        <v>#REF!</v>
      </c>
      <c r="W260" s="97" t="str">
        <f t="shared" ca="1" si="8"/>
        <v>#REF!</v>
      </c>
      <c r="X260" s="121">
        <v>0</v>
      </c>
      <c r="Y260" s="121" t="str">
        <f t="shared" ca="1" si="9"/>
        <v>#REF!</v>
      </c>
      <c r="Z260" s="121" t="str">
        <f t="shared" ca="1" si="10"/>
        <v>#REF!</v>
      </c>
      <c r="AA260" s="99" t="str">
        <f t="shared" ca="1" si="11"/>
        <v>#REF!</v>
      </c>
      <c r="AB260" s="234" t="str">
        <f t="shared" ca="1" si="12"/>
        <v>#REF!</v>
      </c>
      <c r="AC260" s="257" t="str">
        <f t="shared" ca="1" si="13"/>
        <v>#REF!</v>
      </c>
      <c r="AD260" s="234" t="str">
        <f t="shared" ca="1" si="14"/>
        <v>#REF!</v>
      </c>
      <c r="AE260" s="100" t="str">
        <f t="shared" ca="1" si="15"/>
        <v>#REF!</v>
      </c>
      <c r="AF260" s="101" t="str">
        <f t="shared" ca="1" si="16"/>
        <v>#REF!</v>
      </c>
      <c r="AG260" s="102" t="str">
        <f t="shared" ref="AG260:AH260" ca="1" si="278">AE260/V260</f>
        <v>#REF!</v>
      </c>
      <c r="AH260" s="102" t="str">
        <f t="shared" ca="1" si="278"/>
        <v>#REF!</v>
      </c>
    </row>
    <row r="261" spans="1:34" ht="13.2">
      <c r="A261" s="251"/>
      <c r="B261" s="251"/>
      <c r="C261" s="252"/>
      <c r="D261" s="252"/>
      <c r="E261" s="114"/>
      <c r="F261" s="252"/>
      <c r="G261" s="125" t="s">
        <v>145</v>
      </c>
      <c r="I261" s="172"/>
      <c r="J261" s="82" t="str">
        <f t="shared" ca="1" si="0"/>
        <v>#REF!</v>
      </c>
      <c r="K261" s="82" t="str">
        <f t="shared" ca="1" si="1"/>
        <v>#REF!</v>
      </c>
      <c r="L261" s="82" t="str">
        <f t="shared" ca="1" si="44"/>
        <v>#REF!</v>
      </c>
      <c r="M261" s="93"/>
      <c r="N261" s="93"/>
      <c r="O261" s="95">
        <f t="shared" si="2"/>
        <v>0</v>
      </c>
      <c r="P261" s="96">
        <f t="shared" si="3"/>
        <v>0</v>
      </c>
      <c r="Q261" s="97">
        <f t="shared" si="4"/>
        <v>0</v>
      </c>
      <c r="R261" s="97" t="str">
        <f ca="1">ROUNDUP(HLOOKUP(IF(CEILING(L261,0.5)&lt;1,0.5,CEILING(L261,0.5)),'배송비 조회'!A$44:AO$56,7,0)*B$3,-2)</f>
        <v>#REF!</v>
      </c>
      <c r="S261" s="97">
        <v>0</v>
      </c>
      <c r="T261" s="97" t="str">
        <f t="shared" ca="1" si="42"/>
        <v>#REF!</v>
      </c>
      <c r="U261" s="97" t="str">
        <f t="shared" ca="1" si="29"/>
        <v>#REF!</v>
      </c>
      <c r="V261" s="97" t="str">
        <f t="shared" ca="1" si="7"/>
        <v>#REF!</v>
      </c>
      <c r="W261" s="97" t="str">
        <f t="shared" ca="1" si="8"/>
        <v>#REF!</v>
      </c>
      <c r="X261" s="121">
        <v>0</v>
      </c>
      <c r="Y261" s="121" t="str">
        <f t="shared" ca="1" si="9"/>
        <v>#REF!</v>
      </c>
      <c r="Z261" s="121" t="str">
        <f t="shared" ca="1" si="10"/>
        <v>#REF!</v>
      </c>
      <c r="AA261" s="99" t="str">
        <f t="shared" ca="1" si="11"/>
        <v>#REF!</v>
      </c>
      <c r="AB261" s="234" t="str">
        <f t="shared" ca="1" si="12"/>
        <v>#REF!</v>
      </c>
      <c r="AC261" s="257" t="str">
        <f t="shared" ca="1" si="13"/>
        <v>#REF!</v>
      </c>
      <c r="AD261" s="234" t="str">
        <f t="shared" ca="1" si="14"/>
        <v>#REF!</v>
      </c>
      <c r="AE261" s="100" t="str">
        <f t="shared" ca="1" si="15"/>
        <v>#REF!</v>
      </c>
      <c r="AF261" s="101" t="str">
        <f t="shared" ca="1" si="16"/>
        <v>#REF!</v>
      </c>
      <c r="AG261" s="102" t="str">
        <f t="shared" ref="AG261:AH261" ca="1" si="279">AE261/V261</f>
        <v>#REF!</v>
      </c>
      <c r="AH261" s="102" t="str">
        <f t="shared" ca="1" si="279"/>
        <v>#REF!</v>
      </c>
    </row>
    <row r="262" spans="1:34" ht="13.2">
      <c r="A262" s="251"/>
      <c r="B262" s="251"/>
      <c r="C262" s="252"/>
      <c r="D262" s="252"/>
      <c r="E262" s="114"/>
      <c r="F262" s="252"/>
      <c r="G262" s="125" t="s">
        <v>145</v>
      </c>
      <c r="I262" s="172"/>
      <c r="J262" s="82" t="str">
        <f t="shared" ca="1" si="0"/>
        <v>#REF!</v>
      </c>
      <c r="K262" s="82" t="str">
        <f t="shared" ca="1" si="1"/>
        <v>#REF!</v>
      </c>
      <c r="L262" s="82" t="str">
        <f t="shared" ca="1" si="44"/>
        <v>#REF!</v>
      </c>
      <c r="M262" s="93"/>
      <c r="N262" s="93"/>
      <c r="O262" s="95">
        <f t="shared" si="2"/>
        <v>0</v>
      </c>
      <c r="P262" s="96">
        <f t="shared" si="3"/>
        <v>0</v>
      </c>
      <c r="Q262" s="97">
        <f t="shared" si="4"/>
        <v>0</v>
      </c>
      <c r="R262" s="97" t="str">
        <f ca="1">ROUNDUP(HLOOKUP(IF(CEILING(L262,0.5)&lt;1,0.5,CEILING(L262,0.5)),'배송비 조회'!A$44:AO$56,7,0)*B$3,-2)</f>
        <v>#REF!</v>
      </c>
      <c r="S262" s="97">
        <v>0</v>
      </c>
      <c r="T262" s="97" t="str">
        <f t="shared" ca="1" si="42"/>
        <v>#REF!</v>
      </c>
      <c r="U262" s="97" t="str">
        <f t="shared" ca="1" si="29"/>
        <v>#REF!</v>
      </c>
      <c r="V262" s="97" t="str">
        <f t="shared" ca="1" si="7"/>
        <v>#REF!</v>
      </c>
      <c r="W262" s="97" t="str">
        <f t="shared" ca="1" si="8"/>
        <v>#REF!</v>
      </c>
      <c r="X262" s="121">
        <v>0</v>
      </c>
      <c r="Y262" s="121" t="str">
        <f t="shared" ca="1" si="9"/>
        <v>#REF!</v>
      </c>
      <c r="Z262" s="121" t="str">
        <f t="shared" ca="1" si="10"/>
        <v>#REF!</v>
      </c>
      <c r="AA262" s="99" t="str">
        <f t="shared" ca="1" si="11"/>
        <v>#REF!</v>
      </c>
      <c r="AB262" s="234" t="str">
        <f t="shared" ca="1" si="12"/>
        <v>#REF!</v>
      </c>
      <c r="AC262" s="257" t="str">
        <f t="shared" ca="1" si="13"/>
        <v>#REF!</v>
      </c>
      <c r="AD262" s="234" t="str">
        <f t="shared" ca="1" si="14"/>
        <v>#REF!</v>
      </c>
      <c r="AE262" s="100" t="str">
        <f t="shared" ca="1" si="15"/>
        <v>#REF!</v>
      </c>
      <c r="AF262" s="101" t="str">
        <f t="shared" ca="1" si="16"/>
        <v>#REF!</v>
      </c>
      <c r="AG262" s="102" t="str">
        <f t="shared" ref="AG262:AH262" ca="1" si="280">AE262/V262</f>
        <v>#REF!</v>
      </c>
      <c r="AH262" s="102" t="str">
        <f t="shared" ca="1" si="280"/>
        <v>#REF!</v>
      </c>
    </row>
    <row r="263" spans="1:34" ht="13.2">
      <c r="A263" s="251"/>
      <c r="B263" s="251"/>
      <c r="C263" s="252"/>
      <c r="D263" s="252"/>
      <c r="E263" s="114"/>
      <c r="F263" s="252"/>
      <c r="G263" s="125" t="s">
        <v>145</v>
      </c>
      <c r="I263" s="172"/>
      <c r="J263" s="82" t="str">
        <f t="shared" ca="1" si="0"/>
        <v>#REF!</v>
      </c>
      <c r="K263" s="82" t="str">
        <f t="shared" ca="1" si="1"/>
        <v>#REF!</v>
      </c>
      <c r="L263" s="82" t="str">
        <f t="shared" ca="1" si="44"/>
        <v>#REF!</v>
      </c>
      <c r="M263" s="93"/>
      <c r="N263" s="93"/>
      <c r="O263" s="95">
        <f t="shared" si="2"/>
        <v>0</v>
      </c>
      <c r="P263" s="96">
        <f t="shared" si="3"/>
        <v>0</v>
      </c>
      <c r="Q263" s="97">
        <f t="shared" si="4"/>
        <v>0</v>
      </c>
      <c r="R263" s="97" t="str">
        <f ca="1">ROUNDUP(HLOOKUP(IF(CEILING(L263,0.5)&lt;1,0.5,CEILING(L263,0.5)),'배송비 조회'!A$44:AO$56,7,0)*B$3,-2)</f>
        <v>#REF!</v>
      </c>
      <c r="S263" s="97">
        <v>0</v>
      </c>
      <c r="T263" s="97" t="str">
        <f t="shared" ca="1" si="42"/>
        <v>#REF!</v>
      </c>
      <c r="U263" s="97" t="str">
        <f t="shared" ca="1" si="29"/>
        <v>#REF!</v>
      </c>
      <c r="V263" s="97" t="str">
        <f t="shared" ca="1" si="7"/>
        <v>#REF!</v>
      </c>
      <c r="W263" s="97" t="str">
        <f t="shared" ca="1" si="8"/>
        <v>#REF!</v>
      </c>
      <c r="X263" s="121">
        <v>0</v>
      </c>
      <c r="Y263" s="121" t="str">
        <f t="shared" ca="1" si="9"/>
        <v>#REF!</v>
      </c>
      <c r="Z263" s="121" t="str">
        <f t="shared" ca="1" si="10"/>
        <v>#REF!</v>
      </c>
      <c r="AA263" s="99" t="str">
        <f t="shared" ca="1" si="11"/>
        <v>#REF!</v>
      </c>
      <c r="AB263" s="234" t="str">
        <f t="shared" ca="1" si="12"/>
        <v>#REF!</v>
      </c>
      <c r="AC263" s="257" t="str">
        <f t="shared" ca="1" si="13"/>
        <v>#REF!</v>
      </c>
      <c r="AD263" s="234" t="str">
        <f t="shared" ca="1" si="14"/>
        <v>#REF!</v>
      </c>
      <c r="AE263" s="100" t="str">
        <f t="shared" ca="1" si="15"/>
        <v>#REF!</v>
      </c>
      <c r="AF263" s="101" t="str">
        <f t="shared" ca="1" si="16"/>
        <v>#REF!</v>
      </c>
      <c r="AG263" s="102" t="str">
        <f t="shared" ref="AG263:AH263" ca="1" si="281">AE263/V263</f>
        <v>#REF!</v>
      </c>
      <c r="AH263" s="102" t="str">
        <f t="shared" ca="1" si="281"/>
        <v>#REF!</v>
      </c>
    </row>
    <row r="264" spans="1:34" ht="13.2">
      <c r="A264" s="251"/>
      <c r="B264" s="251"/>
      <c r="C264" s="252"/>
      <c r="D264" s="252"/>
      <c r="E264" s="114"/>
      <c r="F264" s="252"/>
      <c r="G264" s="125" t="s">
        <v>145</v>
      </c>
      <c r="I264" s="172"/>
      <c r="J264" s="82" t="str">
        <f t="shared" ca="1" si="0"/>
        <v>#REF!</v>
      </c>
      <c r="K264" s="82" t="str">
        <f t="shared" ca="1" si="1"/>
        <v>#REF!</v>
      </c>
      <c r="L264" s="82" t="str">
        <f t="shared" ca="1" si="44"/>
        <v>#REF!</v>
      </c>
      <c r="M264" s="93"/>
      <c r="N264" s="93"/>
      <c r="O264" s="95">
        <f t="shared" si="2"/>
        <v>0</v>
      </c>
      <c r="P264" s="96">
        <f t="shared" si="3"/>
        <v>0</v>
      </c>
      <c r="Q264" s="97">
        <f t="shared" si="4"/>
        <v>0</v>
      </c>
      <c r="R264" s="97" t="str">
        <f ca="1">ROUNDUP(HLOOKUP(IF(CEILING(L264,0.5)&lt;1,0.5,CEILING(L264,0.5)),'배송비 조회'!A$44:AO$56,7,0)*B$3,-2)</f>
        <v>#REF!</v>
      </c>
      <c r="S264" s="97">
        <v>0</v>
      </c>
      <c r="T264" s="97" t="str">
        <f t="shared" ca="1" si="42"/>
        <v>#REF!</v>
      </c>
      <c r="U264" s="97" t="str">
        <f t="shared" ca="1" si="29"/>
        <v>#REF!</v>
      </c>
      <c r="V264" s="97" t="str">
        <f t="shared" ca="1" si="7"/>
        <v>#REF!</v>
      </c>
      <c r="W264" s="97" t="str">
        <f t="shared" ca="1" si="8"/>
        <v>#REF!</v>
      </c>
      <c r="X264" s="121">
        <v>0</v>
      </c>
      <c r="Y264" s="121" t="str">
        <f t="shared" ca="1" si="9"/>
        <v>#REF!</v>
      </c>
      <c r="Z264" s="121" t="str">
        <f t="shared" ca="1" si="10"/>
        <v>#REF!</v>
      </c>
      <c r="AA264" s="99" t="str">
        <f t="shared" ca="1" si="11"/>
        <v>#REF!</v>
      </c>
      <c r="AB264" s="234" t="str">
        <f t="shared" ca="1" si="12"/>
        <v>#REF!</v>
      </c>
      <c r="AC264" s="257" t="str">
        <f t="shared" ca="1" si="13"/>
        <v>#REF!</v>
      </c>
      <c r="AD264" s="234" t="str">
        <f t="shared" ca="1" si="14"/>
        <v>#REF!</v>
      </c>
      <c r="AE264" s="100" t="str">
        <f t="shared" ca="1" si="15"/>
        <v>#REF!</v>
      </c>
      <c r="AF264" s="101" t="str">
        <f t="shared" ca="1" si="16"/>
        <v>#REF!</v>
      </c>
      <c r="AG264" s="102" t="str">
        <f t="shared" ref="AG264:AH264" ca="1" si="282">AE264/V264</f>
        <v>#REF!</v>
      </c>
      <c r="AH264" s="102" t="str">
        <f t="shared" ca="1" si="282"/>
        <v>#REF!</v>
      </c>
    </row>
    <row r="265" spans="1:34" ht="13.2">
      <c r="A265" s="251"/>
      <c r="B265" s="251"/>
      <c r="C265" s="252"/>
      <c r="D265" s="252"/>
      <c r="E265" s="114"/>
      <c r="F265" s="252"/>
      <c r="G265" s="125" t="s">
        <v>145</v>
      </c>
      <c r="I265" s="172"/>
      <c r="J265" s="82" t="str">
        <f t="shared" ca="1" si="0"/>
        <v>#REF!</v>
      </c>
      <c r="K265" s="82" t="str">
        <f t="shared" ca="1" si="1"/>
        <v>#REF!</v>
      </c>
      <c r="L265" s="82" t="str">
        <f t="shared" ca="1" si="44"/>
        <v>#REF!</v>
      </c>
      <c r="M265" s="93"/>
      <c r="N265" s="93"/>
      <c r="O265" s="95">
        <f t="shared" si="2"/>
        <v>0</v>
      </c>
      <c r="P265" s="96">
        <f t="shared" si="3"/>
        <v>0</v>
      </c>
      <c r="Q265" s="97">
        <f t="shared" si="4"/>
        <v>0</v>
      </c>
      <c r="R265" s="97" t="str">
        <f ca="1">ROUNDUP(HLOOKUP(IF(CEILING(L265,0.5)&lt;1,0.5,CEILING(L265,0.5)),'배송비 조회'!A$44:AO$56,7,0)*B$3,-2)</f>
        <v>#REF!</v>
      </c>
      <c r="S265" s="97">
        <v>0</v>
      </c>
      <c r="T265" s="97" t="str">
        <f t="shared" ca="1" si="42"/>
        <v>#REF!</v>
      </c>
      <c r="U265" s="97" t="str">
        <f t="shared" ca="1" si="29"/>
        <v>#REF!</v>
      </c>
      <c r="V265" s="97" t="str">
        <f t="shared" ca="1" si="7"/>
        <v>#REF!</v>
      </c>
      <c r="W265" s="97" t="str">
        <f t="shared" ca="1" si="8"/>
        <v>#REF!</v>
      </c>
      <c r="X265" s="121">
        <v>0</v>
      </c>
      <c r="Y265" s="121" t="str">
        <f t="shared" ca="1" si="9"/>
        <v>#REF!</v>
      </c>
      <c r="Z265" s="121" t="str">
        <f t="shared" ca="1" si="10"/>
        <v>#REF!</v>
      </c>
      <c r="AA265" s="99" t="str">
        <f t="shared" ca="1" si="11"/>
        <v>#REF!</v>
      </c>
      <c r="AB265" s="234" t="str">
        <f t="shared" ca="1" si="12"/>
        <v>#REF!</v>
      </c>
      <c r="AC265" s="257" t="str">
        <f t="shared" ca="1" si="13"/>
        <v>#REF!</v>
      </c>
      <c r="AD265" s="234" t="str">
        <f t="shared" ca="1" si="14"/>
        <v>#REF!</v>
      </c>
      <c r="AE265" s="100" t="str">
        <f t="shared" ca="1" si="15"/>
        <v>#REF!</v>
      </c>
      <c r="AF265" s="101" t="str">
        <f t="shared" ca="1" si="16"/>
        <v>#REF!</v>
      </c>
      <c r="AG265" s="102" t="str">
        <f t="shared" ref="AG265:AH265" ca="1" si="283">AE265/V265</f>
        <v>#REF!</v>
      </c>
      <c r="AH265" s="102" t="str">
        <f t="shared" ca="1" si="283"/>
        <v>#REF!</v>
      </c>
    </row>
    <row r="266" spans="1:34" ht="13.2">
      <c r="A266" s="251"/>
      <c r="B266" s="251"/>
      <c r="C266" s="252"/>
      <c r="D266" s="252"/>
      <c r="E266" s="114"/>
      <c r="F266" s="252"/>
      <c r="G266" s="125" t="s">
        <v>145</v>
      </c>
      <c r="I266" s="172"/>
      <c r="J266" s="82" t="str">
        <f t="shared" ca="1" si="0"/>
        <v>#REF!</v>
      </c>
      <c r="K266" s="82" t="str">
        <f t="shared" ca="1" si="1"/>
        <v>#REF!</v>
      </c>
      <c r="L266" s="82" t="str">
        <f t="shared" ca="1" si="44"/>
        <v>#REF!</v>
      </c>
      <c r="M266" s="93"/>
      <c r="N266" s="93"/>
      <c r="O266" s="95">
        <f t="shared" si="2"/>
        <v>0</v>
      </c>
      <c r="P266" s="96">
        <f t="shared" si="3"/>
        <v>0</v>
      </c>
      <c r="Q266" s="97">
        <f t="shared" si="4"/>
        <v>0</v>
      </c>
      <c r="R266" s="97" t="str">
        <f ca="1">ROUNDUP(HLOOKUP(IF(CEILING(L266,0.5)&lt;1,0.5,CEILING(L266,0.5)),'배송비 조회'!A$44:AO$56,7,0)*B$3,-2)</f>
        <v>#REF!</v>
      </c>
      <c r="S266" s="97">
        <v>0</v>
      </c>
      <c r="T266" s="97" t="str">
        <f t="shared" ca="1" si="42"/>
        <v>#REF!</v>
      </c>
      <c r="U266" s="97" t="str">
        <f t="shared" ca="1" si="29"/>
        <v>#REF!</v>
      </c>
      <c r="V266" s="97" t="str">
        <f t="shared" ca="1" si="7"/>
        <v>#REF!</v>
      </c>
      <c r="W266" s="97" t="str">
        <f t="shared" ca="1" si="8"/>
        <v>#REF!</v>
      </c>
      <c r="X266" s="121">
        <v>0</v>
      </c>
      <c r="Y266" s="121" t="str">
        <f t="shared" ca="1" si="9"/>
        <v>#REF!</v>
      </c>
      <c r="Z266" s="121" t="str">
        <f t="shared" ca="1" si="10"/>
        <v>#REF!</v>
      </c>
      <c r="AA266" s="99" t="str">
        <f t="shared" ca="1" si="11"/>
        <v>#REF!</v>
      </c>
      <c r="AB266" s="234" t="str">
        <f t="shared" ca="1" si="12"/>
        <v>#REF!</v>
      </c>
      <c r="AC266" s="257" t="str">
        <f t="shared" ca="1" si="13"/>
        <v>#REF!</v>
      </c>
      <c r="AD266" s="234" t="str">
        <f t="shared" ca="1" si="14"/>
        <v>#REF!</v>
      </c>
      <c r="AE266" s="100" t="str">
        <f t="shared" ca="1" si="15"/>
        <v>#REF!</v>
      </c>
      <c r="AF266" s="101" t="str">
        <f t="shared" ca="1" si="16"/>
        <v>#REF!</v>
      </c>
      <c r="AG266" s="102" t="str">
        <f t="shared" ref="AG266:AH266" ca="1" si="284">AE266/V266</f>
        <v>#REF!</v>
      </c>
      <c r="AH266" s="102" t="str">
        <f t="shared" ca="1" si="284"/>
        <v>#REF!</v>
      </c>
    </row>
    <row r="267" spans="1:34" ht="13.2">
      <c r="A267" s="251"/>
      <c r="B267" s="251"/>
      <c r="C267" s="252"/>
      <c r="D267" s="252"/>
      <c r="E267" s="114"/>
      <c r="F267" s="252"/>
      <c r="G267" s="125" t="s">
        <v>145</v>
      </c>
      <c r="I267" s="172"/>
      <c r="J267" s="82" t="str">
        <f t="shared" ca="1" si="0"/>
        <v>#REF!</v>
      </c>
      <c r="K267" s="82" t="str">
        <f t="shared" ca="1" si="1"/>
        <v>#REF!</v>
      </c>
      <c r="L267" s="82" t="str">
        <f t="shared" ca="1" si="44"/>
        <v>#REF!</v>
      </c>
      <c r="M267" s="93"/>
      <c r="N267" s="93"/>
      <c r="O267" s="95">
        <f t="shared" si="2"/>
        <v>0</v>
      </c>
      <c r="P267" s="96">
        <f t="shared" si="3"/>
        <v>0</v>
      </c>
      <c r="Q267" s="97">
        <f t="shared" si="4"/>
        <v>0</v>
      </c>
      <c r="R267" s="97" t="str">
        <f ca="1">ROUNDUP(HLOOKUP(IF(CEILING(L267,0.5)&lt;1,0.5,CEILING(L267,0.5)),'배송비 조회'!A$44:AO$56,7,0)*B$3,-2)</f>
        <v>#REF!</v>
      </c>
      <c r="S267" s="97">
        <v>0</v>
      </c>
      <c r="T267" s="97" t="str">
        <f t="shared" ca="1" si="42"/>
        <v>#REF!</v>
      </c>
      <c r="U267" s="97" t="str">
        <f t="shared" ca="1" si="29"/>
        <v>#REF!</v>
      </c>
      <c r="V267" s="97" t="str">
        <f t="shared" ca="1" si="7"/>
        <v>#REF!</v>
      </c>
      <c r="W267" s="97" t="str">
        <f t="shared" ca="1" si="8"/>
        <v>#REF!</v>
      </c>
      <c r="X267" s="121">
        <v>0</v>
      </c>
      <c r="Y267" s="121" t="str">
        <f t="shared" ca="1" si="9"/>
        <v>#REF!</v>
      </c>
      <c r="Z267" s="121" t="str">
        <f t="shared" ca="1" si="10"/>
        <v>#REF!</v>
      </c>
      <c r="AA267" s="99" t="str">
        <f t="shared" ca="1" si="11"/>
        <v>#REF!</v>
      </c>
      <c r="AB267" s="234" t="str">
        <f t="shared" ca="1" si="12"/>
        <v>#REF!</v>
      </c>
      <c r="AC267" s="257" t="str">
        <f t="shared" ca="1" si="13"/>
        <v>#REF!</v>
      </c>
      <c r="AD267" s="234" t="str">
        <f t="shared" ca="1" si="14"/>
        <v>#REF!</v>
      </c>
      <c r="AE267" s="100" t="str">
        <f t="shared" ca="1" si="15"/>
        <v>#REF!</v>
      </c>
      <c r="AF267" s="101" t="str">
        <f t="shared" ca="1" si="16"/>
        <v>#REF!</v>
      </c>
      <c r="AG267" s="102" t="str">
        <f t="shared" ref="AG267:AH267" ca="1" si="285">AE267/V267</f>
        <v>#REF!</v>
      </c>
      <c r="AH267" s="102" t="str">
        <f t="shared" ca="1" si="285"/>
        <v>#REF!</v>
      </c>
    </row>
    <row r="268" spans="1:34" ht="13.2">
      <c r="A268" s="251"/>
      <c r="B268" s="251"/>
      <c r="C268" s="252"/>
      <c r="D268" s="252"/>
      <c r="E268" s="114"/>
      <c r="F268" s="252"/>
      <c r="G268" s="125" t="s">
        <v>145</v>
      </c>
      <c r="I268" s="172"/>
      <c r="J268" s="82" t="str">
        <f t="shared" ca="1" si="0"/>
        <v>#REF!</v>
      </c>
      <c r="K268" s="82" t="str">
        <f t="shared" ca="1" si="1"/>
        <v>#REF!</v>
      </c>
      <c r="L268" s="82" t="str">
        <f t="shared" ca="1" si="44"/>
        <v>#REF!</v>
      </c>
      <c r="M268" s="93"/>
      <c r="N268" s="93"/>
      <c r="O268" s="95">
        <f t="shared" si="2"/>
        <v>0</v>
      </c>
      <c r="P268" s="96">
        <f t="shared" si="3"/>
        <v>0</v>
      </c>
      <c r="Q268" s="97">
        <f t="shared" si="4"/>
        <v>0</v>
      </c>
      <c r="R268" s="97" t="str">
        <f ca="1">ROUNDUP(HLOOKUP(IF(CEILING(L268,0.5)&lt;1,0.5,CEILING(L268,0.5)),'배송비 조회'!A$44:AO$56,7,0)*B$3,-2)</f>
        <v>#REF!</v>
      </c>
      <c r="S268" s="97">
        <v>0</v>
      </c>
      <c r="T268" s="97" t="str">
        <f t="shared" ca="1" si="42"/>
        <v>#REF!</v>
      </c>
      <c r="U268" s="97" t="str">
        <f t="shared" ca="1" si="29"/>
        <v>#REF!</v>
      </c>
      <c r="V268" s="97" t="str">
        <f t="shared" ca="1" si="7"/>
        <v>#REF!</v>
      </c>
      <c r="W268" s="97" t="str">
        <f t="shared" ca="1" si="8"/>
        <v>#REF!</v>
      </c>
      <c r="X268" s="121">
        <v>0</v>
      </c>
      <c r="Y268" s="121" t="str">
        <f t="shared" ca="1" si="9"/>
        <v>#REF!</v>
      </c>
      <c r="Z268" s="121" t="str">
        <f t="shared" ca="1" si="10"/>
        <v>#REF!</v>
      </c>
      <c r="AA268" s="99" t="str">
        <f t="shared" ca="1" si="11"/>
        <v>#REF!</v>
      </c>
      <c r="AB268" s="234" t="str">
        <f t="shared" ca="1" si="12"/>
        <v>#REF!</v>
      </c>
      <c r="AC268" s="257" t="str">
        <f t="shared" ca="1" si="13"/>
        <v>#REF!</v>
      </c>
      <c r="AD268" s="234" t="str">
        <f t="shared" ca="1" si="14"/>
        <v>#REF!</v>
      </c>
      <c r="AE268" s="100" t="str">
        <f t="shared" ca="1" si="15"/>
        <v>#REF!</v>
      </c>
      <c r="AF268" s="101" t="str">
        <f t="shared" ca="1" si="16"/>
        <v>#REF!</v>
      </c>
      <c r="AG268" s="102" t="str">
        <f t="shared" ref="AG268:AH268" ca="1" si="286">AE268/V268</f>
        <v>#REF!</v>
      </c>
      <c r="AH268" s="102" t="str">
        <f t="shared" ca="1" si="286"/>
        <v>#REF!</v>
      </c>
    </row>
    <row r="269" spans="1:34" ht="13.2">
      <c r="A269" s="251"/>
      <c r="B269" s="251"/>
      <c r="C269" s="252"/>
      <c r="D269" s="252"/>
      <c r="E269" s="114"/>
      <c r="F269" s="252"/>
      <c r="G269" s="125" t="s">
        <v>145</v>
      </c>
      <c r="I269" s="172"/>
      <c r="J269" s="82" t="str">
        <f t="shared" ca="1" si="0"/>
        <v>#REF!</v>
      </c>
      <c r="K269" s="82" t="str">
        <f t="shared" ca="1" si="1"/>
        <v>#REF!</v>
      </c>
      <c r="L269" s="82" t="str">
        <f t="shared" ca="1" si="44"/>
        <v>#REF!</v>
      </c>
      <c r="M269" s="93"/>
      <c r="N269" s="93"/>
      <c r="O269" s="95">
        <f t="shared" si="2"/>
        <v>0</v>
      </c>
      <c r="P269" s="96">
        <f t="shared" si="3"/>
        <v>0</v>
      </c>
      <c r="Q269" s="97">
        <f t="shared" si="4"/>
        <v>0</v>
      </c>
      <c r="R269" s="97" t="str">
        <f ca="1">ROUNDUP(HLOOKUP(IF(CEILING(L269,0.5)&lt;1,0.5,CEILING(L269,0.5)),'배송비 조회'!A$44:AO$56,7,0)*B$3,-2)</f>
        <v>#REF!</v>
      </c>
      <c r="S269" s="97">
        <v>0</v>
      </c>
      <c r="T269" s="97" t="str">
        <f t="shared" ca="1" si="42"/>
        <v>#REF!</v>
      </c>
      <c r="U269" s="97" t="str">
        <f t="shared" ca="1" si="29"/>
        <v>#REF!</v>
      </c>
      <c r="V269" s="97" t="str">
        <f t="shared" ca="1" si="7"/>
        <v>#REF!</v>
      </c>
      <c r="W269" s="97" t="str">
        <f t="shared" ca="1" si="8"/>
        <v>#REF!</v>
      </c>
      <c r="X269" s="121">
        <v>0</v>
      </c>
      <c r="Y269" s="121" t="str">
        <f t="shared" ca="1" si="9"/>
        <v>#REF!</v>
      </c>
      <c r="Z269" s="121" t="str">
        <f t="shared" ca="1" si="10"/>
        <v>#REF!</v>
      </c>
      <c r="AA269" s="99" t="str">
        <f t="shared" ca="1" si="11"/>
        <v>#REF!</v>
      </c>
      <c r="AB269" s="234" t="str">
        <f t="shared" ca="1" si="12"/>
        <v>#REF!</v>
      </c>
      <c r="AC269" s="257" t="str">
        <f t="shared" ca="1" si="13"/>
        <v>#REF!</v>
      </c>
      <c r="AD269" s="234" t="str">
        <f t="shared" ca="1" si="14"/>
        <v>#REF!</v>
      </c>
      <c r="AE269" s="100" t="str">
        <f t="shared" ca="1" si="15"/>
        <v>#REF!</v>
      </c>
      <c r="AF269" s="101" t="str">
        <f t="shared" ca="1" si="16"/>
        <v>#REF!</v>
      </c>
      <c r="AG269" s="102" t="str">
        <f t="shared" ref="AG269:AH269" ca="1" si="287">AE269/V269</f>
        <v>#REF!</v>
      </c>
      <c r="AH269" s="102" t="str">
        <f t="shared" ca="1" si="287"/>
        <v>#REF!</v>
      </c>
    </row>
    <row r="270" spans="1:34" ht="13.2">
      <c r="A270" s="251"/>
      <c r="B270" s="251"/>
      <c r="C270" s="252"/>
      <c r="D270" s="252"/>
      <c r="E270" s="114"/>
      <c r="F270" s="252"/>
      <c r="G270" s="125" t="s">
        <v>145</v>
      </c>
      <c r="I270" s="172"/>
      <c r="J270" s="82" t="str">
        <f t="shared" ca="1" si="0"/>
        <v>#REF!</v>
      </c>
      <c r="K270" s="82" t="str">
        <f t="shared" ca="1" si="1"/>
        <v>#REF!</v>
      </c>
      <c r="L270" s="82" t="str">
        <f t="shared" ca="1" si="44"/>
        <v>#REF!</v>
      </c>
      <c r="M270" s="93"/>
      <c r="N270" s="93"/>
      <c r="O270" s="95">
        <f t="shared" si="2"/>
        <v>0</v>
      </c>
      <c r="P270" s="96">
        <f t="shared" si="3"/>
        <v>0</v>
      </c>
      <c r="Q270" s="97">
        <f t="shared" si="4"/>
        <v>0</v>
      </c>
      <c r="R270" s="97" t="str">
        <f ca="1">ROUNDUP(HLOOKUP(IF(CEILING(L270,0.5)&lt;1,0.5,CEILING(L270,0.5)),'배송비 조회'!A$44:AO$56,7,0)*B$3,-2)</f>
        <v>#REF!</v>
      </c>
      <c r="S270" s="97">
        <v>0</v>
      </c>
      <c r="T270" s="97" t="str">
        <f t="shared" ca="1" si="42"/>
        <v>#REF!</v>
      </c>
      <c r="U270" s="97" t="str">
        <f t="shared" ca="1" si="29"/>
        <v>#REF!</v>
      </c>
      <c r="V270" s="97" t="str">
        <f t="shared" ca="1" si="7"/>
        <v>#REF!</v>
      </c>
      <c r="W270" s="97" t="str">
        <f t="shared" ca="1" si="8"/>
        <v>#REF!</v>
      </c>
      <c r="X270" s="121">
        <v>0</v>
      </c>
      <c r="Y270" s="121" t="str">
        <f t="shared" ca="1" si="9"/>
        <v>#REF!</v>
      </c>
      <c r="Z270" s="121" t="str">
        <f t="shared" ca="1" si="10"/>
        <v>#REF!</v>
      </c>
      <c r="AA270" s="99" t="str">
        <f t="shared" ca="1" si="11"/>
        <v>#REF!</v>
      </c>
      <c r="AB270" s="234" t="str">
        <f t="shared" ca="1" si="12"/>
        <v>#REF!</v>
      </c>
      <c r="AC270" s="257" t="str">
        <f t="shared" ca="1" si="13"/>
        <v>#REF!</v>
      </c>
      <c r="AD270" s="234" t="str">
        <f t="shared" ca="1" si="14"/>
        <v>#REF!</v>
      </c>
      <c r="AE270" s="100" t="str">
        <f t="shared" ca="1" si="15"/>
        <v>#REF!</v>
      </c>
      <c r="AF270" s="101" t="str">
        <f t="shared" ca="1" si="16"/>
        <v>#REF!</v>
      </c>
      <c r="AG270" s="102" t="str">
        <f t="shared" ref="AG270:AH270" ca="1" si="288">AE270/V270</f>
        <v>#REF!</v>
      </c>
      <c r="AH270" s="102" t="str">
        <f t="shared" ca="1" si="288"/>
        <v>#REF!</v>
      </c>
    </row>
    <row r="271" spans="1:34" ht="13.2">
      <c r="A271" s="251"/>
      <c r="B271" s="251"/>
      <c r="C271" s="252"/>
      <c r="D271" s="252"/>
      <c r="E271" s="114"/>
      <c r="F271" s="252"/>
      <c r="G271" s="125" t="s">
        <v>145</v>
      </c>
      <c r="I271" s="172"/>
      <c r="J271" s="82" t="str">
        <f t="shared" ca="1" si="0"/>
        <v>#REF!</v>
      </c>
      <c r="K271" s="82" t="str">
        <f t="shared" ca="1" si="1"/>
        <v>#REF!</v>
      </c>
      <c r="L271" s="82" t="str">
        <f t="shared" ca="1" si="44"/>
        <v>#REF!</v>
      </c>
      <c r="M271" s="93"/>
      <c r="N271" s="93"/>
      <c r="O271" s="95">
        <f t="shared" si="2"/>
        <v>0</v>
      </c>
      <c r="P271" s="96">
        <f t="shared" si="3"/>
        <v>0</v>
      </c>
      <c r="Q271" s="97">
        <f t="shared" si="4"/>
        <v>0</v>
      </c>
      <c r="R271" s="97" t="str">
        <f ca="1">ROUNDUP(HLOOKUP(IF(CEILING(L271,0.5)&lt;1,0.5,CEILING(L271,0.5)),'배송비 조회'!A$44:AO$56,7,0)*B$3,-2)</f>
        <v>#REF!</v>
      </c>
      <c r="S271" s="97">
        <v>0</v>
      </c>
      <c r="T271" s="97" t="str">
        <f t="shared" ca="1" si="42"/>
        <v>#REF!</v>
      </c>
      <c r="U271" s="97" t="str">
        <f t="shared" ca="1" si="29"/>
        <v>#REF!</v>
      </c>
      <c r="V271" s="97" t="str">
        <f t="shared" ca="1" si="7"/>
        <v>#REF!</v>
      </c>
      <c r="W271" s="97" t="str">
        <f t="shared" ca="1" si="8"/>
        <v>#REF!</v>
      </c>
      <c r="X271" s="121">
        <v>0</v>
      </c>
      <c r="Y271" s="121" t="str">
        <f t="shared" ca="1" si="9"/>
        <v>#REF!</v>
      </c>
      <c r="Z271" s="121" t="str">
        <f t="shared" ca="1" si="10"/>
        <v>#REF!</v>
      </c>
      <c r="AA271" s="99" t="str">
        <f t="shared" ca="1" si="11"/>
        <v>#REF!</v>
      </c>
      <c r="AB271" s="234" t="str">
        <f t="shared" ca="1" si="12"/>
        <v>#REF!</v>
      </c>
      <c r="AC271" s="257" t="str">
        <f t="shared" ca="1" si="13"/>
        <v>#REF!</v>
      </c>
      <c r="AD271" s="234" t="str">
        <f t="shared" ca="1" si="14"/>
        <v>#REF!</v>
      </c>
      <c r="AE271" s="100" t="str">
        <f t="shared" ca="1" si="15"/>
        <v>#REF!</v>
      </c>
      <c r="AF271" s="101" t="str">
        <f t="shared" ca="1" si="16"/>
        <v>#REF!</v>
      </c>
      <c r="AG271" s="102" t="str">
        <f t="shared" ref="AG271:AH271" ca="1" si="289">AE271/V271</f>
        <v>#REF!</v>
      </c>
      <c r="AH271" s="102" t="str">
        <f t="shared" ca="1" si="289"/>
        <v>#REF!</v>
      </c>
    </row>
    <row r="272" spans="1:34" ht="13.2">
      <c r="A272" s="251"/>
      <c r="B272" s="251"/>
      <c r="C272" s="252"/>
      <c r="D272" s="252"/>
      <c r="E272" s="114"/>
      <c r="F272" s="252"/>
      <c r="G272" s="125" t="s">
        <v>145</v>
      </c>
      <c r="I272" s="172"/>
      <c r="J272" s="82" t="str">
        <f t="shared" ca="1" si="0"/>
        <v>#REF!</v>
      </c>
      <c r="K272" s="82" t="str">
        <f t="shared" ca="1" si="1"/>
        <v>#REF!</v>
      </c>
      <c r="L272" s="82" t="str">
        <f t="shared" ca="1" si="44"/>
        <v>#REF!</v>
      </c>
      <c r="M272" s="93"/>
      <c r="N272" s="93"/>
      <c r="O272" s="95">
        <f t="shared" si="2"/>
        <v>0</v>
      </c>
      <c r="P272" s="96">
        <f t="shared" si="3"/>
        <v>0</v>
      </c>
      <c r="Q272" s="97">
        <f t="shared" si="4"/>
        <v>0</v>
      </c>
      <c r="R272" s="97" t="str">
        <f ca="1">ROUNDUP(HLOOKUP(IF(CEILING(L272,0.5)&lt;1,0.5,CEILING(L272,0.5)),'배송비 조회'!A$44:AO$56,7,0)*B$3,-2)</f>
        <v>#REF!</v>
      </c>
      <c r="S272" s="97">
        <v>0</v>
      </c>
      <c r="T272" s="97" t="str">
        <f t="shared" ca="1" si="42"/>
        <v>#REF!</v>
      </c>
      <c r="U272" s="97" t="str">
        <f t="shared" ca="1" si="29"/>
        <v>#REF!</v>
      </c>
      <c r="V272" s="97" t="str">
        <f t="shared" ca="1" si="7"/>
        <v>#REF!</v>
      </c>
      <c r="W272" s="97" t="str">
        <f t="shared" ca="1" si="8"/>
        <v>#REF!</v>
      </c>
      <c r="X272" s="121">
        <v>0</v>
      </c>
      <c r="Y272" s="121" t="str">
        <f t="shared" ca="1" si="9"/>
        <v>#REF!</v>
      </c>
      <c r="Z272" s="121" t="str">
        <f t="shared" ca="1" si="10"/>
        <v>#REF!</v>
      </c>
      <c r="AA272" s="99" t="str">
        <f t="shared" ca="1" si="11"/>
        <v>#REF!</v>
      </c>
      <c r="AB272" s="234" t="str">
        <f t="shared" ca="1" si="12"/>
        <v>#REF!</v>
      </c>
      <c r="AC272" s="257" t="str">
        <f t="shared" ca="1" si="13"/>
        <v>#REF!</v>
      </c>
      <c r="AD272" s="234" t="str">
        <f t="shared" ca="1" si="14"/>
        <v>#REF!</v>
      </c>
      <c r="AE272" s="100" t="str">
        <f t="shared" ca="1" si="15"/>
        <v>#REF!</v>
      </c>
      <c r="AF272" s="101" t="str">
        <f t="shared" ca="1" si="16"/>
        <v>#REF!</v>
      </c>
      <c r="AG272" s="102" t="str">
        <f t="shared" ref="AG272:AH272" ca="1" si="290">AE272/V272</f>
        <v>#REF!</v>
      </c>
      <c r="AH272" s="102" t="str">
        <f t="shared" ca="1" si="290"/>
        <v>#REF!</v>
      </c>
    </row>
    <row r="273" spans="1:34" ht="13.2">
      <c r="A273" s="251"/>
      <c r="B273" s="251"/>
      <c r="C273" s="252"/>
      <c r="D273" s="252"/>
      <c r="E273" s="114"/>
      <c r="F273" s="252"/>
      <c r="G273" s="125" t="s">
        <v>145</v>
      </c>
      <c r="I273" s="172"/>
      <c r="J273" s="82" t="str">
        <f t="shared" ca="1" si="0"/>
        <v>#REF!</v>
      </c>
      <c r="K273" s="82" t="str">
        <f t="shared" ca="1" si="1"/>
        <v>#REF!</v>
      </c>
      <c r="L273" s="82" t="str">
        <f t="shared" ca="1" si="44"/>
        <v>#REF!</v>
      </c>
      <c r="M273" s="93"/>
      <c r="N273" s="93"/>
      <c r="O273" s="95">
        <f t="shared" si="2"/>
        <v>0</v>
      </c>
      <c r="P273" s="96">
        <f t="shared" si="3"/>
        <v>0</v>
      </c>
      <c r="Q273" s="97">
        <f t="shared" si="4"/>
        <v>0</v>
      </c>
      <c r="R273" s="97" t="str">
        <f ca="1">ROUNDUP(HLOOKUP(IF(CEILING(L273,0.5)&lt;1,0.5,CEILING(L273,0.5)),'배송비 조회'!A$44:AO$56,7,0)*B$3,-2)</f>
        <v>#REF!</v>
      </c>
      <c r="S273" s="97">
        <v>0</v>
      </c>
      <c r="T273" s="97" t="str">
        <f t="shared" ca="1" si="42"/>
        <v>#REF!</v>
      </c>
      <c r="U273" s="97" t="str">
        <f t="shared" ca="1" si="29"/>
        <v>#REF!</v>
      </c>
      <c r="V273" s="97" t="str">
        <f t="shared" ca="1" si="7"/>
        <v>#REF!</v>
      </c>
      <c r="W273" s="97" t="str">
        <f t="shared" ca="1" si="8"/>
        <v>#REF!</v>
      </c>
      <c r="X273" s="121">
        <v>0</v>
      </c>
      <c r="Y273" s="121" t="str">
        <f t="shared" ca="1" si="9"/>
        <v>#REF!</v>
      </c>
      <c r="Z273" s="121" t="str">
        <f t="shared" ca="1" si="10"/>
        <v>#REF!</v>
      </c>
      <c r="AA273" s="99" t="str">
        <f t="shared" ca="1" si="11"/>
        <v>#REF!</v>
      </c>
      <c r="AB273" s="234" t="str">
        <f t="shared" ca="1" si="12"/>
        <v>#REF!</v>
      </c>
      <c r="AC273" s="257" t="str">
        <f t="shared" ca="1" si="13"/>
        <v>#REF!</v>
      </c>
      <c r="AD273" s="234" t="str">
        <f t="shared" ca="1" si="14"/>
        <v>#REF!</v>
      </c>
      <c r="AE273" s="100" t="str">
        <f t="shared" ca="1" si="15"/>
        <v>#REF!</v>
      </c>
      <c r="AF273" s="101" t="str">
        <f t="shared" ca="1" si="16"/>
        <v>#REF!</v>
      </c>
      <c r="AG273" s="102" t="str">
        <f t="shared" ref="AG273:AH273" ca="1" si="291">AE273/V273</f>
        <v>#REF!</v>
      </c>
      <c r="AH273" s="102" t="str">
        <f t="shared" ca="1" si="291"/>
        <v>#REF!</v>
      </c>
    </row>
    <row r="274" spans="1:34" ht="13.2">
      <c r="A274" s="251"/>
      <c r="B274" s="251"/>
      <c r="C274" s="252"/>
      <c r="D274" s="252"/>
      <c r="E274" s="114"/>
      <c r="F274" s="252"/>
      <c r="G274" s="125" t="s">
        <v>145</v>
      </c>
      <c r="I274" s="172"/>
      <c r="J274" s="82" t="str">
        <f t="shared" ca="1" si="0"/>
        <v>#REF!</v>
      </c>
      <c r="K274" s="82" t="str">
        <f t="shared" ca="1" si="1"/>
        <v>#REF!</v>
      </c>
      <c r="L274" s="82" t="str">
        <f t="shared" ca="1" si="44"/>
        <v>#REF!</v>
      </c>
      <c r="M274" s="93"/>
      <c r="N274" s="93"/>
      <c r="O274" s="95">
        <f t="shared" si="2"/>
        <v>0</v>
      </c>
      <c r="P274" s="96">
        <f t="shared" si="3"/>
        <v>0</v>
      </c>
      <c r="Q274" s="97">
        <f t="shared" si="4"/>
        <v>0</v>
      </c>
      <c r="R274" s="97" t="str">
        <f ca="1">ROUNDUP(HLOOKUP(IF(CEILING(L274,0.5)&lt;1,0.5,CEILING(L274,0.5)),'배송비 조회'!A$44:AO$56,7,0)*B$3,-2)</f>
        <v>#REF!</v>
      </c>
      <c r="S274" s="97">
        <v>0</v>
      </c>
      <c r="T274" s="97" t="str">
        <f t="shared" ca="1" si="42"/>
        <v>#REF!</v>
      </c>
      <c r="U274" s="97" t="str">
        <f t="shared" ca="1" si="29"/>
        <v>#REF!</v>
      </c>
      <c r="V274" s="97" t="str">
        <f t="shared" ca="1" si="7"/>
        <v>#REF!</v>
      </c>
      <c r="W274" s="97" t="str">
        <f t="shared" ca="1" si="8"/>
        <v>#REF!</v>
      </c>
      <c r="X274" s="121">
        <v>0</v>
      </c>
      <c r="Y274" s="121" t="str">
        <f t="shared" ca="1" si="9"/>
        <v>#REF!</v>
      </c>
      <c r="Z274" s="121" t="str">
        <f t="shared" ca="1" si="10"/>
        <v>#REF!</v>
      </c>
      <c r="AA274" s="99" t="str">
        <f t="shared" ca="1" si="11"/>
        <v>#REF!</v>
      </c>
      <c r="AB274" s="234" t="str">
        <f t="shared" ca="1" si="12"/>
        <v>#REF!</v>
      </c>
      <c r="AC274" s="257" t="str">
        <f t="shared" ca="1" si="13"/>
        <v>#REF!</v>
      </c>
      <c r="AD274" s="234" t="str">
        <f t="shared" ca="1" si="14"/>
        <v>#REF!</v>
      </c>
      <c r="AE274" s="100" t="str">
        <f t="shared" ca="1" si="15"/>
        <v>#REF!</v>
      </c>
      <c r="AF274" s="101" t="str">
        <f t="shared" ca="1" si="16"/>
        <v>#REF!</v>
      </c>
      <c r="AG274" s="102" t="str">
        <f t="shared" ref="AG274:AH274" ca="1" si="292">AE274/V274</f>
        <v>#REF!</v>
      </c>
      <c r="AH274" s="102" t="str">
        <f t="shared" ca="1" si="292"/>
        <v>#REF!</v>
      </c>
    </row>
    <row r="275" spans="1:34" ht="13.2">
      <c r="A275" s="251"/>
      <c r="B275" s="251"/>
      <c r="C275" s="252"/>
      <c r="D275" s="252"/>
      <c r="E275" s="114"/>
      <c r="F275" s="252"/>
      <c r="G275" s="125" t="s">
        <v>145</v>
      </c>
      <c r="I275" s="172"/>
      <c r="J275" s="82" t="str">
        <f t="shared" ca="1" si="0"/>
        <v>#REF!</v>
      </c>
      <c r="K275" s="82" t="str">
        <f t="shared" ca="1" si="1"/>
        <v>#REF!</v>
      </c>
      <c r="L275" s="82" t="str">
        <f t="shared" ca="1" si="44"/>
        <v>#REF!</v>
      </c>
      <c r="M275" s="93"/>
      <c r="N275" s="93"/>
      <c r="O275" s="95">
        <f t="shared" si="2"/>
        <v>0</v>
      </c>
      <c r="P275" s="96">
        <f t="shared" si="3"/>
        <v>0</v>
      </c>
      <c r="Q275" s="97">
        <f t="shared" si="4"/>
        <v>0</v>
      </c>
      <c r="R275" s="97" t="str">
        <f ca="1">ROUNDUP(HLOOKUP(IF(CEILING(L275,0.5)&lt;1,0.5,CEILING(L275,0.5)),'배송비 조회'!A$44:AO$56,7,0)*B$3,-2)</f>
        <v>#REF!</v>
      </c>
      <c r="S275" s="97">
        <v>0</v>
      </c>
      <c r="T275" s="97" t="str">
        <f t="shared" ca="1" si="42"/>
        <v>#REF!</v>
      </c>
      <c r="U275" s="97" t="str">
        <f t="shared" ca="1" si="29"/>
        <v>#REF!</v>
      </c>
      <c r="V275" s="97" t="str">
        <f t="shared" ca="1" si="7"/>
        <v>#REF!</v>
      </c>
      <c r="W275" s="97" t="str">
        <f t="shared" ca="1" si="8"/>
        <v>#REF!</v>
      </c>
      <c r="X275" s="121">
        <v>0</v>
      </c>
      <c r="Y275" s="121" t="str">
        <f t="shared" ca="1" si="9"/>
        <v>#REF!</v>
      </c>
      <c r="Z275" s="121" t="str">
        <f t="shared" ca="1" si="10"/>
        <v>#REF!</v>
      </c>
      <c r="AA275" s="99" t="str">
        <f t="shared" ca="1" si="11"/>
        <v>#REF!</v>
      </c>
      <c r="AB275" s="234" t="str">
        <f t="shared" ca="1" si="12"/>
        <v>#REF!</v>
      </c>
      <c r="AC275" s="257" t="str">
        <f t="shared" ca="1" si="13"/>
        <v>#REF!</v>
      </c>
      <c r="AD275" s="234" t="str">
        <f t="shared" ca="1" si="14"/>
        <v>#REF!</v>
      </c>
      <c r="AE275" s="100" t="str">
        <f t="shared" ca="1" si="15"/>
        <v>#REF!</v>
      </c>
      <c r="AF275" s="101" t="str">
        <f t="shared" ca="1" si="16"/>
        <v>#REF!</v>
      </c>
      <c r="AG275" s="102" t="str">
        <f t="shared" ref="AG275:AH275" ca="1" si="293">AE275/V275</f>
        <v>#REF!</v>
      </c>
      <c r="AH275" s="102" t="str">
        <f t="shared" ca="1" si="293"/>
        <v>#REF!</v>
      </c>
    </row>
    <row r="276" spans="1:34" ht="13.2">
      <c r="A276" s="251"/>
      <c r="B276" s="251"/>
      <c r="C276" s="252"/>
      <c r="D276" s="252"/>
      <c r="E276" s="114"/>
      <c r="F276" s="252"/>
      <c r="G276" s="125" t="s">
        <v>145</v>
      </c>
      <c r="I276" s="172"/>
      <c r="J276" s="82" t="str">
        <f t="shared" ca="1" si="0"/>
        <v>#REF!</v>
      </c>
      <c r="K276" s="82" t="str">
        <f t="shared" ca="1" si="1"/>
        <v>#REF!</v>
      </c>
      <c r="L276" s="82" t="str">
        <f t="shared" ca="1" si="44"/>
        <v>#REF!</v>
      </c>
      <c r="M276" s="93"/>
      <c r="N276" s="93"/>
      <c r="O276" s="95">
        <f t="shared" si="2"/>
        <v>0</v>
      </c>
      <c r="P276" s="96">
        <f t="shared" si="3"/>
        <v>0</v>
      </c>
      <c r="Q276" s="97">
        <f t="shared" si="4"/>
        <v>0</v>
      </c>
      <c r="R276" s="97" t="str">
        <f ca="1">ROUNDUP(HLOOKUP(IF(CEILING(L276,0.5)&lt;1,0.5,CEILING(L276,0.5)),'배송비 조회'!A$44:AO$56,7,0)*B$3,-2)</f>
        <v>#REF!</v>
      </c>
      <c r="S276" s="97">
        <v>0</v>
      </c>
      <c r="T276" s="97" t="str">
        <f t="shared" ca="1" si="42"/>
        <v>#REF!</v>
      </c>
      <c r="U276" s="97" t="str">
        <f t="shared" ca="1" si="29"/>
        <v>#REF!</v>
      </c>
      <c r="V276" s="97" t="str">
        <f t="shared" ca="1" si="7"/>
        <v>#REF!</v>
      </c>
      <c r="W276" s="97" t="str">
        <f t="shared" ca="1" si="8"/>
        <v>#REF!</v>
      </c>
      <c r="X276" s="121">
        <v>0</v>
      </c>
      <c r="Y276" s="121" t="str">
        <f t="shared" ca="1" si="9"/>
        <v>#REF!</v>
      </c>
      <c r="Z276" s="121" t="str">
        <f t="shared" ca="1" si="10"/>
        <v>#REF!</v>
      </c>
      <c r="AA276" s="99" t="str">
        <f t="shared" ca="1" si="11"/>
        <v>#REF!</v>
      </c>
      <c r="AB276" s="234" t="str">
        <f t="shared" ca="1" si="12"/>
        <v>#REF!</v>
      </c>
      <c r="AC276" s="257" t="str">
        <f t="shared" ca="1" si="13"/>
        <v>#REF!</v>
      </c>
      <c r="AD276" s="234" t="str">
        <f t="shared" ca="1" si="14"/>
        <v>#REF!</v>
      </c>
      <c r="AE276" s="100" t="str">
        <f t="shared" ca="1" si="15"/>
        <v>#REF!</v>
      </c>
      <c r="AF276" s="101" t="str">
        <f t="shared" ca="1" si="16"/>
        <v>#REF!</v>
      </c>
      <c r="AG276" s="102" t="str">
        <f t="shared" ref="AG276:AH276" ca="1" si="294">AE276/V276</f>
        <v>#REF!</v>
      </c>
      <c r="AH276" s="102" t="str">
        <f t="shared" ca="1" si="294"/>
        <v>#REF!</v>
      </c>
    </row>
    <row r="277" spans="1:34" ht="13.2">
      <c r="A277" s="251"/>
      <c r="B277" s="251"/>
      <c r="C277" s="252"/>
      <c r="D277" s="252"/>
      <c r="E277" s="114"/>
      <c r="F277" s="252"/>
      <c r="G277" s="125" t="s">
        <v>145</v>
      </c>
      <c r="I277" s="172"/>
      <c r="J277" s="82" t="str">
        <f t="shared" ca="1" si="0"/>
        <v>#REF!</v>
      </c>
      <c r="K277" s="82" t="str">
        <f t="shared" ca="1" si="1"/>
        <v>#REF!</v>
      </c>
      <c r="L277" s="82" t="str">
        <f t="shared" ca="1" si="44"/>
        <v>#REF!</v>
      </c>
      <c r="M277" s="93"/>
      <c r="N277" s="93"/>
      <c r="O277" s="95">
        <f t="shared" si="2"/>
        <v>0</v>
      </c>
      <c r="P277" s="96">
        <f t="shared" si="3"/>
        <v>0</v>
      </c>
      <c r="Q277" s="97">
        <f t="shared" si="4"/>
        <v>0</v>
      </c>
      <c r="R277" s="97" t="str">
        <f ca="1">ROUNDUP(HLOOKUP(IF(CEILING(L277,0.5)&lt;1,0.5,CEILING(L277,0.5)),'배송비 조회'!A$44:AO$56,7,0)*B$3,-2)</f>
        <v>#REF!</v>
      </c>
      <c r="S277" s="97">
        <v>0</v>
      </c>
      <c r="T277" s="97" t="str">
        <f t="shared" ca="1" si="42"/>
        <v>#REF!</v>
      </c>
      <c r="U277" s="97" t="str">
        <f t="shared" ca="1" si="29"/>
        <v>#REF!</v>
      </c>
      <c r="V277" s="97" t="str">
        <f t="shared" ca="1" si="7"/>
        <v>#REF!</v>
      </c>
      <c r="W277" s="97" t="str">
        <f t="shared" ca="1" si="8"/>
        <v>#REF!</v>
      </c>
      <c r="X277" s="121">
        <v>0</v>
      </c>
      <c r="Y277" s="121" t="str">
        <f t="shared" ca="1" si="9"/>
        <v>#REF!</v>
      </c>
      <c r="Z277" s="121" t="str">
        <f t="shared" ca="1" si="10"/>
        <v>#REF!</v>
      </c>
      <c r="AA277" s="99" t="str">
        <f t="shared" ca="1" si="11"/>
        <v>#REF!</v>
      </c>
      <c r="AB277" s="234" t="str">
        <f t="shared" ca="1" si="12"/>
        <v>#REF!</v>
      </c>
      <c r="AC277" s="257" t="str">
        <f t="shared" ca="1" si="13"/>
        <v>#REF!</v>
      </c>
      <c r="AD277" s="234" t="str">
        <f t="shared" ca="1" si="14"/>
        <v>#REF!</v>
      </c>
      <c r="AE277" s="100" t="str">
        <f t="shared" ca="1" si="15"/>
        <v>#REF!</v>
      </c>
      <c r="AF277" s="101" t="str">
        <f t="shared" ca="1" si="16"/>
        <v>#REF!</v>
      </c>
      <c r="AG277" s="102" t="str">
        <f t="shared" ref="AG277:AH277" ca="1" si="295">AE277/V277</f>
        <v>#REF!</v>
      </c>
      <c r="AH277" s="102" t="str">
        <f t="shared" ca="1" si="295"/>
        <v>#REF!</v>
      </c>
    </row>
    <row r="278" spans="1:34" ht="13.2">
      <c r="A278" s="251"/>
      <c r="B278" s="251"/>
      <c r="C278" s="252"/>
      <c r="D278" s="252"/>
      <c r="E278" s="114"/>
      <c r="F278" s="252"/>
      <c r="G278" s="125" t="s">
        <v>145</v>
      </c>
      <c r="I278" s="172"/>
      <c r="J278" s="82" t="str">
        <f t="shared" ca="1" si="0"/>
        <v>#REF!</v>
      </c>
      <c r="K278" s="82" t="str">
        <f t="shared" ca="1" si="1"/>
        <v>#REF!</v>
      </c>
      <c r="L278" s="82" t="str">
        <f t="shared" ca="1" si="44"/>
        <v>#REF!</v>
      </c>
      <c r="M278" s="93"/>
      <c r="N278" s="93"/>
      <c r="O278" s="95">
        <f t="shared" si="2"/>
        <v>0</v>
      </c>
      <c r="P278" s="96">
        <f t="shared" si="3"/>
        <v>0</v>
      </c>
      <c r="Q278" s="97">
        <f t="shared" si="4"/>
        <v>0</v>
      </c>
      <c r="R278" s="97" t="str">
        <f ca="1">ROUNDUP(HLOOKUP(IF(CEILING(L278,0.5)&lt;1,0.5,CEILING(L278,0.5)),'배송비 조회'!A$44:AO$56,7,0)*B$3,-2)</f>
        <v>#REF!</v>
      </c>
      <c r="S278" s="97">
        <v>0</v>
      </c>
      <c r="T278" s="97" t="str">
        <f t="shared" ca="1" si="42"/>
        <v>#REF!</v>
      </c>
      <c r="U278" s="97" t="str">
        <f t="shared" ca="1" si="29"/>
        <v>#REF!</v>
      </c>
      <c r="V278" s="97" t="str">
        <f t="shared" ca="1" si="7"/>
        <v>#REF!</v>
      </c>
      <c r="W278" s="97" t="str">
        <f t="shared" ca="1" si="8"/>
        <v>#REF!</v>
      </c>
      <c r="X278" s="121">
        <v>0</v>
      </c>
      <c r="Y278" s="121" t="str">
        <f t="shared" ca="1" si="9"/>
        <v>#REF!</v>
      </c>
      <c r="Z278" s="121" t="str">
        <f t="shared" ca="1" si="10"/>
        <v>#REF!</v>
      </c>
      <c r="AA278" s="99" t="str">
        <f t="shared" ca="1" si="11"/>
        <v>#REF!</v>
      </c>
      <c r="AB278" s="234" t="str">
        <f t="shared" ca="1" si="12"/>
        <v>#REF!</v>
      </c>
      <c r="AC278" s="257" t="str">
        <f t="shared" ca="1" si="13"/>
        <v>#REF!</v>
      </c>
      <c r="AD278" s="234" t="str">
        <f t="shared" ca="1" si="14"/>
        <v>#REF!</v>
      </c>
      <c r="AE278" s="100" t="str">
        <f t="shared" ca="1" si="15"/>
        <v>#REF!</v>
      </c>
      <c r="AF278" s="101" t="str">
        <f t="shared" ca="1" si="16"/>
        <v>#REF!</v>
      </c>
      <c r="AG278" s="102" t="str">
        <f t="shared" ref="AG278:AH278" ca="1" si="296">AE278/V278</f>
        <v>#REF!</v>
      </c>
      <c r="AH278" s="102" t="str">
        <f t="shared" ca="1" si="296"/>
        <v>#REF!</v>
      </c>
    </row>
    <row r="279" spans="1:34" ht="13.2">
      <c r="A279" s="251"/>
      <c r="B279" s="251"/>
      <c r="C279" s="252"/>
      <c r="D279" s="252"/>
      <c r="E279" s="114"/>
      <c r="F279" s="252"/>
      <c r="G279" s="125" t="s">
        <v>145</v>
      </c>
      <c r="I279" s="172"/>
      <c r="J279" s="82" t="str">
        <f t="shared" ca="1" si="0"/>
        <v>#REF!</v>
      </c>
      <c r="K279" s="82" t="str">
        <f t="shared" ca="1" si="1"/>
        <v>#REF!</v>
      </c>
      <c r="L279" s="82" t="str">
        <f t="shared" ca="1" si="44"/>
        <v>#REF!</v>
      </c>
      <c r="M279" s="93"/>
      <c r="N279" s="93"/>
      <c r="O279" s="95">
        <f t="shared" si="2"/>
        <v>0</v>
      </c>
      <c r="P279" s="96">
        <f t="shared" si="3"/>
        <v>0</v>
      </c>
      <c r="Q279" s="97">
        <f t="shared" si="4"/>
        <v>0</v>
      </c>
      <c r="R279" s="97" t="str">
        <f ca="1">ROUNDUP(HLOOKUP(IF(CEILING(L279,0.5)&lt;1,0.5,CEILING(L279,0.5)),'배송비 조회'!A$44:AO$56,7,0)*B$3,-2)</f>
        <v>#REF!</v>
      </c>
      <c r="S279" s="97">
        <v>0</v>
      </c>
      <c r="T279" s="97" t="str">
        <f t="shared" ca="1" si="42"/>
        <v>#REF!</v>
      </c>
      <c r="U279" s="97" t="str">
        <f t="shared" ca="1" si="29"/>
        <v>#REF!</v>
      </c>
      <c r="V279" s="97" t="str">
        <f t="shared" ca="1" si="7"/>
        <v>#REF!</v>
      </c>
      <c r="W279" s="97" t="str">
        <f t="shared" ca="1" si="8"/>
        <v>#REF!</v>
      </c>
      <c r="X279" s="121">
        <v>0</v>
      </c>
      <c r="Y279" s="121" t="str">
        <f t="shared" ca="1" si="9"/>
        <v>#REF!</v>
      </c>
      <c r="Z279" s="121" t="str">
        <f t="shared" ca="1" si="10"/>
        <v>#REF!</v>
      </c>
      <c r="AA279" s="99" t="str">
        <f t="shared" ca="1" si="11"/>
        <v>#REF!</v>
      </c>
      <c r="AB279" s="234" t="str">
        <f t="shared" ca="1" si="12"/>
        <v>#REF!</v>
      </c>
      <c r="AC279" s="257" t="str">
        <f t="shared" ca="1" si="13"/>
        <v>#REF!</v>
      </c>
      <c r="AD279" s="234" t="str">
        <f t="shared" ca="1" si="14"/>
        <v>#REF!</v>
      </c>
      <c r="AE279" s="100" t="str">
        <f t="shared" ca="1" si="15"/>
        <v>#REF!</v>
      </c>
      <c r="AF279" s="101" t="str">
        <f t="shared" ca="1" si="16"/>
        <v>#REF!</v>
      </c>
      <c r="AG279" s="102" t="str">
        <f t="shared" ref="AG279:AH279" ca="1" si="297">AE279/V279</f>
        <v>#REF!</v>
      </c>
      <c r="AH279" s="102" t="str">
        <f t="shared" ca="1" si="297"/>
        <v>#REF!</v>
      </c>
    </row>
    <row r="280" spans="1:34" ht="13.2">
      <c r="A280" s="251"/>
      <c r="B280" s="251"/>
      <c r="C280" s="252"/>
      <c r="D280" s="252"/>
      <c r="E280" s="114"/>
      <c r="F280" s="252"/>
      <c r="G280" s="125" t="s">
        <v>145</v>
      </c>
      <c r="I280" s="172"/>
      <c r="J280" s="82" t="str">
        <f t="shared" ca="1" si="0"/>
        <v>#REF!</v>
      </c>
      <c r="K280" s="82" t="str">
        <f t="shared" ca="1" si="1"/>
        <v>#REF!</v>
      </c>
      <c r="L280" s="82" t="str">
        <f t="shared" ca="1" si="44"/>
        <v>#REF!</v>
      </c>
      <c r="M280" s="93"/>
      <c r="N280" s="93"/>
      <c r="O280" s="95">
        <f t="shared" si="2"/>
        <v>0</v>
      </c>
      <c r="P280" s="96">
        <f t="shared" si="3"/>
        <v>0</v>
      </c>
      <c r="Q280" s="97">
        <f t="shared" si="4"/>
        <v>0</v>
      </c>
      <c r="R280" s="97" t="str">
        <f ca="1">ROUNDUP(HLOOKUP(IF(CEILING(L280,0.5)&lt;1,0.5,CEILING(L280,0.5)),'배송비 조회'!A$44:AO$56,7,0)*B$3,-2)</f>
        <v>#REF!</v>
      </c>
      <c r="S280" s="97">
        <v>0</v>
      </c>
      <c r="T280" s="97" t="str">
        <f t="shared" ca="1" si="42"/>
        <v>#REF!</v>
      </c>
      <c r="U280" s="97" t="str">
        <f t="shared" ca="1" si="29"/>
        <v>#REF!</v>
      </c>
      <c r="V280" s="97" t="str">
        <f t="shared" ca="1" si="7"/>
        <v>#REF!</v>
      </c>
      <c r="W280" s="97" t="str">
        <f t="shared" ca="1" si="8"/>
        <v>#REF!</v>
      </c>
      <c r="X280" s="121">
        <v>0</v>
      </c>
      <c r="Y280" s="121" t="str">
        <f t="shared" ca="1" si="9"/>
        <v>#REF!</v>
      </c>
      <c r="Z280" s="121" t="str">
        <f t="shared" ca="1" si="10"/>
        <v>#REF!</v>
      </c>
      <c r="AA280" s="99" t="str">
        <f t="shared" ca="1" si="11"/>
        <v>#REF!</v>
      </c>
      <c r="AB280" s="234" t="str">
        <f t="shared" ca="1" si="12"/>
        <v>#REF!</v>
      </c>
      <c r="AC280" s="257" t="str">
        <f t="shared" ca="1" si="13"/>
        <v>#REF!</v>
      </c>
      <c r="AD280" s="234" t="str">
        <f t="shared" ca="1" si="14"/>
        <v>#REF!</v>
      </c>
      <c r="AE280" s="100" t="str">
        <f t="shared" ca="1" si="15"/>
        <v>#REF!</v>
      </c>
      <c r="AF280" s="101" t="str">
        <f t="shared" ca="1" si="16"/>
        <v>#REF!</v>
      </c>
      <c r="AG280" s="102" t="str">
        <f t="shared" ref="AG280:AH280" ca="1" si="298">AE280/V280</f>
        <v>#REF!</v>
      </c>
      <c r="AH280" s="102" t="str">
        <f t="shared" ca="1" si="298"/>
        <v>#REF!</v>
      </c>
    </row>
    <row r="281" spans="1:34" ht="13.2">
      <c r="A281" s="251"/>
      <c r="B281" s="251"/>
      <c r="C281" s="252"/>
      <c r="D281" s="252"/>
      <c r="E281" s="114"/>
      <c r="F281" s="252"/>
      <c r="G281" s="125" t="s">
        <v>145</v>
      </c>
      <c r="I281" s="172"/>
      <c r="J281" s="82" t="str">
        <f t="shared" ca="1" si="0"/>
        <v>#REF!</v>
      </c>
      <c r="K281" s="82" t="str">
        <f t="shared" ca="1" si="1"/>
        <v>#REF!</v>
      </c>
      <c r="L281" s="82" t="str">
        <f t="shared" ca="1" si="44"/>
        <v>#REF!</v>
      </c>
      <c r="M281" s="93"/>
      <c r="N281" s="93"/>
      <c r="O281" s="95">
        <f t="shared" si="2"/>
        <v>0</v>
      </c>
      <c r="P281" s="96">
        <f t="shared" si="3"/>
        <v>0</v>
      </c>
      <c r="Q281" s="97">
        <f t="shared" si="4"/>
        <v>0</v>
      </c>
      <c r="R281" s="97" t="str">
        <f ca="1">ROUNDUP(HLOOKUP(IF(CEILING(L281,0.5)&lt;1,0.5,CEILING(L281,0.5)),'배송비 조회'!A$44:AO$56,7,0)*B$3,-2)</f>
        <v>#REF!</v>
      </c>
      <c r="S281" s="97">
        <v>0</v>
      </c>
      <c r="T281" s="97" t="str">
        <f t="shared" ca="1" si="42"/>
        <v>#REF!</v>
      </c>
      <c r="U281" s="97" t="str">
        <f t="shared" ca="1" si="29"/>
        <v>#REF!</v>
      </c>
      <c r="V281" s="97" t="str">
        <f t="shared" ca="1" si="7"/>
        <v>#REF!</v>
      </c>
      <c r="W281" s="97" t="str">
        <f t="shared" ca="1" si="8"/>
        <v>#REF!</v>
      </c>
      <c r="X281" s="121">
        <v>0</v>
      </c>
      <c r="Y281" s="121" t="str">
        <f t="shared" ca="1" si="9"/>
        <v>#REF!</v>
      </c>
      <c r="Z281" s="121" t="str">
        <f t="shared" ca="1" si="10"/>
        <v>#REF!</v>
      </c>
      <c r="AA281" s="99" t="str">
        <f t="shared" ca="1" si="11"/>
        <v>#REF!</v>
      </c>
      <c r="AB281" s="234" t="str">
        <f t="shared" ca="1" si="12"/>
        <v>#REF!</v>
      </c>
      <c r="AC281" s="257" t="str">
        <f t="shared" ca="1" si="13"/>
        <v>#REF!</v>
      </c>
      <c r="AD281" s="234" t="str">
        <f t="shared" ca="1" si="14"/>
        <v>#REF!</v>
      </c>
      <c r="AE281" s="100" t="str">
        <f t="shared" ca="1" si="15"/>
        <v>#REF!</v>
      </c>
      <c r="AF281" s="101" t="str">
        <f t="shared" ca="1" si="16"/>
        <v>#REF!</v>
      </c>
      <c r="AG281" s="102" t="str">
        <f t="shared" ref="AG281:AH281" ca="1" si="299">AE281/V281</f>
        <v>#REF!</v>
      </c>
      <c r="AH281" s="102" t="str">
        <f t="shared" ca="1" si="299"/>
        <v>#REF!</v>
      </c>
    </row>
    <row r="282" spans="1:34" ht="13.2">
      <c r="A282" s="251"/>
      <c r="B282" s="251"/>
      <c r="C282" s="252"/>
      <c r="D282" s="252"/>
      <c r="E282" s="114"/>
      <c r="F282" s="252"/>
      <c r="G282" s="125" t="s">
        <v>145</v>
      </c>
      <c r="I282" s="172"/>
      <c r="J282" s="82" t="str">
        <f t="shared" ca="1" si="0"/>
        <v>#REF!</v>
      </c>
      <c r="K282" s="82" t="str">
        <f t="shared" ca="1" si="1"/>
        <v>#REF!</v>
      </c>
      <c r="L282" s="82" t="str">
        <f t="shared" ca="1" si="44"/>
        <v>#REF!</v>
      </c>
      <c r="M282" s="93"/>
      <c r="N282" s="93"/>
      <c r="O282" s="95">
        <f t="shared" si="2"/>
        <v>0</v>
      </c>
      <c r="P282" s="96">
        <f t="shared" si="3"/>
        <v>0</v>
      </c>
      <c r="Q282" s="97">
        <f t="shared" si="4"/>
        <v>0</v>
      </c>
      <c r="R282" s="97" t="str">
        <f ca="1">ROUNDUP(HLOOKUP(IF(CEILING(L282,0.5)&lt;1,0.5,CEILING(L282,0.5)),'배송비 조회'!A$44:AO$56,7,0)*B$3,-2)</f>
        <v>#REF!</v>
      </c>
      <c r="S282" s="97">
        <v>0</v>
      </c>
      <c r="T282" s="97" t="str">
        <f t="shared" ca="1" si="42"/>
        <v>#REF!</v>
      </c>
      <c r="U282" s="97" t="str">
        <f t="shared" ca="1" si="29"/>
        <v>#REF!</v>
      </c>
      <c r="V282" s="97" t="str">
        <f t="shared" ca="1" si="7"/>
        <v>#REF!</v>
      </c>
      <c r="W282" s="97" t="str">
        <f t="shared" ca="1" si="8"/>
        <v>#REF!</v>
      </c>
      <c r="X282" s="121">
        <v>0</v>
      </c>
      <c r="Y282" s="121" t="str">
        <f t="shared" ca="1" si="9"/>
        <v>#REF!</v>
      </c>
      <c r="Z282" s="121" t="str">
        <f t="shared" ca="1" si="10"/>
        <v>#REF!</v>
      </c>
      <c r="AA282" s="99" t="str">
        <f t="shared" ca="1" si="11"/>
        <v>#REF!</v>
      </c>
      <c r="AB282" s="234" t="str">
        <f t="shared" ca="1" si="12"/>
        <v>#REF!</v>
      </c>
      <c r="AC282" s="257" t="str">
        <f t="shared" ca="1" si="13"/>
        <v>#REF!</v>
      </c>
      <c r="AD282" s="234" t="str">
        <f t="shared" ca="1" si="14"/>
        <v>#REF!</v>
      </c>
      <c r="AE282" s="100" t="str">
        <f t="shared" ca="1" si="15"/>
        <v>#REF!</v>
      </c>
      <c r="AF282" s="101" t="str">
        <f t="shared" ca="1" si="16"/>
        <v>#REF!</v>
      </c>
      <c r="AG282" s="102" t="str">
        <f t="shared" ref="AG282:AH282" ca="1" si="300">AE282/V282</f>
        <v>#REF!</v>
      </c>
      <c r="AH282" s="102" t="str">
        <f t="shared" ca="1" si="300"/>
        <v>#REF!</v>
      </c>
    </row>
    <row r="283" spans="1:34" ht="13.2">
      <c r="A283" s="251"/>
      <c r="B283" s="251"/>
      <c r="C283" s="252"/>
      <c r="D283" s="252"/>
      <c r="E283" s="114"/>
      <c r="F283" s="252"/>
      <c r="G283" s="125" t="s">
        <v>145</v>
      </c>
      <c r="I283" s="172"/>
      <c r="J283" s="82" t="str">
        <f t="shared" ca="1" si="0"/>
        <v>#REF!</v>
      </c>
      <c r="K283" s="82" t="str">
        <f t="shared" ca="1" si="1"/>
        <v>#REF!</v>
      </c>
      <c r="L283" s="82" t="str">
        <f t="shared" ca="1" si="44"/>
        <v>#REF!</v>
      </c>
      <c r="M283" s="93"/>
      <c r="N283" s="93"/>
      <c r="O283" s="95">
        <f t="shared" si="2"/>
        <v>0</v>
      </c>
      <c r="P283" s="96">
        <f t="shared" si="3"/>
        <v>0</v>
      </c>
      <c r="Q283" s="97">
        <f t="shared" si="4"/>
        <v>0</v>
      </c>
      <c r="R283" s="97" t="str">
        <f ca="1">ROUNDUP(HLOOKUP(IF(CEILING(L283,0.5)&lt;1,0.5,CEILING(L283,0.5)),'배송비 조회'!A$44:AO$56,7,0)*B$3,-2)</f>
        <v>#REF!</v>
      </c>
      <c r="S283" s="97">
        <v>0</v>
      </c>
      <c r="T283" s="97" t="str">
        <f t="shared" ca="1" si="42"/>
        <v>#REF!</v>
      </c>
      <c r="U283" s="97" t="str">
        <f t="shared" ca="1" si="29"/>
        <v>#REF!</v>
      </c>
      <c r="V283" s="97" t="str">
        <f t="shared" ca="1" si="7"/>
        <v>#REF!</v>
      </c>
      <c r="W283" s="97" t="str">
        <f t="shared" ca="1" si="8"/>
        <v>#REF!</v>
      </c>
      <c r="X283" s="121">
        <v>0</v>
      </c>
      <c r="Y283" s="121" t="str">
        <f t="shared" ca="1" si="9"/>
        <v>#REF!</v>
      </c>
      <c r="Z283" s="121" t="str">
        <f t="shared" ca="1" si="10"/>
        <v>#REF!</v>
      </c>
      <c r="AA283" s="99" t="str">
        <f t="shared" ca="1" si="11"/>
        <v>#REF!</v>
      </c>
      <c r="AB283" s="234" t="str">
        <f t="shared" ca="1" si="12"/>
        <v>#REF!</v>
      </c>
      <c r="AC283" s="257" t="str">
        <f t="shared" ca="1" si="13"/>
        <v>#REF!</v>
      </c>
      <c r="AD283" s="234" t="str">
        <f t="shared" ca="1" si="14"/>
        <v>#REF!</v>
      </c>
      <c r="AE283" s="100" t="str">
        <f t="shared" ca="1" si="15"/>
        <v>#REF!</v>
      </c>
      <c r="AF283" s="101" t="str">
        <f t="shared" ca="1" si="16"/>
        <v>#REF!</v>
      </c>
      <c r="AG283" s="102" t="str">
        <f t="shared" ref="AG283:AH283" ca="1" si="301">AE283/V283</f>
        <v>#REF!</v>
      </c>
      <c r="AH283" s="102" t="str">
        <f t="shared" ca="1" si="301"/>
        <v>#REF!</v>
      </c>
    </row>
    <row r="284" spans="1:34" ht="13.2">
      <c r="A284" s="251"/>
      <c r="B284" s="251"/>
      <c r="C284" s="252"/>
      <c r="D284" s="252"/>
      <c r="E284" s="114"/>
      <c r="F284" s="252"/>
      <c r="G284" s="125" t="s">
        <v>145</v>
      </c>
      <c r="I284" s="172"/>
      <c r="J284" s="82" t="str">
        <f t="shared" ca="1" si="0"/>
        <v>#REF!</v>
      </c>
      <c r="K284" s="82" t="str">
        <f t="shared" ca="1" si="1"/>
        <v>#REF!</v>
      </c>
      <c r="L284" s="82" t="str">
        <f t="shared" ca="1" si="44"/>
        <v>#REF!</v>
      </c>
      <c r="M284" s="93"/>
      <c r="N284" s="93"/>
      <c r="O284" s="95">
        <f t="shared" si="2"/>
        <v>0</v>
      </c>
      <c r="P284" s="96">
        <f t="shared" si="3"/>
        <v>0</v>
      </c>
      <c r="Q284" s="97">
        <f t="shared" si="4"/>
        <v>0</v>
      </c>
      <c r="R284" s="97" t="str">
        <f ca="1">ROUNDUP(HLOOKUP(IF(CEILING(L284,0.5)&lt;1,0.5,CEILING(L284,0.5)),'배송비 조회'!A$44:AO$56,7,0)*B$3,-2)</f>
        <v>#REF!</v>
      </c>
      <c r="S284" s="97">
        <v>0</v>
      </c>
      <c r="T284" s="97" t="str">
        <f t="shared" ca="1" si="42"/>
        <v>#REF!</v>
      </c>
      <c r="U284" s="97" t="str">
        <f t="shared" ca="1" si="29"/>
        <v>#REF!</v>
      </c>
      <c r="V284" s="97" t="str">
        <f t="shared" ca="1" si="7"/>
        <v>#REF!</v>
      </c>
      <c r="W284" s="97" t="str">
        <f t="shared" ca="1" si="8"/>
        <v>#REF!</v>
      </c>
      <c r="X284" s="121">
        <v>0</v>
      </c>
      <c r="Y284" s="121" t="str">
        <f t="shared" ca="1" si="9"/>
        <v>#REF!</v>
      </c>
      <c r="Z284" s="121" t="str">
        <f t="shared" ca="1" si="10"/>
        <v>#REF!</v>
      </c>
      <c r="AA284" s="99" t="str">
        <f t="shared" ca="1" si="11"/>
        <v>#REF!</v>
      </c>
      <c r="AB284" s="234" t="str">
        <f t="shared" ca="1" si="12"/>
        <v>#REF!</v>
      </c>
      <c r="AC284" s="257" t="str">
        <f t="shared" ca="1" si="13"/>
        <v>#REF!</v>
      </c>
      <c r="AD284" s="234" t="str">
        <f t="shared" ca="1" si="14"/>
        <v>#REF!</v>
      </c>
      <c r="AE284" s="100" t="str">
        <f t="shared" ca="1" si="15"/>
        <v>#REF!</v>
      </c>
      <c r="AF284" s="101" t="str">
        <f t="shared" ca="1" si="16"/>
        <v>#REF!</v>
      </c>
      <c r="AG284" s="102" t="str">
        <f t="shared" ref="AG284:AH284" ca="1" si="302">AE284/V284</f>
        <v>#REF!</v>
      </c>
      <c r="AH284" s="102" t="str">
        <f t="shared" ca="1" si="302"/>
        <v>#REF!</v>
      </c>
    </row>
    <row r="285" spans="1:34" ht="13.2">
      <c r="A285" s="251"/>
      <c r="B285" s="251"/>
      <c r="C285" s="252"/>
      <c r="D285" s="252"/>
      <c r="E285" s="114"/>
      <c r="F285" s="252"/>
      <c r="G285" s="125" t="s">
        <v>145</v>
      </c>
      <c r="I285" s="172"/>
      <c r="J285" s="82" t="str">
        <f t="shared" ca="1" si="0"/>
        <v>#REF!</v>
      </c>
      <c r="K285" s="82" t="str">
        <f t="shared" ca="1" si="1"/>
        <v>#REF!</v>
      </c>
      <c r="L285" s="82" t="str">
        <f t="shared" ca="1" si="44"/>
        <v>#REF!</v>
      </c>
      <c r="M285" s="93"/>
      <c r="N285" s="93"/>
      <c r="O285" s="95">
        <f t="shared" si="2"/>
        <v>0</v>
      </c>
      <c r="P285" s="96">
        <f t="shared" si="3"/>
        <v>0</v>
      </c>
      <c r="Q285" s="97">
        <f t="shared" si="4"/>
        <v>0</v>
      </c>
      <c r="R285" s="97" t="str">
        <f ca="1">ROUNDUP(HLOOKUP(IF(CEILING(L285,0.5)&lt;1,0.5,CEILING(L285,0.5)),'배송비 조회'!A$44:AO$56,7,0)*B$3,-2)</f>
        <v>#REF!</v>
      </c>
      <c r="S285" s="97">
        <v>0</v>
      </c>
      <c r="T285" s="97" t="str">
        <f t="shared" ca="1" si="42"/>
        <v>#REF!</v>
      </c>
      <c r="U285" s="97" t="str">
        <f t="shared" ca="1" si="29"/>
        <v>#REF!</v>
      </c>
      <c r="V285" s="97" t="str">
        <f t="shared" ca="1" si="7"/>
        <v>#REF!</v>
      </c>
      <c r="W285" s="97" t="str">
        <f t="shared" ca="1" si="8"/>
        <v>#REF!</v>
      </c>
      <c r="X285" s="121">
        <v>0</v>
      </c>
      <c r="Y285" s="121" t="str">
        <f t="shared" ca="1" si="9"/>
        <v>#REF!</v>
      </c>
      <c r="Z285" s="121" t="str">
        <f t="shared" ca="1" si="10"/>
        <v>#REF!</v>
      </c>
      <c r="AA285" s="99" t="str">
        <f t="shared" ca="1" si="11"/>
        <v>#REF!</v>
      </c>
      <c r="AB285" s="234" t="str">
        <f t="shared" ca="1" si="12"/>
        <v>#REF!</v>
      </c>
      <c r="AC285" s="257" t="str">
        <f t="shared" ca="1" si="13"/>
        <v>#REF!</v>
      </c>
      <c r="AD285" s="234" t="str">
        <f t="shared" ca="1" si="14"/>
        <v>#REF!</v>
      </c>
      <c r="AE285" s="100" t="str">
        <f t="shared" ca="1" si="15"/>
        <v>#REF!</v>
      </c>
      <c r="AF285" s="101" t="str">
        <f t="shared" ca="1" si="16"/>
        <v>#REF!</v>
      </c>
      <c r="AG285" s="102" t="str">
        <f t="shared" ref="AG285:AH285" ca="1" si="303">AE285/V285</f>
        <v>#REF!</v>
      </c>
      <c r="AH285" s="102" t="str">
        <f t="shared" ca="1" si="303"/>
        <v>#REF!</v>
      </c>
    </row>
    <row r="286" spans="1:34" ht="13.2">
      <c r="A286" s="251"/>
      <c r="B286" s="251"/>
      <c r="C286" s="252"/>
      <c r="D286" s="252"/>
      <c r="E286" s="114"/>
      <c r="F286" s="252"/>
      <c r="G286" s="125" t="s">
        <v>145</v>
      </c>
      <c r="I286" s="172"/>
      <c r="J286" s="82" t="str">
        <f t="shared" ca="1" si="0"/>
        <v>#REF!</v>
      </c>
      <c r="K286" s="82" t="str">
        <f t="shared" ca="1" si="1"/>
        <v>#REF!</v>
      </c>
      <c r="L286" s="82" t="str">
        <f t="shared" ca="1" si="44"/>
        <v>#REF!</v>
      </c>
      <c r="M286" s="93"/>
      <c r="N286" s="93"/>
      <c r="O286" s="95">
        <f t="shared" si="2"/>
        <v>0</v>
      </c>
      <c r="P286" s="96">
        <f t="shared" si="3"/>
        <v>0</v>
      </c>
      <c r="Q286" s="97">
        <f t="shared" si="4"/>
        <v>0</v>
      </c>
      <c r="R286" s="97" t="str">
        <f ca="1">ROUNDUP(HLOOKUP(IF(CEILING(L286,0.5)&lt;1,0.5,CEILING(L286,0.5)),'배송비 조회'!A$44:AO$56,7,0)*B$3,-2)</f>
        <v>#REF!</v>
      </c>
      <c r="S286" s="97">
        <v>0</v>
      </c>
      <c r="T286" s="97" t="str">
        <f t="shared" ca="1" si="42"/>
        <v>#REF!</v>
      </c>
      <c r="U286" s="97" t="str">
        <f t="shared" ca="1" si="29"/>
        <v>#REF!</v>
      </c>
      <c r="V286" s="97" t="str">
        <f t="shared" ca="1" si="7"/>
        <v>#REF!</v>
      </c>
      <c r="W286" s="97" t="str">
        <f t="shared" ca="1" si="8"/>
        <v>#REF!</v>
      </c>
      <c r="X286" s="121">
        <v>0</v>
      </c>
      <c r="Y286" s="121" t="str">
        <f t="shared" ca="1" si="9"/>
        <v>#REF!</v>
      </c>
      <c r="Z286" s="121" t="str">
        <f t="shared" ca="1" si="10"/>
        <v>#REF!</v>
      </c>
      <c r="AA286" s="99" t="str">
        <f t="shared" ca="1" si="11"/>
        <v>#REF!</v>
      </c>
      <c r="AB286" s="234" t="str">
        <f t="shared" ca="1" si="12"/>
        <v>#REF!</v>
      </c>
      <c r="AC286" s="257" t="str">
        <f t="shared" ca="1" si="13"/>
        <v>#REF!</v>
      </c>
      <c r="AD286" s="234" t="str">
        <f t="shared" ca="1" si="14"/>
        <v>#REF!</v>
      </c>
      <c r="AE286" s="100" t="str">
        <f t="shared" ca="1" si="15"/>
        <v>#REF!</v>
      </c>
      <c r="AF286" s="101" t="str">
        <f t="shared" ca="1" si="16"/>
        <v>#REF!</v>
      </c>
      <c r="AG286" s="102" t="str">
        <f t="shared" ref="AG286:AH286" ca="1" si="304">AE286/V286</f>
        <v>#REF!</v>
      </c>
      <c r="AH286" s="102" t="str">
        <f t="shared" ca="1" si="304"/>
        <v>#REF!</v>
      </c>
    </row>
    <row r="287" spans="1:34" ht="13.2">
      <c r="A287" s="251"/>
      <c r="B287" s="251"/>
      <c r="C287" s="252"/>
      <c r="D287" s="252"/>
      <c r="E287" s="114"/>
      <c r="F287" s="252"/>
      <c r="G287" s="125" t="s">
        <v>145</v>
      </c>
      <c r="I287" s="172"/>
      <c r="J287" s="82" t="str">
        <f t="shared" ca="1" si="0"/>
        <v>#REF!</v>
      </c>
      <c r="K287" s="82" t="str">
        <f t="shared" ca="1" si="1"/>
        <v>#REF!</v>
      </c>
      <c r="L287" s="82" t="str">
        <f t="shared" ca="1" si="44"/>
        <v>#REF!</v>
      </c>
      <c r="M287" s="93"/>
      <c r="N287" s="93"/>
      <c r="O287" s="95">
        <f t="shared" si="2"/>
        <v>0</v>
      </c>
      <c r="P287" s="96">
        <f t="shared" si="3"/>
        <v>0</v>
      </c>
      <c r="Q287" s="97">
        <f t="shared" si="4"/>
        <v>0</v>
      </c>
      <c r="R287" s="97" t="str">
        <f ca="1">ROUNDUP(HLOOKUP(IF(CEILING(L287,0.5)&lt;1,0.5,CEILING(L287,0.5)),'배송비 조회'!A$44:AO$56,7,0)*B$3,-2)</f>
        <v>#REF!</v>
      </c>
      <c r="S287" s="97">
        <v>0</v>
      </c>
      <c r="T287" s="97" t="str">
        <f t="shared" ca="1" si="42"/>
        <v>#REF!</v>
      </c>
      <c r="U287" s="97" t="str">
        <f t="shared" ca="1" si="29"/>
        <v>#REF!</v>
      </c>
      <c r="V287" s="97" t="str">
        <f t="shared" ca="1" si="7"/>
        <v>#REF!</v>
      </c>
      <c r="W287" s="97" t="str">
        <f t="shared" ca="1" si="8"/>
        <v>#REF!</v>
      </c>
      <c r="X287" s="121">
        <v>0</v>
      </c>
      <c r="Y287" s="121" t="str">
        <f t="shared" ca="1" si="9"/>
        <v>#REF!</v>
      </c>
      <c r="Z287" s="121" t="str">
        <f t="shared" ca="1" si="10"/>
        <v>#REF!</v>
      </c>
      <c r="AA287" s="99" t="str">
        <f t="shared" ca="1" si="11"/>
        <v>#REF!</v>
      </c>
      <c r="AB287" s="234" t="str">
        <f t="shared" ca="1" si="12"/>
        <v>#REF!</v>
      </c>
      <c r="AC287" s="257" t="str">
        <f t="shared" ca="1" si="13"/>
        <v>#REF!</v>
      </c>
      <c r="AD287" s="234" t="str">
        <f t="shared" ca="1" si="14"/>
        <v>#REF!</v>
      </c>
      <c r="AE287" s="100" t="str">
        <f t="shared" ca="1" si="15"/>
        <v>#REF!</v>
      </c>
      <c r="AF287" s="101" t="str">
        <f t="shared" ca="1" si="16"/>
        <v>#REF!</v>
      </c>
      <c r="AG287" s="102" t="str">
        <f t="shared" ref="AG287:AH287" ca="1" si="305">AE287/V287</f>
        <v>#REF!</v>
      </c>
      <c r="AH287" s="102" t="str">
        <f t="shared" ca="1" si="305"/>
        <v>#REF!</v>
      </c>
    </row>
    <row r="288" spans="1:34" ht="13.2">
      <c r="A288" s="251"/>
      <c r="B288" s="251"/>
      <c r="C288" s="252"/>
      <c r="D288" s="252"/>
      <c r="E288" s="114"/>
      <c r="F288" s="252"/>
      <c r="G288" s="125" t="s">
        <v>145</v>
      </c>
      <c r="I288" s="172"/>
      <c r="J288" s="82" t="str">
        <f t="shared" ca="1" si="0"/>
        <v>#REF!</v>
      </c>
      <c r="K288" s="82" t="str">
        <f t="shared" ca="1" si="1"/>
        <v>#REF!</v>
      </c>
      <c r="L288" s="82" t="str">
        <f t="shared" ca="1" si="44"/>
        <v>#REF!</v>
      </c>
      <c r="M288" s="93"/>
      <c r="N288" s="93"/>
      <c r="O288" s="95">
        <f t="shared" si="2"/>
        <v>0</v>
      </c>
      <c r="P288" s="96">
        <f t="shared" si="3"/>
        <v>0</v>
      </c>
      <c r="Q288" s="97">
        <f t="shared" si="4"/>
        <v>0</v>
      </c>
      <c r="R288" s="97" t="str">
        <f ca="1">ROUNDUP(HLOOKUP(IF(CEILING(L288,0.5)&lt;1,0.5,CEILING(L288,0.5)),'배송비 조회'!A$44:AO$56,7,0)*B$3,-2)</f>
        <v>#REF!</v>
      </c>
      <c r="S288" s="97">
        <v>0</v>
      </c>
      <c r="T288" s="97" t="str">
        <f t="shared" ca="1" si="42"/>
        <v>#REF!</v>
      </c>
      <c r="U288" s="97" t="str">
        <f t="shared" ca="1" si="29"/>
        <v>#REF!</v>
      </c>
      <c r="V288" s="97" t="str">
        <f t="shared" ca="1" si="7"/>
        <v>#REF!</v>
      </c>
      <c r="W288" s="97" t="str">
        <f t="shared" ca="1" si="8"/>
        <v>#REF!</v>
      </c>
      <c r="X288" s="121">
        <v>0</v>
      </c>
      <c r="Y288" s="121" t="str">
        <f t="shared" ca="1" si="9"/>
        <v>#REF!</v>
      </c>
      <c r="Z288" s="121" t="str">
        <f t="shared" ca="1" si="10"/>
        <v>#REF!</v>
      </c>
      <c r="AA288" s="99" t="str">
        <f t="shared" ca="1" si="11"/>
        <v>#REF!</v>
      </c>
      <c r="AB288" s="234" t="str">
        <f t="shared" ca="1" si="12"/>
        <v>#REF!</v>
      </c>
      <c r="AC288" s="257" t="str">
        <f t="shared" ca="1" si="13"/>
        <v>#REF!</v>
      </c>
      <c r="AD288" s="234" t="str">
        <f t="shared" ca="1" si="14"/>
        <v>#REF!</v>
      </c>
      <c r="AE288" s="100" t="str">
        <f t="shared" ca="1" si="15"/>
        <v>#REF!</v>
      </c>
      <c r="AF288" s="101" t="str">
        <f t="shared" ca="1" si="16"/>
        <v>#REF!</v>
      </c>
      <c r="AG288" s="102" t="str">
        <f t="shared" ref="AG288:AH288" ca="1" si="306">AE288/V288</f>
        <v>#REF!</v>
      </c>
      <c r="AH288" s="102" t="str">
        <f t="shared" ca="1" si="306"/>
        <v>#REF!</v>
      </c>
    </row>
    <row r="289" spans="1:34" ht="13.2">
      <c r="A289" s="251"/>
      <c r="B289" s="251"/>
      <c r="C289" s="252"/>
      <c r="D289" s="252"/>
      <c r="E289" s="114"/>
      <c r="F289" s="252"/>
      <c r="G289" s="125" t="s">
        <v>145</v>
      </c>
      <c r="I289" s="172"/>
      <c r="J289" s="82" t="str">
        <f t="shared" ca="1" si="0"/>
        <v>#REF!</v>
      </c>
      <c r="K289" s="82" t="str">
        <f t="shared" ca="1" si="1"/>
        <v>#REF!</v>
      </c>
      <c r="L289" s="82" t="str">
        <f t="shared" ca="1" si="44"/>
        <v>#REF!</v>
      </c>
      <c r="M289" s="93"/>
      <c r="N289" s="93"/>
      <c r="O289" s="95">
        <f t="shared" si="2"/>
        <v>0</v>
      </c>
      <c r="P289" s="96">
        <f t="shared" si="3"/>
        <v>0</v>
      </c>
      <c r="Q289" s="97">
        <f t="shared" si="4"/>
        <v>0</v>
      </c>
      <c r="R289" s="97" t="str">
        <f ca="1">ROUNDUP(HLOOKUP(IF(CEILING(L289,0.5)&lt;1,0.5,CEILING(L289,0.5)),'배송비 조회'!A$44:AO$56,7,0)*B$3,-2)</f>
        <v>#REF!</v>
      </c>
      <c r="S289" s="97">
        <v>0</v>
      </c>
      <c r="T289" s="97" t="str">
        <f t="shared" ca="1" si="42"/>
        <v>#REF!</v>
      </c>
      <c r="U289" s="97" t="str">
        <f t="shared" ca="1" si="29"/>
        <v>#REF!</v>
      </c>
      <c r="V289" s="97" t="str">
        <f t="shared" ca="1" si="7"/>
        <v>#REF!</v>
      </c>
      <c r="W289" s="97" t="str">
        <f t="shared" ca="1" si="8"/>
        <v>#REF!</v>
      </c>
      <c r="X289" s="121">
        <v>0</v>
      </c>
      <c r="Y289" s="121" t="str">
        <f t="shared" ca="1" si="9"/>
        <v>#REF!</v>
      </c>
      <c r="Z289" s="121" t="str">
        <f t="shared" ca="1" si="10"/>
        <v>#REF!</v>
      </c>
      <c r="AA289" s="99" t="str">
        <f t="shared" ca="1" si="11"/>
        <v>#REF!</v>
      </c>
      <c r="AB289" s="234" t="str">
        <f t="shared" ca="1" si="12"/>
        <v>#REF!</v>
      </c>
      <c r="AC289" s="257" t="str">
        <f t="shared" ca="1" si="13"/>
        <v>#REF!</v>
      </c>
      <c r="AD289" s="234" t="str">
        <f t="shared" ca="1" si="14"/>
        <v>#REF!</v>
      </c>
      <c r="AE289" s="100" t="str">
        <f t="shared" ca="1" si="15"/>
        <v>#REF!</v>
      </c>
      <c r="AF289" s="101" t="str">
        <f t="shared" ca="1" si="16"/>
        <v>#REF!</v>
      </c>
      <c r="AG289" s="102" t="str">
        <f t="shared" ref="AG289:AH289" ca="1" si="307">AE289/V289</f>
        <v>#REF!</v>
      </c>
      <c r="AH289" s="102" t="str">
        <f t="shared" ca="1" si="307"/>
        <v>#REF!</v>
      </c>
    </row>
    <row r="290" spans="1:34" ht="13.2">
      <c r="A290" s="251"/>
      <c r="B290" s="251"/>
      <c r="C290" s="252"/>
      <c r="D290" s="252"/>
      <c r="E290" s="114"/>
      <c r="F290" s="252"/>
      <c r="G290" s="125" t="s">
        <v>145</v>
      </c>
      <c r="I290" s="172"/>
      <c r="J290" s="82" t="str">
        <f t="shared" ca="1" si="0"/>
        <v>#REF!</v>
      </c>
      <c r="K290" s="82" t="str">
        <f t="shared" ca="1" si="1"/>
        <v>#REF!</v>
      </c>
      <c r="L290" s="82" t="str">
        <f t="shared" ca="1" si="44"/>
        <v>#REF!</v>
      </c>
      <c r="M290" s="93"/>
      <c r="N290" s="93"/>
      <c r="O290" s="95">
        <f t="shared" si="2"/>
        <v>0</v>
      </c>
      <c r="P290" s="96">
        <f t="shared" si="3"/>
        <v>0</v>
      </c>
      <c r="Q290" s="97">
        <f t="shared" si="4"/>
        <v>0</v>
      </c>
      <c r="R290" s="97" t="str">
        <f ca="1">ROUNDUP(HLOOKUP(IF(CEILING(L290,0.5)&lt;1,0.5,CEILING(L290,0.5)),'배송비 조회'!A$44:AO$56,7,0)*B$3,-2)</f>
        <v>#REF!</v>
      </c>
      <c r="S290" s="97">
        <v>0</v>
      </c>
      <c r="T290" s="97" t="str">
        <f t="shared" ca="1" si="42"/>
        <v>#REF!</v>
      </c>
      <c r="U290" s="97" t="str">
        <f t="shared" ca="1" si="29"/>
        <v>#REF!</v>
      </c>
      <c r="V290" s="97" t="str">
        <f t="shared" ca="1" si="7"/>
        <v>#REF!</v>
      </c>
      <c r="W290" s="97" t="str">
        <f t="shared" ca="1" si="8"/>
        <v>#REF!</v>
      </c>
      <c r="X290" s="121">
        <v>0</v>
      </c>
      <c r="Y290" s="121" t="str">
        <f t="shared" ca="1" si="9"/>
        <v>#REF!</v>
      </c>
      <c r="Z290" s="121" t="str">
        <f t="shared" ca="1" si="10"/>
        <v>#REF!</v>
      </c>
      <c r="AA290" s="99" t="str">
        <f t="shared" ca="1" si="11"/>
        <v>#REF!</v>
      </c>
      <c r="AB290" s="234" t="str">
        <f t="shared" ca="1" si="12"/>
        <v>#REF!</v>
      </c>
      <c r="AC290" s="257" t="str">
        <f t="shared" ca="1" si="13"/>
        <v>#REF!</v>
      </c>
      <c r="AD290" s="234" t="str">
        <f t="shared" ca="1" si="14"/>
        <v>#REF!</v>
      </c>
      <c r="AE290" s="100" t="str">
        <f t="shared" ca="1" si="15"/>
        <v>#REF!</v>
      </c>
      <c r="AF290" s="101" t="str">
        <f t="shared" ca="1" si="16"/>
        <v>#REF!</v>
      </c>
      <c r="AG290" s="102" t="str">
        <f t="shared" ref="AG290:AH290" ca="1" si="308">AE290/V290</f>
        <v>#REF!</v>
      </c>
      <c r="AH290" s="102" t="str">
        <f t="shared" ca="1" si="308"/>
        <v>#REF!</v>
      </c>
    </row>
    <row r="291" spans="1:34" ht="13.2">
      <c r="A291" s="251"/>
      <c r="B291" s="251"/>
      <c r="C291" s="252"/>
      <c r="D291" s="252"/>
      <c r="E291" s="114"/>
      <c r="F291" s="252"/>
      <c r="G291" s="125" t="s">
        <v>145</v>
      </c>
      <c r="I291" s="172"/>
      <c r="J291" s="82" t="str">
        <f t="shared" ca="1" si="0"/>
        <v>#REF!</v>
      </c>
      <c r="K291" s="82" t="str">
        <f t="shared" ca="1" si="1"/>
        <v>#REF!</v>
      </c>
      <c r="L291" s="82" t="str">
        <f t="shared" ca="1" si="44"/>
        <v>#REF!</v>
      </c>
      <c r="M291" s="93"/>
      <c r="N291" s="93"/>
      <c r="O291" s="95">
        <f t="shared" si="2"/>
        <v>0</v>
      </c>
      <c r="P291" s="96">
        <f t="shared" si="3"/>
        <v>0</v>
      </c>
      <c r="Q291" s="97">
        <f t="shared" si="4"/>
        <v>0</v>
      </c>
      <c r="R291" s="97" t="str">
        <f ca="1">ROUNDUP(HLOOKUP(IF(CEILING(L291,0.5)&lt;1,0.5,CEILING(L291,0.5)),'배송비 조회'!A$44:AO$56,7,0)*B$3,-2)</f>
        <v>#REF!</v>
      </c>
      <c r="S291" s="97">
        <v>0</v>
      </c>
      <c r="T291" s="97" t="str">
        <f t="shared" ca="1" si="42"/>
        <v>#REF!</v>
      </c>
      <c r="U291" s="97" t="str">
        <f t="shared" ca="1" si="29"/>
        <v>#REF!</v>
      </c>
      <c r="V291" s="97" t="str">
        <f t="shared" ca="1" si="7"/>
        <v>#REF!</v>
      </c>
      <c r="W291" s="97" t="str">
        <f t="shared" ca="1" si="8"/>
        <v>#REF!</v>
      </c>
      <c r="X291" s="121">
        <v>0</v>
      </c>
      <c r="Y291" s="121" t="str">
        <f t="shared" ca="1" si="9"/>
        <v>#REF!</v>
      </c>
      <c r="Z291" s="121" t="str">
        <f t="shared" ca="1" si="10"/>
        <v>#REF!</v>
      </c>
      <c r="AA291" s="99" t="str">
        <f t="shared" ca="1" si="11"/>
        <v>#REF!</v>
      </c>
      <c r="AB291" s="234" t="str">
        <f t="shared" ca="1" si="12"/>
        <v>#REF!</v>
      </c>
      <c r="AC291" s="257" t="str">
        <f t="shared" ca="1" si="13"/>
        <v>#REF!</v>
      </c>
      <c r="AD291" s="234" t="str">
        <f t="shared" ca="1" si="14"/>
        <v>#REF!</v>
      </c>
      <c r="AE291" s="100" t="str">
        <f t="shared" ca="1" si="15"/>
        <v>#REF!</v>
      </c>
      <c r="AF291" s="101" t="str">
        <f t="shared" ca="1" si="16"/>
        <v>#REF!</v>
      </c>
      <c r="AG291" s="102" t="str">
        <f t="shared" ref="AG291:AH291" ca="1" si="309">AE291/V291</f>
        <v>#REF!</v>
      </c>
      <c r="AH291" s="102" t="str">
        <f t="shared" ca="1" si="309"/>
        <v>#REF!</v>
      </c>
    </row>
    <row r="292" spans="1:34" ht="13.2">
      <c r="A292" s="251"/>
      <c r="B292" s="251"/>
      <c r="C292" s="252"/>
      <c r="D292" s="252"/>
      <c r="E292" s="114"/>
      <c r="F292" s="252"/>
      <c r="G292" s="125" t="s">
        <v>145</v>
      </c>
      <c r="I292" s="172"/>
      <c r="J292" s="82" t="str">
        <f t="shared" ca="1" si="0"/>
        <v>#REF!</v>
      </c>
      <c r="K292" s="82" t="str">
        <f t="shared" ca="1" si="1"/>
        <v>#REF!</v>
      </c>
      <c r="L292" s="82" t="str">
        <f t="shared" ca="1" si="44"/>
        <v>#REF!</v>
      </c>
      <c r="M292" s="93"/>
      <c r="N292" s="93"/>
      <c r="O292" s="95">
        <f t="shared" si="2"/>
        <v>0</v>
      </c>
      <c r="P292" s="96">
        <f t="shared" si="3"/>
        <v>0</v>
      </c>
      <c r="Q292" s="97">
        <f t="shared" si="4"/>
        <v>0</v>
      </c>
      <c r="R292" s="97" t="str">
        <f ca="1">ROUNDUP(HLOOKUP(IF(CEILING(L292,0.5)&lt;1,0.5,CEILING(L292,0.5)),'배송비 조회'!A$44:AO$56,7,0)*B$3,-2)</f>
        <v>#REF!</v>
      </c>
      <c r="S292" s="97">
        <v>0</v>
      </c>
      <c r="T292" s="97" t="str">
        <f t="shared" ca="1" si="42"/>
        <v>#REF!</v>
      </c>
      <c r="U292" s="97" t="str">
        <f t="shared" ca="1" si="29"/>
        <v>#REF!</v>
      </c>
      <c r="V292" s="97" t="str">
        <f t="shared" ca="1" si="7"/>
        <v>#REF!</v>
      </c>
      <c r="W292" s="97" t="str">
        <f t="shared" ca="1" si="8"/>
        <v>#REF!</v>
      </c>
      <c r="X292" s="121">
        <v>0</v>
      </c>
      <c r="Y292" s="121" t="str">
        <f t="shared" ca="1" si="9"/>
        <v>#REF!</v>
      </c>
      <c r="Z292" s="121" t="str">
        <f t="shared" ca="1" si="10"/>
        <v>#REF!</v>
      </c>
      <c r="AA292" s="99" t="str">
        <f t="shared" ca="1" si="11"/>
        <v>#REF!</v>
      </c>
      <c r="AB292" s="234" t="str">
        <f t="shared" ca="1" si="12"/>
        <v>#REF!</v>
      </c>
      <c r="AC292" s="257" t="str">
        <f t="shared" ca="1" si="13"/>
        <v>#REF!</v>
      </c>
      <c r="AD292" s="234" t="str">
        <f t="shared" ca="1" si="14"/>
        <v>#REF!</v>
      </c>
      <c r="AE292" s="100" t="str">
        <f t="shared" ca="1" si="15"/>
        <v>#REF!</v>
      </c>
      <c r="AF292" s="101" t="str">
        <f t="shared" ca="1" si="16"/>
        <v>#REF!</v>
      </c>
      <c r="AG292" s="102" t="str">
        <f t="shared" ref="AG292:AH292" ca="1" si="310">AE292/V292</f>
        <v>#REF!</v>
      </c>
      <c r="AH292" s="102" t="str">
        <f t="shared" ca="1" si="310"/>
        <v>#REF!</v>
      </c>
    </row>
    <row r="293" spans="1:34" ht="13.2">
      <c r="A293" s="251"/>
      <c r="B293" s="251"/>
      <c r="C293" s="252"/>
      <c r="D293" s="252"/>
      <c r="E293" s="114"/>
      <c r="F293" s="252"/>
      <c r="G293" s="125" t="s">
        <v>145</v>
      </c>
      <c r="I293" s="172"/>
      <c r="J293" s="82" t="str">
        <f t="shared" ca="1" si="0"/>
        <v>#REF!</v>
      </c>
      <c r="K293" s="82" t="str">
        <f t="shared" ca="1" si="1"/>
        <v>#REF!</v>
      </c>
      <c r="L293" s="82" t="str">
        <f t="shared" ca="1" si="44"/>
        <v>#REF!</v>
      </c>
      <c r="M293" s="93"/>
      <c r="N293" s="93"/>
      <c r="O293" s="95">
        <f t="shared" si="2"/>
        <v>0</v>
      </c>
      <c r="P293" s="96">
        <f t="shared" si="3"/>
        <v>0</v>
      </c>
      <c r="Q293" s="97">
        <f t="shared" si="4"/>
        <v>0</v>
      </c>
      <c r="R293" s="97" t="str">
        <f ca="1">ROUNDUP(HLOOKUP(IF(CEILING(L293,0.5)&lt;1,0.5,CEILING(L293,0.5)),'배송비 조회'!A$44:AO$56,7,0)*B$3,-2)</f>
        <v>#REF!</v>
      </c>
      <c r="S293" s="97">
        <v>0</v>
      </c>
      <c r="T293" s="97" t="str">
        <f t="shared" ca="1" si="42"/>
        <v>#REF!</v>
      </c>
      <c r="U293" s="97" t="str">
        <f t="shared" ca="1" si="29"/>
        <v>#REF!</v>
      </c>
      <c r="V293" s="97" t="str">
        <f t="shared" ca="1" si="7"/>
        <v>#REF!</v>
      </c>
      <c r="W293" s="97" t="str">
        <f t="shared" ca="1" si="8"/>
        <v>#REF!</v>
      </c>
      <c r="X293" s="121">
        <v>0</v>
      </c>
      <c r="Y293" s="121" t="str">
        <f t="shared" ca="1" si="9"/>
        <v>#REF!</v>
      </c>
      <c r="Z293" s="121" t="str">
        <f t="shared" ca="1" si="10"/>
        <v>#REF!</v>
      </c>
      <c r="AA293" s="99" t="str">
        <f t="shared" ca="1" si="11"/>
        <v>#REF!</v>
      </c>
      <c r="AB293" s="234" t="str">
        <f t="shared" ca="1" si="12"/>
        <v>#REF!</v>
      </c>
      <c r="AC293" s="257" t="str">
        <f t="shared" ca="1" si="13"/>
        <v>#REF!</v>
      </c>
      <c r="AD293" s="234" t="str">
        <f t="shared" ca="1" si="14"/>
        <v>#REF!</v>
      </c>
      <c r="AE293" s="100" t="str">
        <f t="shared" ca="1" si="15"/>
        <v>#REF!</v>
      </c>
      <c r="AF293" s="101" t="str">
        <f t="shared" ca="1" si="16"/>
        <v>#REF!</v>
      </c>
      <c r="AG293" s="102" t="str">
        <f t="shared" ref="AG293:AH293" ca="1" si="311">AE293/V293</f>
        <v>#REF!</v>
      </c>
      <c r="AH293" s="102" t="str">
        <f t="shared" ca="1" si="311"/>
        <v>#REF!</v>
      </c>
    </row>
    <row r="294" spans="1:34" ht="13.2">
      <c r="A294" s="251"/>
      <c r="B294" s="251"/>
      <c r="C294" s="252"/>
      <c r="D294" s="252"/>
      <c r="E294" s="114"/>
      <c r="F294" s="252"/>
      <c r="G294" s="125" t="s">
        <v>145</v>
      </c>
      <c r="I294" s="172"/>
      <c r="J294" s="82" t="str">
        <f t="shared" ca="1" si="0"/>
        <v>#REF!</v>
      </c>
      <c r="K294" s="82" t="str">
        <f t="shared" ca="1" si="1"/>
        <v>#REF!</v>
      </c>
      <c r="L294" s="82" t="str">
        <f t="shared" ca="1" si="44"/>
        <v>#REF!</v>
      </c>
      <c r="M294" s="93"/>
      <c r="N294" s="93"/>
      <c r="O294" s="95">
        <f t="shared" si="2"/>
        <v>0</v>
      </c>
      <c r="P294" s="96">
        <f t="shared" si="3"/>
        <v>0</v>
      </c>
      <c r="Q294" s="97">
        <f t="shared" si="4"/>
        <v>0</v>
      </c>
      <c r="R294" s="97" t="str">
        <f ca="1">ROUNDUP(HLOOKUP(IF(CEILING(L294,0.5)&lt;1,0.5,CEILING(L294,0.5)),'배송비 조회'!A$44:AO$56,7,0)*B$3,-2)</f>
        <v>#REF!</v>
      </c>
      <c r="S294" s="97">
        <v>0</v>
      </c>
      <c r="T294" s="97" t="str">
        <f t="shared" ca="1" si="42"/>
        <v>#REF!</v>
      </c>
      <c r="U294" s="97" t="str">
        <f t="shared" ca="1" si="29"/>
        <v>#REF!</v>
      </c>
      <c r="V294" s="97" t="str">
        <f t="shared" ca="1" si="7"/>
        <v>#REF!</v>
      </c>
      <c r="W294" s="97" t="str">
        <f t="shared" ca="1" si="8"/>
        <v>#REF!</v>
      </c>
      <c r="X294" s="121">
        <v>0</v>
      </c>
      <c r="Y294" s="121" t="str">
        <f t="shared" ca="1" si="9"/>
        <v>#REF!</v>
      </c>
      <c r="Z294" s="121" t="str">
        <f t="shared" ca="1" si="10"/>
        <v>#REF!</v>
      </c>
      <c r="AA294" s="99" t="str">
        <f t="shared" ca="1" si="11"/>
        <v>#REF!</v>
      </c>
      <c r="AB294" s="234" t="str">
        <f t="shared" ca="1" si="12"/>
        <v>#REF!</v>
      </c>
      <c r="AC294" s="257" t="str">
        <f t="shared" ca="1" si="13"/>
        <v>#REF!</v>
      </c>
      <c r="AD294" s="234" t="str">
        <f t="shared" ca="1" si="14"/>
        <v>#REF!</v>
      </c>
      <c r="AE294" s="100" t="str">
        <f t="shared" ca="1" si="15"/>
        <v>#REF!</v>
      </c>
      <c r="AF294" s="101" t="str">
        <f t="shared" ca="1" si="16"/>
        <v>#REF!</v>
      </c>
      <c r="AG294" s="102" t="str">
        <f t="shared" ref="AG294:AH294" ca="1" si="312">AE294/V294</f>
        <v>#REF!</v>
      </c>
      <c r="AH294" s="102" t="str">
        <f t="shared" ca="1" si="312"/>
        <v>#REF!</v>
      </c>
    </row>
    <row r="295" spans="1:34" ht="13.2">
      <c r="A295" s="251"/>
      <c r="B295" s="251"/>
      <c r="C295" s="252"/>
      <c r="D295" s="252"/>
      <c r="E295" s="114"/>
      <c r="F295" s="252"/>
      <c r="G295" s="125" t="s">
        <v>145</v>
      </c>
      <c r="I295" s="172"/>
      <c r="J295" s="82" t="str">
        <f t="shared" ca="1" si="0"/>
        <v>#REF!</v>
      </c>
      <c r="K295" s="82" t="str">
        <f t="shared" ca="1" si="1"/>
        <v>#REF!</v>
      </c>
      <c r="L295" s="82" t="str">
        <f t="shared" ca="1" si="44"/>
        <v>#REF!</v>
      </c>
      <c r="M295" s="93"/>
      <c r="N295" s="93"/>
      <c r="O295" s="95">
        <f t="shared" si="2"/>
        <v>0</v>
      </c>
      <c r="P295" s="96">
        <f t="shared" si="3"/>
        <v>0</v>
      </c>
      <c r="Q295" s="97">
        <f t="shared" si="4"/>
        <v>0</v>
      </c>
      <c r="R295" s="97" t="str">
        <f ca="1">ROUNDUP(HLOOKUP(IF(CEILING(L295,0.5)&lt;1,0.5,CEILING(L295,0.5)),'배송비 조회'!A$44:AO$56,7,0)*B$3,-2)</f>
        <v>#REF!</v>
      </c>
      <c r="S295" s="97">
        <v>0</v>
      </c>
      <c r="T295" s="97" t="str">
        <f t="shared" ca="1" si="42"/>
        <v>#REF!</v>
      </c>
      <c r="U295" s="97" t="str">
        <f t="shared" ca="1" si="29"/>
        <v>#REF!</v>
      </c>
      <c r="V295" s="97" t="str">
        <f t="shared" ca="1" si="7"/>
        <v>#REF!</v>
      </c>
      <c r="W295" s="97" t="str">
        <f t="shared" ca="1" si="8"/>
        <v>#REF!</v>
      </c>
      <c r="X295" s="121">
        <v>0</v>
      </c>
      <c r="Y295" s="121" t="str">
        <f t="shared" ca="1" si="9"/>
        <v>#REF!</v>
      </c>
      <c r="Z295" s="121" t="str">
        <f t="shared" ca="1" si="10"/>
        <v>#REF!</v>
      </c>
      <c r="AA295" s="99" t="str">
        <f t="shared" ca="1" si="11"/>
        <v>#REF!</v>
      </c>
      <c r="AB295" s="234" t="str">
        <f t="shared" ca="1" si="12"/>
        <v>#REF!</v>
      </c>
      <c r="AC295" s="257" t="str">
        <f t="shared" ca="1" si="13"/>
        <v>#REF!</v>
      </c>
      <c r="AD295" s="234" t="str">
        <f t="shared" ca="1" si="14"/>
        <v>#REF!</v>
      </c>
      <c r="AE295" s="100" t="str">
        <f t="shared" ca="1" si="15"/>
        <v>#REF!</v>
      </c>
      <c r="AF295" s="101" t="str">
        <f t="shared" ca="1" si="16"/>
        <v>#REF!</v>
      </c>
      <c r="AG295" s="102" t="str">
        <f t="shared" ref="AG295:AH295" ca="1" si="313">AE295/V295</f>
        <v>#REF!</v>
      </c>
      <c r="AH295" s="102" t="str">
        <f t="shared" ca="1" si="313"/>
        <v>#REF!</v>
      </c>
    </row>
    <row r="296" spans="1:34" ht="13.2">
      <c r="A296" s="251"/>
      <c r="B296" s="251"/>
      <c r="C296" s="252"/>
      <c r="D296" s="252"/>
      <c r="E296" s="114"/>
      <c r="F296" s="252"/>
      <c r="G296" s="125" t="s">
        <v>145</v>
      </c>
      <c r="I296" s="172"/>
      <c r="J296" s="82" t="str">
        <f t="shared" ca="1" si="0"/>
        <v>#REF!</v>
      </c>
      <c r="K296" s="82" t="str">
        <f t="shared" ca="1" si="1"/>
        <v>#REF!</v>
      </c>
      <c r="L296" s="82" t="str">
        <f t="shared" ca="1" si="44"/>
        <v>#REF!</v>
      </c>
      <c r="M296" s="93"/>
      <c r="N296" s="93"/>
      <c r="O296" s="95">
        <f t="shared" si="2"/>
        <v>0</v>
      </c>
      <c r="P296" s="96">
        <f t="shared" si="3"/>
        <v>0</v>
      </c>
      <c r="Q296" s="97">
        <f t="shared" si="4"/>
        <v>0</v>
      </c>
      <c r="R296" s="97" t="str">
        <f ca="1">ROUNDUP(HLOOKUP(IF(CEILING(L296,0.5)&lt;1,0.5,CEILING(L296,0.5)),'배송비 조회'!A$44:AO$56,7,0)*B$3,-2)</f>
        <v>#REF!</v>
      </c>
      <c r="S296" s="97">
        <v>0</v>
      </c>
      <c r="T296" s="97" t="str">
        <f t="shared" ca="1" si="42"/>
        <v>#REF!</v>
      </c>
      <c r="U296" s="97" t="str">
        <f t="shared" ca="1" si="29"/>
        <v>#REF!</v>
      </c>
      <c r="V296" s="97" t="str">
        <f t="shared" ca="1" si="7"/>
        <v>#REF!</v>
      </c>
      <c r="W296" s="97" t="str">
        <f t="shared" ca="1" si="8"/>
        <v>#REF!</v>
      </c>
      <c r="X296" s="121">
        <v>0</v>
      </c>
      <c r="Y296" s="121" t="str">
        <f t="shared" ca="1" si="9"/>
        <v>#REF!</v>
      </c>
      <c r="Z296" s="121" t="str">
        <f t="shared" ca="1" si="10"/>
        <v>#REF!</v>
      </c>
      <c r="AA296" s="99" t="str">
        <f t="shared" ca="1" si="11"/>
        <v>#REF!</v>
      </c>
      <c r="AB296" s="234" t="str">
        <f t="shared" ca="1" si="12"/>
        <v>#REF!</v>
      </c>
      <c r="AC296" s="257" t="str">
        <f t="shared" ca="1" si="13"/>
        <v>#REF!</v>
      </c>
      <c r="AD296" s="234" t="str">
        <f t="shared" ca="1" si="14"/>
        <v>#REF!</v>
      </c>
      <c r="AE296" s="100" t="str">
        <f t="shared" ca="1" si="15"/>
        <v>#REF!</v>
      </c>
      <c r="AF296" s="101" t="str">
        <f t="shared" ca="1" si="16"/>
        <v>#REF!</v>
      </c>
      <c r="AG296" s="102" t="str">
        <f t="shared" ref="AG296:AH296" ca="1" si="314">AE296/V296</f>
        <v>#REF!</v>
      </c>
      <c r="AH296" s="102" t="str">
        <f t="shared" ca="1" si="314"/>
        <v>#REF!</v>
      </c>
    </row>
    <row r="297" spans="1:34" ht="13.2">
      <c r="A297" s="251"/>
      <c r="B297" s="251"/>
      <c r="C297" s="252"/>
      <c r="D297" s="252"/>
      <c r="E297" s="114"/>
      <c r="F297" s="252"/>
      <c r="G297" s="125" t="s">
        <v>145</v>
      </c>
      <c r="I297" s="172"/>
      <c r="J297" s="82" t="str">
        <f t="shared" ca="1" si="0"/>
        <v>#REF!</v>
      </c>
      <c r="K297" s="82" t="str">
        <f t="shared" ca="1" si="1"/>
        <v>#REF!</v>
      </c>
      <c r="L297" s="82" t="str">
        <f t="shared" ca="1" si="44"/>
        <v>#REF!</v>
      </c>
      <c r="M297" s="93"/>
      <c r="N297" s="93"/>
      <c r="O297" s="95">
        <f t="shared" si="2"/>
        <v>0</v>
      </c>
      <c r="P297" s="96">
        <f t="shared" si="3"/>
        <v>0</v>
      </c>
      <c r="Q297" s="97">
        <f t="shared" si="4"/>
        <v>0</v>
      </c>
      <c r="R297" s="97" t="str">
        <f ca="1">ROUNDUP(HLOOKUP(IF(CEILING(L297,0.5)&lt;1,0.5,CEILING(L297,0.5)),'배송비 조회'!A$44:AO$56,7,0)*B$3,-2)</f>
        <v>#REF!</v>
      </c>
      <c r="S297" s="97">
        <v>0</v>
      </c>
      <c r="T297" s="97" t="str">
        <f t="shared" ca="1" si="42"/>
        <v>#REF!</v>
      </c>
      <c r="U297" s="97" t="str">
        <f t="shared" ca="1" si="29"/>
        <v>#REF!</v>
      </c>
      <c r="V297" s="97" t="str">
        <f t="shared" ca="1" si="7"/>
        <v>#REF!</v>
      </c>
      <c r="W297" s="97" t="str">
        <f t="shared" ca="1" si="8"/>
        <v>#REF!</v>
      </c>
      <c r="X297" s="121">
        <v>0</v>
      </c>
      <c r="Y297" s="121" t="str">
        <f t="shared" ca="1" si="9"/>
        <v>#REF!</v>
      </c>
      <c r="Z297" s="121" t="str">
        <f t="shared" ca="1" si="10"/>
        <v>#REF!</v>
      </c>
      <c r="AA297" s="99" t="str">
        <f t="shared" ca="1" si="11"/>
        <v>#REF!</v>
      </c>
      <c r="AB297" s="234" t="str">
        <f t="shared" ca="1" si="12"/>
        <v>#REF!</v>
      </c>
      <c r="AC297" s="257" t="str">
        <f t="shared" ca="1" si="13"/>
        <v>#REF!</v>
      </c>
      <c r="AD297" s="234" t="str">
        <f t="shared" ca="1" si="14"/>
        <v>#REF!</v>
      </c>
      <c r="AE297" s="100" t="str">
        <f t="shared" ca="1" si="15"/>
        <v>#REF!</v>
      </c>
      <c r="AF297" s="101" t="str">
        <f t="shared" ca="1" si="16"/>
        <v>#REF!</v>
      </c>
      <c r="AG297" s="102" t="str">
        <f t="shared" ref="AG297:AH297" ca="1" si="315">AE297/V297</f>
        <v>#REF!</v>
      </c>
      <c r="AH297" s="102" t="str">
        <f t="shared" ca="1" si="315"/>
        <v>#REF!</v>
      </c>
    </row>
    <row r="298" spans="1:34" ht="13.2">
      <c r="A298" s="251"/>
      <c r="B298" s="251"/>
      <c r="C298" s="252"/>
      <c r="D298" s="252"/>
      <c r="E298" s="114"/>
      <c r="F298" s="252"/>
      <c r="G298" s="125" t="s">
        <v>145</v>
      </c>
      <c r="I298" s="172"/>
      <c r="J298" s="82" t="str">
        <f t="shared" ca="1" si="0"/>
        <v>#REF!</v>
      </c>
      <c r="K298" s="82" t="str">
        <f t="shared" ca="1" si="1"/>
        <v>#REF!</v>
      </c>
      <c r="L298" s="82" t="str">
        <f t="shared" ca="1" si="44"/>
        <v>#REF!</v>
      </c>
      <c r="M298" s="93"/>
      <c r="N298" s="93"/>
      <c r="O298" s="95">
        <f t="shared" si="2"/>
        <v>0</v>
      </c>
      <c r="P298" s="96">
        <f t="shared" si="3"/>
        <v>0</v>
      </c>
      <c r="Q298" s="97">
        <f t="shared" si="4"/>
        <v>0</v>
      </c>
      <c r="R298" s="97" t="str">
        <f ca="1">ROUNDUP(HLOOKUP(IF(CEILING(L298,0.5)&lt;1,0.5,CEILING(L298,0.5)),'배송비 조회'!A$44:AO$56,7,0)*B$3,-2)</f>
        <v>#REF!</v>
      </c>
      <c r="S298" s="97">
        <v>0</v>
      </c>
      <c r="T298" s="97" t="str">
        <f t="shared" ca="1" si="42"/>
        <v>#REF!</v>
      </c>
      <c r="U298" s="97" t="str">
        <f t="shared" ca="1" si="29"/>
        <v>#REF!</v>
      </c>
      <c r="V298" s="97" t="str">
        <f t="shared" ca="1" si="7"/>
        <v>#REF!</v>
      </c>
      <c r="W298" s="97" t="str">
        <f t="shared" ca="1" si="8"/>
        <v>#REF!</v>
      </c>
      <c r="X298" s="121">
        <v>0</v>
      </c>
      <c r="Y298" s="121" t="str">
        <f t="shared" ca="1" si="9"/>
        <v>#REF!</v>
      </c>
      <c r="Z298" s="121" t="str">
        <f t="shared" ca="1" si="10"/>
        <v>#REF!</v>
      </c>
      <c r="AA298" s="99" t="str">
        <f t="shared" ca="1" si="11"/>
        <v>#REF!</v>
      </c>
      <c r="AB298" s="234" t="str">
        <f t="shared" ca="1" si="12"/>
        <v>#REF!</v>
      </c>
      <c r="AC298" s="257" t="str">
        <f t="shared" ca="1" si="13"/>
        <v>#REF!</v>
      </c>
      <c r="AD298" s="234" t="str">
        <f t="shared" ca="1" si="14"/>
        <v>#REF!</v>
      </c>
      <c r="AE298" s="100" t="str">
        <f t="shared" ca="1" si="15"/>
        <v>#REF!</v>
      </c>
      <c r="AF298" s="101" t="str">
        <f t="shared" ca="1" si="16"/>
        <v>#REF!</v>
      </c>
      <c r="AG298" s="102" t="str">
        <f t="shared" ref="AG298:AH298" ca="1" si="316">AE298/V298</f>
        <v>#REF!</v>
      </c>
      <c r="AH298" s="102" t="str">
        <f t="shared" ca="1" si="316"/>
        <v>#REF!</v>
      </c>
    </row>
    <row r="299" spans="1:34" ht="13.2">
      <c r="A299" s="251"/>
      <c r="B299" s="251"/>
      <c r="C299" s="252"/>
      <c r="D299" s="252"/>
      <c r="E299" s="114"/>
      <c r="F299" s="252"/>
      <c r="G299" s="125" t="s">
        <v>145</v>
      </c>
      <c r="I299" s="172"/>
      <c r="J299" s="82" t="str">
        <f t="shared" ca="1" si="0"/>
        <v>#REF!</v>
      </c>
      <c r="K299" s="82" t="str">
        <f t="shared" ca="1" si="1"/>
        <v>#REF!</v>
      </c>
      <c r="L299" s="82" t="str">
        <f t="shared" ca="1" si="44"/>
        <v>#REF!</v>
      </c>
      <c r="M299" s="93"/>
      <c r="N299" s="93"/>
      <c r="O299" s="95">
        <f t="shared" si="2"/>
        <v>0</v>
      </c>
      <c r="P299" s="96">
        <f t="shared" si="3"/>
        <v>0</v>
      </c>
      <c r="Q299" s="97">
        <f t="shared" si="4"/>
        <v>0</v>
      </c>
      <c r="R299" s="97" t="str">
        <f ca="1">ROUNDUP(HLOOKUP(IF(CEILING(L299,0.5)&lt;1,0.5,CEILING(L299,0.5)),'배송비 조회'!A$44:AO$56,7,0)*B$3,-2)</f>
        <v>#REF!</v>
      </c>
      <c r="S299" s="97">
        <v>0</v>
      </c>
      <c r="T299" s="97" t="str">
        <f t="shared" ca="1" si="42"/>
        <v>#REF!</v>
      </c>
      <c r="U299" s="97" t="str">
        <f t="shared" ca="1" si="29"/>
        <v>#REF!</v>
      </c>
      <c r="V299" s="97" t="str">
        <f t="shared" ca="1" si="7"/>
        <v>#REF!</v>
      </c>
      <c r="W299" s="97" t="str">
        <f t="shared" ca="1" si="8"/>
        <v>#REF!</v>
      </c>
      <c r="X299" s="121">
        <v>0</v>
      </c>
      <c r="Y299" s="121" t="str">
        <f t="shared" ca="1" si="9"/>
        <v>#REF!</v>
      </c>
      <c r="Z299" s="121" t="str">
        <f t="shared" ca="1" si="10"/>
        <v>#REF!</v>
      </c>
      <c r="AA299" s="99" t="str">
        <f t="shared" ca="1" si="11"/>
        <v>#REF!</v>
      </c>
      <c r="AB299" s="234" t="str">
        <f t="shared" ca="1" si="12"/>
        <v>#REF!</v>
      </c>
      <c r="AC299" s="257" t="str">
        <f t="shared" ca="1" si="13"/>
        <v>#REF!</v>
      </c>
      <c r="AD299" s="234" t="str">
        <f t="shared" ca="1" si="14"/>
        <v>#REF!</v>
      </c>
      <c r="AE299" s="100" t="str">
        <f t="shared" ca="1" si="15"/>
        <v>#REF!</v>
      </c>
      <c r="AF299" s="101" t="str">
        <f t="shared" ca="1" si="16"/>
        <v>#REF!</v>
      </c>
      <c r="AG299" s="102" t="str">
        <f t="shared" ref="AG299:AH299" ca="1" si="317">AE299/V299</f>
        <v>#REF!</v>
      </c>
      <c r="AH299" s="102" t="str">
        <f t="shared" ca="1" si="317"/>
        <v>#REF!</v>
      </c>
    </row>
    <row r="300" spans="1:34" ht="13.2">
      <c r="A300" s="251"/>
      <c r="B300" s="251"/>
      <c r="C300" s="252"/>
      <c r="D300" s="252"/>
      <c r="E300" s="114"/>
      <c r="F300" s="252"/>
      <c r="G300" s="125" t="s">
        <v>145</v>
      </c>
      <c r="I300" s="172"/>
      <c r="J300" s="82" t="str">
        <f t="shared" ca="1" si="0"/>
        <v>#REF!</v>
      </c>
      <c r="K300" s="82" t="str">
        <f t="shared" ca="1" si="1"/>
        <v>#REF!</v>
      </c>
      <c r="L300" s="82" t="str">
        <f t="shared" ca="1" si="44"/>
        <v>#REF!</v>
      </c>
      <c r="M300" s="93"/>
      <c r="N300" s="93"/>
      <c r="O300" s="95">
        <f t="shared" si="2"/>
        <v>0</v>
      </c>
      <c r="P300" s="96">
        <f t="shared" si="3"/>
        <v>0</v>
      </c>
      <c r="Q300" s="97">
        <f t="shared" si="4"/>
        <v>0</v>
      </c>
      <c r="R300" s="97" t="str">
        <f ca="1">ROUNDUP(HLOOKUP(IF(CEILING(L300,0.5)&lt;1,0.5,CEILING(L300,0.5)),'배송비 조회'!A$44:AO$56,7,0)*B$3,-2)</f>
        <v>#REF!</v>
      </c>
      <c r="S300" s="97">
        <v>0</v>
      </c>
      <c r="T300" s="97" t="str">
        <f t="shared" ca="1" si="42"/>
        <v>#REF!</v>
      </c>
      <c r="U300" s="97" t="str">
        <f t="shared" ca="1" si="29"/>
        <v>#REF!</v>
      </c>
      <c r="V300" s="97" t="str">
        <f t="shared" ca="1" si="7"/>
        <v>#REF!</v>
      </c>
      <c r="W300" s="97" t="str">
        <f t="shared" ca="1" si="8"/>
        <v>#REF!</v>
      </c>
      <c r="X300" s="121">
        <v>0</v>
      </c>
      <c r="Y300" s="121" t="str">
        <f t="shared" ca="1" si="9"/>
        <v>#REF!</v>
      </c>
      <c r="Z300" s="121" t="str">
        <f t="shared" ca="1" si="10"/>
        <v>#REF!</v>
      </c>
      <c r="AA300" s="99" t="str">
        <f t="shared" ca="1" si="11"/>
        <v>#REF!</v>
      </c>
      <c r="AB300" s="234" t="str">
        <f t="shared" ca="1" si="12"/>
        <v>#REF!</v>
      </c>
      <c r="AC300" s="257" t="str">
        <f t="shared" ca="1" si="13"/>
        <v>#REF!</v>
      </c>
      <c r="AD300" s="234" t="str">
        <f t="shared" ca="1" si="14"/>
        <v>#REF!</v>
      </c>
      <c r="AE300" s="100" t="str">
        <f t="shared" ca="1" si="15"/>
        <v>#REF!</v>
      </c>
      <c r="AF300" s="101" t="str">
        <f t="shared" ca="1" si="16"/>
        <v>#REF!</v>
      </c>
      <c r="AG300" s="102" t="str">
        <f t="shared" ref="AG300:AH300" ca="1" si="318">AE300/V300</f>
        <v>#REF!</v>
      </c>
      <c r="AH300" s="102" t="str">
        <f t="shared" ca="1" si="318"/>
        <v>#REF!</v>
      </c>
    </row>
    <row r="301" spans="1:34" ht="13.2">
      <c r="A301" s="251"/>
      <c r="B301" s="251"/>
      <c r="C301" s="252"/>
      <c r="D301" s="252"/>
      <c r="E301" s="114"/>
      <c r="F301" s="252"/>
      <c r="G301" s="125" t="s">
        <v>145</v>
      </c>
      <c r="I301" s="172"/>
      <c r="J301" s="82" t="str">
        <f t="shared" ca="1" si="0"/>
        <v>#REF!</v>
      </c>
      <c r="K301" s="82" t="str">
        <f t="shared" ca="1" si="1"/>
        <v>#REF!</v>
      </c>
      <c r="L301" s="82" t="str">
        <f t="shared" ca="1" si="44"/>
        <v>#REF!</v>
      </c>
      <c r="M301" s="93"/>
      <c r="N301" s="93"/>
      <c r="O301" s="95">
        <f t="shared" si="2"/>
        <v>0</v>
      </c>
      <c r="P301" s="96">
        <f t="shared" si="3"/>
        <v>0</v>
      </c>
      <c r="Q301" s="97">
        <f t="shared" si="4"/>
        <v>0</v>
      </c>
      <c r="R301" s="97" t="str">
        <f ca="1">ROUNDUP(HLOOKUP(IF(CEILING(L301,0.5)&lt;1,0.5,CEILING(L301,0.5)),'배송비 조회'!A$44:AO$56,7,0)*B$3,-2)</f>
        <v>#REF!</v>
      </c>
      <c r="S301" s="97">
        <v>0</v>
      </c>
      <c r="T301" s="97" t="str">
        <f t="shared" ca="1" si="42"/>
        <v>#REF!</v>
      </c>
      <c r="U301" s="97" t="str">
        <f t="shared" ca="1" si="29"/>
        <v>#REF!</v>
      </c>
      <c r="V301" s="97" t="str">
        <f t="shared" ca="1" si="7"/>
        <v>#REF!</v>
      </c>
      <c r="W301" s="97" t="str">
        <f t="shared" ca="1" si="8"/>
        <v>#REF!</v>
      </c>
      <c r="X301" s="121">
        <v>0</v>
      </c>
      <c r="Y301" s="121" t="str">
        <f t="shared" ca="1" si="9"/>
        <v>#REF!</v>
      </c>
      <c r="Z301" s="121" t="str">
        <f t="shared" ca="1" si="10"/>
        <v>#REF!</v>
      </c>
      <c r="AA301" s="99" t="str">
        <f t="shared" ca="1" si="11"/>
        <v>#REF!</v>
      </c>
      <c r="AB301" s="234" t="str">
        <f t="shared" ca="1" si="12"/>
        <v>#REF!</v>
      </c>
      <c r="AC301" s="257" t="str">
        <f t="shared" ca="1" si="13"/>
        <v>#REF!</v>
      </c>
      <c r="AD301" s="234" t="str">
        <f t="shared" ca="1" si="14"/>
        <v>#REF!</v>
      </c>
      <c r="AE301" s="100" t="str">
        <f t="shared" ca="1" si="15"/>
        <v>#REF!</v>
      </c>
      <c r="AF301" s="101" t="str">
        <f t="shared" ca="1" si="16"/>
        <v>#REF!</v>
      </c>
      <c r="AG301" s="102" t="str">
        <f t="shared" ref="AG301:AH301" ca="1" si="319">AE301/V301</f>
        <v>#REF!</v>
      </c>
      <c r="AH301" s="102" t="str">
        <f t="shared" ca="1" si="319"/>
        <v>#REF!</v>
      </c>
    </row>
    <row r="302" spans="1:34" ht="13.2">
      <c r="A302" s="251"/>
      <c r="B302" s="251"/>
      <c r="C302" s="252"/>
      <c r="D302" s="252"/>
      <c r="E302" s="114"/>
      <c r="F302" s="252"/>
      <c r="G302" s="125" t="s">
        <v>145</v>
      </c>
      <c r="I302" s="172"/>
      <c r="J302" s="82" t="str">
        <f t="shared" ca="1" si="0"/>
        <v>#REF!</v>
      </c>
      <c r="K302" s="82" t="str">
        <f t="shared" ca="1" si="1"/>
        <v>#REF!</v>
      </c>
      <c r="L302" s="82" t="str">
        <f t="shared" ca="1" si="44"/>
        <v>#REF!</v>
      </c>
      <c r="M302" s="93"/>
      <c r="N302" s="93"/>
      <c r="O302" s="95">
        <f t="shared" si="2"/>
        <v>0</v>
      </c>
      <c r="P302" s="96">
        <f t="shared" si="3"/>
        <v>0</v>
      </c>
      <c r="Q302" s="97">
        <f t="shared" si="4"/>
        <v>0</v>
      </c>
      <c r="R302" s="97" t="str">
        <f ca="1">ROUNDUP(HLOOKUP(IF(CEILING(L302,0.5)&lt;1,0.5,CEILING(L302,0.5)),'배송비 조회'!A$44:AO$56,7,0)*B$3,-2)</f>
        <v>#REF!</v>
      </c>
      <c r="S302" s="97">
        <v>0</v>
      </c>
      <c r="T302" s="97" t="str">
        <f t="shared" ca="1" si="42"/>
        <v>#REF!</v>
      </c>
      <c r="U302" s="97" t="str">
        <f t="shared" ca="1" si="29"/>
        <v>#REF!</v>
      </c>
      <c r="V302" s="97" t="str">
        <f t="shared" ca="1" si="7"/>
        <v>#REF!</v>
      </c>
      <c r="W302" s="97" t="str">
        <f t="shared" ca="1" si="8"/>
        <v>#REF!</v>
      </c>
      <c r="X302" s="121">
        <v>0</v>
      </c>
      <c r="Y302" s="121" t="str">
        <f t="shared" ca="1" si="9"/>
        <v>#REF!</v>
      </c>
      <c r="Z302" s="121" t="str">
        <f t="shared" ca="1" si="10"/>
        <v>#REF!</v>
      </c>
      <c r="AA302" s="99" t="str">
        <f t="shared" ca="1" si="11"/>
        <v>#REF!</v>
      </c>
      <c r="AB302" s="234" t="str">
        <f t="shared" ca="1" si="12"/>
        <v>#REF!</v>
      </c>
      <c r="AC302" s="257" t="str">
        <f t="shared" ca="1" si="13"/>
        <v>#REF!</v>
      </c>
      <c r="AD302" s="234" t="str">
        <f t="shared" ca="1" si="14"/>
        <v>#REF!</v>
      </c>
      <c r="AE302" s="100" t="str">
        <f t="shared" ca="1" si="15"/>
        <v>#REF!</v>
      </c>
      <c r="AF302" s="101" t="str">
        <f t="shared" ca="1" si="16"/>
        <v>#REF!</v>
      </c>
      <c r="AG302" s="102" t="str">
        <f t="shared" ref="AG302:AH302" ca="1" si="320">AE302/V302</f>
        <v>#REF!</v>
      </c>
      <c r="AH302" s="102" t="str">
        <f t="shared" ca="1" si="320"/>
        <v>#REF!</v>
      </c>
    </row>
    <row r="303" spans="1:34" ht="13.2">
      <c r="A303" s="251"/>
      <c r="B303" s="251"/>
      <c r="C303" s="252"/>
      <c r="D303" s="252"/>
      <c r="E303" s="114"/>
      <c r="F303" s="252"/>
      <c r="G303" s="125" t="s">
        <v>145</v>
      </c>
      <c r="I303" s="172"/>
      <c r="J303" s="82" t="str">
        <f t="shared" ca="1" si="0"/>
        <v>#REF!</v>
      </c>
      <c r="K303" s="82" t="str">
        <f t="shared" ca="1" si="1"/>
        <v>#REF!</v>
      </c>
      <c r="L303" s="82" t="str">
        <f t="shared" ca="1" si="44"/>
        <v>#REF!</v>
      </c>
      <c r="M303" s="93"/>
      <c r="N303" s="93"/>
      <c r="O303" s="95">
        <f t="shared" si="2"/>
        <v>0</v>
      </c>
      <c r="P303" s="96">
        <f t="shared" si="3"/>
        <v>0</v>
      </c>
      <c r="Q303" s="97">
        <f t="shared" si="4"/>
        <v>0</v>
      </c>
      <c r="R303" s="97" t="str">
        <f ca="1">ROUNDUP(HLOOKUP(IF(CEILING(L303,0.5)&lt;1,0.5,CEILING(L303,0.5)),'배송비 조회'!A$44:AO$56,7,0)*B$3,-2)</f>
        <v>#REF!</v>
      </c>
      <c r="S303" s="97">
        <v>0</v>
      </c>
      <c r="T303" s="97" t="str">
        <f t="shared" ca="1" si="42"/>
        <v>#REF!</v>
      </c>
      <c r="U303" s="97" t="str">
        <f t="shared" ca="1" si="29"/>
        <v>#REF!</v>
      </c>
      <c r="V303" s="97" t="str">
        <f t="shared" ca="1" si="7"/>
        <v>#REF!</v>
      </c>
      <c r="W303" s="97" t="str">
        <f t="shared" ca="1" si="8"/>
        <v>#REF!</v>
      </c>
      <c r="X303" s="121">
        <v>0</v>
      </c>
      <c r="Y303" s="121" t="str">
        <f t="shared" ca="1" si="9"/>
        <v>#REF!</v>
      </c>
      <c r="Z303" s="121" t="str">
        <f t="shared" ca="1" si="10"/>
        <v>#REF!</v>
      </c>
      <c r="AA303" s="99" t="str">
        <f t="shared" ca="1" si="11"/>
        <v>#REF!</v>
      </c>
      <c r="AB303" s="234" t="str">
        <f t="shared" ca="1" si="12"/>
        <v>#REF!</v>
      </c>
      <c r="AC303" s="257" t="str">
        <f t="shared" ca="1" si="13"/>
        <v>#REF!</v>
      </c>
      <c r="AD303" s="234" t="str">
        <f t="shared" ca="1" si="14"/>
        <v>#REF!</v>
      </c>
      <c r="AE303" s="100" t="str">
        <f t="shared" ca="1" si="15"/>
        <v>#REF!</v>
      </c>
      <c r="AF303" s="101" t="str">
        <f t="shared" ca="1" si="16"/>
        <v>#REF!</v>
      </c>
      <c r="AG303" s="102" t="str">
        <f t="shared" ref="AG303:AH303" ca="1" si="321">AE303/V303</f>
        <v>#REF!</v>
      </c>
      <c r="AH303" s="102" t="str">
        <f t="shared" ca="1" si="321"/>
        <v>#REF!</v>
      </c>
    </row>
    <row r="304" spans="1:34" ht="13.2">
      <c r="A304" s="251"/>
      <c r="B304" s="251"/>
      <c r="C304" s="252"/>
      <c r="D304" s="252"/>
      <c r="E304" s="114"/>
      <c r="F304" s="252"/>
      <c r="G304" s="125" t="s">
        <v>145</v>
      </c>
      <c r="I304" s="172"/>
      <c r="J304" s="82" t="str">
        <f t="shared" ca="1" si="0"/>
        <v>#REF!</v>
      </c>
      <c r="K304" s="82" t="str">
        <f t="shared" ca="1" si="1"/>
        <v>#REF!</v>
      </c>
      <c r="L304" s="82" t="str">
        <f t="shared" ca="1" si="44"/>
        <v>#REF!</v>
      </c>
      <c r="M304" s="93"/>
      <c r="N304" s="93"/>
      <c r="O304" s="95">
        <f t="shared" si="2"/>
        <v>0</v>
      </c>
      <c r="P304" s="96">
        <f t="shared" si="3"/>
        <v>0</v>
      </c>
      <c r="Q304" s="97">
        <f t="shared" si="4"/>
        <v>0</v>
      </c>
      <c r="R304" s="97" t="str">
        <f ca="1">ROUNDUP(HLOOKUP(IF(CEILING(L304,0.5)&lt;1,0.5,CEILING(L304,0.5)),'배송비 조회'!A$44:AO$56,7,0)*B$3,-2)</f>
        <v>#REF!</v>
      </c>
      <c r="S304" s="97">
        <v>0</v>
      </c>
      <c r="T304" s="97" t="str">
        <f t="shared" ca="1" si="42"/>
        <v>#REF!</v>
      </c>
      <c r="U304" s="97" t="str">
        <f t="shared" ca="1" si="29"/>
        <v>#REF!</v>
      </c>
      <c r="V304" s="97" t="str">
        <f t="shared" ca="1" si="7"/>
        <v>#REF!</v>
      </c>
      <c r="W304" s="97" t="str">
        <f t="shared" ca="1" si="8"/>
        <v>#REF!</v>
      </c>
      <c r="X304" s="121">
        <v>0</v>
      </c>
      <c r="Y304" s="121" t="str">
        <f t="shared" ca="1" si="9"/>
        <v>#REF!</v>
      </c>
      <c r="Z304" s="121" t="str">
        <f t="shared" ca="1" si="10"/>
        <v>#REF!</v>
      </c>
      <c r="AA304" s="99" t="str">
        <f t="shared" ca="1" si="11"/>
        <v>#REF!</v>
      </c>
      <c r="AB304" s="234" t="str">
        <f t="shared" ca="1" si="12"/>
        <v>#REF!</v>
      </c>
      <c r="AC304" s="257" t="str">
        <f t="shared" ca="1" si="13"/>
        <v>#REF!</v>
      </c>
      <c r="AD304" s="234" t="str">
        <f t="shared" ca="1" si="14"/>
        <v>#REF!</v>
      </c>
      <c r="AE304" s="100" t="str">
        <f t="shared" ca="1" si="15"/>
        <v>#REF!</v>
      </c>
      <c r="AF304" s="101" t="str">
        <f t="shared" ca="1" si="16"/>
        <v>#REF!</v>
      </c>
      <c r="AG304" s="102" t="str">
        <f t="shared" ref="AG304:AH304" ca="1" si="322">AE304/V304</f>
        <v>#REF!</v>
      </c>
      <c r="AH304" s="102" t="str">
        <f t="shared" ca="1" si="322"/>
        <v>#REF!</v>
      </c>
    </row>
    <row r="305" spans="1:34" ht="13.2">
      <c r="A305" s="251"/>
      <c r="B305" s="251"/>
      <c r="C305" s="252"/>
      <c r="D305" s="252"/>
      <c r="E305" s="114"/>
      <c r="F305" s="252"/>
      <c r="G305" s="125" t="s">
        <v>145</v>
      </c>
      <c r="I305" s="172"/>
      <c r="J305" s="82" t="str">
        <f t="shared" ca="1" si="0"/>
        <v>#REF!</v>
      </c>
      <c r="K305" s="82" t="str">
        <f t="shared" ca="1" si="1"/>
        <v>#REF!</v>
      </c>
      <c r="L305" s="82" t="str">
        <f t="shared" ca="1" si="44"/>
        <v>#REF!</v>
      </c>
      <c r="M305" s="93"/>
      <c r="N305" s="93"/>
      <c r="O305" s="95">
        <f t="shared" si="2"/>
        <v>0</v>
      </c>
      <c r="P305" s="96">
        <f t="shared" si="3"/>
        <v>0</v>
      </c>
      <c r="Q305" s="97">
        <f t="shared" si="4"/>
        <v>0</v>
      </c>
      <c r="R305" s="97" t="str">
        <f ca="1">ROUNDUP(HLOOKUP(IF(CEILING(L305,0.5)&lt;1,0.5,CEILING(L305,0.5)),'배송비 조회'!A$44:AO$56,7,0)*B$3,-2)</f>
        <v>#REF!</v>
      </c>
      <c r="S305" s="97">
        <v>0</v>
      </c>
      <c r="T305" s="97" t="str">
        <f t="shared" ca="1" si="42"/>
        <v>#REF!</v>
      </c>
      <c r="U305" s="97" t="str">
        <f t="shared" ca="1" si="29"/>
        <v>#REF!</v>
      </c>
      <c r="V305" s="97" t="str">
        <f t="shared" ca="1" si="7"/>
        <v>#REF!</v>
      </c>
      <c r="W305" s="97" t="str">
        <f t="shared" ca="1" si="8"/>
        <v>#REF!</v>
      </c>
      <c r="X305" s="121">
        <v>0</v>
      </c>
      <c r="Y305" s="121" t="str">
        <f t="shared" ca="1" si="9"/>
        <v>#REF!</v>
      </c>
      <c r="Z305" s="121" t="str">
        <f t="shared" ca="1" si="10"/>
        <v>#REF!</v>
      </c>
      <c r="AA305" s="99" t="str">
        <f t="shared" ca="1" si="11"/>
        <v>#REF!</v>
      </c>
      <c r="AB305" s="234" t="str">
        <f t="shared" ca="1" si="12"/>
        <v>#REF!</v>
      </c>
      <c r="AC305" s="257" t="str">
        <f t="shared" ca="1" si="13"/>
        <v>#REF!</v>
      </c>
      <c r="AD305" s="234" t="str">
        <f t="shared" ca="1" si="14"/>
        <v>#REF!</v>
      </c>
      <c r="AE305" s="100" t="str">
        <f t="shared" ca="1" si="15"/>
        <v>#REF!</v>
      </c>
      <c r="AF305" s="101" t="str">
        <f t="shared" ca="1" si="16"/>
        <v>#REF!</v>
      </c>
      <c r="AG305" s="102" t="str">
        <f t="shared" ref="AG305:AH305" ca="1" si="323">AE305/V305</f>
        <v>#REF!</v>
      </c>
      <c r="AH305" s="102" t="str">
        <f t="shared" ca="1" si="323"/>
        <v>#REF!</v>
      </c>
    </row>
    <row r="306" spans="1:34" ht="13.2">
      <c r="A306" s="251"/>
      <c r="B306" s="251"/>
      <c r="C306" s="252"/>
      <c r="D306" s="252"/>
      <c r="E306" s="114"/>
      <c r="F306" s="252"/>
      <c r="G306" s="125" t="s">
        <v>145</v>
      </c>
      <c r="I306" s="172"/>
      <c r="J306" s="82" t="str">
        <f t="shared" ca="1" si="0"/>
        <v>#REF!</v>
      </c>
      <c r="K306" s="82" t="str">
        <f t="shared" ca="1" si="1"/>
        <v>#REF!</v>
      </c>
      <c r="L306" s="82" t="str">
        <f t="shared" ca="1" si="44"/>
        <v>#REF!</v>
      </c>
      <c r="M306" s="93"/>
      <c r="N306" s="93"/>
      <c r="O306" s="95">
        <f t="shared" si="2"/>
        <v>0</v>
      </c>
      <c r="P306" s="96">
        <f t="shared" si="3"/>
        <v>0</v>
      </c>
      <c r="Q306" s="97">
        <f t="shared" si="4"/>
        <v>0</v>
      </c>
      <c r="R306" s="97" t="str">
        <f ca="1">ROUNDUP(HLOOKUP(IF(CEILING(L306,0.5)&lt;1,0.5,CEILING(L306,0.5)),'배송비 조회'!A$44:AO$56,7,0)*B$3,-2)</f>
        <v>#REF!</v>
      </c>
      <c r="S306" s="97">
        <v>0</v>
      </c>
      <c r="T306" s="97" t="str">
        <f t="shared" ca="1" si="42"/>
        <v>#REF!</v>
      </c>
      <c r="U306" s="97" t="str">
        <f t="shared" ca="1" si="29"/>
        <v>#REF!</v>
      </c>
      <c r="V306" s="97" t="str">
        <f t="shared" ca="1" si="7"/>
        <v>#REF!</v>
      </c>
      <c r="W306" s="97" t="str">
        <f t="shared" ca="1" si="8"/>
        <v>#REF!</v>
      </c>
      <c r="X306" s="121">
        <v>0</v>
      </c>
      <c r="Y306" s="121" t="str">
        <f t="shared" ca="1" si="9"/>
        <v>#REF!</v>
      </c>
      <c r="Z306" s="121" t="str">
        <f t="shared" ca="1" si="10"/>
        <v>#REF!</v>
      </c>
      <c r="AA306" s="99" t="str">
        <f t="shared" ca="1" si="11"/>
        <v>#REF!</v>
      </c>
      <c r="AB306" s="234" t="str">
        <f t="shared" ca="1" si="12"/>
        <v>#REF!</v>
      </c>
      <c r="AC306" s="257" t="str">
        <f t="shared" ca="1" si="13"/>
        <v>#REF!</v>
      </c>
      <c r="AD306" s="234" t="str">
        <f t="shared" ca="1" si="14"/>
        <v>#REF!</v>
      </c>
      <c r="AE306" s="100" t="str">
        <f t="shared" ca="1" si="15"/>
        <v>#REF!</v>
      </c>
      <c r="AF306" s="101" t="str">
        <f t="shared" ca="1" si="16"/>
        <v>#REF!</v>
      </c>
      <c r="AG306" s="102" t="str">
        <f t="shared" ref="AG306:AH306" ca="1" si="324">AE306/V306</f>
        <v>#REF!</v>
      </c>
      <c r="AH306" s="102" t="str">
        <f t="shared" ca="1" si="324"/>
        <v>#REF!</v>
      </c>
    </row>
    <row r="307" spans="1:34" ht="13.2">
      <c r="A307" s="251"/>
      <c r="B307" s="251"/>
      <c r="C307" s="252"/>
      <c r="D307" s="252"/>
      <c r="E307" s="114"/>
      <c r="F307" s="252"/>
      <c r="G307" s="125" t="s">
        <v>145</v>
      </c>
      <c r="I307" s="172"/>
      <c r="J307" s="82" t="str">
        <f t="shared" ca="1" si="0"/>
        <v>#REF!</v>
      </c>
      <c r="K307" s="82" t="str">
        <f t="shared" ca="1" si="1"/>
        <v>#REF!</v>
      </c>
      <c r="L307" s="82" t="str">
        <f t="shared" ca="1" si="44"/>
        <v>#REF!</v>
      </c>
      <c r="M307" s="93"/>
      <c r="N307" s="93"/>
      <c r="O307" s="95">
        <f t="shared" si="2"/>
        <v>0</v>
      </c>
      <c r="P307" s="96">
        <f t="shared" si="3"/>
        <v>0</v>
      </c>
      <c r="Q307" s="97">
        <f t="shared" si="4"/>
        <v>0</v>
      </c>
      <c r="R307" s="97" t="str">
        <f ca="1">ROUNDUP(HLOOKUP(IF(CEILING(L307,0.5)&lt;1,0.5,CEILING(L307,0.5)),'배송비 조회'!A$44:AO$56,7,0)*B$3,-2)</f>
        <v>#REF!</v>
      </c>
      <c r="S307" s="97">
        <v>0</v>
      </c>
      <c r="T307" s="97" t="str">
        <f t="shared" ca="1" si="42"/>
        <v>#REF!</v>
      </c>
      <c r="U307" s="97" t="str">
        <f t="shared" ca="1" si="29"/>
        <v>#REF!</v>
      </c>
      <c r="V307" s="97" t="str">
        <f t="shared" ca="1" si="7"/>
        <v>#REF!</v>
      </c>
      <c r="W307" s="97" t="str">
        <f t="shared" ca="1" si="8"/>
        <v>#REF!</v>
      </c>
      <c r="X307" s="121">
        <v>0</v>
      </c>
      <c r="Y307" s="121" t="str">
        <f t="shared" ca="1" si="9"/>
        <v>#REF!</v>
      </c>
      <c r="Z307" s="121" t="str">
        <f t="shared" ca="1" si="10"/>
        <v>#REF!</v>
      </c>
      <c r="AA307" s="99" t="str">
        <f t="shared" ca="1" si="11"/>
        <v>#REF!</v>
      </c>
      <c r="AB307" s="234" t="str">
        <f t="shared" ca="1" si="12"/>
        <v>#REF!</v>
      </c>
      <c r="AC307" s="257" t="str">
        <f t="shared" ca="1" si="13"/>
        <v>#REF!</v>
      </c>
      <c r="AD307" s="234" t="str">
        <f t="shared" ca="1" si="14"/>
        <v>#REF!</v>
      </c>
      <c r="AE307" s="100" t="str">
        <f t="shared" ca="1" si="15"/>
        <v>#REF!</v>
      </c>
      <c r="AF307" s="101" t="str">
        <f t="shared" ca="1" si="16"/>
        <v>#REF!</v>
      </c>
      <c r="AG307" s="102" t="str">
        <f t="shared" ref="AG307:AH307" ca="1" si="325">AE307/V307</f>
        <v>#REF!</v>
      </c>
      <c r="AH307" s="102" t="str">
        <f t="shared" ca="1" si="325"/>
        <v>#REF!</v>
      </c>
    </row>
    <row r="308" spans="1:34" ht="13.2">
      <c r="A308" s="251"/>
      <c r="B308" s="251"/>
      <c r="C308" s="252"/>
      <c r="D308" s="252"/>
      <c r="E308" s="114"/>
      <c r="F308" s="252"/>
      <c r="G308" s="125" t="s">
        <v>145</v>
      </c>
      <c r="I308" s="172"/>
      <c r="J308" s="82" t="str">
        <f t="shared" ca="1" si="0"/>
        <v>#REF!</v>
      </c>
      <c r="K308" s="82" t="str">
        <f t="shared" ca="1" si="1"/>
        <v>#REF!</v>
      </c>
      <c r="L308" s="82" t="str">
        <f t="shared" ca="1" si="44"/>
        <v>#REF!</v>
      </c>
      <c r="M308" s="93"/>
      <c r="N308" s="93"/>
      <c r="O308" s="95">
        <f t="shared" si="2"/>
        <v>0</v>
      </c>
      <c r="P308" s="96">
        <f t="shared" si="3"/>
        <v>0</v>
      </c>
      <c r="Q308" s="97">
        <f t="shared" si="4"/>
        <v>0</v>
      </c>
      <c r="R308" s="97" t="str">
        <f ca="1">ROUNDUP(HLOOKUP(IF(CEILING(L308,0.5)&lt;1,0.5,CEILING(L308,0.5)),'배송비 조회'!A$44:AO$56,7,0)*B$3,-2)</f>
        <v>#REF!</v>
      </c>
      <c r="S308" s="97">
        <v>0</v>
      </c>
      <c r="T308" s="97" t="str">
        <f t="shared" ca="1" si="42"/>
        <v>#REF!</v>
      </c>
      <c r="U308" s="97" t="str">
        <f t="shared" ca="1" si="29"/>
        <v>#REF!</v>
      </c>
      <c r="V308" s="97" t="str">
        <f t="shared" ca="1" si="7"/>
        <v>#REF!</v>
      </c>
      <c r="W308" s="97" t="str">
        <f t="shared" ca="1" si="8"/>
        <v>#REF!</v>
      </c>
      <c r="X308" s="121">
        <v>0</v>
      </c>
      <c r="Y308" s="121" t="str">
        <f t="shared" ca="1" si="9"/>
        <v>#REF!</v>
      </c>
      <c r="Z308" s="121" t="str">
        <f t="shared" ca="1" si="10"/>
        <v>#REF!</v>
      </c>
      <c r="AA308" s="99" t="str">
        <f t="shared" ca="1" si="11"/>
        <v>#REF!</v>
      </c>
      <c r="AB308" s="234" t="str">
        <f t="shared" ca="1" si="12"/>
        <v>#REF!</v>
      </c>
      <c r="AC308" s="257" t="str">
        <f t="shared" ca="1" si="13"/>
        <v>#REF!</v>
      </c>
      <c r="AD308" s="234" t="str">
        <f t="shared" ca="1" si="14"/>
        <v>#REF!</v>
      </c>
      <c r="AE308" s="100" t="str">
        <f t="shared" ca="1" si="15"/>
        <v>#REF!</v>
      </c>
      <c r="AF308" s="101" t="str">
        <f t="shared" ca="1" si="16"/>
        <v>#REF!</v>
      </c>
      <c r="AG308" s="102" t="str">
        <f t="shared" ref="AG308:AH308" ca="1" si="326">AE308/V308</f>
        <v>#REF!</v>
      </c>
      <c r="AH308" s="102" t="str">
        <f t="shared" ca="1" si="326"/>
        <v>#REF!</v>
      </c>
    </row>
    <row r="309" spans="1:34" ht="13.2">
      <c r="A309" s="251"/>
      <c r="B309" s="251"/>
      <c r="C309" s="252"/>
      <c r="D309" s="252"/>
      <c r="E309" s="114"/>
      <c r="F309" s="252"/>
      <c r="G309" s="125" t="s">
        <v>145</v>
      </c>
      <c r="I309" s="172"/>
      <c r="J309" s="82" t="str">
        <f t="shared" ca="1" si="0"/>
        <v>#REF!</v>
      </c>
      <c r="K309" s="82" t="str">
        <f t="shared" ca="1" si="1"/>
        <v>#REF!</v>
      </c>
      <c r="L309" s="82" t="str">
        <f t="shared" ca="1" si="44"/>
        <v>#REF!</v>
      </c>
      <c r="M309" s="93"/>
      <c r="N309" s="93"/>
      <c r="O309" s="95">
        <f t="shared" si="2"/>
        <v>0</v>
      </c>
      <c r="P309" s="96">
        <f t="shared" si="3"/>
        <v>0</v>
      </c>
      <c r="Q309" s="97">
        <f t="shared" si="4"/>
        <v>0</v>
      </c>
      <c r="R309" s="97" t="str">
        <f ca="1">ROUNDUP(HLOOKUP(IF(CEILING(L309,0.5)&lt;1,0.5,CEILING(L309,0.5)),'배송비 조회'!A$44:AO$56,7,0)*B$3,-2)</f>
        <v>#REF!</v>
      </c>
      <c r="S309" s="97">
        <v>0</v>
      </c>
      <c r="T309" s="97" t="str">
        <f t="shared" ca="1" si="42"/>
        <v>#REF!</v>
      </c>
      <c r="U309" s="97" t="str">
        <f t="shared" ca="1" si="29"/>
        <v>#REF!</v>
      </c>
      <c r="V309" s="97" t="str">
        <f t="shared" ca="1" si="7"/>
        <v>#REF!</v>
      </c>
      <c r="W309" s="97" t="str">
        <f t="shared" ca="1" si="8"/>
        <v>#REF!</v>
      </c>
      <c r="X309" s="121">
        <v>0</v>
      </c>
      <c r="Y309" s="121" t="str">
        <f t="shared" ca="1" si="9"/>
        <v>#REF!</v>
      </c>
      <c r="Z309" s="121" t="str">
        <f t="shared" ca="1" si="10"/>
        <v>#REF!</v>
      </c>
      <c r="AA309" s="99" t="str">
        <f t="shared" ca="1" si="11"/>
        <v>#REF!</v>
      </c>
      <c r="AB309" s="234" t="str">
        <f t="shared" ca="1" si="12"/>
        <v>#REF!</v>
      </c>
      <c r="AC309" s="257" t="str">
        <f t="shared" ca="1" si="13"/>
        <v>#REF!</v>
      </c>
      <c r="AD309" s="234" t="str">
        <f t="shared" ca="1" si="14"/>
        <v>#REF!</v>
      </c>
      <c r="AE309" s="100" t="str">
        <f t="shared" ca="1" si="15"/>
        <v>#REF!</v>
      </c>
      <c r="AF309" s="101" t="str">
        <f t="shared" ca="1" si="16"/>
        <v>#REF!</v>
      </c>
      <c r="AG309" s="102" t="str">
        <f t="shared" ref="AG309:AH309" ca="1" si="327">AE309/V309</f>
        <v>#REF!</v>
      </c>
      <c r="AH309" s="102" t="str">
        <f t="shared" ca="1" si="327"/>
        <v>#REF!</v>
      </c>
    </row>
    <row r="310" spans="1:34" ht="13.2">
      <c r="A310" s="251"/>
      <c r="B310" s="251"/>
      <c r="C310" s="252"/>
      <c r="D310" s="252"/>
      <c r="E310" s="114"/>
      <c r="F310" s="252"/>
      <c r="G310" s="125" t="s">
        <v>145</v>
      </c>
      <c r="I310" s="172"/>
      <c r="J310" s="82" t="str">
        <f t="shared" ca="1" si="0"/>
        <v>#REF!</v>
      </c>
      <c r="K310" s="82" t="str">
        <f t="shared" ca="1" si="1"/>
        <v>#REF!</v>
      </c>
      <c r="L310" s="82" t="str">
        <f t="shared" ca="1" si="44"/>
        <v>#REF!</v>
      </c>
      <c r="M310" s="93"/>
      <c r="N310" s="93"/>
      <c r="O310" s="95">
        <f t="shared" si="2"/>
        <v>0</v>
      </c>
      <c r="P310" s="96">
        <f t="shared" si="3"/>
        <v>0</v>
      </c>
      <c r="Q310" s="97">
        <f t="shared" si="4"/>
        <v>0</v>
      </c>
      <c r="R310" s="97" t="str">
        <f ca="1">ROUNDUP(HLOOKUP(IF(CEILING(L310,0.5)&lt;1,0.5,CEILING(L310,0.5)),'배송비 조회'!A$44:AO$56,7,0)*B$3,-2)</f>
        <v>#REF!</v>
      </c>
      <c r="S310" s="97">
        <v>0</v>
      </c>
      <c r="T310" s="97" t="str">
        <f t="shared" ca="1" si="42"/>
        <v>#REF!</v>
      </c>
      <c r="U310" s="97" t="str">
        <f t="shared" ca="1" si="29"/>
        <v>#REF!</v>
      </c>
      <c r="V310" s="97" t="str">
        <f t="shared" ca="1" si="7"/>
        <v>#REF!</v>
      </c>
      <c r="W310" s="97" t="str">
        <f t="shared" ca="1" si="8"/>
        <v>#REF!</v>
      </c>
      <c r="X310" s="121">
        <v>0</v>
      </c>
      <c r="Y310" s="121" t="str">
        <f t="shared" ca="1" si="9"/>
        <v>#REF!</v>
      </c>
      <c r="Z310" s="121" t="str">
        <f t="shared" ca="1" si="10"/>
        <v>#REF!</v>
      </c>
      <c r="AA310" s="99" t="str">
        <f t="shared" ca="1" si="11"/>
        <v>#REF!</v>
      </c>
      <c r="AB310" s="234" t="str">
        <f t="shared" ca="1" si="12"/>
        <v>#REF!</v>
      </c>
      <c r="AC310" s="257" t="str">
        <f t="shared" ca="1" si="13"/>
        <v>#REF!</v>
      </c>
      <c r="AD310" s="234" t="str">
        <f t="shared" ca="1" si="14"/>
        <v>#REF!</v>
      </c>
      <c r="AE310" s="100" t="str">
        <f t="shared" ca="1" si="15"/>
        <v>#REF!</v>
      </c>
      <c r="AF310" s="101" t="str">
        <f t="shared" ca="1" si="16"/>
        <v>#REF!</v>
      </c>
      <c r="AG310" s="102" t="str">
        <f t="shared" ref="AG310:AH310" ca="1" si="328">AE310/V310</f>
        <v>#REF!</v>
      </c>
      <c r="AH310" s="102" t="str">
        <f t="shared" ca="1" si="328"/>
        <v>#REF!</v>
      </c>
    </row>
    <row r="311" spans="1:34" ht="13.2">
      <c r="A311" s="251"/>
      <c r="B311" s="251"/>
      <c r="C311" s="252"/>
      <c r="D311" s="252"/>
      <c r="E311" s="114"/>
      <c r="F311" s="252"/>
      <c r="G311" s="125" t="s">
        <v>145</v>
      </c>
      <c r="I311" s="172"/>
      <c r="J311" s="82" t="str">
        <f t="shared" ca="1" si="0"/>
        <v>#REF!</v>
      </c>
      <c r="K311" s="82" t="str">
        <f t="shared" ca="1" si="1"/>
        <v>#REF!</v>
      </c>
      <c r="L311" s="82" t="str">
        <f t="shared" ca="1" si="44"/>
        <v>#REF!</v>
      </c>
      <c r="M311" s="93"/>
      <c r="N311" s="93"/>
      <c r="O311" s="95">
        <f t="shared" si="2"/>
        <v>0</v>
      </c>
      <c r="P311" s="96">
        <f t="shared" si="3"/>
        <v>0</v>
      </c>
      <c r="Q311" s="97">
        <f t="shared" si="4"/>
        <v>0</v>
      </c>
      <c r="R311" s="97" t="str">
        <f ca="1">ROUNDUP(HLOOKUP(IF(CEILING(L311,0.5)&lt;1,0.5,CEILING(L311,0.5)),'배송비 조회'!A$44:AO$56,7,0)*B$3,-2)</f>
        <v>#REF!</v>
      </c>
      <c r="S311" s="97">
        <v>0</v>
      </c>
      <c r="T311" s="97" t="str">
        <f t="shared" ca="1" si="42"/>
        <v>#REF!</v>
      </c>
      <c r="U311" s="97" t="str">
        <f t="shared" ca="1" si="29"/>
        <v>#REF!</v>
      </c>
      <c r="V311" s="97" t="str">
        <f t="shared" ca="1" si="7"/>
        <v>#REF!</v>
      </c>
      <c r="W311" s="97" t="str">
        <f t="shared" ca="1" si="8"/>
        <v>#REF!</v>
      </c>
      <c r="X311" s="121">
        <v>0</v>
      </c>
      <c r="Y311" s="121" t="str">
        <f t="shared" ca="1" si="9"/>
        <v>#REF!</v>
      </c>
      <c r="Z311" s="121" t="str">
        <f t="shared" ca="1" si="10"/>
        <v>#REF!</v>
      </c>
      <c r="AA311" s="99" t="str">
        <f t="shared" ca="1" si="11"/>
        <v>#REF!</v>
      </c>
      <c r="AB311" s="234" t="str">
        <f t="shared" ca="1" si="12"/>
        <v>#REF!</v>
      </c>
      <c r="AC311" s="257" t="str">
        <f t="shared" ca="1" si="13"/>
        <v>#REF!</v>
      </c>
      <c r="AD311" s="234" t="str">
        <f t="shared" ca="1" si="14"/>
        <v>#REF!</v>
      </c>
      <c r="AE311" s="100" t="str">
        <f t="shared" ca="1" si="15"/>
        <v>#REF!</v>
      </c>
      <c r="AF311" s="101" t="str">
        <f t="shared" ca="1" si="16"/>
        <v>#REF!</v>
      </c>
      <c r="AG311" s="102" t="str">
        <f t="shared" ref="AG311:AH311" ca="1" si="329">AE311/V311</f>
        <v>#REF!</v>
      </c>
      <c r="AH311" s="102" t="str">
        <f t="shared" ca="1" si="329"/>
        <v>#REF!</v>
      </c>
    </row>
    <row r="312" spans="1:34" ht="13.2">
      <c r="A312" s="251"/>
      <c r="B312" s="251"/>
      <c r="C312" s="252"/>
      <c r="D312" s="252"/>
      <c r="E312" s="114"/>
      <c r="F312" s="252"/>
      <c r="G312" s="125" t="s">
        <v>145</v>
      </c>
      <c r="I312" s="172"/>
      <c r="J312" s="82" t="str">
        <f t="shared" ca="1" si="0"/>
        <v>#REF!</v>
      </c>
      <c r="K312" s="82" t="str">
        <f t="shared" ca="1" si="1"/>
        <v>#REF!</v>
      </c>
      <c r="L312" s="82" t="str">
        <f t="shared" ca="1" si="44"/>
        <v>#REF!</v>
      </c>
      <c r="M312" s="93"/>
      <c r="N312" s="93"/>
      <c r="O312" s="95">
        <f t="shared" si="2"/>
        <v>0</v>
      </c>
      <c r="P312" s="96">
        <f t="shared" si="3"/>
        <v>0</v>
      </c>
      <c r="Q312" s="97">
        <f t="shared" si="4"/>
        <v>0</v>
      </c>
      <c r="R312" s="97" t="str">
        <f ca="1">ROUNDUP(HLOOKUP(IF(CEILING(L312,0.5)&lt;1,0.5,CEILING(L312,0.5)),'배송비 조회'!A$44:AO$56,7,0)*B$3,-2)</f>
        <v>#REF!</v>
      </c>
      <c r="S312" s="97">
        <v>0</v>
      </c>
      <c r="T312" s="97" t="str">
        <f t="shared" ca="1" si="42"/>
        <v>#REF!</v>
      </c>
      <c r="U312" s="97" t="str">
        <f t="shared" ca="1" si="29"/>
        <v>#REF!</v>
      </c>
      <c r="V312" s="97" t="str">
        <f t="shared" ca="1" si="7"/>
        <v>#REF!</v>
      </c>
      <c r="W312" s="97" t="str">
        <f t="shared" ca="1" si="8"/>
        <v>#REF!</v>
      </c>
      <c r="X312" s="121">
        <v>0</v>
      </c>
      <c r="Y312" s="121" t="str">
        <f t="shared" ca="1" si="9"/>
        <v>#REF!</v>
      </c>
      <c r="Z312" s="121" t="str">
        <f t="shared" ca="1" si="10"/>
        <v>#REF!</v>
      </c>
      <c r="AA312" s="99" t="str">
        <f t="shared" ca="1" si="11"/>
        <v>#REF!</v>
      </c>
      <c r="AB312" s="234" t="str">
        <f t="shared" ca="1" si="12"/>
        <v>#REF!</v>
      </c>
      <c r="AC312" s="257" t="str">
        <f t="shared" ca="1" si="13"/>
        <v>#REF!</v>
      </c>
      <c r="AD312" s="234" t="str">
        <f t="shared" ca="1" si="14"/>
        <v>#REF!</v>
      </c>
      <c r="AE312" s="100" t="str">
        <f t="shared" ca="1" si="15"/>
        <v>#REF!</v>
      </c>
      <c r="AF312" s="101" t="str">
        <f t="shared" ca="1" si="16"/>
        <v>#REF!</v>
      </c>
      <c r="AG312" s="102" t="str">
        <f t="shared" ref="AG312:AH312" ca="1" si="330">AE312/V312</f>
        <v>#REF!</v>
      </c>
      <c r="AH312" s="102" t="str">
        <f t="shared" ca="1" si="330"/>
        <v>#REF!</v>
      </c>
    </row>
    <row r="313" spans="1:34" ht="13.2">
      <c r="A313" s="251"/>
      <c r="B313" s="251"/>
      <c r="C313" s="252"/>
      <c r="D313" s="252"/>
      <c r="E313" s="114"/>
      <c r="F313" s="252"/>
      <c r="G313" s="125" t="s">
        <v>145</v>
      </c>
      <c r="I313" s="172"/>
      <c r="J313" s="82" t="str">
        <f t="shared" ca="1" si="0"/>
        <v>#REF!</v>
      </c>
      <c r="K313" s="82" t="str">
        <f t="shared" ca="1" si="1"/>
        <v>#REF!</v>
      </c>
      <c r="L313" s="82" t="str">
        <f t="shared" ca="1" si="44"/>
        <v>#REF!</v>
      </c>
      <c r="M313" s="93"/>
      <c r="N313" s="93"/>
      <c r="O313" s="95">
        <f t="shared" si="2"/>
        <v>0</v>
      </c>
      <c r="P313" s="96">
        <f t="shared" si="3"/>
        <v>0</v>
      </c>
      <c r="Q313" s="97">
        <f t="shared" si="4"/>
        <v>0</v>
      </c>
      <c r="R313" s="97" t="str">
        <f ca="1">ROUNDUP(HLOOKUP(IF(CEILING(L313,0.5)&lt;1,0.5,CEILING(L313,0.5)),'배송비 조회'!A$44:AO$56,7,0)*B$3,-2)</f>
        <v>#REF!</v>
      </c>
      <c r="S313" s="97">
        <v>0</v>
      </c>
      <c r="T313" s="97" t="str">
        <f t="shared" ca="1" si="42"/>
        <v>#REF!</v>
      </c>
      <c r="U313" s="97" t="str">
        <f t="shared" ca="1" si="29"/>
        <v>#REF!</v>
      </c>
      <c r="V313" s="97" t="str">
        <f t="shared" ca="1" si="7"/>
        <v>#REF!</v>
      </c>
      <c r="W313" s="97" t="str">
        <f t="shared" ca="1" si="8"/>
        <v>#REF!</v>
      </c>
      <c r="X313" s="121">
        <v>0</v>
      </c>
      <c r="Y313" s="121" t="str">
        <f t="shared" ca="1" si="9"/>
        <v>#REF!</v>
      </c>
      <c r="Z313" s="121" t="str">
        <f t="shared" ca="1" si="10"/>
        <v>#REF!</v>
      </c>
      <c r="AA313" s="99" t="str">
        <f t="shared" ca="1" si="11"/>
        <v>#REF!</v>
      </c>
      <c r="AB313" s="234" t="str">
        <f t="shared" ca="1" si="12"/>
        <v>#REF!</v>
      </c>
      <c r="AC313" s="257" t="str">
        <f t="shared" ca="1" si="13"/>
        <v>#REF!</v>
      </c>
      <c r="AD313" s="234" t="str">
        <f t="shared" ca="1" si="14"/>
        <v>#REF!</v>
      </c>
      <c r="AE313" s="100" t="str">
        <f t="shared" ca="1" si="15"/>
        <v>#REF!</v>
      </c>
      <c r="AF313" s="101" t="str">
        <f t="shared" ca="1" si="16"/>
        <v>#REF!</v>
      </c>
      <c r="AG313" s="102" t="str">
        <f t="shared" ref="AG313:AH313" ca="1" si="331">AE313/V313</f>
        <v>#REF!</v>
      </c>
      <c r="AH313" s="102" t="str">
        <f t="shared" ca="1" si="331"/>
        <v>#REF!</v>
      </c>
    </row>
    <row r="314" spans="1:34" ht="13.2">
      <c r="A314" s="251"/>
      <c r="B314" s="251"/>
      <c r="C314" s="252"/>
      <c r="D314" s="252"/>
      <c r="E314" s="114"/>
      <c r="F314" s="252"/>
      <c r="G314" s="125" t="s">
        <v>145</v>
      </c>
      <c r="I314" s="172"/>
      <c r="J314" s="82" t="str">
        <f t="shared" ca="1" si="0"/>
        <v>#REF!</v>
      </c>
      <c r="K314" s="82" t="str">
        <f t="shared" ca="1" si="1"/>
        <v>#REF!</v>
      </c>
      <c r="L314" s="82" t="str">
        <f t="shared" ca="1" si="44"/>
        <v>#REF!</v>
      </c>
      <c r="M314" s="93"/>
      <c r="N314" s="93"/>
      <c r="O314" s="95">
        <f t="shared" si="2"/>
        <v>0</v>
      </c>
      <c r="P314" s="96">
        <f t="shared" si="3"/>
        <v>0</v>
      </c>
      <c r="Q314" s="97">
        <f t="shared" si="4"/>
        <v>0</v>
      </c>
      <c r="R314" s="97" t="str">
        <f ca="1">ROUNDUP(HLOOKUP(IF(CEILING(L314,0.5)&lt;1,0.5,CEILING(L314,0.5)),'배송비 조회'!A$44:AO$56,7,0)*B$3,-2)</f>
        <v>#REF!</v>
      </c>
      <c r="S314" s="97">
        <v>0</v>
      </c>
      <c r="T314" s="97" t="str">
        <f t="shared" ca="1" si="42"/>
        <v>#REF!</v>
      </c>
      <c r="U314" s="97" t="str">
        <f t="shared" ca="1" si="29"/>
        <v>#REF!</v>
      </c>
      <c r="V314" s="97" t="str">
        <f t="shared" ca="1" si="7"/>
        <v>#REF!</v>
      </c>
      <c r="W314" s="97" t="str">
        <f t="shared" ca="1" si="8"/>
        <v>#REF!</v>
      </c>
      <c r="X314" s="121">
        <v>0</v>
      </c>
      <c r="Y314" s="121" t="str">
        <f t="shared" ca="1" si="9"/>
        <v>#REF!</v>
      </c>
      <c r="Z314" s="121" t="str">
        <f t="shared" ca="1" si="10"/>
        <v>#REF!</v>
      </c>
      <c r="AA314" s="99" t="str">
        <f t="shared" ca="1" si="11"/>
        <v>#REF!</v>
      </c>
      <c r="AB314" s="234" t="str">
        <f t="shared" ca="1" si="12"/>
        <v>#REF!</v>
      </c>
      <c r="AC314" s="257" t="str">
        <f t="shared" ca="1" si="13"/>
        <v>#REF!</v>
      </c>
      <c r="AD314" s="234" t="str">
        <f t="shared" ca="1" si="14"/>
        <v>#REF!</v>
      </c>
      <c r="AE314" s="100" t="str">
        <f t="shared" ca="1" si="15"/>
        <v>#REF!</v>
      </c>
      <c r="AF314" s="101" t="str">
        <f t="shared" ca="1" si="16"/>
        <v>#REF!</v>
      </c>
      <c r="AG314" s="102" t="str">
        <f t="shared" ref="AG314:AH314" ca="1" si="332">AE314/V314</f>
        <v>#REF!</v>
      </c>
      <c r="AH314" s="102" t="str">
        <f t="shared" ca="1" si="332"/>
        <v>#REF!</v>
      </c>
    </row>
    <row r="315" spans="1:34" ht="13.2">
      <c r="A315" s="251"/>
      <c r="B315" s="251"/>
      <c r="C315" s="252"/>
      <c r="D315" s="252"/>
      <c r="E315" s="114"/>
      <c r="F315" s="252"/>
      <c r="G315" s="125" t="s">
        <v>145</v>
      </c>
      <c r="I315" s="172"/>
      <c r="J315" s="82" t="str">
        <f t="shared" ca="1" si="0"/>
        <v>#REF!</v>
      </c>
      <c r="K315" s="82" t="str">
        <f t="shared" ca="1" si="1"/>
        <v>#REF!</v>
      </c>
      <c r="L315" s="82" t="str">
        <f t="shared" ca="1" si="44"/>
        <v>#REF!</v>
      </c>
      <c r="M315" s="93"/>
      <c r="N315" s="93"/>
      <c r="O315" s="95">
        <f t="shared" si="2"/>
        <v>0</v>
      </c>
      <c r="P315" s="96">
        <f t="shared" si="3"/>
        <v>0</v>
      </c>
      <c r="Q315" s="97">
        <f t="shared" si="4"/>
        <v>0</v>
      </c>
      <c r="R315" s="97" t="str">
        <f ca="1">ROUNDUP(HLOOKUP(IF(CEILING(L315,0.5)&lt;1,0.5,CEILING(L315,0.5)),'배송비 조회'!A$44:AO$56,7,0)*B$3,-2)</f>
        <v>#REF!</v>
      </c>
      <c r="S315" s="97">
        <v>0</v>
      </c>
      <c r="T315" s="97" t="str">
        <f t="shared" ca="1" si="42"/>
        <v>#REF!</v>
      </c>
      <c r="U315" s="97" t="str">
        <f t="shared" ca="1" si="29"/>
        <v>#REF!</v>
      </c>
      <c r="V315" s="97" t="str">
        <f t="shared" ca="1" si="7"/>
        <v>#REF!</v>
      </c>
      <c r="W315" s="97" t="str">
        <f t="shared" ca="1" si="8"/>
        <v>#REF!</v>
      </c>
      <c r="X315" s="121">
        <v>0</v>
      </c>
      <c r="Y315" s="121" t="str">
        <f t="shared" ca="1" si="9"/>
        <v>#REF!</v>
      </c>
      <c r="Z315" s="121" t="str">
        <f t="shared" ca="1" si="10"/>
        <v>#REF!</v>
      </c>
      <c r="AA315" s="99" t="str">
        <f t="shared" ca="1" si="11"/>
        <v>#REF!</v>
      </c>
      <c r="AB315" s="234" t="str">
        <f t="shared" ca="1" si="12"/>
        <v>#REF!</v>
      </c>
      <c r="AC315" s="257" t="str">
        <f t="shared" ca="1" si="13"/>
        <v>#REF!</v>
      </c>
      <c r="AD315" s="234" t="str">
        <f t="shared" ca="1" si="14"/>
        <v>#REF!</v>
      </c>
      <c r="AE315" s="100" t="str">
        <f t="shared" ca="1" si="15"/>
        <v>#REF!</v>
      </c>
      <c r="AF315" s="101" t="str">
        <f t="shared" ca="1" si="16"/>
        <v>#REF!</v>
      </c>
      <c r="AG315" s="102" t="str">
        <f t="shared" ref="AG315:AH315" ca="1" si="333">AE315/V315</f>
        <v>#REF!</v>
      </c>
      <c r="AH315" s="102" t="str">
        <f t="shared" ca="1" si="333"/>
        <v>#REF!</v>
      </c>
    </row>
    <row r="316" spans="1:34" ht="13.2">
      <c r="A316" s="251"/>
      <c r="B316" s="251"/>
      <c r="C316" s="252"/>
      <c r="D316" s="252"/>
      <c r="E316" s="114"/>
      <c r="F316" s="252"/>
      <c r="G316" s="125" t="s">
        <v>145</v>
      </c>
      <c r="I316" s="172"/>
      <c r="J316" s="82" t="str">
        <f t="shared" ca="1" si="0"/>
        <v>#REF!</v>
      </c>
      <c r="K316" s="82" t="str">
        <f t="shared" ca="1" si="1"/>
        <v>#REF!</v>
      </c>
      <c r="L316" s="82" t="str">
        <f t="shared" ca="1" si="44"/>
        <v>#REF!</v>
      </c>
      <c r="M316" s="93"/>
      <c r="N316" s="93"/>
      <c r="O316" s="95">
        <f t="shared" si="2"/>
        <v>0</v>
      </c>
      <c r="P316" s="96">
        <f t="shared" si="3"/>
        <v>0</v>
      </c>
      <c r="Q316" s="97">
        <f t="shared" si="4"/>
        <v>0</v>
      </c>
      <c r="R316" s="97" t="str">
        <f ca="1">ROUNDUP(HLOOKUP(IF(CEILING(L316,0.5)&lt;1,0.5,CEILING(L316,0.5)),'배송비 조회'!A$44:AO$56,7,0)*B$3,-2)</f>
        <v>#REF!</v>
      </c>
      <c r="S316" s="97">
        <v>0</v>
      </c>
      <c r="T316" s="97" t="str">
        <f t="shared" ca="1" si="42"/>
        <v>#REF!</v>
      </c>
      <c r="U316" s="97" t="str">
        <f t="shared" ca="1" si="29"/>
        <v>#REF!</v>
      </c>
      <c r="V316" s="97" t="str">
        <f t="shared" ca="1" si="7"/>
        <v>#REF!</v>
      </c>
      <c r="W316" s="97" t="str">
        <f t="shared" ca="1" si="8"/>
        <v>#REF!</v>
      </c>
      <c r="X316" s="121">
        <v>0</v>
      </c>
      <c r="Y316" s="121" t="str">
        <f t="shared" ca="1" si="9"/>
        <v>#REF!</v>
      </c>
      <c r="Z316" s="121" t="str">
        <f t="shared" ca="1" si="10"/>
        <v>#REF!</v>
      </c>
      <c r="AA316" s="99" t="str">
        <f t="shared" ca="1" si="11"/>
        <v>#REF!</v>
      </c>
      <c r="AB316" s="234" t="str">
        <f t="shared" ca="1" si="12"/>
        <v>#REF!</v>
      </c>
      <c r="AC316" s="257" t="str">
        <f t="shared" ca="1" si="13"/>
        <v>#REF!</v>
      </c>
      <c r="AD316" s="234" t="str">
        <f t="shared" ca="1" si="14"/>
        <v>#REF!</v>
      </c>
      <c r="AE316" s="100" t="str">
        <f t="shared" ca="1" si="15"/>
        <v>#REF!</v>
      </c>
      <c r="AF316" s="101" t="str">
        <f t="shared" ca="1" si="16"/>
        <v>#REF!</v>
      </c>
      <c r="AG316" s="102" t="str">
        <f t="shared" ref="AG316:AH316" ca="1" si="334">AE316/V316</f>
        <v>#REF!</v>
      </c>
      <c r="AH316" s="102" t="str">
        <f t="shared" ca="1" si="334"/>
        <v>#REF!</v>
      </c>
    </row>
    <row r="317" spans="1:34" ht="13.2">
      <c r="A317" s="251"/>
      <c r="B317" s="251"/>
      <c r="C317" s="252"/>
      <c r="D317" s="252"/>
      <c r="E317" s="114"/>
      <c r="F317" s="252"/>
      <c r="G317" s="125" t="s">
        <v>145</v>
      </c>
      <c r="I317" s="172"/>
      <c r="J317" s="82" t="str">
        <f t="shared" ca="1" si="0"/>
        <v>#REF!</v>
      </c>
      <c r="K317" s="82" t="str">
        <f t="shared" ca="1" si="1"/>
        <v>#REF!</v>
      </c>
      <c r="L317" s="82" t="str">
        <f t="shared" ca="1" si="44"/>
        <v>#REF!</v>
      </c>
      <c r="M317" s="93"/>
      <c r="N317" s="93"/>
      <c r="O317" s="95">
        <f t="shared" si="2"/>
        <v>0</v>
      </c>
      <c r="P317" s="96">
        <f t="shared" si="3"/>
        <v>0</v>
      </c>
      <c r="Q317" s="97">
        <f t="shared" si="4"/>
        <v>0</v>
      </c>
      <c r="R317" s="97" t="str">
        <f ca="1">ROUNDUP(HLOOKUP(IF(CEILING(L317,0.5)&lt;1,0.5,CEILING(L317,0.5)),'배송비 조회'!A$44:AO$56,7,0)*B$3,-2)</f>
        <v>#REF!</v>
      </c>
      <c r="S317" s="97">
        <v>0</v>
      </c>
      <c r="T317" s="97" t="str">
        <f t="shared" ca="1" si="42"/>
        <v>#REF!</v>
      </c>
      <c r="U317" s="97" t="str">
        <f t="shared" ca="1" si="29"/>
        <v>#REF!</v>
      </c>
      <c r="V317" s="97" t="str">
        <f t="shared" ca="1" si="7"/>
        <v>#REF!</v>
      </c>
      <c r="W317" s="97" t="str">
        <f t="shared" ca="1" si="8"/>
        <v>#REF!</v>
      </c>
      <c r="X317" s="121">
        <v>0</v>
      </c>
      <c r="Y317" s="121" t="str">
        <f t="shared" ca="1" si="9"/>
        <v>#REF!</v>
      </c>
      <c r="Z317" s="121" t="str">
        <f t="shared" ca="1" si="10"/>
        <v>#REF!</v>
      </c>
      <c r="AA317" s="99" t="str">
        <f t="shared" ca="1" si="11"/>
        <v>#REF!</v>
      </c>
      <c r="AB317" s="234" t="str">
        <f t="shared" ca="1" si="12"/>
        <v>#REF!</v>
      </c>
      <c r="AC317" s="257" t="str">
        <f t="shared" ca="1" si="13"/>
        <v>#REF!</v>
      </c>
      <c r="AD317" s="234" t="str">
        <f t="shared" ca="1" si="14"/>
        <v>#REF!</v>
      </c>
      <c r="AE317" s="100" t="str">
        <f t="shared" ca="1" si="15"/>
        <v>#REF!</v>
      </c>
      <c r="AF317" s="101" t="str">
        <f t="shared" ca="1" si="16"/>
        <v>#REF!</v>
      </c>
      <c r="AG317" s="102" t="str">
        <f t="shared" ref="AG317:AH317" ca="1" si="335">AE317/V317</f>
        <v>#REF!</v>
      </c>
      <c r="AH317" s="102" t="str">
        <f t="shared" ca="1" si="335"/>
        <v>#REF!</v>
      </c>
    </row>
    <row r="318" spans="1:34" ht="13.2">
      <c r="A318" s="251"/>
      <c r="B318" s="251"/>
      <c r="C318" s="252"/>
      <c r="D318" s="252"/>
      <c r="E318" s="114"/>
      <c r="F318" s="252"/>
      <c r="G318" s="125" t="s">
        <v>145</v>
      </c>
      <c r="I318" s="172"/>
      <c r="J318" s="82" t="str">
        <f t="shared" ca="1" si="0"/>
        <v>#REF!</v>
      </c>
      <c r="K318" s="82" t="str">
        <f t="shared" ca="1" si="1"/>
        <v>#REF!</v>
      </c>
      <c r="L318" s="82" t="str">
        <f t="shared" ca="1" si="44"/>
        <v>#REF!</v>
      </c>
      <c r="M318" s="93"/>
      <c r="N318" s="93"/>
      <c r="O318" s="95">
        <f t="shared" si="2"/>
        <v>0</v>
      </c>
      <c r="P318" s="96">
        <f t="shared" si="3"/>
        <v>0</v>
      </c>
      <c r="Q318" s="97">
        <f t="shared" si="4"/>
        <v>0</v>
      </c>
      <c r="R318" s="97" t="str">
        <f ca="1">ROUNDUP(HLOOKUP(IF(CEILING(L318,0.5)&lt;1,0.5,CEILING(L318,0.5)),'배송비 조회'!A$44:AO$56,7,0)*B$3,-2)</f>
        <v>#REF!</v>
      </c>
      <c r="S318" s="97">
        <v>0</v>
      </c>
      <c r="T318" s="97" t="str">
        <f t="shared" ca="1" si="42"/>
        <v>#REF!</v>
      </c>
      <c r="U318" s="97" t="str">
        <f t="shared" ca="1" si="29"/>
        <v>#REF!</v>
      </c>
      <c r="V318" s="97" t="str">
        <f t="shared" ca="1" si="7"/>
        <v>#REF!</v>
      </c>
      <c r="W318" s="97" t="str">
        <f t="shared" ca="1" si="8"/>
        <v>#REF!</v>
      </c>
      <c r="X318" s="121">
        <v>0</v>
      </c>
      <c r="Y318" s="121" t="str">
        <f t="shared" ca="1" si="9"/>
        <v>#REF!</v>
      </c>
      <c r="Z318" s="121" t="str">
        <f t="shared" ca="1" si="10"/>
        <v>#REF!</v>
      </c>
      <c r="AA318" s="99" t="str">
        <f t="shared" ca="1" si="11"/>
        <v>#REF!</v>
      </c>
      <c r="AB318" s="234" t="str">
        <f t="shared" ca="1" si="12"/>
        <v>#REF!</v>
      </c>
      <c r="AC318" s="257" t="str">
        <f t="shared" ca="1" si="13"/>
        <v>#REF!</v>
      </c>
      <c r="AD318" s="234" t="str">
        <f t="shared" ca="1" si="14"/>
        <v>#REF!</v>
      </c>
      <c r="AE318" s="100" t="str">
        <f t="shared" ca="1" si="15"/>
        <v>#REF!</v>
      </c>
      <c r="AF318" s="101" t="str">
        <f t="shared" ca="1" si="16"/>
        <v>#REF!</v>
      </c>
      <c r="AG318" s="102" t="str">
        <f t="shared" ref="AG318:AH318" ca="1" si="336">AE318/V318</f>
        <v>#REF!</v>
      </c>
      <c r="AH318" s="102" t="str">
        <f t="shared" ca="1" si="336"/>
        <v>#REF!</v>
      </c>
    </row>
    <row r="319" spans="1:34" ht="13.2">
      <c r="A319" s="251"/>
      <c r="B319" s="251"/>
      <c r="C319" s="252"/>
      <c r="D319" s="252"/>
      <c r="E319" s="114"/>
      <c r="F319" s="252"/>
      <c r="G319" s="125" t="s">
        <v>145</v>
      </c>
      <c r="I319" s="172"/>
      <c r="J319" s="82" t="str">
        <f t="shared" ca="1" si="0"/>
        <v>#REF!</v>
      </c>
      <c r="K319" s="82" t="str">
        <f t="shared" ca="1" si="1"/>
        <v>#REF!</v>
      </c>
      <c r="L319" s="82" t="str">
        <f t="shared" ca="1" si="44"/>
        <v>#REF!</v>
      </c>
      <c r="M319" s="93"/>
      <c r="N319" s="93"/>
      <c r="O319" s="95">
        <f t="shared" si="2"/>
        <v>0</v>
      </c>
      <c r="P319" s="96">
        <f t="shared" si="3"/>
        <v>0</v>
      </c>
      <c r="Q319" s="97">
        <f t="shared" si="4"/>
        <v>0</v>
      </c>
      <c r="R319" s="97" t="str">
        <f ca="1">ROUNDUP(HLOOKUP(IF(CEILING(L319,0.5)&lt;1,0.5,CEILING(L319,0.5)),'배송비 조회'!A$44:AO$56,7,0)*B$3,-2)</f>
        <v>#REF!</v>
      </c>
      <c r="S319" s="97">
        <v>0</v>
      </c>
      <c r="T319" s="97" t="str">
        <f t="shared" ca="1" si="42"/>
        <v>#REF!</v>
      </c>
      <c r="U319" s="97" t="str">
        <f t="shared" ca="1" si="29"/>
        <v>#REF!</v>
      </c>
      <c r="V319" s="97" t="str">
        <f t="shared" ca="1" si="7"/>
        <v>#REF!</v>
      </c>
      <c r="W319" s="97" t="str">
        <f t="shared" ca="1" si="8"/>
        <v>#REF!</v>
      </c>
      <c r="X319" s="121">
        <v>0</v>
      </c>
      <c r="Y319" s="121" t="str">
        <f t="shared" ca="1" si="9"/>
        <v>#REF!</v>
      </c>
      <c r="Z319" s="121" t="str">
        <f t="shared" ca="1" si="10"/>
        <v>#REF!</v>
      </c>
      <c r="AA319" s="99" t="str">
        <f t="shared" ca="1" si="11"/>
        <v>#REF!</v>
      </c>
      <c r="AB319" s="234" t="str">
        <f t="shared" ca="1" si="12"/>
        <v>#REF!</v>
      </c>
      <c r="AC319" s="257" t="str">
        <f t="shared" ca="1" si="13"/>
        <v>#REF!</v>
      </c>
      <c r="AD319" s="234" t="str">
        <f t="shared" ca="1" si="14"/>
        <v>#REF!</v>
      </c>
      <c r="AE319" s="100" t="str">
        <f t="shared" ca="1" si="15"/>
        <v>#REF!</v>
      </c>
      <c r="AF319" s="101" t="str">
        <f t="shared" ca="1" si="16"/>
        <v>#REF!</v>
      </c>
      <c r="AG319" s="102" t="str">
        <f t="shared" ref="AG319:AH319" ca="1" si="337">AE319/V319</f>
        <v>#REF!</v>
      </c>
      <c r="AH319" s="102" t="str">
        <f t="shared" ca="1" si="337"/>
        <v>#REF!</v>
      </c>
    </row>
    <row r="320" spans="1:34" ht="13.2">
      <c r="A320" s="251"/>
      <c r="B320" s="251"/>
      <c r="C320" s="252"/>
      <c r="D320" s="252"/>
      <c r="E320" s="114"/>
      <c r="F320" s="252"/>
      <c r="G320" s="125" t="s">
        <v>145</v>
      </c>
      <c r="I320" s="172"/>
      <c r="J320" s="82" t="str">
        <f t="shared" ca="1" si="0"/>
        <v>#REF!</v>
      </c>
      <c r="K320" s="82" t="str">
        <f t="shared" ca="1" si="1"/>
        <v>#REF!</v>
      </c>
      <c r="L320" s="82" t="str">
        <f t="shared" ca="1" si="44"/>
        <v>#REF!</v>
      </c>
      <c r="M320" s="93"/>
      <c r="N320" s="93"/>
      <c r="O320" s="95">
        <f t="shared" si="2"/>
        <v>0</v>
      </c>
      <c r="P320" s="96">
        <f t="shared" si="3"/>
        <v>0</v>
      </c>
      <c r="Q320" s="97">
        <f t="shared" si="4"/>
        <v>0</v>
      </c>
      <c r="R320" s="97" t="str">
        <f ca="1">ROUNDUP(HLOOKUP(IF(CEILING(L320,0.5)&lt;1,0.5,CEILING(L320,0.5)),'배송비 조회'!A$44:AO$56,7,0)*B$3,-2)</f>
        <v>#REF!</v>
      </c>
      <c r="S320" s="97">
        <v>0</v>
      </c>
      <c r="T320" s="97" t="str">
        <f t="shared" ca="1" si="42"/>
        <v>#REF!</v>
      </c>
      <c r="U320" s="97" t="str">
        <f t="shared" ca="1" si="29"/>
        <v>#REF!</v>
      </c>
      <c r="V320" s="97" t="str">
        <f t="shared" ca="1" si="7"/>
        <v>#REF!</v>
      </c>
      <c r="W320" s="97" t="str">
        <f t="shared" ca="1" si="8"/>
        <v>#REF!</v>
      </c>
      <c r="X320" s="121">
        <v>0</v>
      </c>
      <c r="Y320" s="121" t="str">
        <f t="shared" ca="1" si="9"/>
        <v>#REF!</v>
      </c>
      <c r="Z320" s="121" t="str">
        <f t="shared" ca="1" si="10"/>
        <v>#REF!</v>
      </c>
      <c r="AA320" s="99" t="str">
        <f t="shared" ca="1" si="11"/>
        <v>#REF!</v>
      </c>
      <c r="AB320" s="234" t="str">
        <f t="shared" ca="1" si="12"/>
        <v>#REF!</v>
      </c>
      <c r="AC320" s="257" t="str">
        <f t="shared" ca="1" si="13"/>
        <v>#REF!</v>
      </c>
      <c r="AD320" s="234" t="str">
        <f t="shared" ca="1" si="14"/>
        <v>#REF!</v>
      </c>
      <c r="AE320" s="100" t="str">
        <f t="shared" ca="1" si="15"/>
        <v>#REF!</v>
      </c>
      <c r="AF320" s="101" t="str">
        <f t="shared" ca="1" si="16"/>
        <v>#REF!</v>
      </c>
      <c r="AG320" s="102" t="str">
        <f t="shared" ref="AG320:AH320" ca="1" si="338">AE320/V320</f>
        <v>#REF!</v>
      </c>
      <c r="AH320" s="102" t="str">
        <f t="shared" ca="1" si="338"/>
        <v>#REF!</v>
      </c>
    </row>
    <row r="321" spans="1:34" ht="13.2">
      <c r="A321" s="251"/>
      <c r="B321" s="251"/>
      <c r="C321" s="252"/>
      <c r="D321" s="252"/>
      <c r="E321" s="114"/>
      <c r="F321" s="252"/>
      <c r="G321" s="125" t="s">
        <v>145</v>
      </c>
      <c r="I321" s="172"/>
      <c r="J321" s="82" t="str">
        <f t="shared" ca="1" si="0"/>
        <v>#REF!</v>
      </c>
      <c r="K321" s="82" t="str">
        <f t="shared" ca="1" si="1"/>
        <v>#REF!</v>
      </c>
      <c r="L321" s="82" t="str">
        <f t="shared" ca="1" si="44"/>
        <v>#REF!</v>
      </c>
      <c r="M321" s="93"/>
      <c r="N321" s="93"/>
      <c r="O321" s="95">
        <f t="shared" si="2"/>
        <v>0</v>
      </c>
      <c r="P321" s="96">
        <f t="shared" si="3"/>
        <v>0</v>
      </c>
      <c r="Q321" s="97">
        <f t="shared" si="4"/>
        <v>0</v>
      </c>
      <c r="R321" s="97" t="str">
        <f ca="1">ROUNDUP(HLOOKUP(IF(CEILING(L321,0.5)&lt;1,0.5,CEILING(L321,0.5)),'배송비 조회'!A$44:AO$56,7,0)*B$3,-2)</f>
        <v>#REF!</v>
      </c>
      <c r="S321" s="97">
        <v>0</v>
      </c>
      <c r="T321" s="97" t="str">
        <f t="shared" ca="1" si="42"/>
        <v>#REF!</v>
      </c>
      <c r="U321" s="97" t="str">
        <f t="shared" ca="1" si="29"/>
        <v>#REF!</v>
      </c>
      <c r="V321" s="97" t="str">
        <f t="shared" ca="1" si="7"/>
        <v>#REF!</v>
      </c>
      <c r="W321" s="97" t="str">
        <f t="shared" ca="1" si="8"/>
        <v>#REF!</v>
      </c>
      <c r="X321" s="121">
        <v>0</v>
      </c>
      <c r="Y321" s="121" t="str">
        <f t="shared" ca="1" si="9"/>
        <v>#REF!</v>
      </c>
      <c r="Z321" s="121" t="str">
        <f t="shared" ca="1" si="10"/>
        <v>#REF!</v>
      </c>
      <c r="AA321" s="99" t="str">
        <f t="shared" ca="1" si="11"/>
        <v>#REF!</v>
      </c>
      <c r="AB321" s="234" t="str">
        <f t="shared" ca="1" si="12"/>
        <v>#REF!</v>
      </c>
      <c r="AC321" s="257" t="str">
        <f t="shared" ca="1" si="13"/>
        <v>#REF!</v>
      </c>
      <c r="AD321" s="234" t="str">
        <f t="shared" ca="1" si="14"/>
        <v>#REF!</v>
      </c>
      <c r="AE321" s="100" t="str">
        <f t="shared" ca="1" si="15"/>
        <v>#REF!</v>
      </c>
      <c r="AF321" s="101" t="str">
        <f t="shared" ca="1" si="16"/>
        <v>#REF!</v>
      </c>
      <c r="AG321" s="102" t="str">
        <f t="shared" ref="AG321:AH321" ca="1" si="339">AE321/V321</f>
        <v>#REF!</v>
      </c>
      <c r="AH321" s="102" t="str">
        <f t="shared" ca="1" si="339"/>
        <v>#REF!</v>
      </c>
    </row>
    <row r="322" spans="1:34" ht="13.2">
      <c r="A322" s="251"/>
      <c r="B322" s="251"/>
      <c r="C322" s="252"/>
      <c r="D322" s="252"/>
      <c r="E322" s="114"/>
      <c r="F322" s="252"/>
      <c r="G322" s="125" t="s">
        <v>145</v>
      </c>
      <c r="I322" s="172"/>
      <c r="J322" s="82" t="str">
        <f t="shared" ca="1" si="0"/>
        <v>#REF!</v>
      </c>
      <c r="K322" s="82" t="str">
        <f t="shared" ca="1" si="1"/>
        <v>#REF!</v>
      </c>
      <c r="L322" s="82" t="str">
        <f t="shared" ca="1" si="44"/>
        <v>#REF!</v>
      </c>
      <c r="M322" s="93"/>
      <c r="N322" s="93"/>
      <c r="O322" s="95">
        <f t="shared" si="2"/>
        <v>0</v>
      </c>
      <c r="P322" s="96">
        <f t="shared" si="3"/>
        <v>0</v>
      </c>
      <c r="Q322" s="97">
        <f t="shared" si="4"/>
        <v>0</v>
      </c>
      <c r="R322" s="97" t="str">
        <f ca="1">ROUNDUP(HLOOKUP(IF(CEILING(L322,0.5)&lt;1,0.5,CEILING(L322,0.5)),'배송비 조회'!A$44:AO$56,7,0)*B$3,-2)</f>
        <v>#REF!</v>
      </c>
      <c r="S322" s="97">
        <v>0</v>
      </c>
      <c r="T322" s="97" t="str">
        <f t="shared" ca="1" si="42"/>
        <v>#REF!</v>
      </c>
      <c r="U322" s="97" t="str">
        <f t="shared" ca="1" si="29"/>
        <v>#REF!</v>
      </c>
      <c r="V322" s="97" t="str">
        <f t="shared" ca="1" si="7"/>
        <v>#REF!</v>
      </c>
      <c r="W322" s="97" t="str">
        <f t="shared" ca="1" si="8"/>
        <v>#REF!</v>
      </c>
      <c r="X322" s="121">
        <v>0</v>
      </c>
      <c r="Y322" s="121" t="str">
        <f t="shared" ca="1" si="9"/>
        <v>#REF!</v>
      </c>
      <c r="Z322" s="121" t="str">
        <f t="shared" ca="1" si="10"/>
        <v>#REF!</v>
      </c>
      <c r="AA322" s="99" t="str">
        <f t="shared" ca="1" si="11"/>
        <v>#REF!</v>
      </c>
      <c r="AB322" s="234" t="str">
        <f t="shared" ca="1" si="12"/>
        <v>#REF!</v>
      </c>
      <c r="AC322" s="257" t="str">
        <f t="shared" ca="1" si="13"/>
        <v>#REF!</v>
      </c>
      <c r="AD322" s="234" t="str">
        <f t="shared" ca="1" si="14"/>
        <v>#REF!</v>
      </c>
      <c r="AE322" s="100" t="str">
        <f t="shared" ca="1" si="15"/>
        <v>#REF!</v>
      </c>
      <c r="AF322" s="101" t="str">
        <f t="shared" ca="1" si="16"/>
        <v>#REF!</v>
      </c>
      <c r="AG322" s="102" t="str">
        <f t="shared" ref="AG322:AH322" ca="1" si="340">AE322/V322</f>
        <v>#REF!</v>
      </c>
      <c r="AH322" s="102" t="str">
        <f t="shared" ca="1" si="340"/>
        <v>#REF!</v>
      </c>
    </row>
    <row r="323" spans="1:34" ht="13.2">
      <c r="A323" s="251"/>
      <c r="B323" s="251"/>
      <c r="C323" s="252"/>
      <c r="D323" s="252"/>
      <c r="E323" s="114"/>
      <c r="F323" s="252"/>
      <c r="G323" s="125" t="s">
        <v>145</v>
      </c>
      <c r="I323" s="172"/>
      <c r="J323" s="82" t="str">
        <f t="shared" ca="1" si="0"/>
        <v>#REF!</v>
      </c>
      <c r="K323" s="82" t="str">
        <f t="shared" ca="1" si="1"/>
        <v>#REF!</v>
      </c>
      <c r="L323" s="82" t="str">
        <f t="shared" ca="1" si="44"/>
        <v>#REF!</v>
      </c>
      <c r="M323" s="93"/>
      <c r="N323" s="93"/>
      <c r="O323" s="95">
        <f t="shared" si="2"/>
        <v>0</v>
      </c>
      <c r="P323" s="96">
        <f t="shared" si="3"/>
        <v>0</v>
      </c>
      <c r="Q323" s="97">
        <f t="shared" si="4"/>
        <v>0</v>
      </c>
      <c r="R323" s="97" t="str">
        <f ca="1">ROUNDUP(HLOOKUP(IF(CEILING(L323,0.5)&lt;1,0.5,CEILING(L323,0.5)),'배송비 조회'!A$44:AO$56,7,0)*B$3,-2)</f>
        <v>#REF!</v>
      </c>
      <c r="S323" s="97">
        <v>0</v>
      </c>
      <c r="T323" s="97" t="str">
        <f t="shared" ca="1" si="42"/>
        <v>#REF!</v>
      </c>
      <c r="U323" s="97" t="str">
        <f t="shared" ca="1" si="29"/>
        <v>#REF!</v>
      </c>
      <c r="V323" s="97" t="str">
        <f t="shared" ca="1" si="7"/>
        <v>#REF!</v>
      </c>
      <c r="W323" s="97" t="str">
        <f t="shared" ca="1" si="8"/>
        <v>#REF!</v>
      </c>
      <c r="X323" s="121">
        <v>0</v>
      </c>
      <c r="Y323" s="121" t="str">
        <f t="shared" ca="1" si="9"/>
        <v>#REF!</v>
      </c>
      <c r="Z323" s="121" t="str">
        <f t="shared" ca="1" si="10"/>
        <v>#REF!</v>
      </c>
      <c r="AA323" s="99" t="str">
        <f t="shared" ca="1" si="11"/>
        <v>#REF!</v>
      </c>
      <c r="AB323" s="234" t="str">
        <f t="shared" ca="1" si="12"/>
        <v>#REF!</v>
      </c>
      <c r="AC323" s="257" t="str">
        <f t="shared" ca="1" si="13"/>
        <v>#REF!</v>
      </c>
      <c r="AD323" s="234" t="str">
        <f t="shared" ca="1" si="14"/>
        <v>#REF!</v>
      </c>
      <c r="AE323" s="100" t="str">
        <f t="shared" ca="1" si="15"/>
        <v>#REF!</v>
      </c>
      <c r="AF323" s="101" t="str">
        <f t="shared" ca="1" si="16"/>
        <v>#REF!</v>
      </c>
      <c r="AG323" s="102" t="str">
        <f t="shared" ref="AG323:AH323" ca="1" si="341">AE323/V323</f>
        <v>#REF!</v>
      </c>
      <c r="AH323" s="102" t="str">
        <f t="shared" ca="1" si="341"/>
        <v>#REF!</v>
      </c>
    </row>
    <row r="324" spans="1:34" ht="13.2">
      <c r="A324" s="251"/>
      <c r="B324" s="251"/>
      <c r="C324" s="252"/>
      <c r="D324" s="252"/>
      <c r="E324" s="114"/>
      <c r="F324" s="252"/>
      <c r="G324" s="125" t="s">
        <v>145</v>
      </c>
      <c r="I324" s="172"/>
      <c r="J324" s="82" t="str">
        <f t="shared" ca="1" si="0"/>
        <v>#REF!</v>
      </c>
      <c r="K324" s="82" t="str">
        <f t="shared" ca="1" si="1"/>
        <v>#REF!</v>
      </c>
      <c r="L324" s="82" t="str">
        <f t="shared" ca="1" si="44"/>
        <v>#REF!</v>
      </c>
      <c r="M324" s="93"/>
      <c r="N324" s="93"/>
      <c r="O324" s="95">
        <f t="shared" si="2"/>
        <v>0</v>
      </c>
      <c r="P324" s="96">
        <f t="shared" si="3"/>
        <v>0</v>
      </c>
      <c r="Q324" s="97">
        <f t="shared" si="4"/>
        <v>0</v>
      </c>
      <c r="R324" s="97" t="str">
        <f ca="1">ROUNDUP(HLOOKUP(IF(CEILING(L324,0.5)&lt;1,0.5,CEILING(L324,0.5)),'배송비 조회'!A$44:AO$56,7,0)*B$3,-2)</f>
        <v>#REF!</v>
      </c>
      <c r="S324" s="97">
        <v>0</v>
      </c>
      <c r="T324" s="97" t="str">
        <f t="shared" ca="1" si="42"/>
        <v>#REF!</v>
      </c>
      <c r="U324" s="97" t="str">
        <f t="shared" ca="1" si="29"/>
        <v>#REF!</v>
      </c>
      <c r="V324" s="97" t="str">
        <f t="shared" ca="1" si="7"/>
        <v>#REF!</v>
      </c>
      <c r="W324" s="97" t="str">
        <f t="shared" ca="1" si="8"/>
        <v>#REF!</v>
      </c>
      <c r="X324" s="121">
        <v>0</v>
      </c>
      <c r="Y324" s="121" t="str">
        <f t="shared" ca="1" si="9"/>
        <v>#REF!</v>
      </c>
      <c r="Z324" s="121" t="str">
        <f t="shared" ca="1" si="10"/>
        <v>#REF!</v>
      </c>
      <c r="AA324" s="99" t="str">
        <f t="shared" ca="1" si="11"/>
        <v>#REF!</v>
      </c>
      <c r="AB324" s="234" t="str">
        <f t="shared" ca="1" si="12"/>
        <v>#REF!</v>
      </c>
      <c r="AC324" s="257" t="str">
        <f t="shared" ca="1" si="13"/>
        <v>#REF!</v>
      </c>
      <c r="AD324" s="234" t="str">
        <f t="shared" ca="1" si="14"/>
        <v>#REF!</v>
      </c>
      <c r="AE324" s="100" t="str">
        <f t="shared" ca="1" si="15"/>
        <v>#REF!</v>
      </c>
      <c r="AF324" s="101" t="str">
        <f t="shared" ca="1" si="16"/>
        <v>#REF!</v>
      </c>
      <c r="AG324" s="102" t="str">
        <f t="shared" ref="AG324:AH324" ca="1" si="342">AE324/V324</f>
        <v>#REF!</v>
      </c>
      <c r="AH324" s="102" t="str">
        <f t="shared" ca="1" si="342"/>
        <v>#REF!</v>
      </c>
    </row>
    <row r="325" spans="1:34" ht="13.2">
      <c r="A325" s="251"/>
      <c r="B325" s="251"/>
      <c r="C325" s="252"/>
      <c r="D325" s="252"/>
      <c r="E325" s="114"/>
      <c r="F325" s="252"/>
      <c r="G325" s="125" t="s">
        <v>145</v>
      </c>
      <c r="I325" s="172"/>
      <c r="J325" s="82" t="str">
        <f t="shared" ca="1" si="0"/>
        <v>#REF!</v>
      </c>
      <c r="K325" s="82" t="str">
        <f t="shared" ca="1" si="1"/>
        <v>#REF!</v>
      </c>
      <c r="L325" s="82" t="str">
        <f t="shared" ca="1" si="44"/>
        <v>#REF!</v>
      </c>
      <c r="M325" s="93"/>
      <c r="N325" s="93"/>
      <c r="O325" s="95">
        <f t="shared" si="2"/>
        <v>0</v>
      </c>
      <c r="P325" s="96">
        <f t="shared" si="3"/>
        <v>0</v>
      </c>
      <c r="Q325" s="97">
        <f t="shared" si="4"/>
        <v>0</v>
      </c>
      <c r="R325" s="97" t="str">
        <f ca="1">ROUNDUP(HLOOKUP(IF(CEILING(L325,0.5)&lt;1,0.5,CEILING(L325,0.5)),'배송비 조회'!A$44:AO$56,7,0)*B$3,-2)</f>
        <v>#REF!</v>
      </c>
      <c r="S325" s="97">
        <v>0</v>
      </c>
      <c r="T325" s="97" t="str">
        <f t="shared" ca="1" si="42"/>
        <v>#REF!</v>
      </c>
      <c r="U325" s="97" t="str">
        <f t="shared" ca="1" si="29"/>
        <v>#REF!</v>
      </c>
      <c r="V325" s="97" t="str">
        <f t="shared" ca="1" si="7"/>
        <v>#REF!</v>
      </c>
      <c r="W325" s="97" t="str">
        <f t="shared" ca="1" si="8"/>
        <v>#REF!</v>
      </c>
      <c r="X325" s="121">
        <v>0</v>
      </c>
      <c r="Y325" s="121" t="str">
        <f t="shared" ca="1" si="9"/>
        <v>#REF!</v>
      </c>
      <c r="Z325" s="121" t="str">
        <f t="shared" ca="1" si="10"/>
        <v>#REF!</v>
      </c>
      <c r="AA325" s="99" t="str">
        <f t="shared" ca="1" si="11"/>
        <v>#REF!</v>
      </c>
      <c r="AB325" s="234" t="str">
        <f t="shared" ca="1" si="12"/>
        <v>#REF!</v>
      </c>
      <c r="AC325" s="257" t="str">
        <f t="shared" ca="1" si="13"/>
        <v>#REF!</v>
      </c>
      <c r="AD325" s="234" t="str">
        <f t="shared" ca="1" si="14"/>
        <v>#REF!</v>
      </c>
      <c r="AE325" s="100" t="str">
        <f t="shared" ca="1" si="15"/>
        <v>#REF!</v>
      </c>
      <c r="AF325" s="101" t="str">
        <f t="shared" ca="1" si="16"/>
        <v>#REF!</v>
      </c>
      <c r="AG325" s="102" t="str">
        <f t="shared" ref="AG325:AH325" ca="1" si="343">AE325/V325</f>
        <v>#REF!</v>
      </c>
      <c r="AH325" s="102" t="str">
        <f t="shared" ca="1" si="343"/>
        <v>#REF!</v>
      </c>
    </row>
    <row r="326" spans="1:34" ht="13.2">
      <c r="A326" s="251"/>
      <c r="B326" s="251"/>
      <c r="C326" s="252"/>
      <c r="D326" s="252"/>
      <c r="E326" s="114"/>
      <c r="F326" s="252"/>
      <c r="G326" s="125" t="s">
        <v>145</v>
      </c>
      <c r="I326" s="172"/>
      <c r="J326" s="82" t="str">
        <f t="shared" ca="1" si="0"/>
        <v>#REF!</v>
      </c>
      <c r="K326" s="82" t="str">
        <f t="shared" ca="1" si="1"/>
        <v>#REF!</v>
      </c>
      <c r="L326" s="82" t="str">
        <f t="shared" ca="1" si="44"/>
        <v>#REF!</v>
      </c>
      <c r="M326" s="93"/>
      <c r="N326" s="93"/>
      <c r="O326" s="95">
        <f t="shared" si="2"/>
        <v>0</v>
      </c>
      <c r="P326" s="96">
        <f t="shared" si="3"/>
        <v>0</v>
      </c>
      <c r="Q326" s="97">
        <f t="shared" si="4"/>
        <v>0</v>
      </c>
      <c r="R326" s="97" t="str">
        <f ca="1">ROUNDUP(HLOOKUP(IF(CEILING(L326,0.5)&lt;1,0.5,CEILING(L326,0.5)),'배송비 조회'!A$44:AO$56,7,0)*B$3,-2)</f>
        <v>#REF!</v>
      </c>
      <c r="S326" s="97">
        <v>0</v>
      </c>
      <c r="T326" s="97" t="str">
        <f t="shared" ca="1" si="42"/>
        <v>#REF!</v>
      </c>
      <c r="U326" s="97" t="str">
        <f t="shared" ca="1" si="29"/>
        <v>#REF!</v>
      </c>
      <c r="V326" s="97" t="str">
        <f t="shared" ca="1" si="7"/>
        <v>#REF!</v>
      </c>
      <c r="W326" s="97" t="str">
        <f t="shared" ca="1" si="8"/>
        <v>#REF!</v>
      </c>
      <c r="X326" s="121">
        <v>0</v>
      </c>
      <c r="Y326" s="121" t="str">
        <f t="shared" ca="1" si="9"/>
        <v>#REF!</v>
      </c>
      <c r="Z326" s="121" t="str">
        <f t="shared" ca="1" si="10"/>
        <v>#REF!</v>
      </c>
      <c r="AA326" s="99" t="str">
        <f t="shared" ca="1" si="11"/>
        <v>#REF!</v>
      </c>
      <c r="AB326" s="234" t="str">
        <f t="shared" ca="1" si="12"/>
        <v>#REF!</v>
      </c>
      <c r="AC326" s="257" t="str">
        <f t="shared" ca="1" si="13"/>
        <v>#REF!</v>
      </c>
      <c r="AD326" s="234" t="str">
        <f t="shared" ca="1" si="14"/>
        <v>#REF!</v>
      </c>
      <c r="AE326" s="100" t="str">
        <f t="shared" ca="1" si="15"/>
        <v>#REF!</v>
      </c>
      <c r="AF326" s="101" t="str">
        <f t="shared" ca="1" si="16"/>
        <v>#REF!</v>
      </c>
      <c r="AG326" s="102" t="str">
        <f t="shared" ref="AG326:AH326" ca="1" si="344">AE326/V326</f>
        <v>#REF!</v>
      </c>
      <c r="AH326" s="102" t="str">
        <f t="shared" ca="1" si="344"/>
        <v>#REF!</v>
      </c>
    </row>
    <row r="327" spans="1:34" ht="13.2">
      <c r="A327" s="251"/>
      <c r="B327" s="251"/>
      <c r="C327" s="252"/>
      <c r="D327" s="252"/>
      <c r="E327" s="114"/>
      <c r="F327" s="252"/>
      <c r="G327" s="125" t="s">
        <v>145</v>
      </c>
      <c r="I327" s="172"/>
      <c r="J327" s="82" t="str">
        <f t="shared" ca="1" si="0"/>
        <v>#REF!</v>
      </c>
      <c r="K327" s="82" t="str">
        <f t="shared" ca="1" si="1"/>
        <v>#REF!</v>
      </c>
      <c r="L327" s="82" t="str">
        <f t="shared" ca="1" si="44"/>
        <v>#REF!</v>
      </c>
      <c r="M327" s="93"/>
      <c r="N327" s="93"/>
      <c r="O327" s="95">
        <f t="shared" si="2"/>
        <v>0</v>
      </c>
      <c r="P327" s="96">
        <f t="shared" si="3"/>
        <v>0</v>
      </c>
      <c r="Q327" s="97">
        <f t="shared" si="4"/>
        <v>0</v>
      </c>
      <c r="R327" s="97" t="str">
        <f ca="1">ROUNDUP(HLOOKUP(IF(CEILING(L327,0.5)&lt;1,0.5,CEILING(L327,0.5)),'배송비 조회'!A$44:AO$56,7,0)*B$3,-2)</f>
        <v>#REF!</v>
      </c>
      <c r="S327" s="97">
        <v>0</v>
      </c>
      <c r="T327" s="97" t="str">
        <f t="shared" ca="1" si="42"/>
        <v>#REF!</v>
      </c>
      <c r="U327" s="97" t="str">
        <f t="shared" ca="1" si="29"/>
        <v>#REF!</v>
      </c>
      <c r="V327" s="97" t="str">
        <f t="shared" ca="1" si="7"/>
        <v>#REF!</v>
      </c>
      <c r="W327" s="97" t="str">
        <f t="shared" ca="1" si="8"/>
        <v>#REF!</v>
      </c>
      <c r="X327" s="121">
        <v>0</v>
      </c>
      <c r="Y327" s="121" t="str">
        <f t="shared" ca="1" si="9"/>
        <v>#REF!</v>
      </c>
      <c r="Z327" s="121" t="str">
        <f t="shared" ca="1" si="10"/>
        <v>#REF!</v>
      </c>
      <c r="AA327" s="99" t="str">
        <f t="shared" ca="1" si="11"/>
        <v>#REF!</v>
      </c>
      <c r="AB327" s="234" t="str">
        <f t="shared" ca="1" si="12"/>
        <v>#REF!</v>
      </c>
      <c r="AC327" s="257" t="str">
        <f t="shared" ca="1" si="13"/>
        <v>#REF!</v>
      </c>
      <c r="AD327" s="234" t="str">
        <f t="shared" ca="1" si="14"/>
        <v>#REF!</v>
      </c>
      <c r="AE327" s="100" t="str">
        <f t="shared" ca="1" si="15"/>
        <v>#REF!</v>
      </c>
      <c r="AF327" s="101" t="str">
        <f t="shared" ca="1" si="16"/>
        <v>#REF!</v>
      </c>
      <c r="AG327" s="102" t="str">
        <f t="shared" ref="AG327:AH327" ca="1" si="345">AE327/V327</f>
        <v>#REF!</v>
      </c>
      <c r="AH327" s="102" t="str">
        <f t="shared" ca="1" si="345"/>
        <v>#REF!</v>
      </c>
    </row>
    <row r="328" spans="1:34" ht="13.2">
      <c r="A328" s="251"/>
      <c r="B328" s="251"/>
      <c r="C328" s="252"/>
      <c r="D328" s="252"/>
      <c r="E328" s="114"/>
      <c r="F328" s="252"/>
      <c r="G328" s="125" t="s">
        <v>145</v>
      </c>
      <c r="I328" s="172"/>
      <c r="J328" s="82" t="str">
        <f t="shared" ca="1" si="0"/>
        <v>#REF!</v>
      </c>
      <c r="K328" s="82" t="str">
        <f t="shared" ca="1" si="1"/>
        <v>#REF!</v>
      </c>
      <c r="L328" s="82" t="str">
        <f t="shared" ca="1" si="44"/>
        <v>#REF!</v>
      </c>
      <c r="M328" s="93"/>
      <c r="N328" s="93"/>
      <c r="O328" s="95">
        <f t="shared" si="2"/>
        <v>0</v>
      </c>
      <c r="P328" s="96">
        <f t="shared" si="3"/>
        <v>0</v>
      </c>
      <c r="Q328" s="97">
        <f t="shared" si="4"/>
        <v>0</v>
      </c>
      <c r="R328" s="97" t="str">
        <f ca="1">ROUNDUP(HLOOKUP(IF(CEILING(L328,0.5)&lt;1,0.5,CEILING(L328,0.5)),'배송비 조회'!A$44:AO$56,7,0)*B$3,-2)</f>
        <v>#REF!</v>
      </c>
      <c r="S328" s="97">
        <v>0</v>
      </c>
      <c r="T328" s="97" t="str">
        <f t="shared" ca="1" si="42"/>
        <v>#REF!</v>
      </c>
      <c r="U328" s="97" t="str">
        <f t="shared" ca="1" si="29"/>
        <v>#REF!</v>
      </c>
      <c r="V328" s="97" t="str">
        <f t="shared" ca="1" si="7"/>
        <v>#REF!</v>
      </c>
      <c r="W328" s="97" t="str">
        <f t="shared" ca="1" si="8"/>
        <v>#REF!</v>
      </c>
      <c r="X328" s="121">
        <v>0</v>
      </c>
      <c r="Y328" s="121" t="str">
        <f t="shared" ca="1" si="9"/>
        <v>#REF!</v>
      </c>
      <c r="Z328" s="121" t="str">
        <f t="shared" ca="1" si="10"/>
        <v>#REF!</v>
      </c>
      <c r="AA328" s="99" t="str">
        <f t="shared" ca="1" si="11"/>
        <v>#REF!</v>
      </c>
      <c r="AB328" s="234" t="str">
        <f t="shared" ca="1" si="12"/>
        <v>#REF!</v>
      </c>
      <c r="AC328" s="257" t="str">
        <f t="shared" ca="1" si="13"/>
        <v>#REF!</v>
      </c>
      <c r="AD328" s="234" t="str">
        <f t="shared" ca="1" si="14"/>
        <v>#REF!</v>
      </c>
      <c r="AE328" s="100" t="str">
        <f t="shared" ca="1" si="15"/>
        <v>#REF!</v>
      </c>
      <c r="AF328" s="101" t="str">
        <f t="shared" ca="1" si="16"/>
        <v>#REF!</v>
      </c>
      <c r="AG328" s="102" t="str">
        <f t="shared" ref="AG328:AH328" ca="1" si="346">AE328/V328</f>
        <v>#REF!</v>
      </c>
      <c r="AH328" s="102" t="str">
        <f t="shared" ca="1" si="346"/>
        <v>#REF!</v>
      </c>
    </row>
    <row r="329" spans="1:34" ht="13.2">
      <c r="A329" s="251"/>
      <c r="B329" s="251"/>
      <c r="C329" s="252"/>
      <c r="D329" s="252"/>
      <c r="E329" s="114"/>
      <c r="F329" s="252"/>
      <c r="G329" s="125" t="s">
        <v>145</v>
      </c>
      <c r="I329" s="172"/>
      <c r="J329" s="82" t="str">
        <f t="shared" ca="1" si="0"/>
        <v>#REF!</v>
      </c>
      <c r="K329" s="82" t="str">
        <f t="shared" ca="1" si="1"/>
        <v>#REF!</v>
      </c>
      <c r="L329" s="82" t="str">
        <f t="shared" ca="1" si="44"/>
        <v>#REF!</v>
      </c>
      <c r="M329" s="93"/>
      <c r="N329" s="93"/>
      <c r="O329" s="95">
        <f t="shared" si="2"/>
        <v>0</v>
      </c>
      <c r="P329" s="96">
        <f t="shared" si="3"/>
        <v>0</v>
      </c>
      <c r="Q329" s="97">
        <f t="shared" si="4"/>
        <v>0</v>
      </c>
      <c r="R329" s="97" t="str">
        <f ca="1">ROUNDUP(HLOOKUP(IF(CEILING(L329,0.5)&lt;1,0.5,CEILING(L329,0.5)),'배송비 조회'!A$44:AO$56,7,0)*B$3,-2)</f>
        <v>#REF!</v>
      </c>
      <c r="S329" s="97">
        <v>0</v>
      </c>
      <c r="T329" s="97" t="str">
        <f t="shared" ca="1" si="42"/>
        <v>#REF!</v>
      </c>
      <c r="U329" s="97" t="str">
        <f t="shared" ca="1" si="29"/>
        <v>#REF!</v>
      </c>
      <c r="V329" s="97" t="str">
        <f t="shared" ca="1" si="7"/>
        <v>#REF!</v>
      </c>
      <c r="W329" s="97" t="str">
        <f t="shared" ca="1" si="8"/>
        <v>#REF!</v>
      </c>
      <c r="X329" s="121">
        <v>0</v>
      </c>
      <c r="Y329" s="121" t="str">
        <f t="shared" ca="1" si="9"/>
        <v>#REF!</v>
      </c>
      <c r="Z329" s="121" t="str">
        <f t="shared" ca="1" si="10"/>
        <v>#REF!</v>
      </c>
      <c r="AA329" s="99" t="str">
        <f t="shared" ca="1" si="11"/>
        <v>#REF!</v>
      </c>
      <c r="AB329" s="234" t="str">
        <f t="shared" ca="1" si="12"/>
        <v>#REF!</v>
      </c>
      <c r="AC329" s="257" t="str">
        <f t="shared" ca="1" si="13"/>
        <v>#REF!</v>
      </c>
      <c r="AD329" s="234" t="str">
        <f t="shared" ca="1" si="14"/>
        <v>#REF!</v>
      </c>
      <c r="AE329" s="100" t="str">
        <f t="shared" ca="1" si="15"/>
        <v>#REF!</v>
      </c>
      <c r="AF329" s="101" t="str">
        <f t="shared" ca="1" si="16"/>
        <v>#REF!</v>
      </c>
      <c r="AG329" s="102" t="str">
        <f t="shared" ref="AG329:AH329" ca="1" si="347">AE329/V329</f>
        <v>#REF!</v>
      </c>
      <c r="AH329" s="102" t="str">
        <f t="shared" ca="1" si="347"/>
        <v>#REF!</v>
      </c>
    </row>
    <row r="330" spans="1:34" ht="13.2">
      <c r="A330" s="251"/>
      <c r="B330" s="251"/>
      <c r="C330" s="252"/>
      <c r="D330" s="252"/>
      <c r="E330" s="114"/>
      <c r="F330" s="252"/>
      <c r="G330" s="125" t="s">
        <v>145</v>
      </c>
      <c r="I330" s="172"/>
      <c r="J330" s="82" t="str">
        <f t="shared" ca="1" si="0"/>
        <v>#REF!</v>
      </c>
      <c r="K330" s="82" t="str">
        <f t="shared" ca="1" si="1"/>
        <v>#REF!</v>
      </c>
      <c r="L330" s="82" t="str">
        <f t="shared" ca="1" si="44"/>
        <v>#REF!</v>
      </c>
      <c r="M330" s="93"/>
      <c r="N330" s="93"/>
      <c r="O330" s="95">
        <f t="shared" si="2"/>
        <v>0</v>
      </c>
      <c r="P330" s="96">
        <f t="shared" si="3"/>
        <v>0</v>
      </c>
      <c r="Q330" s="97">
        <f t="shared" si="4"/>
        <v>0</v>
      </c>
      <c r="R330" s="97" t="str">
        <f ca="1">ROUNDUP(HLOOKUP(IF(CEILING(L330,0.5)&lt;1,0.5,CEILING(L330,0.5)),'배송비 조회'!A$44:AO$56,7,0)*B$3,-2)</f>
        <v>#REF!</v>
      </c>
      <c r="S330" s="97">
        <v>0</v>
      </c>
      <c r="T330" s="97" t="str">
        <f t="shared" ca="1" si="42"/>
        <v>#REF!</v>
      </c>
      <c r="U330" s="97" t="str">
        <f t="shared" ca="1" si="29"/>
        <v>#REF!</v>
      </c>
      <c r="V330" s="97" t="str">
        <f t="shared" ca="1" si="7"/>
        <v>#REF!</v>
      </c>
      <c r="W330" s="97" t="str">
        <f t="shared" ca="1" si="8"/>
        <v>#REF!</v>
      </c>
      <c r="X330" s="121">
        <v>0</v>
      </c>
      <c r="Y330" s="121" t="str">
        <f t="shared" ca="1" si="9"/>
        <v>#REF!</v>
      </c>
      <c r="Z330" s="121" t="str">
        <f t="shared" ca="1" si="10"/>
        <v>#REF!</v>
      </c>
      <c r="AA330" s="99" t="str">
        <f t="shared" ca="1" si="11"/>
        <v>#REF!</v>
      </c>
      <c r="AB330" s="234" t="str">
        <f t="shared" ca="1" si="12"/>
        <v>#REF!</v>
      </c>
      <c r="AC330" s="257" t="str">
        <f t="shared" ca="1" si="13"/>
        <v>#REF!</v>
      </c>
      <c r="AD330" s="234" t="str">
        <f t="shared" ca="1" si="14"/>
        <v>#REF!</v>
      </c>
      <c r="AE330" s="100" t="str">
        <f t="shared" ca="1" si="15"/>
        <v>#REF!</v>
      </c>
      <c r="AF330" s="101" t="str">
        <f t="shared" ca="1" si="16"/>
        <v>#REF!</v>
      </c>
      <c r="AG330" s="102" t="str">
        <f t="shared" ref="AG330:AH330" ca="1" si="348">AE330/V330</f>
        <v>#REF!</v>
      </c>
      <c r="AH330" s="102" t="str">
        <f t="shared" ca="1" si="348"/>
        <v>#REF!</v>
      </c>
    </row>
    <row r="331" spans="1:34" ht="13.2">
      <c r="A331" s="251"/>
      <c r="B331" s="251"/>
      <c r="C331" s="252"/>
      <c r="D331" s="252"/>
      <c r="E331" s="114"/>
      <c r="F331" s="252"/>
      <c r="G331" s="125" t="s">
        <v>145</v>
      </c>
      <c r="I331" s="172"/>
      <c r="J331" s="82" t="str">
        <f t="shared" ca="1" si="0"/>
        <v>#REF!</v>
      </c>
      <c r="K331" s="82" t="str">
        <f t="shared" ca="1" si="1"/>
        <v>#REF!</v>
      </c>
      <c r="L331" s="82" t="str">
        <f t="shared" ca="1" si="44"/>
        <v>#REF!</v>
      </c>
      <c r="M331" s="93"/>
      <c r="N331" s="93"/>
      <c r="O331" s="95">
        <f t="shared" si="2"/>
        <v>0</v>
      </c>
      <c r="P331" s="96">
        <f t="shared" si="3"/>
        <v>0</v>
      </c>
      <c r="Q331" s="97">
        <f t="shared" si="4"/>
        <v>0</v>
      </c>
      <c r="R331" s="97" t="str">
        <f ca="1">ROUNDUP(HLOOKUP(IF(CEILING(L331,0.5)&lt;1,0.5,CEILING(L331,0.5)),'배송비 조회'!A$44:AO$56,7,0)*B$3,-2)</f>
        <v>#REF!</v>
      </c>
      <c r="S331" s="97">
        <v>0</v>
      </c>
      <c r="T331" s="97" t="str">
        <f t="shared" ca="1" si="42"/>
        <v>#REF!</v>
      </c>
      <c r="U331" s="97" t="str">
        <f t="shared" ca="1" si="29"/>
        <v>#REF!</v>
      </c>
      <c r="V331" s="97" t="str">
        <f t="shared" ca="1" si="7"/>
        <v>#REF!</v>
      </c>
      <c r="W331" s="97" t="str">
        <f t="shared" ca="1" si="8"/>
        <v>#REF!</v>
      </c>
      <c r="X331" s="121">
        <v>0</v>
      </c>
      <c r="Y331" s="121" t="str">
        <f t="shared" ca="1" si="9"/>
        <v>#REF!</v>
      </c>
      <c r="Z331" s="121" t="str">
        <f t="shared" ca="1" si="10"/>
        <v>#REF!</v>
      </c>
      <c r="AA331" s="99" t="str">
        <f t="shared" ca="1" si="11"/>
        <v>#REF!</v>
      </c>
      <c r="AB331" s="234" t="str">
        <f t="shared" ca="1" si="12"/>
        <v>#REF!</v>
      </c>
      <c r="AC331" s="257" t="str">
        <f t="shared" ca="1" si="13"/>
        <v>#REF!</v>
      </c>
      <c r="AD331" s="234" t="str">
        <f t="shared" ca="1" si="14"/>
        <v>#REF!</v>
      </c>
      <c r="AE331" s="100" t="str">
        <f t="shared" ca="1" si="15"/>
        <v>#REF!</v>
      </c>
      <c r="AF331" s="101" t="str">
        <f t="shared" ca="1" si="16"/>
        <v>#REF!</v>
      </c>
      <c r="AG331" s="102" t="str">
        <f t="shared" ref="AG331:AH331" ca="1" si="349">AE331/V331</f>
        <v>#REF!</v>
      </c>
      <c r="AH331" s="102" t="str">
        <f t="shared" ca="1" si="349"/>
        <v>#REF!</v>
      </c>
    </row>
    <row r="332" spans="1:34" ht="13.2">
      <c r="A332" s="251"/>
      <c r="B332" s="251"/>
      <c r="C332" s="252"/>
      <c r="D332" s="252"/>
      <c r="E332" s="114"/>
      <c r="F332" s="252"/>
      <c r="G332" s="125" t="s">
        <v>145</v>
      </c>
      <c r="I332" s="172"/>
      <c r="J332" s="82" t="str">
        <f t="shared" ca="1" si="0"/>
        <v>#REF!</v>
      </c>
      <c r="K332" s="82" t="str">
        <f t="shared" ca="1" si="1"/>
        <v>#REF!</v>
      </c>
      <c r="L332" s="82" t="str">
        <f t="shared" ca="1" si="44"/>
        <v>#REF!</v>
      </c>
      <c r="M332" s="93"/>
      <c r="N332" s="93"/>
      <c r="O332" s="95">
        <f t="shared" si="2"/>
        <v>0</v>
      </c>
      <c r="P332" s="96">
        <f t="shared" si="3"/>
        <v>0</v>
      </c>
      <c r="Q332" s="97">
        <f t="shared" si="4"/>
        <v>0</v>
      </c>
      <c r="R332" s="97" t="str">
        <f ca="1">ROUNDUP(HLOOKUP(IF(CEILING(L332,0.5)&lt;1,0.5,CEILING(L332,0.5)),'배송비 조회'!A$44:AO$56,7,0)*B$3,-2)</f>
        <v>#REF!</v>
      </c>
      <c r="S332" s="97">
        <v>0</v>
      </c>
      <c r="T332" s="97" t="str">
        <f t="shared" ca="1" si="42"/>
        <v>#REF!</v>
      </c>
      <c r="U332" s="97" t="str">
        <f t="shared" ca="1" si="29"/>
        <v>#REF!</v>
      </c>
      <c r="V332" s="97" t="str">
        <f t="shared" ca="1" si="7"/>
        <v>#REF!</v>
      </c>
      <c r="W332" s="97" t="str">
        <f t="shared" ca="1" si="8"/>
        <v>#REF!</v>
      </c>
      <c r="X332" s="121">
        <v>0</v>
      </c>
      <c r="Y332" s="121" t="str">
        <f t="shared" ca="1" si="9"/>
        <v>#REF!</v>
      </c>
      <c r="Z332" s="121" t="str">
        <f t="shared" ca="1" si="10"/>
        <v>#REF!</v>
      </c>
      <c r="AA332" s="99" t="str">
        <f t="shared" ca="1" si="11"/>
        <v>#REF!</v>
      </c>
      <c r="AB332" s="234" t="str">
        <f t="shared" ca="1" si="12"/>
        <v>#REF!</v>
      </c>
      <c r="AC332" s="257" t="str">
        <f t="shared" ca="1" si="13"/>
        <v>#REF!</v>
      </c>
      <c r="AD332" s="234" t="str">
        <f t="shared" ca="1" si="14"/>
        <v>#REF!</v>
      </c>
      <c r="AE332" s="100" t="str">
        <f t="shared" ca="1" si="15"/>
        <v>#REF!</v>
      </c>
      <c r="AF332" s="101" t="str">
        <f t="shared" ca="1" si="16"/>
        <v>#REF!</v>
      </c>
      <c r="AG332" s="102" t="str">
        <f t="shared" ref="AG332:AH332" ca="1" si="350">AE332/V332</f>
        <v>#REF!</v>
      </c>
      <c r="AH332" s="102" t="str">
        <f t="shared" ca="1" si="350"/>
        <v>#REF!</v>
      </c>
    </row>
    <row r="333" spans="1:34" ht="13.2">
      <c r="A333" s="251"/>
      <c r="B333" s="251"/>
      <c r="C333" s="252"/>
      <c r="D333" s="252"/>
      <c r="E333" s="114"/>
      <c r="F333" s="252"/>
      <c r="G333" s="125" t="s">
        <v>145</v>
      </c>
      <c r="I333" s="172"/>
      <c r="J333" s="82" t="str">
        <f t="shared" ca="1" si="0"/>
        <v>#REF!</v>
      </c>
      <c r="K333" s="82" t="str">
        <f t="shared" ca="1" si="1"/>
        <v>#REF!</v>
      </c>
      <c r="L333" s="82" t="str">
        <f t="shared" ca="1" si="44"/>
        <v>#REF!</v>
      </c>
      <c r="M333" s="93"/>
      <c r="N333" s="93"/>
      <c r="O333" s="95">
        <f t="shared" si="2"/>
        <v>0</v>
      </c>
      <c r="P333" s="96">
        <f t="shared" si="3"/>
        <v>0</v>
      </c>
      <c r="Q333" s="97">
        <f t="shared" si="4"/>
        <v>0</v>
      </c>
      <c r="R333" s="97" t="str">
        <f ca="1">ROUNDUP(HLOOKUP(IF(CEILING(L333,0.5)&lt;1,0.5,CEILING(L333,0.5)),'배송비 조회'!A$44:AO$56,7,0)*B$3,-2)</f>
        <v>#REF!</v>
      </c>
      <c r="S333" s="97">
        <v>0</v>
      </c>
      <c r="T333" s="97" t="str">
        <f t="shared" ca="1" si="42"/>
        <v>#REF!</v>
      </c>
      <c r="U333" s="97" t="str">
        <f t="shared" ca="1" si="29"/>
        <v>#REF!</v>
      </c>
      <c r="V333" s="97" t="str">
        <f t="shared" ca="1" si="7"/>
        <v>#REF!</v>
      </c>
      <c r="W333" s="97" t="str">
        <f t="shared" ca="1" si="8"/>
        <v>#REF!</v>
      </c>
      <c r="X333" s="121">
        <v>0</v>
      </c>
      <c r="Y333" s="121" t="str">
        <f t="shared" ca="1" si="9"/>
        <v>#REF!</v>
      </c>
      <c r="Z333" s="121" t="str">
        <f t="shared" ca="1" si="10"/>
        <v>#REF!</v>
      </c>
      <c r="AA333" s="99" t="str">
        <f t="shared" ca="1" si="11"/>
        <v>#REF!</v>
      </c>
      <c r="AB333" s="234" t="str">
        <f t="shared" ca="1" si="12"/>
        <v>#REF!</v>
      </c>
      <c r="AC333" s="257" t="str">
        <f t="shared" ca="1" si="13"/>
        <v>#REF!</v>
      </c>
      <c r="AD333" s="234" t="str">
        <f t="shared" ca="1" si="14"/>
        <v>#REF!</v>
      </c>
      <c r="AE333" s="100" t="str">
        <f t="shared" ca="1" si="15"/>
        <v>#REF!</v>
      </c>
      <c r="AF333" s="101" t="str">
        <f t="shared" ca="1" si="16"/>
        <v>#REF!</v>
      </c>
      <c r="AG333" s="102" t="str">
        <f t="shared" ref="AG333:AH333" ca="1" si="351">AE333/V333</f>
        <v>#REF!</v>
      </c>
      <c r="AH333" s="102" t="str">
        <f t="shared" ca="1" si="351"/>
        <v>#REF!</v>
      </c>
    </row>
    <row r="334" spans="1:34" ht="13.2">
      <c r="A334" s="251"/>
      <c r="B334" s="251"/>
      <c r="C334" s="252"/>
      <c r="D334" s="252"/>
      <c r="E334" s="114"/>
      <c r="F334" s="252"/>
      <c r="G334" s="125" t="s">
        <v>145</v>
      </c>
      <c r="I334" s="172"/>
      <c r="J334" s="82" t="str">
        <f t="shared" ca="1" si="0"/>
        <v>#REF!</v>
      </c>
      <c r="K334" s="82" t="str">
        <f t="shared" ca="1" si="1"/>
        <v>#REF!</v>
      </c>
      <c r="L334" s="82" t="str">
        <f t="shared" ca="1" si="44"/>
        <v>#REF!</v>
      </c>
      <c r="M334" s="93"/>
      <c r="N334" s="93"/>
      <c r="O334" s="95">
        <f t="shared" si="2"/>
        <v>0</v>
      </c>
      <c r="P334" s="96">
        <f t="shared" si="3"/>
        <v>0</v>
      </c>
      <c r="Q334" s="97">
        <f t="shared" si="4"/>
        <v>0</v>
      </c>
      <c r="R334" s="97" t="str">
        <f ca="1">ROUNDUP(HLOOKUP(IF(CEILING(L334,0.5)&lt;1,0.5,CEILING(L334,0.5)),'배송비 조회'!A$44:AO$56,7,0)*B$3,-2)</f>
        <v>#REF!</v>
      </c>
      <c r="S334" s="97">
        <v>0</v>
      </c>
      <c r="T334" s="97" t="str">
        <f t="shared" ca="1" si="42"/>
        <v>#REF!</v>
      </c>
      <c r="U334" s="97" t="str">
        <f t="shared" ca="1" si="29"/>
        <v>#REF!</v>
      </c>
      <c r="V334" s="97" t="str">
        <f t="shared" ca="1" si="7"/>
        <v>#REF!</v>
      </c>
      <c r="W334" s="97" t="str">
        <f t="shared" ca="1" si="8"/>
        <v>#REF!</v>
      </c>
      <c r="X334" s="121">
        <v>0</v>
      </c>
      <c r="Y334" s="121" t="str">
        <f t="shared" ca="1" si="9"/>
        <v>#REF!</v>
      </c>
      <c r="Z334" s="121" t="str">
        <f t="shared" ca="1" si="10"/>
        <v>#REF!</v>
      </c>
      <c r="AA334" s="99" t="str">
        <f t="shared" ca="1" si="11"/>
        <v>#REF!</v>
      </c>
      <c r="AB334" s="234" t="str">
        <f t="shared" ca="1" si="12"/>
        <v>#REF!</v>
      </c>
      <c r="AC334" s="257" t="str">
        <f t="shared" ca="1" si="13"/>
        <v>#REF!</v>
      </c>
      <c r="AD334" s="234" t="str">
        <f t="shared" ca="1" si="14"/>
        <v>#REF!</v>
      </c>
      <c r="AE334" s="100" t="str">
        <f t="shared" ca="1" si="15"/>
        <v>#REF!</v>
      </c>
      <c r="AF334" s="101" t="str">
        <f t="shared" ca="1" si="16"/>
        <v>#REF!</v>
      </c>
      <c r="AG334" s="102" t="str">
        <f t="shared" ref="AG334:AH334" ca="1" si="352">AE334/V334</f>
        <v>#REF!</v>
      </c>
      <c r="AH334" s="102" t="str">
        <f t="shared" ca="1" si="352"/>
        <v>#REF!</v>
      </c>
    </row>
    <row r="335" spans="1:34" ht="13.2">
      <c r="A335" s="251"/>
      <c r="B335" s="251"/>
      <c r="C335" s="252"/>
      <c r="D335" s="252"/>
      <c r="E335" s="114"/>
      <c r="F335" s="252"/>
      <c r="G335" s="125" t="s">
        <v>145</v>
      </c>
      <c r="I335" s="172"/>
      <c r="J335" s="82" t="str">
        <f t="shared" ca="1" si="0"/>
        <v>#REF!</v>
      </c>
      <c r="K335" s="82" t="str">
        <f t="shared" ca="1" si="1"/>
        <v>#REF!</v>
      </c>
      <c r="L335" s="82" t="str">
        <f t="shared" ca="1" si="44"/>
        <v>#REF!</v>
      </c>
      <c r="M335" s="93"/>
      <c r="N335" s="93"/>
      <c r="O335" s="95">
        <f t="shared" si="2"/>
        <v>0</v>
      </c>
      <c r="P335" s="96">
        <f t="shared" si="3"/>
        <v>0</v>
      </c>
      <c r="Q335" s="97">
        <f t="shared" si="4"/>
        <v>0</v>
      </c>
      <c r="R335" s="97" t="str">
        <f ca="1">ROUNDUP(HLOOKUP(IF(CEILING(L335,0.5)&lt;1,0.5,CEILING(L335,0.5)),'배송비 조회'!A$44:AO$56,7,0)*B$3,-2)</f>
        <v>#REF!</v>
      </c>
      <c r="S335" s="97">
        <v>0</v>
      </c>
      <c r="T335" s="97" t="str">
        <f t="shared" ca="1" si="42"/>
        <v>#REF!</v>
      </c>
      <c r="U335" s="97" t="str">
        <f t="shared" ca="1" si="29"/>
        <v>#REF!</v>
      </c>
      <c r="V335" s="97" t="str">
        <f t="shared" ca="1" si="7"/>
        <v>#REF!</v>
      </c>
      <c r="W335" s="97" t="str">
        <f t="shared" ca="1" si="8"/>
        <v>#REF!</v>
      </c>
      <c r="X335" s="121">
        <v>0</v>
      </c>
      <c r="Y335" s="121" t="str">
        <f t="shared" ca="1" si="9"/>
        <v>#REF!</v>
      </c>
      <c r="Z335" s="121" t="str">
        <f t="shared" ca="1" si="10"/>
        <v>#REF!</v>
      </c>
      <c r="AA335" s="99" t="str">
        <f t="shared" ca="1" si="11"/>
        <v>#REF!</v>
      </c>
      <c r="AB335" s="234" t="str">
        <f t="shared" ca="1" si="12"/>
        <v>#REF!</v>
      </c>
      <c r="AC335" s="257" t="str">
        <f t="shared" ca="1" si="13"/>
        <v>#REF!</v>
      </c>
      <c r="AD335" s="234" t="str">
        <f t="shared" ca="1" si="14"/>
        <v>#REF!</v>
      </c>
      <c r="AE335" s="100" t="str">
        <f t="shared" ca="1" si="15"/>
        <v>#REF!</v>
      </c>
      <c r="AF335" s="101" t="str">
        <f t="shared" ca="1" si="16"/>
        <v>#REF!</v>
      </c>
      <c r="AG335" s="102" t="str">
        <f t="shared" ref="AG335:AH335" ca="1" si="353">AE335/V335</f>
        <v>#REF!</v>
      </c>
      <c r="AH335" s="102" t="str">
        <f t="shared" ca="1" si="353"/>
        <v>#REF!</v>
      </c>
    </row>
    <row r="336" spans="1:34" ht="13.2">
      <c r="A336" s="251"/>
      <c r="B336" s="251"/>
      <c r="C336" s="252"/>
      <c r="D336" s="252"/>
      <c r="E336" s="114"/>
      <c r="F336" s="252"/>
      <c r="G336" s="125" t="s">
        <v>145</v>
      </c>
      <c r="I336" s="172"/>
      <c r="J336" s="82" t="str">
        <f t="shared" ca="1" si="0"/>
        <v>#REF!</v>
      </c>
      <c r="K336" s="82" t="str">
        <f t="shared" ca="1" si="1"/>
        <v>#REF!</v>
      </c>
      <c r="L336" s="82" t="str">
        <f t="shared" ca="1" si="44"/>
        <v>#REF!</v>
      </c>
      <c r="M336" s="93"/>
      <c r="N336" s="93"/>
      <c r="O336" s="95">
        <f t="shared" si="2"/>
        <v>0</v>
      </c>
      <c r="P336" s="96">
        <f t="shared" si="3"/>
        <v>0</v>
      </c>
      <c r="Q336" s="97">
        <f t="shared" si="4"/>
        <v>0</v>
      </c>
      <c r="R336" s="97" t="str">
        <f ca="1">ROUNDUP(HLOOKUP(IF(CEILING(L336,0.5)&lt;1,0.5,CEILING(L336,0.5)),'배송비 조회'!A$44:AO$56,7,0)*B$3,-2)</f>
        <v>#REF!</v>
      </c>
      <c r="S336" s="97">
        <v>0</v>
      </c>
      <c r="T336" s="97" t="str">
        <f t="shared" ca="1" si="42"/>
        <v>#REF!</v>
      </c>
      <c r="U336" s="97" t="str">
        <f t="shared" ca="1" si="29"/>
        <v>#REF!</v>
      </c>
      <c r="V336" s="97" t="str">
        <f t="shared" ca="1" si="7"/>
        <v>#REF!</v>
      </c>
      <c r="W336" s="97" t="str">
        <f t="shared" ca="1" si="8"/>
        <v>#REF!</v>
      </c>
      <c r="X336" s="121">
        <v>0</v>
      </c>
      <c r="Y336" s="121" t="str">
        <f t="shared" ca="1" si="9"/>
        <v>#REF!</v>
      </c>
      <c r="Z336" s="121" t="str">
        <f t="shared" ca="1" si="10"/>
        <v>#REF!</v>
      </c>
      <c r="AA336" s="99" t="str">
        <f t="shared" ca="1" si="11"/>
        <v>#REF!</v>
      </c>
      <c r="AB336" s="234" t="str">
        <f t="shared" ca="1" si="12"/>
        <v>#REF!</v>
      </c>
      <c r="AC336" s="257" t="str">
        <f t="shared" ca="1" si="13"/>
        <v>#REF!</v>
      </c>
      <c r="AD336" s="234" t="str">
        <f t="shared" ca="1" si="14"/>
        <v>#REF!</v>
      </c>
      <c r="AE336" s="100" t="str">
        <f t="shared" ca="1" si="15"/>
        <v>#REF!</v>
      </c>
      <c r="AF336" s="101" t="str">
        <f t="shared" ca="1" si="16"/>
        <v>#REF!</v>
      </c>
      <c r="AG336" s="102" t="str">
        <f t="shared" ref="AG336:AH336" ca="1" si="354">AE336/V336</f>
        <v>#REF!</v>
      </c>
      <c r="AH336" s="102" t="str">
        <f t="shared" ca="1" si="354"/>
        <v>#REF!</v>
      </c>
    </row>
    <row r="337" spans="1:34" ht="13.2">
      <c r="A337" s="251"/>
      <c r="B337" s="251"/>
      <c r="C337" s="252"/>
      <c r="D337" s="252"/>
      <c r="E337" s="114"/>
      <c r="F337" s="252"/>
      <c r="G337" s="125" t="s">
        <v>145</v>
      </c>
      <c r="I337" s="172"/>
      <c r="J337" s="82" t="str">
        <f t="shared" ca="1" si="0"/>
        <v>#REF!</v>
      </c>
      <c r="K337" s="82" t="str">
        <f t="shared" ca="1" si="1"/>
        <v>#REF!</v>
      </c>
      <c r="L337" s="82" t="str">
        <f t="shared" ca="1" si="44"/>
        <v>#REF!</v>
      </c>
      <c r="M337" s="93"/>
      <c r="N337" s="93"/>
      <c r="O337" s="95">
        <f t="shared" si="2"/>
        <v>0</v>
      </c>
      <c r="P337" s="96">
        <f t="shared" si="3"/>
        <v>0</v>
      </c>
      <c r="Q337" s="97">
        <f t="shared" si="4"/>
        <v>0</v>
      </c>
      <c r="R337" s="97" t="str">
        <f ca="1">ROUNDUP(HLOOKUP(IF(CEILING(L337,0.5)&lt;1,0.5,CEILING(L337,0.5)),'배송비 조회'!A$44:AO$56,7,0)*B$3,-2)</f>
        <v>#REF!</v>
      </c>
      <c r="S337" s="97">
        <v>0</v>
      </c>
      <c r="T337" s="97" t="str">
        <f t="shared" ca="1" si="42"/>
        <v>#REF!</v>
      </c>
      <c r="U337" s="97" t="str">
        <f t="shared" ca="1" si="29"/>
        <v>#REF!</v>
      </c>
      <c r="V337" s="97" t="str">
        <f t="shared" ca="1" si="7"/>
        <v>#REF!</v>
      </c>
      <c r="W337" s="97" t="str">
        <f t="shared" ca="1" si="8"/>
        <v>#REF!</v>
      </c>
      <c r="X337" s="121">
        <v>0</v>
      </c>
      <c r="Y337" s="121" t="str">
        <f t="shared" ca="1" si="9"/>
        <v>#REF!</v>
      </c>
      <c r="Z337" s="121" t="str">
        <f t="shared" ca="1" si="10"/>
        <v>#REF!</v>
      </c>
      <c r="AA337" s="99" t="str">
        <f t="shared" ca="1" si="11"/>
        <v>#REF!</v>
      </c>
      <c r="AB337" s="234" t="str">
        <f t="shared" ca="1" si="12"/>
        <v>#REF!</v>
      </c>
      <c r="AC337" s="257" t="str">
        <f t="shared" ca="1" si="13"/>
        <v>#REF!</v>
      </c>
      <c r="AD337" s="234" t="str">
        <f t="shared" ca="1" si="14"/>
        <v>#REF!</v>
      </c>
      <c r="AE337" s="100" t="str">
        <f t="shared" ca="1" si="15"/>
        <v>#REF!</v>
      </c>
      <c r="AF337" s="101" t="str">
        <f t="shared" ca="1" si="16"/>
        <v>#REF!</v>
      </c>
      <c r="AG337" s="102" t="str">
        <f t="shared" ref="AG337:AH337" ca="1" si="355">AE337/V337</f>
        <v>#REF!</v>
      </c>
      <c r="AH337" s="102" t="str">
        <f t="shared" ca="1" si="355"/>
        <v>#REF!</v>
      </c>
    </row>
    <row r="338" spans="1:34" ht="13.2">
      <c r="A338" s="251"/>
      <c r="B338" s="251"/>
      <c r="C338" s="252"/>
      <c r="D338" s="252"/>
      <c r="E338" s="114"/>
      <c r="F338" s="252"/>
      <c r="G338" s="125" t="s">
        <v>145</v>
      </c>
      <c r="I338" s="172"/>
      <c r="J338" s="82" t="str">
        <f t="shared" ca="1" si="0"/>
        <v>#REF!</v>
      </c>
      <c r="K338" s="82" t="str">
        <f t="shared" ca="1" si="1"/>
        <v>#REF!</v>
      </c>
      <c r="L338" s="82" t="str">
        <f t="shared" ca="1" si="44"/>
        <v>#REF!</v>
      </c>
      <c r="M338" s="93"/>
      <c r="N338" s="93"/>
      <c r="O338" s="95">
        <f t="shared" si="2"/>
        <v>0</v>
      </c>
      <c r="P338" s="96">
        <f t="shared" si="3"/>
        <v>0</v>
      </c>
      <c r="Q338" s="97">
        <f t="shared" si="4"/>
        <v>0</v>
      </c>
      <c r="R338" s="97" t="str">
        <f ca="1">ROUNDUP(HLOOKUP(IF(CEILING(L338,0.5)&lt;1,0.5,CEILING(L338,0.5)),'배송비 조회'!A$44:AO$56,7,0)*B$3,-2)</f>
        <v>#REF!</v>
      </c>
      <c r="S338" s="97">
        <v>0</v>
      </c>
      <c r="T338" s="97" t="str">
        <f t="shared" ca="1" si="42"/>
        <v>#REF!</v>
      </c>
      <c r="U338" s="97" t="str">
        <f t="shared" ca="1" si="29"/>
        <v>#REF!</v>
      </c>
      <c r="V338" s="97" t="str">
        <f t="shared" ca="1" si="7"/>
        <v>#REF!</v>
      </c>
      <c r="W338" s="97" t="str">
        <f t="shared" ca="1" si="8"/>
        <v>#REF!</v>
      </c>
      <c r="X338" s="121">
        <v>0</v>
      </c>
      <c r="Y338" s="121" t="str">
        <f t="shared" ca="1" si="9"/>
        <v>#REF!</v>
      </c>
      <c r="Z338" s="121" t="str">
        <f t="shared" ca="1" si="10"/>
        <v>#REF!</v>
      </c>
      <c r="AA338" s="99" t="str">
        <f t="shared" ca="1" si="11"/>
        <v>#REF!</v>
      </c>
      <c r="AB338" s="234" t="str">
        <f t="shared" ca="1" si="12"/>
        <v>#REF!</v>
      </c>
      <c r="AC338" s="257" t="str">
        <f t="shared" ca="1" si="13"/>
        <v>#REF!</v>
      </c>
      <c r="AD338" s="234" t="str">
        <f t="shared" ca="1" si="14"/>
        <v>#REF!</v>
      </c>
      <c r="AE338" s="100" t="str">
        <f t="shared" ca="1" si="15"/>
        <v>#REF!</v>
      </c>
      <c r="AF338" s="101" t="str">
        <f t="shared" ca="1" si="16"/>
        <v>#REF!</v>
      </c>
      <c r="AG338" s="102" t="str">
        <f t="shared" ref="AG338:AH338" ca="1" si="356">AE338/V338</f>
        <v>#REF!</v>
      </c>
      <c r="AH338" s="102" t="str">
        <f t="shared" ca="1" si="356"/>
        <v>#REF!</v>
      </c>
    </row>
    <row r="339" spans="1:34" ht="13.2">
      <c r="A339" s="251"/>
      <c r="B339" s="251"/>
      <c r="C339" s="252"/>
      <c r="D339" s="252"/>
      <c r="E339" s="114"/>
      <c r="F339" s="252"/>
      <c r="G339" s="125" t="s">
        <v>145</v>
      </c>
      <c r="I339" s="172"/>
      <c r="J339" s="82" t="str">
        <f t="shared" ca="1" si="0"/>
        <v>#REF!</v>
      </c>
      <c r="K339" s="82" t="str">
        <f t="shared" ca="1" si="1"/>
        <v>#REF!</v>
      </c>
      <c r="L339" s="82" t="str">
        <f t="shared" ca="1" si="44"/>
        <v>#REF!</v>
      </c>
      <c r="M339" s="93"/>
      <c r="N339" s="93"/>
      <c r="O339" s="95">
        <f t="shared" si="2"/>
        <v>0</v>
      </c>
      <c r="P339" s="96">
        <f t="shared" si="3"/>
        <v>0</v>
      </c>
      <c r="Q339" s="97">
        <f t="shared" si="4"/>
        <v>0</v>
      </c>
      <c r="R339" s="97" t="str">
        <f ca="1">ROUNDUP(HLOOKUP(IF(CEILING(L339,0.5)&lt;1,0.5,CEILING(L339,0.5)),'배송비 조회'!A$44:AO$56,7,0)*B$3,-2)</f>
        <v>#REF!</v>
      </c>
      <c r="S339" s="97">
        <v>0</v>
      </c>
      <c r="T339" s="97" t="str">
        <f t="shared" ca="1" si="42"/>
        <v>#REF!</v>
      </c>
      <c r="U339" s="97" t="str">
        <f t="shared" ca="1" si="29"/>
        <v>#REF!</v>
      </c>
      <c r="V339" s="97" t="str">
        <f t="shared" ca="1" si="7"/>
        <v>#REF!</v>
      </c>
      <c r="W339" s="97" t="str">
        <f t="shared" ca="1" si="8"/>
        <v>#REF!</v>
      </c>
      <c r="X339" s="121">
        <v>0</v>
      </c>
      <c r="Y339" s="121" t="str">
        <f t="shared" ca="1" si="9"/>
        <v>#REF!</v>
      </c>
      <c r="Z339" s="121" t="str">
        <f t="shared" ca="1" si="10"/>
        <v>#REF!</v>
      </c>
      <c r="AA339" s="99" t="str">
        <f t="shared" ca="1" si="11"/>
        <v>#REF!</v>
      </c>
      <c r="AB339" s="234" t="str">
        <f t="shared" ca="1" si="12"/>
        <v>#REF!</v>
      </c>
      <c r="AC339" s="257" t="str">
        <f t="shared" ca="1" si="13"/>
        <v>#REF!</v>
      </c>
      <c r="AD339" s="234" t="str">
        <f t="shared" ca="1" si="14"/>
        <v>#REF!</v>
      </c>
      <c r="AE339" s="100" t="str">
        <f t="shared" ca="1" si="15"/>
        <v>#REF!</v>
      </c>
      <c r="AF339" s="101" t="str">
        <f t="shared" ca="1" si="16"/>
        <v>#REF!</v>
      </c>
      <c r="AG339" s="102" t="str">
        <f t="shared" ref="AG339:AH339" ca="1" si="357">AE339/V339</f>
        <v>#REF!</v>
      </c>
      <c r="AH339" s="102" t="str">
        <f t="shared" ca="1" si="357"/>
        <v>#REF!</v>
      </c>
    </row>
    <row r="340" spans="1:34" ht="13.2">
      <c r="A340" s="251"/>
      <c r="B340" s="251"/>
      <c r="C340" s="252"/>
      <c r="D340" s="252"/>
      <c r="E340" s="114"/>
      <c r="F340" s="252"/>
      <c r="G340" s="125" t="s">
        <v>145</v>
      </c>
      <c r="I340" s="172"/>
      <c r="J340" s="82" t="str">
        <f t="shared" ca="1" si="0"/>
        <v>#REF!</v>
      </c>
      <c r="K340" s="82" t="str">
        <f t="shared" ca="1" si="1"/>
        <v>#REF!</v>
      </c>
      <c r="L340" s="82" t="str">
        <f t="shared" ca="1" si="44"/>
        <v>#REF!</v>
      </c>
      <c r="M340" s="93"/>
      <c r="N340" s="93"/>
      <c r="O340" s="95">
        <f t="shared" si="2"/>
        <v>0</v>
      </c>
      <c r="P340" s="96">
        <f t="shared" si="3"/>
        <v>0</v>
      </c>
      <c r="Q340" s="97">
        <f t="shared" si="4"/>
        <v>0</v>
      </c>
      <c r="R340" s="97" t="str">
        <f ca="1">ROUNDUP(HLOOKUP(IF(CEILING(L340,0.5)&lt;1,0.5,CEILING(L340,0.5)),'배송비 조회'!A$44:AO$56,7,0)*B$3,-2)</f>
        <v>#REF!</v>
      </c>
      <c r="S340" s="97">
        <v>0</v>
      </c>
      <c r="T340" s="97" t="str">
        <f t="shared" ca="1" si="42"/>
        <v>#REF!</v>
      </c>
      <c r="U340" s="97" t="str">
        <f t="shared" ca="1" si="29"/>
        <v>#REF!</v>
      </c>
      <c r="V340" s="97" t="str">
        <f t="shared" ca="1" si="7"/>
        <v>#REF!</v>
      </c>
      <c r="W340" s="97" t="str">
        <f t="shared" ca="1" si="8"/>
        <v>#REF!</v>
      </c>
      <c r="X340" s="121">
        <v>0</v>
      </c>
      <c r="Y340" s="121" t="str">
        <f t="shared" ca="1" si="9"/>
        <v>#REF!</v>
      </c>
      <c r="Z340" s="121" t="str">
        <f t="shared" ca="1" si="10"/>
        <v>#REF!</v>
      </c>
      <c r="AA340" s="99" t="str">
        <f t="shared" ca="1" si="11"/>
        <v>#REF!</v>
      </c>
      <c r="AB340" s="234" t="str">
        <f t="shared" ca="1" si="12"/>
        <v>#REF!</v>
      </c>
      <c r="AC340" s="257" t="str">
        <f t="shared" ca="1" si="13"/>
        <v>#REF!</v>
      </c>
      <c r="AD340" s="234" t="str">
        <f t="shared" ca="1" si="14"/>
        <v>#REF!</v>
      </c>
      <c r="AE340" s="100" t="str">
        <f t="shared" ca="1" si="15"/>
        <v>#REF!</v>
      </c>
      <c r="AF340" s="101" t="str">
        <f t="shared" ca="1" si="16"/>
        <v>#REF!</v>
      </c>
      <c r="AG340" s="102" t="str">
        <f t="shared" ref="AG340:AH340" ca="1" si="358">AE340/V340</f>
        <v>#REF!</v>
      </c>
      <c r="AH340" s="102" t="str">
        <f t="shared" ca="1" si="358"/>
        <v>#REF!</v>
      </c>
    </row>
    <row r="341" spans="1:34" ht="13.2">
      <c r="A341" s="251"/>
      <c r="B341" s="251"/>
      <c r="C341" s="252"/>
      <c r="D341" s="252"/>
      <c r="E341" s="114"/>
      <c r="F341" s="252"/>
      <c r="G341" s="125" t="s">
        <v>145</v>
      </c>
      <c r="I341" s="172"/>
      <c r="J341" s="82" t="str">
        <f t="shared" ca="1" si="0"/>
        <v>#REF!</v>
      </c>
      <c r="K341" s="82" t="str">
        <f t="shared" ca="1" si="1"/>
        <v>#REF!</v>
      </c>
      <c r="L341" s="82" t="str">
        <f t="shared" ca="1" si="44"/>
        <v>#REF!</v>
      </c>
      <c r="M341" s="93"/>
      <c r="N341" s="93"/>
      <c r="O341" s="95">
        <f t="shared" si="2"/>
        <v>0</v>
      </c>
      <c r="P341" s="96">
        <f t="shared" si="3"/>
        <v>0</v>
      </c>
      <c r="Q341" s="97">
        <f t="shared" si="4"/>
        <v>0</v>
      </c>
      <c r="R341" s="97" t="str">
        <f ca="1">ROUNDUP(HLOOKUP(IF(CEILING(L341,0.5)&lt;1,0.5,CEILING(L341,0.5)),'배송비 조회'!A$44:AO$56,7,0)*B$3,-2)</f>
        <v>#REF!</v>
      </c>
      <c r="S341" s="97">
        <v>0</v>
      </c>
      <c r="T341" s="97" t="str">
        <f t="shared" ca="1" si="42"/>
        <v>#REF!</v>
      </c>
      <c r="U341" s="97" t="str">
        <f t="shared" ca="1" si="29"/>
        <v>#REF!</v>
      </c>
      <c r="V341" s="97" t="str">
        <f t="shared" ca="1" si="7"/>
        <v>#REF!</v>
      </c>
      <c r="W341" s="97" t="str">
        <f t="shared" ca="1" si="8"/>
        <v>#REF!</v>
      </c>
      <c r="X341" s="121">
        <v>0</v>
      </c>
      <c r="Y341" s="121" t="str">
        <f t="shared" ca="1" si="9"/>
        <v>#REF!</v>
      </c>
      <c r="Z341" s="121" t="str">
        <f t="shared" ca="1" si="10"/>
        <v>#REF!</v>
      </c>
      <c r="AA341" s="99" t="str">
        <f t="shared" ca="1" si="11"/>
        <v>#REF!</v>
      </c>
      <c r="AB341" s="234" t="str">
        <f t="shared" ca="1" si="12"/>
        <v>#REF!</v>
      </c>
      <c r="AC341" s="257" t="str">
        <f t="shared" ca="1" si="13"/>
        <v>#REF!</v>
      </c>
      <c r="AD341" s="234" t="str">
        <f t="shared" ca="1" si="14"/>
        <v>#REF!</v>
      </c>
      <c r="AE341" s="100" t="str">
        <f t="shared" ca="1" si="15"/>
        <v>#REF!</v>
      </c>
      <c r="AF341" s="101" t="str">
        <f t="shared" ca="1" si="16"/>
        <v>#REF!</v>
      </c>
      <c r="AG341" s="102" t="str">
        <f t="shared" ref="AG341:AH341" ca="1" si="359">AE341/V341</f>
        <v>#REF!</v>
      </c>
      <c r="AH341" s="102" t="str">
        <f t="shared" ca="1" si="359"/>
        <v>#REF!</v>
      </c>
    </row>
    <row r="342" spans="1:34" ht="13.2">
      <c r="A342" s="251"/>
      <c r="B342" s="251"/>
      <c r="C342" s="252"/>
      <c r="D342" s="252"/>
      <c r="E342" s="114"/>
      <c r="F342" s="252"/>
      <c r="G342" s="125" t="s">
        <v>145</v>
      </c>
      <c r="I342" s="172"/>
      <c r="J342" s="82" t="str">
        <f t="shared" ca="1" si="0"/>
        <v>#REF!</v>
      </c>
      <c r="K342" s="82" t="str">
        <f t="shared" ca="1" si="1"/>
        <v>#REF!</v>
      </c>
      <c r="L342" s="82" t="str">
        <f t="shared" ca="1" si="44"/>
        <v>#REF!</v>
      </c>
      <c r="M342" s="93"/>
      <c r="N342" s="93"/>
      <c r="O342" s="95">
        <f t="shared" si="2"/>
        <v>0</v>
      </c>
      <c r="P342" s="96">
        <f t="shared" si="3"/>
        <v>0</v>
      </c>
      <c r="Q342" s="97">
        <f t="shared" si="4"/>
        <v>0</v>
      </c>
      <c r="R342" s="97" t="str">
        <f ca="1">ROUNDUP(HLOOKUP(IF(CEILING(L342,0.5)&lt;1,0.5,CEILING(L342,0.5)),'배송비 조회'!A$44:AO$56,7,0)*B$3,-2)</f>
        <v>#REF!</v>
      </c>
      <c r="S342" s="97">
        <v>0</v>
      </c>
      <c r="T342" s="97" t="str">
        <f t="shared" ca="1" si="42"/>
        <v>#REF!</v>
      </c>
      <c r="U342" s="97" t="str">
        <f t="shared" ca="1" si="29"/>
        <v>#REF!</v>
      </c>
      <c r="V342" s="97" t="str">
        <f t="shared" ca="1" si="7"/>
        <v>#REF!</v>
      </c>
      <c r="W342" s="97" t="str">
        <f t="shared" ca="1" si="8"/>
        <v>#REF!</v>
      </c>
      <c r="X342" s="121">
        <v>0</v>
      </c>
      <c r="Y342" s="121" t="str">
        <f t="shared" ca="1" si="9"/>
        <v>#REF!</v>
      </c>
      <c r="Z342" s="121" t="str">
        <f t="shared" ca="1" si="10"/>
        <v>#REF!</v>
      </c>
      <c r="AA342" s="99" t="str">
        <f t="shared" ca="1" si="11"/>
        <v>#REF!</v>
      </c>
      <c r="AB342" s="234" t="str">
        <f t="shared" ca="1" si="12"/>
        <v>#REF!</v>
      </c>
      <c r="AC342" s="257" t="str">
        <f t="shared" ca="1" si="13"/>
        <v>#REF!</v>
      </c>
      <c r="AD342" s="234" t="str">
        <f t="shared" ca="1" si="14"/>
        <v>#REF!</v>
      </c>
      <c r="AE342" s="100" t="str">
        <f t="shared" ca="1" si="15"/>
        <v>#REF!</v>
      </c>
      <c r="AF342" s="101" t="str">
        <f t="shared" ca="1" si="16"/>
        <v>#REF!</v>
      </c>
      <c r="AG342" s="102" t="str">
        <f t="shared" ref="AG342:AH342" ca="1" si="360">AE342/V342</f>
        <v>#REF!</v>
      </c>
      <c r="AH342" s="102" t="str">
        <f t="shared" ca="1" si="360"/>
        <v>#REF!</v>
      </c>
    </row>
    <row r="343" spans="1:34" ht="13.2">
      <c r="A343" s="251"/>
      <c r="B343" s="251"/>
      <c r="C343" s="252"/>
      <c r="D343" s="252"/>
      <c r="E343" s="114"/>
      <c r="F343" s="252"/>
      <c r="G343" s="125" t="s">
        <v>145</v>
      </c>
      <c r="I343" s="172"/>
      <c r="J343" s="82" t="str">
        <f t="shared" ca="1" si="0"/>
        <v>#REF!</v>
      </c>
      <c r="K343" s="82" t="str">
        <f t="shared" ca="1" si="1"/>
        <v>#REF!</v>
      </c>
      <c r="L343" s="82" t="str">
        <f t="shared" ca="1" si="44"/>
        <v>#REF!</v>
      </c>
      <c r="M343" s="93"/>
      <c r="N343" s="93"/>
      <c r="O343" s="95">
        <f t="shared" si="2"/>
        <v>0</v>
      </c>
      <c r="P343" s="96">
        <f t="shared" si="3"/>
        <v>0</v>
      </c>
      <c r="Q343" s="97">
        <f t="shared" si="4"/>
        <v>0</v>
      </c>
      <c r="R343" s="97" t="str">
        <f ca="1">ROUNDUP(HLOOKUP(IF(CEILING(L343,0.5)&lt;1,0.5,CEILING(L343,0.5)),'배송비 조회'!A$44:AO$56,7,0)*B$3,-2)</f>
        <v>#REF!</v>
      </c>
      <c r="S343" s="97">
        <v>0</v>
      </c>
      <c r="T343" s="97" t="str">
        <f t="shared" ca="1" si="42"/>
        <v>#REF!</v>
      </c>
      <c r="U343" s="97" t="str">
        <f t="shared" ca="1" si="29"/>
        <v>#REF!</v>
      </c>
      <c r="V343" s="97" t="str">
        <f t="shared" ca="1" si="7"/>
        <v>#REF!</v>
      </c>
      <c r="W343" s="97" t="str">
        <f t="shared" ca="1" si="8"/>
        <v>#REF!</v>
      </c>
      <c r="X343" s="121">
        <v>0</v>
      </c>
      <c r="Y343" s="121" t="str">
        <f t="shared" ca="1" si="9"/>
        <v>#REF!</v>
      </c>
      <c r="Z343" s="121" t="str">
        <f t="shared" ca="1" si="10"/>
        <v>#REF!</v>
      </c>
      <c r="AA343" s="99" t="str">
        <f t="shared" ca="1" si="11"/>
        <v>#REF!</v>
      </c>
      <c r="AB343" s="234" t="str">
        <f t="shared" ca="1" si="12"/>
        <v>#REF!</v>
      </c>
      <c r="AC343" s="257" t="str">
        <f t="shared" ca="1" si="13"/>
        <v>#REF!</v>
      </c>
      <c r="AD343" s="234" t="str">
        <f t="shared" ca="1" si="14"/>
        <v>#REF!</v>
      </c>
      <c r="AE343" s="100" t="str">
        <f t="shared" ca="1" si="15"/>
        <v>#REF!</v>
      </c>
      <c r="AF343" s="101" t="str">
        <f t="shared" ca="1" si="16"/>
        <v>#REF!</v>
      </c>
      <c r="AG343" s="102" t="str">
        <f t="shared" ref="AG343:AH343" ca="1" si="361">AE343/V343</f>
        <v>#REF!</v>
      </c>
      <c r="AH343" s="102" t="str">
        <f t="shared" ca="1" si="361"/>
        <v>#REF!</v>
      </c>
    </row>
    <row r="344" spans="1:34" ht="13.2">
      <c r="A344" s="251"/>
      <c r="B344" s="251"/>
      <c r="C344" s="252"/>
      <c r="D344" s="252"/>
      <c r="E344" s="114"/>
      <c r="F344" s="252"/>
      <c r="G344" s="125" t="s">
        <v>145</v>
      </c>
      <c r="I344" s="172"/>
      <c r="J344" s="82" t="str">
        <f t="shared" ca="1" si="0"/>
        <v>#REF!</v>
      </c>
      <c r="K344" s="82" t="str">
        <f t="shared" ca="1" si="1"/>
        <v>#REF!</v>
      </c>
      <c r="L344" s="82" t="str">
        <f t="shared" ca="1" si="44"/>
        <v>#REF!</v>
      </c>
      <c r="M344" s="93"/>
      <c r="N344" s="93"/>
      <c r="O344" s="95">
        <f t="shared" si="2"/>
        <v>0</v>
      </c>
      <c r="P344" s="96">
        <f t="shared" si="3"/>
        <v>0</v>
      </c>
      <c r="Q344" s="97">
        <f t="shared" si="4"/>
        <v>0</v>
      </c>
      <c r="R344" s="97" t="str">
        <f ca="1">ROUNDUP(HLOOKUP(IF(CEILING(L344,0.5)&lt;1,0.5,CEILING(L344,0.5)),'배송비 조회'!A$44:AO$56,7,0)*B$3,-2)</f>
        <v>#REF!</v>
      </c>
      <c r="S344" s="97">
        <v>0</v>
      </c>
      <c r="T344" s="97" t="str">
        <f t="shared" ca="1" si="42"/>
        <v>#REF!</v>
      </c>
      <c r="U344" s="97" t="str">
        <f t="shared" ca="1" si="29"/>
        <v>#REF!</v>
      </c>
      <c r="V344" s="97" t="str">
        <f t="shared" ca="1" si="7"/>
        <v>#REF!</v>
      </c>
      <c r="W344" s="97" t="str">
        <f t="shared" ca="1" si="8"/>
        <v>#REF!</v>
      </c>
      <c r="X344" s="121">
        <v>0</v>
      </c>
      <c r="Y344" s="121" t="str">
        <f t="shared" ca="1" si="9"/>
        <v>#REF!</v>
      </c>
      <c r="Z344" s="121" t="str">
        <f t="shared" ca="1" si="10"/>
        <v>#REF!</v>
      </c>
      <c r="AA344" s="99" t="str">
        <f t="shared" ca="1" si="11"/>
        <v>#REF!</v>
      </c>
      <c r="AB344" s="234" t="str">
        <f t="shared" ca="1" si="12"/>
        <v>#REF!</v>
      </c>
      <c r="AC344" s="257" t="str">
        <f t="shared" ca="1" si="13"/>
        <v>#REF!</v>
      </c>
      <c r="AD344" s="234" t="str">
        <f t="shared" ca="1" si="14"/>
        <v>#REF!</v>
      </c>
      <c r="AE344" s="100" t="str">
        <f t="shared" ca="1" si="15"/>
        <v>#REF!</v>
      </c>
      <c r="AF344" s="101" t="str">
        <f t="shared" ca="1" si="16"/>
        <v>#REF!</v>
      </c>
      <c r="AG344" s="102" t="str">
        <f t="shared" ref="AG344:AH344" ca="1" si="362">AE344/V344</f>
        <v>#REF!</v>
      </c>
      <c r="AH344" s="102" t="str">
        <f t="shared" ca="1" si="362"/>
        <v>#REF!</v>
      </c>
    </row>
    <row r="345" spans="1:34" ht="13.2">
      <c r="A345" s="251"/>
      <c r="B345" s="251"/>
      <c r="C345" s="252"/>
      <c r="D345" s="252"/>
      <c r="E345" s="114"/>
      <c r="F345" s="252"/>
      <c r="G345" s="125" t="s">
        <v>145</v>
      </c>
      <c r="I345" s="172"/>
      <c r="J345" s="82" t="str">
        <f t="shared" ca="1" si="0"/>
        <v>#REF!</v>
      </c>
      <c r="K345" s="82" t="str">
        <f t="shared" ca="1" si="1"/>
        <v>#REF!</v>
      </c>
      <c r="L345" s="82" t="str">
        <f t="shared" ca="1" si="44"/>
        <v>#REF!</v>
      </c>
      <c r="M345" s="93"/>
      <c r="N345" s="93"/>
      <c r="O345" s="95">
        <f t="shared" si="2"/>
        <v>0</v>
      </c>
      <c r="P345" s="96">
        <f t="shared" si="3"/>
        <v>0</v>
      </c>
      <c r="Q345" s="97">
        <f t="shared" si="4"/>
        <v>0</v>
      </c>
      <c r="R345" s="97" t="str">
        <f ca="1">ROUNDUP(HLOOKUP(IF(CEILING(L345,0.5)&lt;1,0.5,CEILING(L345,0.5)),'배송비 조회'!A$44:AO$56,7,0)*B$3,-2)</f>
        <v>#REF!</v>
      </c>
      <c r="S345" s="97">
        <v>0</v>
      </c>
      <c r="T345" s="97" t="str">
        <f t="shared" ca="1" si="42"/>
        <v>#REF!</v>
      </c>
      <c r="U345" s="97" t="str">
        <f t="shared" ca="1" si="29"/>
        <v>#REF!</v>
      </c>
      <c r="V345" s="97" t="str">
        <f t="shared" ca="1" si="7"/>
        <v>#REF!</v>
      </c>
      <c r="W345" s="97" t="str">
        <f t="shared" ca="1" si="8"/>
        <v>#REF!</v>
      </c>
      <c r="X345" s="121">
        <v>0</v>
      </c>
      <c r="Y345" s="121" t="str">
        <f t="shared" ca="1" si="9"/>
        <v>#REF!</v>
      </c>
      <c r="Z345" s="121" t="str">
        <f t="shared" ca="1" si="10"/>
        <v>#REF!</v>
      </c>
      <c r="AA345" s="99" t="str">
        <f t="shared" ca="1" si="11"/>
        <v>#REF!</v>
      </c>
      <c r="AB345" s="234" t="str">
        <f t="shared" ca="1" si="12"/>
        <v>#REF!</v>
      </c>
      <c r="AC345" s="257" t="str">
        <f t="shared" ca="1" si="13"/>
        <v>#REF!</v>
      </c>
      <c r="AD345" s="234" t="str">
        <f t="shared" ca="1" si="14"/>
        <v>#REF!</v>
      </c>
      <c r="AE345" s="100" t="str">
        <f t="shared" ca="1" si="15"/>
        <v>#REF!</v>
      </c>
      <c r="AF345" s="101" t="str">
        <f t="shared" ca="1" si="16"/>
        <v>#REF!</v>
      </c>
      <c r="AG345" s="102" t="str">
        <f t="shared" ref="AG345:AH345" ca="1" si="363">AE345/V345</f>
        <v>#REF!</v>
      </c>
      <c r="AH345" s="102" t="str">
        <f t="shared" ca="1" si="363"/>
        <v>#REF!</v>
      </c>
    </row>
    <row r="346" spans="1:34" ht="13.2">
      <c r="A346" s="251"/>
      <c r="B346" s="251"/>
      <c r="C346" s="252"/>
      <c r="D346" s="252"/>
      <c r="E346" s="114"/>
      <c r="F346" s="252"/>
      <c r="G346" s="125" t="s">
        <v>145</v>
      </c>
      <c r="I346" s="172"/>
      <c r="J346" s="82" t="str">
        <f t="shared" ca="1" si="0"/>
        <v>#REF!</v>
      </c>
      <c r="K346" s="82" t="str">
        <f t="shared" ca="1" si="1"/>
        <v>#REF!</v>
      </c>
      <c r="L346" s="82" t="str">
        <f t="shared" ca="1" si="44"/>
        <v>#REF!</v>
      </c>
      <c r="M346" s="93"/>
      <c r="N346" s="93"/>
      <c r="O346" s="95">
        <f t="shared" si="2"/>
        <v>0</v>
      </c>
      <c r="P346" s="96">
        <f t="shared" si="3"/>
        <v>0</v>
      </c>
      <c r="Q346" s="97">
        <f t="shared" si="4"/>
        <v>0</v>
      </c>
      <c r="R346" s="97" t="str">
        <f ca="1">ROUNDUP(HLOOKUP(IF(CEILING(L346,0.5)&lt;1,0.5,CEILING(L346,0.5)),'배송비 조회'!A$44:AO$56,7,0)*B$3,-2)</f>
        <v>#REF!</v>
      </c>
      <c r="S346" s="97">
        <v>0</v>
      </c>
      <c r="T346" s="97" t="str">
        <f t="shared" ca="1" si="42"/>
        <v>#REF!</v>
      </c>
      <c r="U346" s="97" t="str">
        <f t="shared" ca="1" si="29"/>
        <v>#REF!</v>
      </c>
      <c r="V346" s="97" t="str">
        <f t="shared" ca="1" si="7"/>
        <v>#REF!</v>
      </c>
      <c r="W346" s="97" t="str">
        <f t="shared" ca="1" si="8"/>
        <v>#REF!</v>
      </c>
      <c r="X346" s="121">
        <v>0</v>
      </c>
      <c r="Y346" s="121" t="str">
        <f t="shared" ca="1" si="9"/>
        <v>#REF!</v>
      </c>
      <c r="Z346" s="121" t="str">
        <f t="shared" ca="1" si="10"/>
        <v>#REF!</v>
      </c>
      <c r="AA346" s="99" t="str">
        <f t="shared" ca="1" si="11"/>
        <v>#REF!</v>
      </c>
      <c r="AB346" s="234" t="str">
        <f t="shared" ca="1" si="12"/>
        <v>#REF!</v>
      </c>
      <c r="AC346" s="257" t="str">
        <f t="shared" ca="1" si="13"/>
        <v>#REF!</v>
      </c>
      <c r="AD346" s="234" t="str">
        <f t="shared" ca="1" si="14"/>
        <v>#REF!</v>
      </c>
      <c r="AE346" s="100" t="str">
        <f t="shared" ca="1" si="15"/>
        <v>#REF!</v>
      </c>
      <c r="AF346" s="101" t="str">
        <f t="shared" ca="1" si="16"/>
        <v>#REF!</v>
      </c>
      <c r="AG346" s="102" t="str">
        <f t="shared" ref="AG346:AH346" ca="1" si="364">AE346/V346</f>
        <v>#REF!</v>
      </c>
      <c r="AH346" s="102" t="str">
        <f t="shared" ca="1" si="364"/>
        <v>#REF!</v>
      </c>
    </row>
    <row r="347" spans="1:34" ht="13.2">
      <c r="A347" s="251"/>
      <c r="B347" s="251"/>
      <c r="C347" s="252"/>
      <c r="D347" s="252"/>
      <c r="E347" s="114"/>
      <c r="F347" s="252"/>
      <c r="G347" s="125" t="s">
        <v>145</v>
      </c>
      <c r="I347" s="172"/>
      <c r="J347" s="82" t="str">
        <f t="shared" ca="1" si="0"/>
        <v>#REF!</v>
      </c>
      <c r="K347" s="82" t="str">
        <f t="shared" ca="1" si="1"/>
        <v>#REF!</v>
      </c>
      <c r="L347" s="82" t="str">
        <f t="shared" ca="1" si="44"/>
        <v>#REF!</v>
      </c>
      <c r="M347" s="93"/>
      <c r="N347" s="93"/>
      <c r="O347" s="95">
        <f t="shared" si="2"/>
        <v>0</v>
      </c>
      <c r="P347" s="96">
        <f t="shared" si="3"/>
        <v>0</v>
      </c>
      <c r="Q347" s="97">
        <f t="shared" si="4"/>
        <v>0</v>
      </c>
      <c r="R347" s="97" t="str">
        <f ca="1">ROUNDUP(HLOOKUP(IF(CEILING(L347,0.5)&lt;1,0.5,CEILING(L347,0.5)),'배송비 조회'!A$44:AO$56,7,0)*B$3,-2)</f>
        <v>#REF!</v>
      </c>
      <c r="S347" s="97">
        <v>0</v>
      </c>
      <c r="T347" s="97" t="str">
        <f t="shared" ca="1" si="42"/>
        <v>#REF!</v>
      </c>
      <c r="U347" s="97" t="str">
        <f t="shared" ca="1" si="29"/>
        <v>#REF!</v>
      </c>
      <c r="V347" s="97" t="str">
        <f t="shared" ca="1" si="7"/>
        <v>#REF!</v>
      </c>
      <c r="W347" s="97" t="str">
        <f t="shared" ca="1" si="8"/>
        <v>#REF!</v>
      </c>
      <c r="X347" s="121">
        <v>0</v>
      </c>
      <c r="Y347" s="121" t="str">
        <f t="shared" ca="1" si="9"/>
        <v>#REF!</v>
      </c>
      <c r="Z347" s="121" t="str">
        <f t="shared" ca="1" si="10"/>
        <v>#REF!</v>
      </c>
      <c r="AA347" s="99" t="str">
        <f t="shared" ca="1" si="11"/>
        <v>#REF!</v>
      </c>
      <c r="AB347" s="234" t="str">
        <f t="shared" ca="1" si="12"/>
        <v>#REF!</v>
      </c>
      <c r="AC347" s="257" t="str">
        <f t="shared" ca="1" si="13"/>
        <v>#REF!</v>
      </c>
      <c r="AD347" s="234" t="str">
        <f t="shared" ca="1" si="14"/>
        <v>#REF!</v>
      </c>
      <c r="AE347" s="100" t="str">
        <f t="shared" ca="1" si="15"/>
        <v>#REF!</v>
      </c>
      <c r="AF347" s="101" t="str">
        <f t="shared" ca="1" si="16"/>
        <v>#REF!</v>
      </c>
      <c r="AG347" s="102" t="str">
        <f t="shared" ref="AG347:AH347" ca="1" si="365">AE347/V347</f>
        <v>#REF!</v>
      </c>
      <c r="AH347" s="102" t="str">
        <f t="shared" ca="1" si="365"/>
        <v>#REF!</v>
      </c>
    </row>
    <row r="348" spans="1:34" ht="13.2">
      <c r="A348" s="251"/>
      <c r="B348" s="251"/>
      <c r="C348" s="252"/>
      <c r="D348" s="252"/>
      <c r="E348" s="114"/>
      <c r="F348" s="252"/>
      <c r="G348" s="125" t="s">
        <v>145</v>
      </c>
      <c r="I348" s="172"/>
      <c r="J348" s="82" t="str">
        <f t="shared" ca="1" si="0"/>
        <v>#REF!</v>
      </c>
      <c r="K348" s="82" t="str">
        <f t="shared" ca="1" si="1"/>
        <v>#REF!</v>
      </c>
      <c r="L348" s="82" t="str">
        <f t="shared" ca="1" si="44"/>
        <v>#REF!</v>
      </c>
      <c r="M348" s="93"/>
      <c r="N348" s="93"/>
      <c r="O348" s="95">
        <f t="shared" si="2"/>
        <v>0</v>
      </c>
      <c r="P348" s="96">
        <f t="shared" si="3"/>
        <v>0</v>
      </c>
      <c r="Q348" s="97">
        <f t="shared" si="4"/>
        <v>0</v>
      </c>
      <c r="R348" s="97" t="str">
        <f ca="1">ROUNDUP(HLOOKUP(IF(CEILING(L348,0.5)&lt;1,0.5,CEILING(L348,0.5)),'배송비 조회'!A$44:AO$56,7,0)*B$3,-2)</f>
        <v>#REF!</v>
      </c>
      <c r="S348" s="97">
        <v>0</v>
      </c>
      <c r="T348" s="97" t="str">
        <f t="shared" ca="1" si="42"/>
        <v>#REF!</v>
      </c>
      <c r="U348" s="97" t="str">
        <f t="shared" ca="1" si="29"/>
        <v>#REF!</v>
      </c>
      <c r="V348" s="97" t="str">
        <f t="shared" ca="1" si="7"/>
        <v>#REF!</v>
      </c>
      <c r="W348" s="97" t="str">
        <f t="shared" ca="1" si="8"/>
        <v>#REF!</v>
      </c>
      <c r="X348" s="121">
        <v>0</v>
      </c>
      <c r="Y348" s="121" t="str">
        <f t="shared" ca="1" si="9"/>
        <v>#REF!</v>
      </c>
      <c r="Z348" s="121" t="str">
        <f t="shared" ca="1" si="10"/>
        <v>#REF!</v>
      </c>
      <c r="AA348" s="99" t="str">
        <f t="shared" ca="1" si="11"/>
        <v>#REF!</v>
      </c>
      <c r="AB348" s="234" t="str">
        <f t="shared" ca="1" si="12"/>
        <v>#REF!</v>
      </c>
      <c r="AC348" s="257" t="str">
        <f t="shared" ca="1" si="13"/>
        <v>#REF!</v>
      </c>
      <c r="AD348" s="234" t="str">
        <f t="shared" ca="1" si="14"/>
        <v>#REF!</v>
      </c>
      <c r="AE348" s="100" t="str">
        <f t="shared" ca="1" si="15"/>
        <v>#REF!</v>
      </c>
      <c r="AF348" s="101" t="str">
        <f t="shared" ca="1" si="16"/>
        <v>#REF!</v>
      </c>
      <c r="AG348" s="102" t="str">
        <f t="shared" ref="AG348:AH348" ca="1" si="366">AE348/V348</f>
        <v>#REF!</v>
      </c>
      <c r="AH348" s="102" t="str">
        <f t="shared" ca="1" si="366"/>
        <v>#REF!</v>
      </c>
    </row>
    <row r="349" spans="1:34" ht="13.2">
      <c r="A349" s="251"/>
      <c r="B349" s="251"/>
      <c r="C349" s="252"/>
      <c r="D349" s="252"/>
      <c r="E349" s="114"/>
      <c r="F349" s="252"/>
      <c r="G349" s="125" t="s">
        <v>145</v>
      </c>
      <c r="I349" s="172"/>
      <c r="J349" s="82" t="str">
        <f t="shared" ca="1" si="0"/>
        <v>#REF!</v>
      </c>
      <c r="K349" s="82" t="str">
        <f t="shared" ca="1" si="1"/>
        <v>#REF!</v>
      </c>
      <c r="L349" s="82" t="str">
        <f t="shared" ca="1" si="44"/>
        <v>#REF!</v>
      </c>
      <c r="M349" s="93"/>
      <c r="N349" s="93"/>
      <c r="O349" s="95">
        <f t="shared" si="2"/>
        <v>0</v>
      </c>
      <c r="P349" s="96">
        <f t="shared" si="3"/>
        <v>0</v>
      </c>
      <c r="Q349" s="97">
        <f t="shared" si="4"/>
        <v>0</v>
      </c>
      <c r="R349" s="97" t="str">
        <f ca="1">ROUNDUP(HLOOKUP(IF(CEILING(L349,0.5)&lt;1,0.5,CEILING(L349,0.5)),'배송비 조회'!A$44:AO$56,7,0)*B$3,-2)</f>
        <v>#REF!</v>
      </c>
      <c r="S349" s="97">
        <v>0</v>
      </c>
      <c r="T349" s="97" t="str">
        <f t="shared" ca="1" si="42"/>
        <v>#REF!</v>
      </c>
      <c r="U349" s="97" t="str">
        <f t="shared" ca="1" si="29"/>
        <v>#REF!</v>
      </c>
      <c r="V349" s="97" t="str">
        <f t="shared" ca="1" si="7"/>
        <v>#REF!</v>
      </c>
      <c r="W349" s="97" t="str">
        <f t="shared" ca="1" si="8"/>
        <v>#REF!</v>
      </c>
      <c r="X349" s="121">
        <v>0</v>
      </c>
      <c r="Y349" s="121" t="str">
        <f t="shared" ca="1" si="9"/>
        <v>#REF!</v>
      </c>
      <c r="Z349" s="121" t="str">
        <f t="shared" ca="1" si="10"/>
        <v>#REF!</v>
      </c>
      <c r="AA349" s="99" t="str">
        <f t="shared" ca="1" si="11"/>
        <v>#REF!</v>
      </c>
      <c r="AB349" s="234" t="str">
        <f t="shared" ca="1" si="12"/>
        <v>#REF!</v>
      </c>
      <c r="AC349" s="257" t="str">
        <f t="shared" ca="1" si="13"/>
        <v>#REF!</v>
      </c>
      <c r="AD349" s="234" t="str">
        <f t="shared" ca="1" si="14"/>
        <v>#REF!</v>
      </c>
      <c r="AE349" s="100" t="str">
        <f t="shared" ca="1" si="15"/>
        <v>#REF!</v>
      </c>
      <c r="AF349" s="101" t="str">
        <f t="shared" ca="1" si="16"/>
        <v>#REF!</v>
      </c>
      <c r="AG349" s="102" t="str">
        <f t="shared" ref="AG349:AH349" ca="1" si="367">AE349/V349</f>
        <v>#REF!</v>
      </c>
      <c r="AH349" s="102" t="str">
        <f t="shared" ca="1" si="367"/>
        <v>#REF!</v>
      </c>
    </row>
    <row r="350" spans="1:34" ht="13.2">
      <c r="A350" s="251"/>
      <c r="B350" s="251"/>
      <c r="C350" s="252"/>
      <c r="D350" s="252"/>
      <c r="E350" s="114"/>
      <c r="F350" s="252"/>
      <c r="G350" s="125" t="s">
        <v>145</v>
      </c>
      <c r="I350" s="172"/>
      <c r="J350" s="82" t="str">
        <f t="shared" ca="1" si="0"/>
        <v>#REF!</v>
      </c>
      <c r="K350" s="82" t="str">
        <f t="shared" ca="1" si="1"/>
        <v>#REF!</v>
      </c>
      <c r="L350" s="82" t="str">
        <f t="shared" ca="1" si="44"/>
        <v>#REF!</v>
      </c>
      <c r="M350" s="93"/>
      <c r="N350" s="93"/>
      <c r="O350" s="95">
        <f t="shared" si="2"/>
        <v>0</v>
      </c>
      <c r="P350" s="96">
        <f t="shared" si="3"/>
        <v>0</v>
      </c>
      <c r="Q350" s="97">
        <f t="shared" si="4"/>
        <v>0</v>
      </c>
      <c r="R350" s="97" t="str">
        <f ca="1">ROUNDUP(HLOOKUP(IF(CEILING(L350,0.5)&lt;1,0.5,CEILING(L350,0.5)),'배송비 조회'!A$44:AO$56,7,0)*B$3,-2)</f>
        <v>#REF!</v>
      </c>
      <c r="S350" s="97">
        <v>0</v>
      </c>
      <c r="T350" s="97" t="str">
        <f t="shared" ca="1" si="42"/>
        <v>#REF!</v>
      </c>
      <c r="U350" s="97" t="str">
        <f t="shared" ca="1" si="29"/>
        <v>#REF!</v>
      </c>
      <c r="V350" s="97" t="str">
        <f t="shared" ca="1" si="7"/>
        <v>#REF!</v>
      </c>
      <c r="W350" s="97" t="str">
        <f t="shared" ca="1" si="8"/>
        <v>#REF!</v>
      </c>
      <c r="X350" s="121">
        <v>0</v>
      </c>
      <c r="Y350" s="121" t="str">
        <f t="shared" ca="1" si="9"/>
        <v>#REF!</v>
      </c>
      <c r="Z350" s="121" t="str">
        <f t="shared" ca="1" si="10"/>
        <v>#REF!</v>
      </c>
      <c r="AA350" s="99" t="str">
        <f t="shared" ca="1" si="11"/>
        <v>#REF!</v>
      </c>
      <c r="AB350" s="234" t="str">
        <f t="shared" ca="1" si="12"/>
        <v>#REF!</v>
      </c>
      <c r="AC350" s="257" t="str">
        <f t="shared" ca="1" si="13"/>
        <v>#REF!</v>
      </c>
      <c r="AD350" s="234" t="str">
        <f t="shared" ca="1" si="14"/>
        <v>#REF!</v>
      </c>
      <c r="AE350" s="100" t="str">
        <f t="shared" ca="1" si="15"/>
        <v>#REF!</v>
      </c>
      <c r="AF350" s="101" t="str">
        <f t="shared" ca="1" si="16"/>
        <v>#REF!</v>
      </c>
      <c r="AG350" s="102" t="str">
        <f t="shared" ref="AG350:AH350" ca="1" si="368">AE350/V350</f>
        <v>#REF!</v>
      </c>
      <c r="AH350" s="102" t="str">
        <f t="shared" ca="1" si="368"/>
        <v>#REF!</v>
      </c>
    </row>
    <row r="351" spans="1:34" ht="13.2">
      <c r="A351" s="251"/>
      <c r="B351" s="251"/>
      <c r="C351" s="252"/>
      <c r="D351" s="252"/>
      <c r="E351" s="114"/>
      <c r="F351" s="252"/>
      <c r="G351" s="125" t="s">
        <v>145</v>
      </c>
      <c r="I351" s="172"/>
      <c r="J351" s="82" t="str">
        <f t="shared" ca="1" si="0"/>
        <v>#REF!</v>
      </c>
      <c r="K351" s="82" t="str">
        <f t="shared" ca="1" si="1"/>
        <v>#REF!</v>
      </c>
      <c r="L351" s="82" t="str">
        <f t="shared" ca="1" si="44"/>
        <v>#REF!</v>
      </c>
      <c r="M351" s="93"/>
      <c r="N351" s="93"/>
      <c r="O351" s="95">
        <f t="shared" si="2"/>
        <v>0</v>
      </c>
      <c r="P351" s="96">
        <f t="shared" si="3"/>
        <v>0</v>
      </c>
      <c r="Q351" s="97">
        <f t="shared" si="4"/>
        <v>0</v>
      </c>
      <c r="R351" s="97" t="str">
        <f ca="1">ROUNDUP(HLOOKUP(IF(CEILING(L351,0.5)&lt;1,0.5,CEILING(L351,0.5)),'배송비 조회'!A$44:AO$56,7,0)*B$3,-2)</f>
        <v>#REF!</v>
      </c>
      <c r="S351" s="97">
        <v>0</v>
      </c>
      <c r="T351" s="97" t="str">
        <f t="shared" ca="1" si="42"/>
        <v>#REF!</v>
      </c>
      <c r="U351" s="97" t="str">
        <f t="shared" ca="1" si="29"/>
        <v>#REF!</v>
      </c>
      <c r="V351" s="97" t="str">
        <f t="shared" ca="1" si="7"/>
        <v>#REF!</v>
      </c>
      <c r="W351" s="97" t="str">
        <f t="shared" ca="1" si="8"/>
        <v>#REF!</v>
      </c>
      <c r="X351" s="121">
        <v>0</v>
      </c>
      <c r="Y351" s="121" t="str">
        <f t="shared" ca="1" si="9"/>
        <v>#REF!</v>
      </c>
      <c r="Z351" s="121" t="str">
        <f t="shared" ca="1" si="10"/>
        <v>#REF!</v>
      </c>
      <c r="AA351" s="99" t="str">
        <f t="shared" ca="1" si="11"/>
        <v>#REF!</v>
      </c>
      <c r="AB351" s="234" t="str">
        <f t="shared" ca="1" si="12"/>
        <v>#REF!</v>
      </c>
      <c r="AC351" s="257" t="str">
        <f t="shared" ca="1" si="13"/>
        <v>#REF!</v>
      </c>
      <c r="AD351" s="234" t="str">
        <f t="shared" ca="1" si="14"/>
        <v>#REF!</v>
      </c>
      <c r="AE351" s="100" t="str">
        <f t="shared" ca="1" si="15"/>
        <v>#REF!</v>
      </c>
      <c r="AF351" s="101" t="str">
        <f t="shared" ca="1" si="16"/>
        <v>#REF!</v>
      </c>
      <c r="AG351" s="102" t="str">
        <f t="shared" ref="AG351:AH351" ca="1" si="369">AE351/V351</f>
        <v>#REF!</v>
      </c>
      <c r="AH351" s="102" t="str">
        <f t="shared" ca="1" si="369"/>
        <v>#REF!</v>
      </c>
    </row>
    <row r="352" spans="1:34" ht="13.2">
      <c r="A352" s="251"/>
      <c r="B352" s="251"/>
      <c r="C352" s="252"/>
      <c r="D352" s="252"/>
      <c r="E352" s="114"/>
      <c r="F352" s="252"/>
      <c r="G352" s="125" t="s">
        <v>145</v>
      </c>
      <c r="I352" s="172"/>
      <c r="J352" s="82" t="str">
        <f t="shared" ca="1" si="0"/>
        <v>#REF!</v>
      </c>
      <c r="K352" s="82" t="str">
        <f t="shared" ca="1" si="1"/>
        <v>#REF!</v>
      </c>
      <c r="L352" s="82" t="str">
        <f t="shared" ca="1" si="44"/>
        <v>#REF!</v>
      </c>
      <c r="M352" s="93"/>
      <c r="N352" s="93"/>
      <c r="O352" s="95">
        <f t="shared" si="2"/>
        <v>0</v>
      </c>
      <c r="P352" s="96">
        <f t="shared" si="3"/>
        <v>0</v>
      </c>
      <c r="Q352" s="97">
        <f t="shared" si="4"/>
        <v>0</v>
      </c>
      <c r="R352" s="97" t="str">
        <f ca="1">ROUNDUP(HLOOKUP(IF(CEILING(L352,0.5)&lt;1,0.5,CEILING(L352,0.5)),'배송비 조회'!A$44:AO$56,7,0)*B$3,-2)</f>
        <v>#REF!</v>
      </c>
      <c r="S352" s="97">
        <v>0</v>
      </c>
      <c r="T352" s="97" t="str">
        <f t="shared" ca="1" si="42"/>
        <v>#REF!</v>
      </c>
      <c r="U352" s="97" t="str">
        <f t="shared" ca="1" si="29"/>
        <v>#REF!</v>
      </c>
      <c r="V352" s="97" t="str">
        <f t="shared" ca="1" si="7"/>
        <v>#REF!</v>
      </c>
      <c r="W352" s="97" t="str">
        <f t="shared" ca="1" si="8"/>
        <v>#REF!</v>
      </c>
      <c r="X352" s="121">
        <v>0</v>
      </c>
      <c r="Y352" s="121" t="str">
        <f t="shared" ca="1" si="9"/>
        <v>#REF!</v>
      </c>
      <c r="Z352" s="121" t="str">
        <f t="shared" ca="1" si="10"/>
        <v>#REF!</v>
      </c>
      <c r="AA352" s="99" t="str">
        <f t="shared" ca="1" si="11"/>
        <v>#REF!</v>
      </c>
      <c r="AB352" s="234" t="str">
        <f t="shared" ca="1" si="12"/>
        <v>#REF!</v>
      </c>
      <c r="AC352" s="257" t="str">
        <f t="shared" ca="1" si="13"/>
        <v>#REF!</v>
      </c>
      <c r="AD352" s="234" t="str">
        <f t="shared" ca="1" si="14"/>
        <v>#REF!</v>
      </c>
      <c r="AE352" s="100" t="str">
        <f t="shared" ca="1" si="15"/>
        <v>#REF!</v>
      </c>
      <c r="AF352" s="101" t="str">
        <f t="shared" ca="1" si="16"/>
        <v>#REF!</v>
      </c>
      <c r="AG352" s="102" t="str">
        <f t="shared" ref="AG352:AH352" ca="1" si="370">AE352/V352</f>
        <v>#REF!</v>
      </c>
      <c r="AH352" s="102" t="str">
        <f t="shared" ca="1" si="370"/>
        <v>#REF!</v>
      </c>
    </row>
    <row r="353" spans="1:34" ht="13.2">
      <c r="A353" s="251"/>
      <c r="B353" s="251"/>
      <c r="C353" s="252"/>
      <c r="D353" s="252"/>
      <c r="E353" s="114"/>
      <c r="F353" s="252"/>
      <c r="G353" s="125" t="s">
        <v>145</v>
      </c>
      <c r="I353" s="172"/>
      <c r="J353" s="82" t="str">
        <f t="shared" ca="1" si="0"/>
        <v>#REF!</v>
      </c>
      <c r="K353" s="82" t="str">
        <f t="shared" ca="1" si="1"/>
        <v>#REF!</v>
      </c>
      <c r="L353" s="82" t="str">
        <f t="shared" ca="1" si="44"/>
        <v>#REF!</v>
      </c>
      <c r="M353" s="93"/>
      <c r="N353" s="93"/>
      <c r="O353" s="95">
        <f t="shared" si="2"/>
        <v>0</v>
      </c>
      <c r="P353" s="96">
        <f t="shared" si="3"/>
        <v>0</v>
      </c>
      <c r="Q353" s="97">
        <f t="shared" si="4"/>
        <v>0</v>
      </c>
      <c r="R353" s="97" t="str">
        <f ca="1">ROUNDUP(HLOOKUP(IF(CEILING(L353,0.5)&lt;1,0.5,CEILING(L353,0.5)),'배송비 조회'!A$44:AO$56,7,0)*B$3,-2)</f>
        <v>#REF!</v>
      </c>
      <c r="S353" s="97">
        <v>0</v>
      </c>
      <c r="T353" s="97" t="str">
        <f t="shared" ca="1" si="42"/>
        <v>#REF!</v>
      </c>
      <c r="U353" s="97" t="str">
        <f t="shared" ca="1" si="29"/>
        <v>#REF!</v>
      </c>
      <c r="V353" s="97" t="str">
        <f t="shared" ca="1" si="7"/>
        <v>#REF!</v>
      </c>
      <c r="W353" s="97" t="str">
        <f t="shared" ca="1" si="8"/>
        <v>#REF!</v>
      </c>
      <c r="X353" s="121">
        <v>0</v>
      </c>
      <c r="Y353" s="121" t="str">
        <f t="shared" ca="1" si="9"/>
        <v>#REF!</v>
      </c>
      <c r="Z353" s="121" t="str">
        <f t="shared" ca="1" si="10"/>
        <v>#REF!</v>
      </c>
      <c r="AA353" s="99" t="str">
        <f t="shared" ca="1" si="11"/>
        <v>#REF!</v>
      </c>
      <c r="AB353" s="234" t="str">
        <f t="shared" ca="1" si="12"/>
        <v>#REF!</v>
      </c>
      <c r="AC353" s="257" t="str">
        <f t="shared" ca="1" si="13"/>
        <v>#REF!</v>
      </c>
      <c r="AD353" s="234" t="str">
        <f t="shared" ca="1" si="14"/>
        <v>#REF!</v>
      </c>
      <c r="AE353" s="100" t="str">
        <f t="shared" ca="1" si="15"/>
        <v>#REF!</v>
      </c>
      <c r="AF353" s="101" t="str">
        <f t="shared" ca="1" si="16"/>
        <v>#REF!</v>
      </c>
      <c r="AG353" s="102" t="str">
        <f t="shared" ref="AG353:AH353" ca="1" si="371">AE353/V353</f>
        <v>#REF!</v>
      </c>
      <c r="AH353" s="102" t="str">
        <f t="shared" ca="1" si="371"/>
        <v>#REF!</v>
      </c>
    </row>
    <row r="354" spans="1:34" ht="13.2">
      <c r="A354" s="251"/>
      <c r="B354" s="251"/>
      <c r="C354" s="252"/>
      <c r="D354" s="252"/>
      <c r="E354" s="114"/>
      <c r="F354" s="252"/>
      <c r="G354" s="125" t="s">
        <v>145</v>
      </c>
      <c r="I354" s="172"/>
      <c r="J354" s="82" t="str">
        <f t="shared" ca="1" si="0"/>
        <v>#REF!</v>
      </c>
      <c r="K354" s="82" t="str">
        <f t="shared" ca="1" si="1"/>
        <v>#REF!</v>
      </c>
      <c r="L354" s="82" t="str">
        <f t="shared" ca="1" si="44"/>
        <v>#REF!</v>
      </c>
      <c r="M354" s="93"/>
      <c r="N354" s="93"/>
      <c r="O354" s="95">
        <f t="shared" si="2"/>
        <v>0</v>
      </c>
      <c r="P354" s="96">
        <f t="shared" si="3"/>
        <v>0</v>
      </c>
      <c r="Q354" s="97">
        <f t="shared" si="4"/>
        <v>0</v>
      </c>
      <c r="R354" s="97" t="str">
        <f ca="1">ROUNDUP(HLOOKUP(IF(CEILING(L354,0.5)&lt;1,0.5,CEILING(L354,0.5)),'배송비 조회'!A$44:AO$56,7,0)*B$3,-2)</f>
        <v>#REF!</v>
      </c>
      <c r="S354" s="97">
        <v>0</v>
      </c>
      <c r="T354" s="97" t="str">
        <f t="shared" ca="1" si="42"/>
        <v>#REF!</v>
      </c>
      <c r="U354" s="97" t="str">
        <f t="shared" ca="1" si="29"/>
        <v>#REF!</v>
      </c>
      <c r="V354" s="97" t="str">
        <f t="shared" ca="1" si="7"/>
        <v>#REF!</v>
      </c>
      <c r="W354" s="97" t="str">
        <f t="shared" ca="1" si="8"/>
        <v>#REF!</v>
      </c>
      <c r="X354" s="121">
        <v>0</v>
      </c>
      <c r="Y354" s="121" t="str">
        <f t="shared" ca="1" si="9"/>
        <v>#REF!</v>
      </c>
      <c r="Z354" s="121" t="str">
        <f t="shared" ca="1" si="10"/>
        <v>#REF!</v>
      </c>
      <c r="AA354" s="99" t="str">
        <f t="shared" ca="1" si="11"/>
        <v>#REF!</v>
      </c>
      <c r="AB354" s="234" t="str">
        <f t="shared" ca="1" si="12"/>
        <v>#REF!</v>
      </c>
      <c r="AC354" s="257" t="str">
        <f t="shared" ca="1" si="13"/>
        <v>#REF!</v>
      </c>
      <c r="AD354" s="234" t="str">
        <f t="shared" ca="1" si="14"/>
        <v>#REF!</v>
      </c>
      <c r="AE354" s="100" t="str">
        <f t="shared" ca="1" si="15"/>
        <v>#REF!</v>
      </c>
      <c r="AF354" s="101" t="str">
        <f t="shared" ca="1" si="16"/>
        <v>#REF!</v>
      </c>
      <c r="AG354" s="102" t="str">
        <f t="shared" ref="AG354:AH354" ca="1" si="372">AE354/V354</f>
        <v>#REF!</v>
      </c>
      <c r="AH354" s="102" t="str">
        <f t="shared" ca="1" si="372"/>
        <v>#REF!</v>
      </c>
    </row>
    <row r="355" spans="1:34" ht="13.2">
      <c r="A355" s="251"/>
      <c r="B355" s="251"/>
      <c r="C355" s="252"/>
      <c r="D355" s="252"/>
      <c r="E355" s="114"/>
      <c r="F355" s="252"/>
      <c r="G355" s="125" t="s">
        <v>145</v>
      </c>
      <c r="I355" s="172"/>
      <c r="J355" s="82" t="str">
        <f t="shared" ca="1" si="0"/>
        <v>#REF!</v>
      </c>
      <c r="K355" s="82" t="str">
        <f t="shared" ca="1" si="1"/>
        <v>#REF!</v>
      </c>
      <c r="L355" s="82" t="str">
        <f t="shared" ca="1" si="44"/>
        <v>#REF!</v>
      </c>
      <c r="M355" s="93"/>
      <c r="N355" s="93"/>
      <c r="O355" s="95">
        <f t="shared" si="2"/>
        <v>0</v>
      </c>
      <c r="P355" s="96">
        <f t="shared" si="3"/>
        <v>0</v>
      </c>
      <c r="Q355" s="97">
        <f t="shared" si="4"/>
        <v>0</v>
      </c>
      <c r="R355" s="97" t="str">
        <f ca="1">ROUNDUP(HLOOKUP(IF(CEILING(L355,0.5)&lt;1,0.5,CEILING(L355,0.5)),'배송비 조회'!A$44:AO$56,7,0)*B$3,-2)</f>
        <v>#REF!</v>
      </c>
      <c r="S355" s="97">
        <v>0</v>
      </c>
      <c r="T355" s="97" t="str">
        <f t="shared" ca="1" si="42"/>
        <v>#REF!</v>
      </c>
      <c r="U355" s="97" t="str">
        <f t="shared" ca="1" si="29"/>
        <v>#REF!</v>
      </c>
      <c r="V355" s="97" t="str">
        <f t="shared" ca="1" si="7"/>
        <v>#REF!</v>
      </c>
      <c r="W355" s="97" t="str">
        <f t="shared" ca="1" si="8"/>
        <v>#REF!</v>
      </c>
      <c r="X355" s="121">
        <v>0</v>
      </c>
      <c r="Y355" s="121" t="str">
        <f t="shared" ca="1" si="9"/>
        <v>#REF!</v>
      </c>
      <c r="Z355" s="121" t="str">
        <f t="shared" ca="1" si="10"/>
        <v>#REF!</v>
      </c>
      <c r="AA355" s="99" t="str">
        <f t="shared" ca="1" si="11"/>
        <v>#REF!</v>
      </c>
      <c r="AB355" s="234" t="str">
        <f t="shared" ca="1" si="12"/>
        <v>#REF!</v>
      </c>
      <c r="AC355" s="257" t="str">
        <f t="shared" ca="1" si="13"/>
        <v>#REF!</v>
      </c>
      <c r="AD355" s="234" t="str">
        <f t="shared" ca="1" si="14"/>
        <v>#REF!</v>
      </c>
      <c r="AE355" s="100" t="str">
        <f t="shared" ca="1" si="15"/>
        <v>#REF!</v>
      </c>
      <c r="AF355" s="101" t="str">
        <f t="shared" ca="1" si="16"/>
        <v>#REF!</v>
      </c>
      <c r="AG355" s="102" t="str">
        <f t="shared" ref="AG355:AH355" ca="1" si="373">AE355/V355</f>
        <v>#REF!</v>
      </c>
      <c r="AH355" s="102" t="str">
        <f t="shared" ca="1" si="373"/>
        <v>#REF!</v>
      </c>
    </row>
    <row r="356" spans="1:34" ht="13.2">
      <c r="A356" s="251"/>
      <c r="B356" s="251"/>
      <c r="C356" s="252"/>
      <c r="D356" s="252"/>
      <c r="E356" s="114"/>
      <c r="F356" s="252"/>
      <c r="G356" s="125" t="s">
        <v>145</v>
      </c>
      <c r="I356" s="172"/>
      <c r="J356" s="82" t="str">
        <f t="shared" ca="1" si="0"/>
        <v>#REF!</v>
      </c>
      <c r="K356" s="82" t="str">
        <f t="shared" ca="1" si="1"/>
        <v>#REF!</v>
      </c>
      <c r="L356" s="82" t="str">
        <f t="shared" ca="1" si="44"/>
        <v>#REF!</v>
      </c>
      <c r="M356" s="93"/>
      <c r="N356" s="93"/>
      <c r="O356" s="95">
        <f t="shared" si="2"/>
        <v>0</v>
      </c>
      <c r="P356" s="96">
        <f t="shared" si="3"/>
        <v>0</v>
      </c>
      <c r="Q356" s="97">
        <f t="shared" si="4"/>
        <v>0</v>
      </c>
      <c r="R356" s="97" t="str">
        <f ca="1">ROUNDUP(HLOOKUP(IF(CEILING(L356,0.5)&lt;1,0.5,CEILING(L356,0.5)),'배송비 조회'!A$44:AO$56,7,0)*B$3,-2)</f>
        <v>#REF!</v>
      </c>
      <c r="S356" s="97">
        <v>0</v>
      </c>
      <c r="T356" s="97" t="str">
        <f t="shared" ca="1" si="42"/>
        <v>#REF!</v>
      </c>
      <c r="U356" s="97" t="str">
        <f t="shared" ca="1" si="29"/>
        <v>#REF!</v>
      </c>
      <c r="V356" s="97" t="str">
        <f t="shared" ca="1" si="7"/>
        <v>#REF!</v>
      </c>
      <c r="W356" s="97" t="str">
        <f t="shared" ca="1" si="8"/>
        <v>#REF!</v>
      </c>
      <c r="X356" s="121">
        <v>0</v>
      </c>
      <c r="Y356" s="121" t="str">
        <f t="shared" ca="1" si="9"/>
        <v>#REF!</v>
      </c>
      <c r="Z356" s="121" t="str">
        <f t="shared" ca="1" si="10"/>
        <v>#REF!</v>
      </c>
      <c r="AA356" s="99" t="str">
        <f t="shared" ca="1" si="11"/>
        <v>#REF!</v>
      </c>
      <c r="AB356" s="234" t="str">
        <f t="shared" ca="1" si="12"/>
        <v>#REF!</v>
      </c>
      <c r="AC356" s="257" t="str">
        <f t="shared" ca="1" si="13"/>
        <v>#REF!</v>
      </c>
      <c r="AD356" s="234" t="str">
        <f t="shared" ca="1" si="14"/>
        <v>#REF!</v>
      </c>
      <c r="AE356" s="100" t="str">
        <f t="shared" ca="1" si="15"/>
        <v>#REF!</v>
      </c>
      <c r="AF356" s="101" t="str">
        <f t="shared" ca="1" si="16"/>
        <v>#REF!</v>
      </c>
      <c r="AG356" s="102" t="str">
        <f t="shared" ref="AG356:AH356" ca="1" si="374">AE356/V356</f>
        <v>#REF!</v>
      </c>
      <c r="AH356" s="102" t="str">
        <f t="shared" ca="1" si="374"/>
        <v>#REF!</v>
      </c>
    </row>
    <row r="357" spans="1:34" ht="13.2">
      <c r="A357" s="251"/>
      <c r="B357" s="251"/>
      <c r="C357" s="252"/>
      <c r="D357" s="252"/>
      <c r="E357" s="114"/>
      <c r="F357" s="252"/>
      <c r="G357" s="125" t="s">
        <v>145</v>
      </c>
      <c r="I357" s="172"/>
      <c r="J357" s="82" t="str">
        <f t="shared" ca="1" si="0"/>
        <v>#REF!</v>
      </c>
      <c r="K357" s="82" t="str">
        <f t="shared" ca="1" si="1"/>
        <v>#REF!</v>
      </c>
      <c r="L357" s="82" t="str">
        <f t="shared" ca="1" si="44"/>
        <v>#REF!</v>
      </c>
      <c r="M357" s="93"/>
      <c r="N357" s="93"/>
      <c r="O357" s="95">
        <f t="shared" si="2"/>
        <v>0</v>
      </c>
      <c r="P357" s="96">
        <f t="shared" si="3"/>
        <v>0</v>
      </c>
      <c r="Q357" s="97">
        <f t="shared" si="4"/>
        <v>0</v>
      </c>
      <c r="R357" s="97" t="str">
        <f ca="1">ROUNDUP(HLOOKUP(IF(CEILING(L357,0.5)&lt;1,0.5,CEILING(L357,0.5)),'배송비 조회'!A$44:AO$56,7,0)*B$3,-2)</f>
        <v>#REF!</v>
      </c>
      <c r="S357" s="97">
        <v>0</v>
      </c>
      <c r="T357" s="97" t="str">
        <f t="shared" ca="1" si="42"/>
        <v>#REF!</v>
      </c>
      <c r="U357" s="97" t="str">
        <f t="shared" ca="1" si="29"/>
        <v>#REF!</v>
      </c>
      <c r="V357" s="97" t="str">
        <f t="shared" ca="1" si="7"/>
        <v>#REF!</v>
      </c>
      <c r="W357" s="97" t="str">
        <f t="shared" ca="1" si="8"/>
        <v>#REF!</v>
      </c>
      <c r="X357" s="121">
        <v>0</v>
      </c>
      <c r="Y357" s="121" t="str">
        <f t="shared" ca="1" si="9"/>
        <v>#REF!</v>
      </c>
      <c r="Z357" s="121" t="str">
        <f t="shared" ca="1" si="10"/>
        <v>#REF!</v>
      </c>
      <c r="AA357" s="99" t="str">
        <f t="shared" ca="1" si="11"/>
        <v>#REF!</v>
      </c>
      <c r="AB357" s="234" t="str">
        <f t="shared" ca="1" si="12"/>
        <v>#REF!</v>
      </c>
      <c r="AC357" s="257" t="str">
        <f t="shared" ca="1" si="13"/>
        <v>#REF!</v>
      </c>
      <c r="AD357" s="234" t="str">
        <f t="shared" ca="1" si="14"/>
        <v>#REF!</v>
      </c>
      <c r="AE357" s="100" t="str">
        <f t="shared" ca="1" si="15"/>
        <v>#REF!</v>
      </c>
      <c r="AF357" s="101" t="str">
        <f t="shared" ca="1" si="16"/>
        <v>#REF!</v>
      </c>
      <c r="AG357" s="102" t="str">
        <f t="shared" ref="AG357:AH357" ca="1" si="375">AE357/V357</f>
        <v>#REF!</v>
      </c>
      <c r="AH357" s="102" t="str">
        <f t="shared" ca="1" si="375"/>
        <v>#REF!</v>
      </c>
    </row>
    <row r="358" spans="1:34" ht="13.2">
      <c r="A358" s="251"/>
      <c r="B358" s="251"/>
      <c r="C358" s="252"/>
      <c r="D358" s="252"/>
      <c r="E358" s="114"/>
      <c r="F358" s="252"/>
      <c r="G358" s="125" t="s">
        <v>145</v>
      </c>
      <c r="I358" s="172"/>
      <c r="J358" s="82" t="str">
        <f t="shared" ca="1" si="0"/>
        <v>#REF!</v>
      </c>
      <c r="K358" s="82" t="str">
        <f t="shared" ca="1" si="1"/>
        <v>#REF!</v>
      </c>
      <c r="L358" s="82" t="str">
        <f t="shared" ca="1" si="44"/>
        <v>#REF!</v>
      </c>
      <c r="M358" s="93"/>
      <c r="N358" s="93"/>
      <c r="O358" s="95">
        <f t="shared" si="2"/>
        <v>0</v>
      </c>
      <c r="P358" s="96">
        <f t="shared" si="3"/>
        <v>0</v>
      </c>
      <c r="Q358" s="97">
        <f t="shared" si="4"/>
        <v>0</v>
      </c>
      <c r="R358" s="97" t="str">
        <f ca="1">ROUNDUP(HLOOKUP(IF(CEILING(L358,0.5)&lt;1,0.5,CEILING(L358,0.5)),'배송비 조회'!A$44:AO$56,7,0)*B$3,-2)</f>
        <v>#REF!</v>
      </c>
      <c r="S358" s="97">
        <v>0</v>
      </c>
      <c r="T358" s="97" t="str">
        <f t="shared" ca="1" si="42"/>
        <v>#REF!</v>
      </c>
      <c r="U358" s="97" t="str">
        <f t="shared" ca="1" si="29"/>
        <v>#REF!</v>
      </c>
      <c r="V358" s="97" t="str">
        <f t="shared" ca="1" si="7"/>
        <v>#REF!</v>
      </c>
      <c r="W358" s="97" t="str">
        <f t="shared" ca="1" si="8"/>
        <v>#REF!</v>
      </c>
      <c r="X358" s="121">
        <v>0</v>
      </c>
      <c r="Y358" s="121" t="str">
        <f t="shared" ca="1" si="9"/>
        <v>#REF!</v>
      </c>
      <c r="Z358" s="121" t="str">
        <f t="shared" ca="1" si="10"/>
        <v>#REF!</v>
      </c>
      <c r="AA358" s="99" t="str">
        <f t="shared" ca="1" si="11"/>
        <v>#REF!</v>
      </c>
      <c r="AB358" s="234" t="str">
        <f t="shared" ca="1" si="12"/>
        <v>#REF!</v>
      </c>
      <c r="AC358" s="257" t="str">
        <f t="shared" ca="1" si="13"/>
        <v>#REF!</v>
      </c>
      <c r="AD358" s="234" t="str">
        <f t="shared" ca="1" si="14"/>
        <v>#REF!</v>
      </c>
      <c r="AE358" s="100" t="str">
        <f t="shared" ca="1" si="15"/>
        <v>#REF!</v>
      </c>
      <c r="AF358" s="101" t="str">
        <f t="shared" ca="1" si="16"/>
        <v>#REF!</v>
      </c>
      <c r="AG358" s="102" t="str">
        <f t="shared" ref="AG358:AH358" ca="1" si="376">AE358/V358</f>
        <v>#REF!</v>
      </c>
      <c r="AH358" s="102" t="str">
        <f t="shared" ca="1" si="376"/>
        <v>#REF!</v>
      </c>
    </row>
    <row r="359" spans="1:34" ht="13.2">
      <c r="A359" s="251"/>
      <c r="B359" s="251"/>
      <c r="C359" s="252"/>
      <c r="D359" s="252"/>
      <c r="E359" s="114"/>
      <c r="F359" s="252"/>
      <c r="G359" s="125" t="s">
        <v>145</v>
      </c>
      <c r="I359" s="172"/>
      <c r="J359" s="82" t="str">
        <f t="shared" ca="1" si="0"/>
        <v>#REF!</v>
      </c>
      <c r="K359" s="82" t="str">
        <f t="shared" ca="1" si="1"/>
        <v>#REF!</v>
      </c>
      <c r="L359" s="82" t="str">
        <f t="shared" ca="1" si="44"/>
        <v>#REF!</v>
      </c>
      <c r="M359" s="93"/>
      <c r="N359" s="93"/>
      <c r="O359" s="95">
        <f t="shared" si="2"/>
        <v>0</v>
      </c>
      <c r="P359" s="96">
        <f t="shared" si="3"/>
        <v>0</v>
      </c>
      <c r="Q359" s="97">
        <f t="shared" si="4"/>
        <v>0</v>
      </c>
      <c r="R359" s="97" t="str">
        <f ca="1">ROUNDUP(HLOOKUP(IF(CEILING(L359,0.5)&lt;1,0.5,CEILING(L359,0.5)),'배송비 조회'!A$44:AO$56,7,0)*B$3,-2)</f>
        <v>#REF!</v>
      </c>
      <c r="S359" s="97">
        <v>0</v>
      </c>
      <c r="T359" s="97" t="str">
        <f t="shared" ca="1" si="42"/>
        <v>#REF!</v>
      </c>
      <c r="U359" s="97" t="str">
        <f t="shared" ca="1" si="29"/>
        <v>#REF!</v>
      </c>
      <c r="V359" s="97" t="str">
        <f t="shared" ca="1" si="7"/>
        <v>#REF!</v>
      </c>
      <c r="W359" s="97" t="str">
        <f t="shared" ca="1" si="8"/>
        <v>#REF!</v>
      </c>
      <c r="X359" s="121">
        <v>0</v>
      </c>
      <c r="Y359" s="121" t="str">
        <f t="shared" ca="1" si="9"/>
        <v>#REF!</v>
      </c>
      <c r="Z359" s="121" t="str">
        <f t="shared" ca="1" si="10"/>
        <v>#REF!</v>
      </c>
      <c r="AA359" s="99" t="str">
        <f t="shared" ca="1" si="11"/>
        <v>#REF!</v>
      </c>
      <c r="AB359" s="234" t="str">
        <f t="shared" ca="1" si="12"/>
        <v>#REF!</v>
      </c>
      <c r="AC359" s="257" t="str">
        <f t="shared" ca="1" si="13"/>
        <v>#REF!</v>
      </c>
      <c r="AD359" s="234" t="str">
        <f t="shared" ca="1" si="14"/>
        <v>#REF!</v>
      </c>
      <c r="AE359" s="100" t="str">
        <f t="shared" ca="1" si="15"/>
        <v>#REF!</v>
      </c>
      <c r="AF359" s="101" t="str">
        <f t="shared" ca="1" si="16"/>
        <v>#REF!</v>
      </c>
      <c r="AG359" s="102" t="str">
        <f t="shared" ref="AG359:AH359" ca="1" si="377">AE359/V359</f>
        <v>#REF!</v>
      </c>
      <c r="AH359" s="102" t="str">
        <f t="shared" ca="1" si="377"/>
        <v>#REF!</v>
      </c>
    </row>
    <row r="360" spans="1:34" ht="13.2">
      <c r="A360" s="251"/>
      <c r="B360" s="251"/>
      <c r="C360" s="252"/>
      <c r="D360" s="252"/>
      <c r="E360" s="114"/>
      <c r="F360" s="252"/>
      <c r="G360" s="125" t="s">
        <v>145</v>
      </c>
      <c r="I360" s="172"/>
      <c r="J360" s="82" t="str">
        <f t="shared" ca="1" si="0"/>
        <v>#REF!</v>
      </c>
      <c r="K360" s="82" t="str">
        <f t="shared" ca="1" si="1"/>
        <v>#REF!</v>
      </c>
      <c r="L360" s="82" t="str">
        <f t="shared" ca="1" si="44"/>
        <v>#REF!</v>
      </c>
      <c r="M360" s="93"/>
      <c r="N360" s="93"/>
      <c r="O360" s="95">
        <f t="shared" si="2"/>
        <v>0</v>
      </c>
      <c r="P360" s="96">
        <f t="shared" si="3"/>
        <v>0</v>
      </c>
      <c r="Q360" s="97">
        <f t="shared" si="4"/>
        <v>0</v>
      </c>
      <c r="R360" s="97" t="str">
        <f ca="1">ROUNDUP(HLOOKUP(IF(CEILING(L360,0.5)&lt;1,0.5,CEILING(L360,0.5)),'배송비 조회'!A$44:AO$56,7,0)*B$3,-2)</f>
        <v>#REF!</v>
      </c>
      <c r="S360" s="97">
        <v>0</v>
      </c>
      <c r="T360" s="97" t="str">
        <f t="shared" ca="1" si="42"/>
        <v>#REF!</v>
      </c>
      <c r="U360" s="97" t="str">
        <f t="shared" ca="1" si="29"/>
        <v>#REF!</v>
      </c>
      <c r="V360" s="97" t="str">
        <f t="shared" ca="1" si="7"/>
        <v>#REF!</v>
      </c>
      <c r="W360" s="97" t="str">
        <f t="shared" ca="1" si="8"/>
        <v>#REF!</v>
      </c>
      <c r="X360" s="121">
        <v>0</v>
      </c>
      <c r="Y360" s="121" t="str">
        <f t="shared" ca="1" si="9"/>
        <v>#REF!</v>
      </c>
      <c r="Z360" s="121" t="str">
        <f t="shared" ca="1" si="10"/>
        <v>#REF!</v>
      </c>
      <c r="AA360" s="99" t="str">
        <f t="shared" ca="1" si="11"/>
        <v>#REF!</v>
      </c>
      <c r="AB360" s="234" t="str">
        <f t="shared" ca="1" si="12"/>
        <v>#REF!</v>
      </c>
      <c r="AC360" s="257" t="str">
        <f t="shared" ca="1" si="13"/>
        <v>#REF!</v>
      </c>
      <c r="AD360" s="234" t="str">
        <f t="shared" ca="1" si="14"/>
        <v>#REF!</v>
      </c>
      <c r="AE360" s="100" t="str">
        <f t="shared" ca="1" si="15"/>
        <v>#REF!</v>
      </c>
      <c r="AF360" s="101" t="str">
        <f t="shared" ca="1" si="16"/>
        <v>#REF!</v>
      </c>
      <c r="AG360" s="102" t="str">
        <f t="shared" ref="AG360:AH360" ca="1" si="378">AE360/V360</f>
        <v>#REF!</v>
      </c>
      <c r="AH360" s="102" t="str">
        <f t="shared" ca="1" si="378"/>
        <v>#REF!</v>
      </c>
    </row>
    <row r="361" spans="1:34" ht="13.2">
      <c r="A361" s="251"/>
      <c r="B361" s="251"/>
      <c r="C361" s="252"/>
      <c r="D361" s="252"/>
      <c r="E361" s="114"/>
      <c r="F361" s="252"/>
      <c r="G361" s="125" t="s">
        <v>145</v>
      </c>
      <c r="I361" s="172"/>
      <c r="J361" s="82" t="str">
        <f t="shared" ca="1" si="0"/>
        <v>#REF!</v>
      </c>
      <c r="K361" s="82" t="str">
        <f t="shared" ca="1" si="1"/>
        <v>#REF!</v>
      </c>
      <c r="L361" s="82" t="str">
        <f t="shared" ca="1" si="44"/>
        <v>#REF!</v>
      </c>
      <c r="M361" s="93"/>
      <c r="N361" s="93"/>
      <c r="O361" s="95">
        <f t="shared" si="2"/>
        <v>0</v>
      </c>
      <c r="P361" s="96">
        <f t="shared" si="3"/>
        <v>0</v>
      </c>
      <c r="Q361" s="97">
        <f t="shared" si="4"/>
        <v>0</v>
      </c>
      <c r="R361" s="97" t="str">
        <f ca="1">ROUNDUP(HLOOKUP(IF(CEILING(L361,0.5)&lt;1,0.5,CEILING(L361,0.5)),'배송비 조회'!A$44:AO$56,7,0)*B$3,-2)</f>
        <v>#REF!</v>
      </c>
      <c r="S361" s="97">
        <v>0</v>
      </c>
      <c r="T361" s="97" t="str">
        <f t="shared" ca="1" si="42"/>
        <v>#REF!</v>
      </c>
      <c r="U361" s="97" t="str">
        <f t="shared" ca="1" si="29"/>
        <v>#REF!</v>
      </c>
      <c r="V361" s="97" t="str">
        <f t="shared" ca="1" si="7"/>
        <v>#REF!</v>
      </c>
      <c r="W361" s="97" t="str">
        <f t="shared" ca="1" si="8"/>
        <v>#REF!</v>
      </c>
      <c r="X361" s="121">
        <v>0</v>
      </c>
      <c r="Y361" s="121" t="str">
        <f t="shared" ca="1" si="9"/>
        <v>#REF!</v>
      </c>
      <c r="Z361" s="121" t="str">
        <f t="shared" ca="1" si="10"/>
        <v>#REF!</v>
      </c>
      <c r="AA361" s="99" t="str">
        <f t="shared" ca="1" si="11"/>
        <v>#REF!</v>
      </c>
      <c r="AB361" s="234" t="str">
        <f t="shared" ca="1" si="12"/>
        <v>#REF!</v>
      </c>
      <c r="AC361" s="257" t="str">
        <f t="shared" ca="1" si="13"/>
        <v>#REF!</v>
      </c>
      <c r="AD361" s="234" t="str">
        <f t="shared" ca="1" si="14"/>
        <v>#REF!</v>
      </c>
      <c r="AE361" s="100" t="str">
        <f t="shared" ca="1" si="15"/>
        <v>#REF!</v>
      </c>
      <c r="AF361" s="101" t="str">
        <f t="shared" ca="1" si="16"/>
        <v>#REF!</v>
      </c>
      <c r="AG361" s="102" t="str">
        <f t="shared" ref="AG361:AH361" ca="1" si="379">AE361/V361</f>
        <v>#REF!</v>
      </c>
      <c r="AH361" s="102" t="str">
        <f t="shared" ca="1" si="379"/>
        <v>#REF!</v>
      </c>
    </row>
    <row r="362" spans="1:34" ht="13.2">
      <c r="A362" s="251"/>
      <c r="B362" s="251"/>
      <c r="C362" s="252"/>
      <c r="D362" s="252"/>
      <c r="E362" s="114"/>
      <c r="F362" s="252"/>
      <c r="G362" s="125" t="s">
        <v>145</v>
      </c>
      <c r="I362" s="172"/>
      <c r="J362" s="82" t="str">
        <f t="shared" ca="1" si="0"/>
        <v>#REF!</v>
      </c>
      <c r="K362" s="82" t="str">
        <f t="shared" ca="1" si="1"/>
        <v>#REF!</v>
      </c>
      <c r="L362" s="82" t="str">
        <f t="shared" ca="1" si="44"/>
        <v>#REF!</v>
      </c>
      <c r="M362" s="93"/>
      <c r="N362" s="93"/>
      <c r="O362" s="95">
        <f t="shared" si="2"/>
        <v>0</v>
      </c>
      <c r="P362" s="96">
        <f t="shared" si="3"/>
        <v>0</v>
      </c>
      <c r="Q362" s="97">
        <f t="shared" si="4"/>
        <v>0</v>
      </c>
      <c r="R362" s="97" t="str">
        <f ca="1">ROUNDUP(HLOOKUP(IF(CEILING(L362,0.5)&lt;1,0.5,CEILING(L362,0.5)),'배송비 조회'!A$44:AO$56,7,0)*B$3,-2)</f>
        <v>#REF!</v>
      </c>
      <c r="S362" s="97">
        <v>0</v>
      </c>
      <c r="T362" s="97" t="str">
        <f t="shared" ca="1" si="42"/>
        <v>#REF!</v>
      </c>
      <c r="U362" s="97" t="str">
        <f t="shared" ca="1" si="29"/>
        <v>#REF!</v>
      </c>
      <c r="V362" s="97" t="str">
        <f t="shared" ca="1" si="7"/>
        <v>#REF!</v>
      </c>
      <c r="W362" s="97" t="str">
        <f t="shared" ca="1" si="8"/>
        <v>#REF!</v>
      </c>
      <c r="X362" s="121">
        <v>0</v>
      </c>
      <c r="Y362" s="121" t="str">
        <f t="shared" ca="1" si="9"/>
        <v>#REF!</v>
      </c>
      <c r="Z362" s="121" t="str">
        <f t="shared" ca="1" si="10"/>
        <v>#REF!</v>
      </c>
      <c r="AA362" s="99" t="str">
        <f t="shared" ca="1" si="11"/>
        <v>#REF!</v>
      </c>
      <c r="AB362" s="234" t="str">
        <f t="shared" ca="1" si="12"/>
        <v>#REF!</v>
      </c>
      <c r="AC362" s="257" t="str">
        <f t="shared" ca="1" si="13"/>
        <v>#REF!</v>
      </c>
      <c r="AD362" s="234" t="str">
        <f t="shared" ca="1" si="14"/>
        <v>#REF!</v>
      </c>
      <c r="AE362" s="100" t="str">
        <f t="shared" ca="1" si="15"/>
        <v>#REF!</v>
      </c>
      <c r="AF362" s="101" t="str">
        <f t="shared" ca="1" si="16"/>
        <v>#REF!</v>
      </c>
      <c r="AG362" s="102" t="str">
        <f t="shared" ref="AG362:AH362" ca="1" si="380">AE362/V362</f>
        <v>#REF!</v>
      </c>
      <c r="AH362" s="102" t="str">
        <f t="shared" ca="1" si="380"/>
        <v>#REF!</v>
      </c>
    </row>
    <row r="363" spans="1:34" ht="13.2">
      <c r="A363" s="251"/>
      <c r="B363" s="251"/>
      <c r="C363" s="252"/>
      <c r="D363" s="252"/>
      <c r="E363" s="114"/>
      <c r="F363" s="252"/>
      <c r="G363" s="125" t="s">
        <v>145</v>
      </c>
      <c r="I363" s="172"/>
      <c r="J363" s="82" t="str">
        <f t="shared" ca="1" si="0"/>
        <v>#REF!</v>
      </c>
      <c r="K363" s="82" t="str">
        <f t="shared" ca="1" si="1"/>
        <v>#REF!</v>
      </c>
      <c r="L363" s="82" t="str">
        <f t="shared" ca="1" si="44"/>
        <v>#REF!</v>
      </c>
      <c r="M363" s="93"/>
      <c r="N363" s="93"/>
      <c r="O363" s="95">
        <f t="shared" si="2"/>
        <v>0</v>
      </c>
      <c r="P363" s="96">
        <f t="shared" si="3"/>
        <v>0</v>
      </c>
      <c r="Q363" s="97">
        <f t="shared" si="4"/>
        <v>0</v>
      </c>
      <c r="R363" s="97" t="str">
        <f ca="1">ROUNDUP(HLOOKUP(IF(CEILING(L363,0.5)&lt;1,0.5,CEILING(L363,0.5)),'배송비 조회'!A$44:AO$56,7,0)*B$3,-2)</f>
        <v>#REF!</v>
      </c>
      <c r="S363" s="97">
        <v>0</v>
      </c>
      <c r="T363" s="97" t="str">
        <f t="shared" ca="1" si="42"/>
        <v>#REF!</v>
      </c>
      <c r="U363" s="97" t="str">
        <f t="shared" ca="1" si="29"/>
        <v>#REF!</v>
      </c>
      <c r="V363" s="97" t="str">
        <f t="shared" ca="1" si="7"/>
        <v>#REF!</v>
      </c>
      <c r="W363" s="97" t="str">
        <f t="shared" ca="1" si="8"/>
        <v>#REF!</v>
      </c>
      <c r="X363" s="121">
        <v>0</v>
      </c>
      <c r="Y363" s="121" t="str">
        <f t="shared" ca="1" si="9"/>
        <v>#REF!</v>
      </c>
      <c r="Z363" s="121" t="str">
        <f t="shared" ca="1" si="10"/>
        <v>#REF!</v>
      </c>
      <c r="AA363" s="99" t="str">
        <f t="shared" ca="1" si="11"/>
        <v>#REF!</v>
      </c>
      <c r="AB363" s="234" t="str">
        <f t="shared" ca="1" si="12"/>
        <v>#REF!</v>
      </c>
      <c r="AC363" s="257" t="str">
        <f t="shared" ca="1" si="13"/>
        <v>#REF!</v>
      </c>
      <c r="AD363" s="234" t="str">
        <f t="shared" ca="1" si="14"/>
        <v>#REF!</v>
      </c>
      <c r="AE363" s="100" t="str">
        <f t="shared" ca="1" si="15"/>
        <v>#REF!</v>
      </c>
      <c r="AF363" s="101" t="str">
        <f t="shared" ca="1" si="16"/>
        <v>#REF!</v>
      </c>
      <c r="AG363" s="102" t="str">
        <f t="shared" ref="AG363:AH363" ca="1" si="381">AE363/V363</f>
        <v>#REF!</v>
      </c>
      <c r="AH363" s="102" t="str">
        <f t="shared" ca="1" si="381"/>
        <v>#REF!</v>
      </c>
    </row>
    <row r="364" spans="1:34" ht="13.2">
      <c r="A364" s="251"/>
      <c r="B364" s="251"/>
      <c r="C364" s="252"/>
      <c r="D364" s="252"/>
      <c r="E364" s="114"/>
      <c r="F364" s="252"/>
      <c r="G364" s="125" t="s">
        <v>145</v>
      </c>
      <c r="I364" s="172"/>
      <c r="J364" s="82" t="str">
        <f t="shared" ca="1" si="0"/>
        <v>#REF!</v>
      </c>
      <c r="K364" s="82" t="str">
        <f t="shared" ca="1" si="1"/>
        <v>#REF!</v>
      </c>
      <c r="L364" s="82" t="str">
        <f t="shared" ca="1" si="44"/>
        <v>#REF!</v>
      </c>
      <c r="M364" s="93"/>
      <c r="N364" s="93"/>
      <c r="O364" s="95">
        <f t="shared" si="2"/>
        <v>0</v>
      </c>
      <c r="P364" s="96">
        <f t="shared" si="3"/>
        <v>0</v>
      </c>
      <c r="Q364" s="97">
        <f t="shared" si="4"/>
        <v>0</v>
      </c>
      <c r="R364" s="97" t="str">
        <f ca="1">ROUNDUP(HLOOKUP(IF(CEILING(L364,0.5)&lt;1,0.5,CEILING(L364,0.5)),'배송비 조회'!A$44:AO$56,7,0)*B$3,-2)</f>
        <v>#REF!</v>
      </c>
      <c r="S364" s="97">
        <v>0</v>
      </c>
      <c r="T364" s="97" t="str">
        <f t="shared" ca="1" si="42"/>
        <v>#REF!</v>
      </c>
      <c r="U364" s="97" t="str">
        <f t="shared" ca="1" si="29"/>
        <v>#REF!</v>
      </c>
      <c r="V364" s="97" t="str">
        <f t="shared" ca="1" si="7"/>
        <v>#REF!</v>
      </c>
      <c r="W364" s="97" t="str">
        <f t="shared" ca="1" si="8"/>
        <v>#REF!</v>
      </c>
      <c r="X364" s="121">
        <v>0</v>
      </c>
      <c r="Y364" s="121" t="str">
        <f t="shared" ca="1" si="9"/>
        <v>#REF!</v>
      </c>
      <c r="Z364" s="121" t="str">
        <f t="shared" ca="1" si="10"/>
        <v>#REF!</v>
      </c>
      <c r="AA364" s="99" t="str">
        <f t="shared" ca="1" si="11"/>
        <v>#REF!</v>
      </c>
      <c r="AB364" s="234" t="str">
        <f t="shared" ca="1" si="12"/>
        <v>#REF!</v>
      </c>
      <c r="AC364" s="257" t="str">
        <f t="shared" ca="1" si="13"/>
        <v>#REF!</v>
      </c>
      <c r="AD364" s="234" t="str">
        <f t="shared" ca="1" si="14"/>
        <v>#REF!</v>
      </c>
      <c r="AE364" s="100" t="str">
        <f t="shared" ca="1" si="15"/>
        <v>#REF!</v>
      </c>
      <c r="AF364" s="101" t="str">
        <f t="shared" ca="1" si="16"/>
        <v>#REF!</v>
      </c>
      <c r="AG364" s="102" t="str">
        <f t="shared" ref="AG364:AH364" ca="1" si="382">AE364/V364</f>
        <v>#REF!</v>
      </c>
      <c r="AH364" s="102" t="str">
        <f t="shared" ca="1" si="382"/>
        <v>#REF!</v>
      </c>
    </row>
    <row r="365" spans="1:34" ht="13.2">
      <c r="A365" s="251"/>
      <c r="B365" s="251"/>
      <c r="C365" s="252"/>
      <c r="D365" s="252"/>
      <c r="E365" s="114"/>
      <c r="F365" s="252"/>
      <c r="G365" s="125" t="s">
        <v>145</v>
      </c>
      <c r="I365" s="172"/>
      <c r="J365" s="82" t="str">
        <f t="shared" ca="1" si="0"/>
        <v>#REF!</v>
      </c>
      <c r="K365" s="82" t="str">
        <f t="shared" ca="1" si="1"/>
        <v>#REF!</v>
      </c>
      <c r="L365" s="82" t="str">
        <f t="shared" ca="1" si="44"/>
        <v>#REF!</v>
      </c>
      <c r="M365" s="93"/>
      <c r="N365" s="93"/>
      <c r="O365" s="95">
        <f t="shared" si="2"/>
        <v>0</v>
      </c>
      <c r="P365" s="96">
        <f t="shared" si="3"/>
        <v>0</v>
      </c>
      <c r="Q365" s="97">
        <f t="shared" si="4"/>
        <v>0</v>
      </c>
      <c r="R365" s="97" t="str">
        <f ca="1">ROUNDUP(HLOOKUP(IF(CEILING(L365,0.5)&lt;1,0.5,CEILING(L365,0.5)),'배송비 조회'!A$44:AO$56,7,0)*B$3,-2)</f>
        <v>#REF!</v>
      </c>
      <c r="S365" s="97">
        <v>0</v>
      </c>
      <c r="T365" s="97" t="str">
        <f t="shared" ca="1" si="42"/>
        <v>#REF!</v>
      </c>
      <c r="U365" s="97" t="str">
        <f t="shared" ca="1" si="29"/>
        <v>#REF!</v>
      </c>
      <c r="V365" s="97" t="str">
        <f t="shared" ca="1" si="7"/>
        <v>#REF!</v>
      </c>
      <c r="W365" s="97" t="str">
        <f t="shared" ca="1" si="8"/>
        <v>#REF!</v>
      </c>
      <c r="X365" s="121">
        <v>0</v>
      </c>
      <c r="Y365" s="121" t="str">
        <f t="shared" ca="1" si="9"/>
        <v>#REF!</v>
      </c>
      <c r="Z365" s="121" t="str">
        <f t="shared" ca="1" si="10"/>
        <v>#REF!</v>
      </c>
      <c r="AA365" s="99" t="str">
        <f t="shared" ca="1" si="11"/>
        <v>#REF!</v>
      </c>
      <c r="AB365" s="234" t="str">
        <f t="shared" ca="1" si="12"/>
        <v>#REF!</v>
      </c>
      <c r="AC365" s="257" t="str">
        <f t="shared" ca="1" si="13"/>
        <v>#REF!</v>
      </c>
      <c r="AD365" s="234" t="str">
        <f t="shared" ca="1" si="14"/>
        <v>#REF!</v>
      </c>
      <c r="AE365" s="100" t="str">
        <f t="shared" ca="1" si="15"/>
        <v>#REF!</v>
      </c>
      <c r="AF365" s="101" t="str">
        <f t="shared" ca="1" si="16"/>
        <v>#REF!</v>
      </c>
      <c r="AG365" s="102" t="str">
        <f t="shared" ref="AG365:AH365" ca="1" si="383">AE365/V365</f>
        <v>#REF!</v>
      </c>
      <c r="AH365" s="102" t="str">
        <f t="shared" ca="1" si="383"/>
        <v>#REF!</v>
      </c>
    </row>
    <row r="366" spans="1:34" ht="13.2">
      <c r="A366" s="251"/>
      <c r="B366" s="251"/>
      <c r="C366" s="252"/>
      <c r="D366" s="252"/>
      <c r="E366" s="114"/>
      <c r="F366" s="252"/>
      <c r="G366" s="125" t="s">
        <v>145</v>
      </c>
      <c r="I366" s="172"/>
      <c r="J366" s="82" t="str">
        <f t="shared" ca="1" si="0"/>
        <v>#REF!</v>
      </c>
      <c r="K366" s="82" t="str">
        <f t="shared" ca="1" si="1"/>
        <v>#REF!</v>
      </c>
      <c r="L366" s="82" t="str">
        <f t="shared" ca="1" si="44"/>
        <v>#REF!</v>
      </c>
      <c r="M366" s="93"/>
      <c r="N366" s="93"/>
      <c r="O366" s="95">
        <f t="shared" si="2"/>
        <v>0</v>
      </c>
      <c r="P366" s="96">
        <f t="shared" si="3"/>
        <v>0</v>
      </c>
      <c r="Q366" s="97">
        <f t="shared" si="4"/>
        <v>0</v>
      </c>
      <c r="R366" s="97" t="str">
        <f ca="1">ROUNDUP(HLOOKUP(IF(CEILING(L366,0.5)&lt;1,0.5,CEILING(L366,0.5)),'배송비 조회'!A$44:AO$56,7,0)*B$3,-2)</f>
        <v>#REF!</v>
      </c>
      <c r="S366" s="97">
        <v>0</v>
      </c>
      <c r="T366" s="97" t="str">
        <f t="shared" ca="1" si="42"/>
        <v>#REF!</v>
      </c>
      <c r="U366" s="97" t="str">
        <f t="shared" ca="1" si="29"/>
        <v>#REF!</v>
      </c>
      <c r="V366" s="97" t="str">
        <f t="shared" ca="1" si="7"/>
        <v>#REF!</v>
      </c>
      <c r="W366" s="97" t="str">
        <f t="shared" ca="1" si="8"/>
        <v>#REF!</v>
      </c>
      <c r="X366" s="121">
        <v>0</v>
      </c>
      <c r="Y366" s="121" t="str">
        <f t="shared" ca="1" si="9"/>
        <v>#REF!</v>
      </c>
      <c r="Z366" s="121" t="str">
        <f t="shared" ca="1" si="10"/>
        <v>#REF!</v>
      </c>
      <c r="AA366" s="99" t="str">
        <f t="shared" ca="1" si="11"/>
        <v>#REF!</v>
      </c>
      <c r="AB366" s="234" t="str">
        <f t="shared" ca="1" si="12"/>
        <v>#REF!</v>
      </c>
      <c r="AC366" s="257" t="str">
        <f t="shared" ca="1" si="13"/>
        <v>#REF!</v>
      </c>
      <c r="AD366" s="234" t="str">
        <f t="shared" ca="1" si="14"/>
        <v>#REF!</v>
      </c>
      <c r="AE366" s="100" t="str">
        <f t="shared" ca="1" si="15"/>
        <v>#REF!</v>
      </c>
      <c r="AF366" s="101" t="str">
        <f t="shared" ca="1" si="16"/>
        <v>#REF!</v>
      </c>
      <c r="AG366" s="102" t="str">
        <f t="shared" ref="AG366:AH366" ca="1" si="384">AE366/V366</f>
        <v>#REF!</v>
      </c>
      <c r="AH366" s="102" t="str">
        <f t="shared" ca="1" si="384"/>
        <v>#REF!</v>
      </c>
    </row>
    <row r="367" spans="1:34" ht="13.2">
      <c r="A367" s="251"/>
      <c r="B367" s="251"/>
      <c r="C367" s="252"/>
      <c r="D367" s="252"/>
      <c r="E367" s="114"/>
      <c r="F367" s="252"/>
      <c r="G367" s="125" t="s">
        <v>145</v>
      </c>
      <c r="I367" s="172"/>
      <c r="J367" s="82" t="str">
        <f t="shared" ca="1" si="0"/>
        <v>#REF!</v>
      </c>
      <c r="K367" s="82" t="str">
        <f t="shared" ca="1" si="1"/>
        <v>#REF!</v>
      </c>
      <c r="L367" s="82" t="str">
        <f t="shared" ca="1" si="44"/>
        <v>#REF!</v>
      </c>
      <c r="M367" s="93"/>
      <c r="N367" s="93"/>
      <c r="O367" s="95">
        <f t="shared" si="2"/>
        <v>0</v>
      </c>
      <c r="P367" s="96">
        <f t="shared" si="3"/>
        <v>0</v>
      </c>
      <c r="Q367" s="97">
        <f t="shared" si="4"/>
        <v>0</v>
      </c>
      <c r="R367" s="97" t="str">
        <f ca="1">ROUNDUP(HLOOKUP(IF(CEILING(L367,0.5)&lt;1,0.5,CEILING(L367,0.5)),'배송비 조회'!A$44:AO$56,7,0)*B$3,-2)</f>
        <v>#REF!</v>
      </c>
      <c r="S367" s="97">
        <v>0</v>
      </c>
      <c r="T367" s="97" t="str">
        <f t="shared" ca="1" si="42"/>
        <v>#REF!</v>
      </c>
      <c r="U367" s="97" t="str">
        <f t="shared" ca="1" si="29"/>
        <v>#REF!</v>
      </c>
      <c r="V367" s="97" t="str">
        <f t="shared" ca="1" si="7"/>
        <v>#REF!</v>
      </c>
      <c r="W367" s="97" t="str">
        <f t="shared" ca="1" si="8"/>
        <v>#REF!</v>
      </c>
      <c r="X367" s="121">
        <v>0</v>
      </c>
      <c r="Y367" s="121" t="str">
        <f t="shared" ca="1" si="9"/>
        <v>#REF!</v>
      </c>
      <c r="Z367" s="121" t="str">
        <f t="shared" ca="1" si="10"/>
        <v>#REF!</v>
      </c>
      <c r="AA367" s="99" t="str">
        <f t="shared" ca="1" si="11"/>
        <v>#REF!</v>
      </c>
      <c r="AB367" s="234" t="str">
        <f t="shared" ca="1" si="12"/>
        <v>#REF!</v>
      </c>
      <c r="AC367" s="257" t="str">
        <f t="shared" ca="1" si="13"/>
        <v>#REF!</v>
      </c>
      <c r="AD367" s="234" t="str">
        <f t="shared" ca="1" si="14"/>
        <v>#REF!</v>
      </c>
      <c r="AE367" s="100" t="str">
        <f t="shared" ca="1" si="15"/>
        <v>#REF!</v>
      </c>
      <c r="AF367" s="101" t="str">
        <f t="shared" ca="1" si="16"/>
        <v>#REF!</v>
      </c>
      <c r="AG367" s="102" t="str">
        <f t="shared" ref="AG367:AH367" ca="1" si="385">AE367/V367</f>
        <v>#REF!</v>
      </c>
      <c r="AH367" s="102" t="str">
        <f t="shared" ca="1" si="385"/>
        <v>#REF!</v>
      </c>
    </row>
    <row r="368" spans="1:34" ht="13.2">
      <c r="A368" s="251"/>
      <c r="B368" s="251"/>
      <c r="C368" s="252"/>
      <c r="D368" s="252"/>
      <c r="E368" s="114"/>
      <c r="F368" s="252"/>
      <c r="G368" s="125" t="s">
        <v>145</v>
      </c>
      <c r="I368" s="172"/>
      <c r="J368" s="82" t="str">
        <f t="shared" ca="1" si="0"/>
        <v>#REF!</v>
      </c>
      <c r="K368" s="82" t="str">
        <f t="shared" ca="1" si="1"/>
        <v>#REF!</v>
      </c>
      <c r="L368" s="82" t="str">
        <f t="shared" ca="1" si="44"/>
        <v>#REF!</v>
      </c>
      <c r="M368" s="93"/>
      <c r="N368" s="93"/>
      <c r="O368" s="95">
        <f t="shared" si="2"/>
        <v>0</v>
      </c>
      <c r="P368" s="96">
        <f t="shared" si="3"/>
        <v>0</v>
      </c>
      <c r="Q368" s="97">
        <f t="shared" si="4"/>
        <v>0</v>
      </c>
      <c r="R368" s="97" t="str">
        <f ca="1">ROUNDUP(HLOOKUP(IF(CEILING(L368,0.5)&lt;1,0.5,CEILING(L368,0.5)),'배송비 조회'!A$44:AO$56,7,0)*B$3,-2)</f>
        <v>#REF!</v>
      </c>
      <c r="S368" s="97">
        <v>0</v>
      </c>
      <c r="T368" s="97" t="str">
        <f t="shared" ca="1" si="42"/>
        <v>#REF!</v>
      </c>
      <c r="U368" s="97" t="str">
        <f t="shared" ca="1" si="29"/>
        <v>#REF!</v>
      </c>
      <c r="V368" s="97" t="str">
        <f t="shared" ca="1" si="7"/>
        <v>#REF!</v>
      </c>
      <c r="W368" s="97" t="str">
        <f t="shared" ca="1" si="8"/>
        <v>#REF!</v>
      </c>
      <c r="X368" s="121">
        <v>0</v>
      </c>
      <c r="Y368" s="121" t="str">
        <f t="shared" ca="1" si="9"/>
        <v>#REF!</v>
      </c>
      <c r="Z368" s="121" t="str">
        <f t="shared" ca="1" si="10"/>
        <v>#REF!</v>
      </c>
      <c r="AA368" s="99" t="str">
        <f t="shared" ca="1" si="11"/>
        <v>#REF!</v>
      </c>
      <c r="AB368" s="234" t="str">
        <f t="shared" ca="1" si="12"/>
        <v>#REF!</v>
      </c>
      <c r="AC368" s="257" t="str">
        <f t="shared" ca="1" si="13"/>
        <v>#REF!</v>
      </c>
      <c r="AD368" s="234" t="str">
        <f t="shared" ca="1" si="14"/>
        <v>#REF!</v>
      </c>
      <c r="AE368" s="100" t="str">
        <f t="shared" ca="1" si="15"/>
        <v>#REF!</v>
      </c>
      <c r="AF368" s="101" t="str">
        <f t="shared" ca="1" si="16"/>
        <v>#REF!</v>
      </c>
      <c r="AG368" s="102" t="str">
        <f t="shared" ref="AG368:AH368" ca="1" si="386">AE368/V368</f>
        <v>#REF!</v>
      </c>
      <c r="AH368" s="102" t="str">
        <f t="shared" ca="1" si="386"/>
        <v>#REF!</v>
      </c>
    </row>
    <row r="369" spans="1:34" ht="13.2">
      <c r="A369" s="251"/>
      <c r="B369" s="251"/>
      <c r="C369" s="252"/>
      <c r="D369" s="252"/>
      <c r="E369" s="114"/>
      <c r="F369" s="252"/>
      <c r="G369" s="125" t="s">
        <v>145</v>
      </c>
      <c r="I369" s="172"/>
      <c r="J369" s="82" t="str">
        <f t="shared" ca="1" si="0"/>
        <v>#REF!</v>
      </c>
      <c r="K369" s="82" t="str">
        <f t="shared" ca="1" si="1"/>
        <v>#REF!</v>
      </c>
      <c r="L369" s="82" t="str">
        <f t="shared" ca="1" si="44"/>
        <v>#REF!</v>
      </c>
      <c r="M369" s="93"/>
      <c r="N369" s="93"/>
      <c r="O369" s="95">
        <f t="shared" si="2"/>
        <v>0</v>
      </c>
      <c r="P369" s="96">
        <f t="shared" si="3"/>
        <v>0</v>
      </c>
      <c r="Q369" s="97">
        <f t="shared" si="4"/>
        <v>0</v>
      </c>
      <c r="R369" s="97" t="str">
        <f ca="1">ROUNDUP(HLOOKUP(IF(CEILING(L369,0.5)&lt;1,0.5,CEILING(L369,0.5)),'배송비 조회'!A$44:AO$56,7,0)*B$3,-2)</f>
        <v>#REF!</v>
      </c>
      <c r="S369" s="97">
        <v>0</v>
      </c>
      <c r="T369" s="97" t="str">
        <f t="shared" ca="1" si="42"/>
        <v>#REF!</v>
      </c>
      <c r="U369" s="97" t="str">
        <f t="shared" ca="1" si="29"/>
        <v>#REF!</v>
      </c>
      <c r="V369" s="97" t="str">
        <f t="shared" ca="1" si="7"/>
        <v>#REF!</v>
      </c>
      <c r="W369" s="97" t="str">
        <f t="shared" ca="1" si="8"/>
        <v>#REF!</v>
      </c>
      <c r="X369" s="121">
        <v>0</v>
      </c>
      <c r="Y369" s="121" t="str">
        <f t="shared" ca="1" si="9"/>
        <v>#REF!</v>
      </c>
      <c r="Z369" s="121" t="str">
        <f t="shared" ca="1" si="10"/>
        <v>#REF!</v>
      </c>
      <c r="AA369" s="99" t="str">
        <f t="shared" ca="1" si="11"/>
        <v>#REF!</v>
      </c>
      <c r="AB369" s="234" t="str">
        <f t="shared" ca="1" si="12"/>
        <v>#REF!</v>
      </c>
      <c r="AC369" s="257" t="str">
        <f t="shared" ca="1" si="13"/>
        <v>#REF!</v>
      </c>
      <c r="AD369" s="234" t="str">
        <f t="shared" ca="1" si="14"/>
        <v>#REF!</v>
      </c>
      <c r="AE369" s="100" t="str">
        <f t="shared" ca="1" si="15"/>
        <v>#REF!</v>
      </c>
      <c r="AF369" s="101" t="str">
        <f t="shared" ca="1" si="16"/>
        <v>#REF!</v>
      </c>
      <c r="AG369" s="102" t="str">
        <f t="shared" ref="AG369:AH369" ca="1" si="387">AE369/V369</f>
        <v>#REF!</v>
      </c>
      <c r="AH369" s="102" t="str">
        <f t="shared" ca="1" si="387"/>
        <v>#REF!</v>
      </c>
    </row>
    <row r="370" spans="1:34" ht="13.2">
      <c r="A370" s="251"/>
      <c r="B370" s="251"/>
      <c r="C370" s="252"/>
      <c r="D370" s="252"/>
      <c r="E370" s="114"/>
      <c r="F370" s="252"/>
      <c r="G370" s="125" t="s">
        <v>145</v>
      </c>
      <c r="I370" s="172"/>
      <c r="J370" s="82" t="str">
        <f t="shared" ca="1" si="0"/>
        <v>#REF!</v>
      </c>
      <c r="K370" s="82" t="str">
        <f t="shared" ca="1" si="1"/>
        <v>#REF!</v>
      </c>
      <c r="L370" s="82" t="str">
        <f t="shared" ca="1" si="44"/>
        <v>#REF!</v>
      </c>
      <c r="M370" s="93"/>
      <c r="N370" s="93"/>
      <c r="O370" s="95">
        <f t="shared" si="2"/>
        <v>0</v>
      </c>
      <c r="P370" s="96">
        <f t="shared" si="3"/>
        <v>0</v>
      </c>
      <c r="Q370" s="97">
        <f t="shared" si="4"/>
        <v>0</v>
      </c>
      <c r="R370" s="97" t="str">
        <f ca="1">ROUNDUP(HLOOKUP(IF(CEILING(L370,0.5)&lt;1,0.5,CEILING(L370,0.5)),'배송비 조회'!A$44:AO$56,7,0)*B$3,-2)</f>
        <v>#REF!</v>
      </c>
      <c r="S370" s="97">
        <v>0</v>
      </c>
      <c r="T370" s="97" t="str">
        <f t="shared" ca="1" si="42"/>
        <v>#REF!</v>
      </c>
      <c r="U370" s="97" t="str">
        <f t="shared" ca="1" si="29"/>
        <v>#REF!</v>
      </c>
      <c r="V370" s="97" t="str">
        <f t="shared" ca="1" si="7"/>
        <v>#REF!</v>
      </c>
      <c r="W370" s="97" t="str">
        <f t="shared" ca="1" si="8"/>
        <v>#REF!</v>
      </c>
      <c r="X370" s="121">
        <v>0</v>
      </c>
      <c r="Y370" s="121" t="str">
        <f t="shared" ca="1" si="9"/>
        <v>#REF!</v>
      </c>
      <c r="Z370" s="121" t="str">
        <f t="shared" ca="1" si="10"/>
        <v>#REF!</v>
      </c>
      <c r="AA370" s="99" t="str">
        <f t="shared" ca="1" si="11"/>
        <v>#REF!</v>
      </c>
      <c r="AB370" s="234" t="str">
        <f t="shared" ca="1" si="12"/>
        <v>#REF!</v>
      </c>
      <c r="AC370" s="257" t="str">
        <f t="shared" ca="1" si="13"/>
        <v>#REF!</v>
      </c>
      <c r="AD370" s="234" t="str">
        <f t="shared" ca="1" si="14"/>
        <v>#REF!</v>
      </c>
      <c r="AE370" s="100" t="str">
        <f t="shared" ca="1" si="15"/>
        <v>#REF!</v>
      </c>
      <c r="AF370" s="101" t="str">
        <f t="shared" ca="1" si="16"/>
        <v>#REF!</v>
      </c>
      <c r="AG370" s="102" t="str">
        <f t="shared" ref="AG370:AH370" ca="1" si="388">AE370/V370</f>
        <v>#REF!</v>
      </c>
      <c r="AH370" s="102" t="str">
        <f t="shared" ca="1" si="388"/>
        <v>#REF!</v>
      </c>
    </row>
    <row r="371" spans="1:34" ht="13.2">
      <c r="A371" s="251"/>
      <c r="B371" s="251"/>
      <c r="C371" s="252"/>
      <c r="D371" s="252"/>
      <c r="E371" s="114"/>
      <c r="F371" s="252"/>
      <c r="G371" s="125" t="s">
        <v>145</v>
      </c>
      <c r="I371" s="172"/>
      <c r="J371" s="82" t="str">
        <f t="shared" ca="1" si="0"/>
        <v>#REF!</v>
      </c>
      <c r="K371" s="82" t="str">
        <f t="shared" ca="1" si="1"/>
        <v>#REF!</v>
      </c>
      <c r="L371" s="82" t="str">
        <f t="shared" ca="1" si="44"/>
        <v>#REF!</v>
      </c>
      <c r="M371" s="93"/>
      <c r="N371" s="93"/>
      <c r="O371" s="95">
        <f t="shared" si="2"/>
        <v>0</v>
      </c>
      <c r="P371" s="96">
        <f t="shared" si="3"/>
        <v>0</v>
      </c>
      <c r="Q371" s="97">
        <f t="shared" si="4"/>
        <v>0</v>
      </c>
      <c r="R371" s="97" t="str">
        <f ca="1">ROUNDUP(HLOOKUP(IF(CEILING(L371,0.5)&lt;1,0.5,CEILING(L371,0.5)),'배송비 조회'!A$44:AO$56,7,0)*B$3,-2)</f>
        <v>#REF!</v>
      </c>
      <c r="S371" s="97">
        <v>0</v>
      </c>
      <c r="T371" s="97" t="str">
        <f t="shared" ca="1" si="42"/>
        <v>#REF!</v>
      </c>
      <c r="U371" s="97" t="str">
        <f t="shared" ca="1" si="29"/>
        <v>#REF!</v>
      </c>
      <c r="V371" s="97" t="str">
        <f t="shared" ca="1" si="7"/>
        <v>#REF!</v>
      </c>
      <c r="W371" s="97" t="str">
        <f t="shared" ca="1" si="8"/>
        <v>#REF!</v>
      </c>
      <c r="X371" s="121">
        <v>0</v>
      </c>
      <c r="Y371" s="121" t="str">
        <f t="shared" ca="1" si="9"/>
        <v>#REF!</v>
      </c>
      <c r="Z371" s="121" t="str">
        <f t="shared" ca="1" si="10"/>
        <v>#REF!</v>
      </c>
      <c r="AA371" s="99" t="str">
        <f t="shared" ca="1" si="11"/>
        <v>#REF!</v>
      </c>
      <c r="AB371" s="234" t="str">
        <f t="shared" ca="1" si="12"/>
        <v>#REF!</v>
      </c>
      <c r="AC371" s="257" t="str">
        <f t="shared" ca="1" si="13"/>
        <v>#REF!</v>
      </c>
      <c r="AD371" s="234" t="str">
        <f t="shared" ca="1" si="14"/>
        <v>#REF!</v>
      </c>
      <c r="AE371" s="100" t="str">
        <f t="shared" ca="1" si="15"/>
        <v>#REF!</v>
      </c>
      <c r="AF371" s="101" t="str">
        <f t="shared" ca="1" si="16"/>
        <v>#REF!</v>
      </c>
      <c r="AG371" s="102" t="str">
        <f t="shared" ref="AG371:AH371" ca="1" si="389">AE371/V371</f>
        <v>#REF!</v>
      </c>
      <c r="AH371" s="102" t="str">
        <f t="shared" ca="1" si="389"/>
        <v>#REF!</v>
      </c>
    </row>
    <row r="372" spans="1:34" ht="13.2">
      <c r="A372" s="251"/>
      <c r="B372" s="251"/>
      <c r="C372" s="252"/>
      <c r="D372" s="252"/>
      <c r="E372" s="114"/>
      <c r="F372" s="252"/>
      <c r="G372" s="125" t="s">
        <v>145</v>
      </c>
      <c r="I372" s="172"/>
      <c r="J372" s="82" t="str">
        <f t="shared" ca="1" si="0"/>
        <v>#REF!</v>
      </c>
      <c r="K372" s="82" t="str">
        <f t="shared" ca="1" si="1"/>
        <v>#REF!</v>
      </c>
      <c r="L372" s="82" t="str">
        <f t="shared" ca="1" si="44"/>
        <v>#REF!</v>
      </c>
      <c r="M372" s="93"/>
      <c r="N372" s="93"/>
      <c r="O372" s="95">
        <f t="shared" si="2"/>
        <v>0</v>
      </c>
      <c r="P372" s="96">
        <f t="shared" si="3"/>
        <v>0</v>
      </c>
      <c r="Q372" s="97">
        <f t="shared" si="4"/>
        <v>0</v>
      </c>
      <c r="R372" s="97" t="str">
        <f ca="1">ROUNDUP(HLOOKUP(IF(CEILING(L372,0.5)&lt;1,0.5,CEILING(L372,0.5)),'배송비 조회'!A$44:AO$56,7,0)*B$3,-2)</f>
        <v>#REF!</v>
      </c>
      <c r="S372" s="97">
        <v>0</v>
      </c>
      <c r="T372" s="97" t="str">
        <f t="shared" ca="1" si="42"/>
        <v>#REF!</v>
      </c>
      <c r="U372" s="97" t="str">
        <f t="shared" ca="1" si="29"/>
        <v>#REF!</v>
      </c>
      <c r="V372" s="97" t="str">
        <f t="shared" ca="1" si="7"/>
        <v>#REF!</v>
      </c>
      <c r="W372" s="97" t="str">
        <f t="shared" ca="1" si="8"/>
        <v>#REF!</v>
      </c>
      <c r="X372" s="121">
        <v>0</v>
      </c>
      <c r="Y372" s="121" t="str">
        <f t="shared" ca="1" si="9"/>
        <v>#REF!</v>
      </c>
      <c r="Z372" s="121" t="str">
        <f t="shared" ca="1" si="10"/>
        <v>#REF!</v>
      </c>
      <c r="AA372" s="99" t="str">
        <f t="shared" ca="1" si="11"/>
        <v>#REF!</v>
      </c>
      <c r="AB372" s="234" t="str">
        <f t="shared" ca="1" si="12"/>
        <v>#REF!</v>
      </c>
      <c r="AC372" s="257" t="str">
        <f t="shared" ca="1" si="13"/>
        <v>#REF!</v>
      </c>
      <c r="AD372" s="234" t="str">
        <f t="shared" ca="1" si="14"/>
        <v>#REF!</v>
      </c>
      <c r="AE372" s="100" t="str">
        <f t="shared" ca="1" si="15"/>
        <v>#REF!</v>
      </c>
      <c r="AF372" s="101" t="str">
        <f t="shared" ca="1" si="16"/>
        <v>#REF!</v>
      </c>
      <c r="AG372" s="102" t="str">
        <f t="shared" ref="AG372:AH372" ca="1" si="390">AE372/V372</f>
        <v>#REF!</v>
      </c>
      <c r="AH372" s="102" t="str">
        <f t="shared" ca="1" si="390"/>
        <v>#REF!</v>
      </c>
    </row>
    <row r="373" spans="1:34" ht="13.2">
      <c r="A373" s="251"/>
      <c r="B373" s="251"/>
      <c r="C373" s="252"/>
      <c r="D373" s="252"/>
      <c r="E373" s="114"/>
      <c r="F373" s="252"/>
      <c r="G373" s="125" t="s">
        <v>145</v>
      </c>
      <c r="I373" s="172"/>
      <c r="J373" s="82" t="str">
        <f t="shared" ca="1" si="0"/>
        <v>#REF!</v>
      </c>
      <c r="K373" s="82" t="str">
        <f t="shared" ca="1" si="1"/>
        <v>#REF!</v>
      </c>
      <c r="L373" s="82" t="str">
        <f t="shared" ca="1" si="44"/>
        <v>#REF!</v>
      </c>
      <c r="M373" s="93"/>
      <c r="N373" s="93"/>
      <c r="O373" s="95">
        <f t="shared" si="2"/>
        <v>0</v>
      </c>
      <c r="P373" s="96">
        <f t="shared" si="3"/>
        <v>0</v>
      </c>
      <c r="Q373" s="97">
        <f t="shared" si="4"/>
        <v>0</v>
      </c>
      <c r="R373" s="97" t="str">
        <f ca="1">ROUNDUP(HLOOKUP(IF(CEILING(L373,0.5)&lt;1,0.5,CEILING(L373,0.5)),'배송비 조회'!A$44:AO$56,7,0)*B$3,-2)</f>
        <v>#REF!</v>
      </c>
      <c r="S373" s="97">
        <v>0</v>
      </c>
      <c r="T373" s="97" t="str">
        <f t="shared" ca="1" si="42"/>
        <v>#REF!</v>
      </c>
      <c r="U373" s="97" t="str">
        <f t="shared" ca="1" si="29"/>
        <v>#REF!</v>
      </c>
      <c r="V373" s="97" t="str">
        <f t="shared" ca="1" si="7"/>
        <v>#REF!</v>
      </c>
      <c r="W373" s="97" t="str">
        <f t="shared" ca="1" si="8"/>
        <v>#REF!</v>
      </c>
      <c r="X373" s="121">
        <v>0</v>
      </c>
      <c r="Y373" s="121" t="str">
        <f t="shared" ca="1" si="9"/>
        <v>#REF!</v>
      </c>
      <c r="Z373" s="121" t="str">
        <f t="shared" ca="1" si="10"/>
        <v>#REF!</v>
      </c>
      <c r="AA373" s="99" t="str">
        <f t="shared" ca="1" si="11"/>
        <v>#REF!</v>
      </c>
      <c r="AB373" s="234" t="str">
        <f t="shared" ca="1" si="12"/>
        <v>#REF!</v>
      </c>
      <c r="AC373" s="257" t="str">
        <f t="shared" ca="1" si="13"/>
        <v>#REF!</v>
      </c>
      <c r="AD373" s="234" t="str">
        <f t="shared" ca="1" si="14"/>
        <v>#REF!</v>
      </c>
      <c r="AE373" s="100" t="str">
        <f t="shared" ca="1" si="15"/>
        <v>#REF!</v>
      </c>
      <c r="AF373" s="101" t="str">
        <f t="shared" ca="1" si="16"/>
        <v>#REF!</v>
      </c>
      <c r="AG373" s="102" t="str">
        <f t="shared" ref="AG373:AH373" ca="1" si="391">AE373/V373</f>
        <v>#REF!</v>
      </c>
      <c r="AH373" s="102" t="str">
        <f t="shared" ca="1" si="391"/>
        <v>#REF!</v>
      </c>
    </row>
    <row r="374" spans="1:34" ht="13.2">
      <c r="A374" s="251"/>
      <c r="B374" s="251"/>
      <c r="C374" s="252"/>
      <c r="D374" s="252"/>
      <c r="E374" s="114"/>
      <c r="F374" s="252"/>
      <c r="G374" s="125" t="s">
        <v>145</v>
      </c>
      <c r="I374" s="172"/>
      <c r="J374" s="82" t="str">
        <f t="shared" ca="1" si="0"/>
        <v>#REF!</v>
      </c>
      <c r="K374" s="82" t="str">
        <f t="shared" ca="1" si="1"/>
        <v>#REF!</v>
      </c>
      <c r="L374" s="82" t="str">
        <f t="shared" ca="1" si="44"/>
        <v>#REF!</v>
      </c>
      <c r="M374" s="93"/>
      <c r="N374" s="93"/>
      <c r="O374" s="95">
        <f t="shared" si="2"/>
        <v>0</v>
      </c>
      <c r="P374" s="96">
        <f t="shared" si="3"/>
        <v>0</v>
      </c>
      <c r="Q374" s="97">
        <f t="shared" si="4"/>
        <v>0</v>
      </c>
      <c r="R374" s="97" t="str">
        <f ca="1">ROUNDUP(HLOOKUP(IF(CEILING(L374,0.5)&lt;1,0.5,CEILING(L374,0.5)),'배송비 조회'!A$44:AO$56,7,0)*B$3,-2)</f>
        <v>#REF!</v>
      </c>
      <c r="S374" s="97">
        <v>0</v>
      </c>
      <c r="T374" s="97" t="str">
        <f t="shared" ca="1" si="42"/>
        <v>#REF!</v>
      </c>
      <c r="U374" s="97" t="str">
        <f t="shared" ca="1" si="29"/>
        <v>#REF!</v>
      </c>
      <c r="V374" s="97" t="str">
        <f t="shared" ca="1" si="7"/>
        <v>#REF!</v>
      </c>
      <c r="W374" s="97" t="str">
        <f t="shared" ca="1" si="8"/>
        <v>#REF!</v>
      </c>
      <c r="X374" s="121">
        <v>0</v>
      </c>
      <c r="Y374" s="121" t="str">
        <f t="shared" ca="1" si="9"/>
        <v>#REF!</v>
      </c>
      <c r="Z374" s="121" t="str">
        <f t="shared" ca="1" si="10"/>
        <v>#REF!</v>
      </c>
      <c r="AA374" s="99" t="str">
        <f t="shared" ca="1" si="11"/>
        <v>#REF!</v>
      </c>
      <c r="AB374" s="234" t="str">
        <f t="shared" ca="1" si="12"/>
        <v>#REF!</v>
      </c>
      <c r="AC374" s="257" t="str">
        <f t="shared" ca="1" si="13"/>
        <v>#REF!</v>
      </c>
      <c r="AD374" s="234" t="str">
        <f t="shared" ca="1" si="14"/>
        <v>#REF!</v>
      </c>
      <c r="AE374" s="100" t="str">
        <f t="shared" ca="1" si="15"/>
        <v>#REF!</v>
      </c>
      <c r="AF374" s="101" t="str">
        <f t="shared" ca="1" si="16"/>
        <v>#REF!</v>
      </c>
      <c r="AG374" s="102" t="str">
        <f t="shared" ref="AG374:AH374" ca="1" si="392">AE374/V374</f>
        <v>#REF!</v>
      </c>
      <c r="AH374" s="102" t="str">
        <f t="shared" ca="1" si="392"/>
        <v>#REF!</v>
      </c>
    </row>
    <row r="375" spans="1:34" ht="13.2">
      <c r="A375" s="251"/>
      <c r="B375" s="251"/>
      <c r="C375" s="252"/>
      <c r="D375" s="252"/>
      <c r="E375" s="114"/>
      <c r="F375" s="252"/>
      <c r="G375" s="125" t="s">
        <v>145</v>
      </c>
      <c r="I375" s="172"/>
      <c r="J375" s="82" t="str">
        <f t="shared" ca="1" si="0"/>
        <v>#REF!</v>
      </c>
      <c r="K375" s="82" t="str">
        <f t="shared" ca="1" si="1"/>
        <v>#REF!</v>
      </c>
      <c r="L375" s="82" t="str">
        <f t="shared" ca="1" si="44"/>
        <v>#REF!</v>
      </c>
      <c r="M375" s="93"/>
      <c r="N375" s="93"/>
      <c r="O375" s="95">
        <f t="shared" si="2"/>
        <v>0</v>
      </c>
      <c r="P375" s="96">
        <f t="shared" si="3"/>
        <v>0</v>
      </c>
      <c r="Q375" s="97">
        <f t="shared" si="4"/>
        <v>0</v>
      </c>
      <c r="R375" s="97" t="str">
        <f ca="1">ROUNDUP(HLOOKUP(IF(CEILING(L375,0.5)&lt;1,0.5,CEILING(L375,0.5)),'배송비 조회'!A$44:AO$56,7,0)*B$3,-2)</f>
        <v>#REF!</v>
      </c>
      <c r="S375" s="97">
        <v>0</v>
      </c>
      <c r="T375" s="97" t="str">
        <f t="shared" ca="1" si="42"/>
        <v>#REF!</v>
      </c>
      <c r="U375" s="97" t="str">
        <f t="shared" ca="1" si="29"/>
        <v>#REF!</v>
      </c>
      <c r="V375" s="97" t="str">
        <f t="shared" ca="1" si="7"/>
        <v>#REF!</v>
      </c>
      <c r="W375" s="97" t="str">
        <f t="shared" ca="1" si="8"/>
        <v>#REF!</v>
      </c>
      <c r="X375" s="121">
        <v>0</v>
      </c>
      <c r="Y375" s="121" t="str">
        <f t="shared" ca="1" si="9"/>
        <v>#REF!</v>
      </c>
      <c r="Z375" s="121" t="str">
        <f t="shared" ca="1" si="10"/>
        <v>#REF!</v>
      </c>
      <c r="AA375" s="99" t="str">
        <f t="shared" ca="1" si="11"/>
        <v>#REF!</v>
      </c>
      <c r="AB375" s="234" t="str">
        <f t="shared" ca="1" si="12"/>
        <v>#REF!</v>
      </c>
      <c r="AC375" s="257" t="str">
        <f t="shared" ca="1" si="13"/>
        <v>#REF!</v>
      </c>
      <c r="AD375" s="234" t="str">
        <f t="shared" ca="1" si="14"/>
        <v>#REF!</v>
      </c>
      <c r="AE375" s="100" t="str">
        <f t="shared" ca="1" si="15"/>
        <v>#REF!</v>
      </c>
      <c r="AF375" s="101" t="str">
        <f t="shared" ca="1" si="16"/>
        <v>#REF!</v>
      </c>
      <c r="AG375" s="102" t="str">
        <f t="shared" ref="AG375:AH375" ca="1" si="393">AE375/V375</f>
        <v>#REF!</v>
      </c>
      <c r="AH375" s="102" t="str">
        <f t="shared" ca="1" si="393"/>
        <v>#REF!</v>
      </c>
    </row>
    <row r="376" spans="1:34" ht="13.2">
      <c r="A376" s="251"/>
      <c r="B376" s="251"/>
      <c r="C376" s="252"/>
      <c r="D376" s="252"/>
      <c r="E376" s="114"/>
      <c r="F376" s="252"/>
      <c r="G376" s="125" t="s">
        <v>145</v>
      </c>
      <c r="I376" s="172"/>
      <c r="J376" s="82" t="str">
        <f t="shared" ca="1" si="0"/>
        <v>#REF!</v>
      </c>
      <c r="K376" s="82" t="str">
        <f t="shared" ca="1" si="1"/>
        <v>#REF!</v>
      </c>
      <c r="L376" s="82" t="str">
        <f t="shared" ca="1" si="44"/>
        <v>#REF!</v>
      </c>
      <c r="M376" s="93"/>
      <c r="N376" s="93"/>
      <c r="O376" s="95">
        <f t="shared" si="2"/>
        <v>0</v>
      </c>
      <c r="P376" s="96">
        <f t="shared" si="3"/>
        <v>0</v>
      </c>
      <c r="Q376" s="97">
        <f t="shared" si="4"/>
        <v>0</v>
      </c>
      <c r="R376" s="97" t="str">
        <f ca="1">ROUNDUP(HLOOKUP(IF(CEILING(L376,0.5)&lt;1,0.5,CEILING(L376,0.5)),'배송비 조회'!A$44:AO$56,7,0)*B$3,-2)</f>
        <v>#REF!</v>
      </c>
      <c r="S376" s="97">
        <v>0</v>
      </c>
      <c r="T376" s="97" t="str">
        <f t="shared" ca="1" si="42"/>
        <v>#REF!</v>
      </c>
      <c r="U376" s="97" t="str">
        <f t="shared" ca="1" si="29"/>
        <v>#REF!</v>
      </c>
      <c r="V376" s="97" t="str">
        <f t="shared" ca="1" si="7"/>
        <v>#REF!</v>
      </c>
      <c r="W376" s="97" t="str">
        <f t="shared" ca="1" si="8"/>
        <v>#REF!</v>
      </c>
      <c r="X376" s="121">
        <v>0</v>
      </c>
      <c r="Y376" s="121" t="str">
        <f t="shared" ca="1" si="9"/>
        <v>#REF!</v>
      </c>
      <c r="Z376" s="121" t="str">
        <f t="shared" ca="1" si="10"/>
        <v>#REF!</v>
      </c>
      <c r="AA376" s="99" t="str">
        <f t="shared" ca="1" si="11"/>
        <v>#REF!</v>
      </c>
      <c r="AB376" s="234" t="str">
        <f t="shared" ca="1" si="12"/>
        <v>#REF!</v>
      </c>
      <c r="AC376" s="257" t="str">
        <f t="shared" ca="1" si="13"/>
        <v>#REF!</v>
      </c>
      <c r="AD376" s="234" t="str">
        <f t="shared" ca="1" si="14"/>
        <v>#REF!</v>
      </c>
      <c r="AE376" s="100" t="str">
        <f t="shared" ca="1" si="15"/>
        <v>#REF!</v>
      </c>
      <c r="AF376" s="101" t="str">
        <f t="shared" ca="1" si="16"/>
        <v>#REF!</v>
      </c>
      <c r="AG376" s="102" t="str">
        <f t="shared" ref="AG376:AH376" ca="1" si="394">AE376/V376</f>
        <v>#REF!</v>
      </c>
      <c r="AH376" s="102" t="str">
        <f t="shared" ca="1" si="394"/>
        <v>#REF!</v>
      </c>
    </row>
    <row r="377" spans="1:34" ht="13.2">
      <c r="A377" s="251"/>
      <c r="B377" s="251"/>
      <c r="C377" s="252"/>
      <c r="D377" s="252"/>
      <c r="E377" s="114"/>
      <c r="F377" s="252"/>
      <c r="G377" s="125" t="s">
        <v>145</v>
      </c>
      <c r="I377" s="172"/>
      <c r="J377" s="82" t="str">
        <f t="shared" ca="1" si="0"/>
        <v>#REF!</v>
      </c>
      <c r="K377" s="82" t="str">
        <f t="shared" ca="1" si="1"/>
        <v>#REF!</v>
      </c>
      <c r="L377" s="82" t="str">
        <f t="shared" ca="1" si="44"/>
        <v>#REF!</v>
      </c>
      <c r="M377" s="93"/>
      <c r="N377" s="93"/>
      <c r="O377" s="95">
        <f t="shared" si="2"/>
        <v>0</v>
      </c>
      <c r="P377" s="96">
        <f t="shared" si="3"/>
        <v>0</v>
      </c>
      <c r="Q377" s="97">
        <f t="shared" si="4"/>
        <v>0</v>
      </c>
      <c r="R377" s="97" t="str">
        <f ca="1">ROUNDUP(HLOOKUP(IF(CEILING(L377,0.5)&lt;1,0.5,CEILING(L377,0.5)),'배송비 조회'!A$44:AO$56,7,0)*B$3,-2)</f>
        <v>#REF!</v>
      </c>
      <c r="S377" s="97">
        <v>0</v>
      </c>
      <c r="T377" s="97" t="str">
        <f t="shared" ca="1" si="42"/>
        <v>#REF!</v>
      </c>
      <c r="U377" s="97" t="str">
        <f t="shared" ca="1" si="29"/>
        <v>#REF!</v>
      </c>
      <c r="V377" s="97" t="str">
        <f t="shared" ca="1" si="7"/>
        <v>#REF!</v>
      </c>
      <c r="W377" s="97" t="str">
        <f t="shared" ca="1" si="8"/>
        <v>#REF!</v>
      </c>
      <c r="X377" s="121">
        <v>0</v>
      </c>
      <c r="Y377" s="121" t="str">
        <f t="shared" ca="1" si="9"/>
        <v>#REF!</v>
      </c>
      <c r="Z377" s="121" t="str">
        <f t="shared" ca="1" si="10"/>
        <v>#REF!</v>
      </c>
      <c r="AA377" s="99" t="str">
        <f t="shared" ca="1" si="11"/>
        <v>#REF!</v>
      </c>
      <c r="AB377" s="234" t="str">
        <f t="shared" ca="1" si="12"/>
        <v>#REF!</v>
      </c>
      <c r="AC377" s="257" t="str">
        <f t="shared" ca="1" si="13"/>
        <v>#REF!</v>
      </c>
      <c r="AD377" s="234" t="str">
        <f t="shared" ca="1" si="14"/>
        <v>#REF!</v>
      </c>
      <c r="AE377" s="100" t="str">
        <f t="shared" ca="1" si="15"/>
        <v>#REF!</v>
      </c>
      <c r="AF377" s="101" t="str">
        <f t="shared" ca="1" si="16"/>
        <v>#REF!</v>
      </c>
      <c r="AG377" s="102" t="str">
        <f t="shared" ref="AG377:AH377" ca="1" si="395">AE377/V377</f>
        <v>#REF!</v>
      </c>
      <c r="AH377" s="102" t="str">
        <f t="shared" ca="1" si="395"/>
        <v>#REF!</v>
      </c>
    </row>
    <row r="378" spans="1:34" ht="13.2">
      <c r="A378" s="251"/>
      <c r="B378" s="251"/>
      <c r="C378" s="252"/>
      <c r="D378" s="252"/>
      <c r="E378" s="114"/>
      <c r="F378" s="252"/>
      <c r="G378" s="125" t="s">
        <v>145</v>
      </c>
      <c r="I378" s="172"/>
      <c r="J378" s="82" t="str">
        <f t="shared" ca="1" si="0"/>
        <v>#REF!</v>
      </c>
      <c r="K378" s="82" t="str">
        <f t="shared" ca="1" si="1"/>
        <v>#REF!</v>
      </c>
      <c r="L378" s="82" t="str">
        <f t="shared" ca="1" si="44"/>
        <v>#REF!</v>
      </c>
      <c r="M378" s="93"/>
      <c r="N378" s="93"/>
      <c r="O378" s="95">
        <f t="shared" si="2"/>
        <v>0</v>
      </c>
      <c r="P378" s="96">
        <f t="shared" si="3"/>
        <v>0</v>
      </c>
      <c r="Q378" s="97">
        <f t="shared" si="4"/>
        <v>0</v>
      </c>
      <c r="R378" s="97" t="str">
        <f ca="1">ROUNDUP(HLOOKUP(IF(CEILING(L378,0.5)&lt;1,0.5,CEILING(L378,0.5)),'배송비 조회'!A$44:AO$56,7,0)*B$3,-2)</f>
        <v>#REF!</v>
      </c>
      <c r="S378" s="97">
        <v>0</v>
      </c>
      <c r="T378" s="97" t="str">
        <f t="shared" ca="1" si="42"/>
        <v>#REF!</v>
      </c>
      <c r="U378" s="97" t="str">
        <f t="shared" ca="1" si="29"/>
        <v>#REF!</v>
      </c>
      <c r="V378" s="97" t="str">
        <f t="shared" ca="1" si="7"/>
        <v>#REF!</v>
      </c>
      <c r="W378" s="97" t="str">
        <f t="shared" ca="1" si="8"/>
        <v>#REF!</v>
      </c>
      <c r="X378" s="121">
        <v>0</v>
      </c>
      <c r="Y378" s="121" t="str">
        <f t="shared" ca="1" si="9"/>
        <v>#REF!</v>
      </c>
      <c r="Z378" s="121" t="str">
        <f t="shared" ca="1" si="10"/>
        <v>#REF!</v>
      </c>
      <c r="AA378" s="99" t="str">
        <f t="shared" ca="1" si="11"/>
        <v>#REF!</v>
      </c>
      <c r="AB378" s="234" t="str">
        <f t="shared" ca="1" si="12"/>
        <v>#REF!</v>
      </c>
      <c r="AC378" s="257" t="str">
        <f t="shared" ca="1" si="13"/>
        <v>#REF!</v>
      </c>
      <c r="AD378" s="234" t="str">
        <f t="shared" ca="1" si="14"/>
        <v>#REF!</v>
      </c>
      <c r="AE378" s="100" t="str">
        <f t="shared" ca="1" si="15"/>
        <v>#REF!</v>
      </c>
      <c r="AF378" s="101" t="str">
        <f t="shared" ca="1" si="16"/>
        <v>#REF!</v>
      </c>
      <c r="AG378" s="102" t="str">
        <f t="shared" ref="AG378:AH378" ca="1" si="396">AE378/V378</f>
        <v>#REF!</v>
      </c>
      <c r="AH378" s="102" t="str">
        <f t="shared" ca="1" si="396"/>
        <v>#REF!</v>
      </c>
    </row>
    <row r="379" spans="1:34" ht="13.2">
      <c r="A379" s="251"/>
      <c r="B379" s="251"/>
      <c r="C379" s="252"/>
      <c r="D379" s="252"/>
      <c r="E379" s="114"/>
      <c r="F379" s="252"/>
      <c r="G379" s="125" t="s">
        <v>145</v>
      </c>
      <c r="I379" s="172"/>
      <c r="J379" s="82" t="str">
        <f t="shared" ca="1" si="0"/>
        <v>#REF!</v>
      </c>
      <c r="K379" s="82" t="str">
        <f t="shared" ca="1" si="1"/>
        <v>#REF!</v>
      </c>
      <c r="L379" s="82" t="str">
        <f t="shared" ca="1" si="44"/>
        <v>#REF!</v>
      </c>
      <c r="M379" s="93"/>
      <c r="N379" s="93"/>
      <c r="O379" s="95">
        <f t="shared" si="2"/>
        <v>0</v>
      </c>
      <c r="P379" s="96">
        <f t="shared" si="3"/>
        <v>0</v>
      </c>
      <c r="Q379" s="97">
        <f t="shared" si="4"/>
        <v>0</v>
      </c>
      <c r="R379" s="97" t="str">
        <f ca="1">ROUNDUP(HLOOKUP(IF(CEILING(L379,0.5)&lt;1,0.5,CEILING(L379,0.5)),'배송비 조회'!A$44:AO$56,7,0)*B$3,-2)</f>
        <v>#REF!</v>
      </c>
      <c r="S379" s="97">
        <v>0</v>
      </c>
      <c r="T379" s="97" t="str">
        <f t="shared" ca="1" si="42"/>
        <v>#REF!</v>
      </c>
      <c r="U379" s="97" t="str">
        <f t="shared" ca="1" si="29"/>
        <v>#REF!</v>
      </c>
      <c r="V379" s="97" t="str">
        <f t="shared" ca="1" si="7"/>
        <v>#REF!</v>
      </c>
      <c r="W379" s="97" t="str">
        <f t="shared" ca="1" si="8"/>
        <v>#REF!</v>
      </c>
      <c r="X379" s="121">
        <v>0</v>
      </c>
      <c r="Y379" s="121" t="str">
        <f t="shared" ca="1" si="9"/>
        <v>#REF!</v>
      </c>
      <c r="Z379" s="121" t="str">
        <f t="shared" ca="1" si="10"/>
        <v>#REF!</v>
      </c>
      <c r="AA379" s="99" t="str">
        <f t="shared" ca="1" si="11"/>
        <v>#REF!</v>
      </c>
      <c r="AB379" s="234" t="str">
        <f t="shared" ca="1" si="12"/>
        <v>#REF!</v>
      </c>
      <c r="AC379" s="257" t="str">
        <f t="shared" ca="1" si="13"/>
        <v>#REF!</v>
      </c>
      <c r="AD379" s="234" t="str">
        <f t="shared" ca="1" si="14"/>
        <v>#REF!</v>
      </c>
      <c r="AE379" s="100" t="str">
        <f t="shared" ca="1" si="15"/>
        <v>#REF!</v>
      </c>
      <c r="AF379" s="101" t="str">
        <f t="shared" ca="1" si="16"/>
        <v>#REF!</v>
      </c>
      <c r="AG379" s="102" t="str">
        <f t="shared" ref="AG379:AH379" ca="1" si="397">AE379/V379</f>
        <v>#REF!</v>
      </c>
      <c r="AH379" s="102" t="str">
        <f t="shared" ca="1" si="397"/>
        <v>#REF!</v>
      </c>
    </row>
    <row r="380" spans="1:34" ht="13.2">
      <c r="A380" s="251"/>
      <c r="B380" s="251"/>
      <c r="C380" s="252"/>
      <c r="D380" s="252"/>
      <c r="E380" s="114"/>
      <c r="F380" s="252"/>
      <c r="G380" s="125" t="s">
        <v>145</v>
      </c>
      <c r="I380" s="172"/>
      <c r="J380" s="82" t="str">
        <f t="shared" ca="1" si="0"/>
        <v>#REF!</v>
      </c>
      <c r="K380" s="82" t="str">
        <f t="shared" ca="1" si="1"/>
        <v>#REF!</v>
      </c>
      <c r="L380" s="82" t="str">
        <f t="shared" ca="1" si="44"/>
        <v>#REF!</v>
      </c>
      <c r="M380" s="93"/>
      <c r="N380" s="93"/>
      <c r="O380" s="95">
        <f t="shared" si="2"/>
        <v>0</v>
      </c>
      <c r="P380" s="96">
        <f t="shared" si="3"/>
        <v>0</v>
      </c>
      <c r="Q380" s="97">
        <f t="shared" si="4"/>
        <v>0</v>
      </c>
      <c r="R380" s="97" t="str">
        <f ca="1">ROUNDUP(HLOOKUP(IF(CEILING(L380,0.5)&lt;1,0.5,CEILING(L380,0.5)),'배송비 조회'!A$44:AO$56,7,0)*B$3,-2)</f>
        <v>#REF!</v>
      </c>
      <c r="S380" s="97">
        <v>0</v>
      </c>
      <c r="T380" s="97" t="str">
        <f t="shared" ca="1" si="42"/>
        <v>#REF!</v>
      </c>
      <c r="U380" s="97" t="str">
        <f t="shared" ca="1" si="29"/>
        <v>#REF!</v>
      </c>
      <c r="V380" s="97" t="str">
        <f t="shared" ca="1" si="7"/>
        <v>#REF!</v>
      </c>
      <c r="W380" s="97" t="str">
        <f t="shared" ca="1" si="8"/>
        <v>#REF!</v>
      </c>
      <c r="X380" s="121">
        <v>0</v>
      </c>
      <c r="Y380" s="121" t="str">
        <f t="shared" ca="1" si="9"/>
        <v>#REF!</v>
      </c>
      <c r="Z380" s="121" t="str">
        <f t="shared" ca="1" si="10"/>
        <v>#REF!</v>
      </c>
      <c r="AA380" s="99" t="str">
        <f t="shared" ca="1" si="11"/>
        <v>#REF!</v>
      </c>
      <c r="AB380" s="234" t="str">
        <f t="shared" ca="1" si="12"/>
        <v>#REF!</v>
      </c>
      <c r="AC380" s="257" t="str">
        <f t="shared" ca="1" si="13"/>
        <v>#REF!</v>
      </c>
      <c r="AD380" s="234" t="str">
        <f t="shared" ca="1" si="14"/>
        <v>#REF!</v>
      </c>
      <c r="AE380" s="100" t="str">
        <f t="shared" ca="1" si="15"/>
        <v>#REF!</v>
      </c>
      <c r="AF380" s="101" t="str">
        <f t="shared" ca="1" si="16"/>
        <v>#REF!</v>
      </c>
      <c r="AG380" s="102" t="str">
        <f t="shared" ref="AG380:AH380" ca="1" si="398">AE380/V380</f>
        <v>#REF!</v>
      </c>
      <c r="AH380" s="102" t="str">
        <f t="shared" ca="1" si="398"/>
        <v>#REF!</v>
      </c>
    </row>
    <row r="381" spans="1:34" ht="13.2">
      <c r="A381" s="251"/>
      <c r="B381" s="251"/>
      <c r="C381" s="252"/>
      <c r="D381" s="252"/>
      <c r="E381" s="114"/>
      <c r="F381" s="252"/>
      <c r="G381" s="125" t="s">
        <v>145</v>
      </c>
      <c r="I381" s="172"/>
      <c r="J381" s="82" t="str">
        <f t="shared" ca="1" si="0"/>
        <v>#REF!</v>
      </c>
      <c r="K381" s="82" t="str">
        <f t="shared" ca="1" si="1"/>
        <v>#REF!</v>
      </c>
      <c r="L381" s="82" t="str">
        <f t="shared" ca="1" si="44"/>
        <v>#REF!</v>
      </c>
      <c r="M381" s="93"/>
      <c r="N381" s="93"/>
      <c r="O381" s="95">
        <f t="shared" si="2"/>
        <v>0</v>
      </c>
      <c r="P381" s="96">
        <f t="shared" si="3"/>
        <v>0</v>
      </c>
      <c r="Q381" s="97">
        <f t="shared" si="4"/>
        <v>0</v>
      </c>
      <c r="R381" s="97" t="str">
        <f ca="1">ROUNDUP(HLOOKUP(IF(CEILING(L381,0.5)&lt;1,0.5,CEILING(L381,0.5)),'배송비 조회'!A$44:AO$56,7,0)*B$3,-2)</f>
        <v>#REF!</v>
      </c>
      <c r="S381" s="97">
        <v>0</v>
      </c>
      <c r="T381" s="97" t="str">
        <f t="shared" ca="1" si="42"/>
        <v>#REF!</v>
      </c>
      <c r="U381" s="97" t="str">
        <f t="shared" ca="1" si="29"/>
        <v>#REF!</v>
      </c>
      <c r="V381" s="97" t="str">
        <f t="shared" ca="1" si="7"/>
        <v>#REF!</v>
      </c>
      <c r="W381" s="97" t="str">
        <f t="shared" ca="1" si="8"/>
        <v>#REF!</v>
      </c>
      <c r="X381" s="121">
        <v>0</v>
      </c>
      <c r="Y381" s="121" t="str">
        <f t="shared" ca="1" si="9"/>
        <v>#REF!</v>
      </c>
      <c r="Z381" s="121" t="str">
        <f t="shared" ca="1" si="10"/>
        <v>#REF!</v>
      </c>
      <c r="AA381" s="99" t="str">
        <f t="shared" ca="1" si="11"/>
        <v>#REF!</v>
      </c>
      <c r="AB381" s="234" t="str">
        <f t="shared" ca="1" si="12"/>
        <v>#REF!</v>
      </c>
      <c r="AC381" s="257" t="str">
        <f t="shared" ca="1" si="13"/>
        <v>#REF!</v>
      </c>
      <c r="AD381" s="234" t="str">
        <f t="shared" ca="1" si="14"/>
        <v>#REF!</v>
      </c>
      <c r="AE381" s="100" t="str">
        <f t="shared" ca="1" si="15"/>
        <v>#REF!</v>
      </c>
      <c r="AF381" s="101" t="str">
        <f t="shared" ca="1" si="16"/>
        <v>#REF!</v>
      </c>
      <c r="AG381" s="102" t="str">
        <f t="shared" ref="AG381:AH381" ca="1" si="399">AE381/V381</f>
        <v>#REF!</v>
      </c>
      <c r="AH381" s="102" t="str">
        <f t="shared" ca="1" si="399"/>
        <v>#REF!</v>
      </c>
    </row>
    <row r="382" spans="1:34" ht="13.2">
      <c r="A382" s="251"/>
      <c r="B382" s="251"/>
      <c r="C382" s="252"/>
      <c r="D382" s="252"/>
      <c r="E382" s="114"/>
      <c r="F382" s="252"/>
      <c r="G382" s="125" t="s">
        <v>145</v>
      </c>
      <c r="I382" s="172"/>
      <c r="J382" s="82" t="str">
        <f t="shared" ca="1" si="0"/>
        <v>#REF!</v>
      </c>
      <c r="K382" s="82" t="str">
        <f t="shared" ca="1" si="1"/>
        <v>#REF!</v>
      </c>
      <c r="L382" s="82" t="str">
        <f t="shared" ca="1" si="44"/>
        <v>#REF!</v>
      </c>
      <c r="M382" s="93"/>
      <c r="N382" s="93"/>
      <c r="O382" s="95">
        <f t="shared" si="2"/>
        <v>0</v>
      </c>
      <c r="P382" s="96">
        <f t="shared" si="3"/>
        <v>0</v>
      </c>
      <c r="Q382" s="97">
        <f t="shared" si="4"/>
        <v>0</v>
      </c>
      <c r="R382" s="97" t="str">
        <f ca="1">ROUNDUP(HLOOKUP(IF(CEILING(L382,0.5)&lt;1,0.5,CEILING(L382,0.5)),'배송비 조회'!A$44:AO$56,7,0)*B$3,-2)</f>
        <v>#REF!</v>
      </c>
      <c r="S382" s="97">
        <v>0</v>
      </c>
      <c r="T382" s="97" t="str">
        <f t="shared" ca="1" si="42"/>
        <v>#REF!</v>
      </c>
      <c r="U382" s="97" t="str">
        <f t="shared" ca="1" si="29"/>
        <v>#REF!</v>
      </c>
      <c r="V382" s="97" t="str">
        <f t="shared" ca="1" si="7"/>
        <v>#REF!</v>
      </c>
      <c r="W382" s="97" t="str">
        <f t="shared" ca="1" si="8"/>
        <v>#REF!</v>
      </c>
      <c r="X382" s="121">
        <v>0</v>
      </c>
      <c r="Y382" s="121" t="str">
        <f t="shared" ca="1" si="9"/>
        <v>#REF!</v>
      </c>
      <c r="Z382" s="121" t="str">
        <f t="shared" ca="1" si="10"/>
        <v>#REF!</v>
      </c>
      <c r="AA382" s="99" t="str">
        <f t="shared" ca="1" si="11"/>
        <v>#REF!</v>
      </c>
      <c r="AB382" s="234" t="str">
        <f t="shared" ca="1" si="12"/>
        <v>#REF!</v>
      </c>
      <c r="AC382" s="257" t="str">
        <f t="shared" ca="1" si="13"/>
        <v>#REF!</v>
      </c>
      <c r="AD382" s="234" t="str">
        <f t="shared" ca="1" si="14"/>
        <v>#REF!</v>
      </c>
      <c r="AE382" s="100" t="str">
        <f t="shared" ca="1" si="15"/>
        <v>#REF!</v>
      </c>
      <c r="AF382" s="101" t="str">
        <f t="shared" ca="1" si="16"/>
        <v>#REF!</v>
      </c>
      <c r="AG382" s="102" t="str">
        <f t="shared" ref="AG382:AH382" ca="1" si="400">AE382/V382</f>
        <v>#REF!</v>
      </c>
      <c r="AH382" s="102" t="str">
        <f t="shared" ca="1" si="400"/>
        <v>#REF!</v>
      </c>
    </row>
    <row r="383" spans="1:34" ht="13.2">
      <c r="A383" s="251"/>
      <c r="B383" s="251"/>
      <c r="C383" s="252"/>
      <c r="D383" s="252"/>
      <c r="E383" s="114"/>
      <c r="F383" s="252"/>
      <c r="G383" s="125" t="s">
        <v>145</v>
      </c>
      <c r="I383" s="172"/>
      <c r="J383" s="82" t="str">
        <f t="shared" ca="1" si="0"/>
        <v>#REF!</v>
      </c>
      <c r="K383" s="82" t="str">
        <f t="shared" ca="1" si="1"/>
        <v>#REF!</v>
      </c>
      <c r="L383" s="82" t="str">
        <f t="shared" ca="1" si="44"/>
        <v>#REF!</v>
      </c>
      <c r="M383" s="93"/>
      <c r="N383" s="93"/>
      <c r="O383" s="95">
        <f t="shared" si="2"/>
        <v>0</v>
      </c>
      <c r="P383" s="96">
        <f t="shared" si="3"/>
        <v>0</v>
      </c>
      <c r="Q383" s="97">
        <f t="shared" si="4"/>
        <v>0</v>
      </c>
      <c r="R383" s="97" t="str">
        <f ca="1">ROUNDUP(HLOOKUP(IF(CEILING(L383,0.5)&lt;1,0.5,CEILING(L383,0.5)),'배송비 조회'!A$44:AO$56,7,0)*B$3,-2)</f>
        <v>#REF!</v>
      </c>
      <c r="S383" s="97">
        <v>0</v>
      </c>
      <c r="T383" s="97" t="str">
        <f t="shared" ca="1" si="42"/>
        <v>#REF!</v>
      </c>
      <c r="U383" s="97" t="str">
        <f t="shared" ca="1" si="29"/>
        <v>#REF!</v>
      </c>
      <c r="V383" s="97" t="str">
        <f t="shared" ca="1" si="7"/>
        <v>#REF!</v>
      </c>
      <c r="W383" s="97" t="str">
        <f t="shared" ca="1" si="8"/>
        <v>#REF!</v>
      </c>
      <c r="X383" s="121">
        <v>0</v>
      </c>
      <c r="Y383" s="121" t="str">
        <f t="shared" ca="1" si="9"/>
        <v>#REF!</v>
      </c>
      <c r="Z383" s="121" t="str">
        <f t="shared" ca="1" si="10"/>
        <v>#REF!</v>
      </c>
      <c r="AA383" s="99" t="str">
        <f t="shared" ca="1" si="11"/>
        <v>#REF!</v>
      </c>
      <c r="AB383" s="234" t="str">
        <f t="shared" ca="1" si="12"/>
        <v>#REF!</v>
      </c>
      <c r="AC383" s="257" t="str">
        <f t="shared" ca="1" si="13"/>
        <v>#REF!</v>
      </c>
      <c r="AD383" s="234" t="str">
        <f t="shared" ca="1" si="14"/>
        <v>#REF!</v>
      </c>
      <c r="AE383" s="100" t="str">
        <f t="shared" ca="1" si="15"/>
        <v>#REF!</v>
      </c>
      <c r="AF383" s="101" t="str">
        <f t="shared" ca="1" si="16"/>
        <v>#REF!</v>
      </c>
      <c r="AG383" s="102" t="str">
        <f t="shared" ref="AG383:AH383" ca="1" si="401">AE383/V383</f>
        <v>#REF!</v>
      </c>
      <c r="AH383" s="102" t="str">
        <f t="shared" ca="1" si="401"/>
        <v>#REF!</v>
      </c>
    </row>
    <row r="384" spans="1:34" ht="13.2">
      <c r="A384" s="251"/>
      <c r="B384" s="251"/>
      <c r="C384" s="252"/>
      <c r="D384" s="252"/>
      <c r="E384" s="114"/>
      <c r="F384" s="252"/>
      <c r="G384" s="125" t="s">
        <v>145</v>
      </c>
      <c r="I384" s="172"/>
      <c r="J384" s="82" t="str">
        <f t="shared" ca="1" si="0"/>
        <v>#REF!</v>
      </c>
      <c r="K384" s="82" t="str">
        <f t="shared" ca="1" si="1"/>
        <v>#REF!</v>
      </c>
      <c r="L384" s="82" t="str">
        <f t="shared" ca="1" si="44"/>
        <v>#REF!</v>
      </c>
      <c r="M384" s="93"/>
      <c r="N384" s="93"/>
      <c r="O384" s="95">
        <f t="shared" si="2"/>
        <v>0</v>
      </c>
      <c r="P384" s="96">
        <f t="shared" si="3"/>
        <v>0</v>
      </c>
      <c r="Q384" s="97">
        <f t="shared" si="4"/>
        <v>0</v>
      </c>
      <c r="R384" s="97" t="str">
        <f ca="1">ROUNDUP(HLOOKUP(IF(CEILING(L384,0.5)&lt;1,0.5,CEILING(L384,0.5)),'배송비 조회'!A$44:AO$56,7,0)*B$3,-2)</f>
        <v>#REF!</v>
      </c>
      <c r="S384" s="97">
        <v>0</v>
      </c>
      <c r="T384" s="97" t="str">
        <f t="shared" ca="1" si="42"/>
        <v>#REF!</v>
      </c>
      <c r="U384" s="97" t="str">
        <f t="shared" ca="1" si="29"/>
        <v>#REF!</v>
      </c>
      <c r="V384" s="97" t="str">
        <f t="shared" ca="1" si="7"/>
        <v>#REF!</v>
      </c>
      <c r="W384" s="97" t="str">
        <f t="shared" ca="1" si="8"/>
        <v>#REF!</v>
      </c>
      <c r="X384" s="121">
        <v>0</v>
      </c>
      <c r="Y384" s="121" t="str">
        <f t="shared" ca="1" si="9"/>
        <v>#REF!</v>
      </c>
      <c r="Z384" s="121" t="str">
        <f t="shared" ca="1" si="10"/>
        <v>#REF!</v>
      </c>
      <c r="AA384" s="99" t="str">
        <f t="shared" ca="1" si="11"/>
        <v>#REF!</v>
      </c>
      <c r="AB384" s="234" t="str">
        <f t="shared" ca="1" si="12"/>
        <v>#REF!</v>
      </c>
      <c r="AC384" s="257" t="str">
        <f t="shared" ca="1" si="13"/>
        <v>#REF!</v>
      </c>
      <c r="AD384" s="234" t="str">
        <f t="shared" ca="1" si="14"/>
        <v>#REF!</v>
      </c>
      <c r="AE384" s="100" t="str">
        <f t="shared" ca="1" si="15"/>
        <v>#REF!</v>
      </c>
      <c r="AF384" s="101" t="str">
        <f t="shared" ca="1" si="16"/>
        <v>#REF!</v>
      </c>
      <c r="AG384" s="102" t="str">
        <f t="shared" ref="AG384:AH384" ca="1" si="402">AE384/V384</f>
        <v>#REF!</v>
      </c>
      <c r="AH384" s="102" t="str">
        <f t="shared" ca="1" si="402"/>
        <v>#REF!</v>
      </c>
    </row>
    <row r="385" spans="1:34" ht="13.2">
      <c r="A385" s="251"/>
      <c r="B385" s="251"/>
      <c r="C385" s="252"/>
      <c r="D385" s="252"/>
      <c r="E385" s="114"/>
      <c r="F385" s="252"/>
      <c r="G385" s="125" t="s">
        <v>145</v>
      </c>
      <c r="I385" s="172"/>
      <c r="J385" s="82" t="str">
        <f t="shared" ca="1" si="0"/>
        <v>#REF!</v>
      </c>
      <c r="K385" s="82" t="str">
        <f t="shared" ca="1" si="1"/>
        <v>#REF!</v>
      </c>
      <c r="L385" s="82" t="str">
        <f t="shared" ca="1" si="44"/>
        <v>#REF!</v>
      </c>
      <c r="M385" s="93"/>
      <c r="N385" s="93"/>
      <c r="O385" s="95">
        <f t="shared" si="2"/>
        <v>0</v>
      </c>
      <c r="P385" s="96">
        <f t="shared" si="3"/>
        <v>0</v>
      </c>
      <c r="Q385" s="97">
        <f t="shared" si="4"/>
        <v>0</v>
      </c>
      <c r="R385" s="97" t="str">
        <f ca="1">ROUNDUP(HLOOKUP(IF(CEILING(L385,0.5)&lt;1,0.5,CEILING(L385,0.5)),'배송비 조회'!A$44:AO$56,7,0)*B$3,-2)</f>
        <v>#REF!</v>
      </c>
      <c r="S385" s="97">
        <v>0</v>
      </c>
      <c r="T385" s="97" t="str">
        <f t="shared" ca="1" si="42"/>
        <v>#REF!</v>
      </c>
      <c r="U385" s="97" t="str">
        <f t="shared" ca="1" si="29"/>
        <v>#REF!</v>
      </c>
      <c r="V385" s="97" t="str">
        <f t="shared" ca="1" si="7"/>
        <v>#REF!</v>
      </c>
      <c r="W385" s="97" t="str">
        <f t="shared" ca="1" si="8"/>
        <v>#REF!</v>
      </c>
      <c r="X385" s="121">
        <v>0</v>
      </c>
      <c r="Y385" s="121" t="str">
        <f t="shared" ca="1" si="9"/>
        <v>#REF!</v>
      </c>
      <c r="Z385" s="121" t="str">
        <f t="shared" ca="1" si="10"/>
        <v>#REF!</v>
      </c>
      <c r="AA385" s="99" t="str">
        <f t="shared" ca="1" si="11"/>
        <v>#REF!</v>
      </c>
      <c r="AB385" s="234" t="str">
        <f t="shared" ca="1" si="12"/>
        <v>#REF!</v>
      </c>
      <c r="AC385" s="257" t="str">
        <f t="shared" ca="1" si="13"/>
        <v>#REF!</v>
      </c>
      <c r="AD385" s="234" t="str">
        <f t="shared" ca="1" si="14"/>
        <v>#REF!</v>
      </c>
      <c r="AE385" s="100" t="str">
        <f t="shared" ca="1" si="15"/>
        <v>#REF!</v>
      </c>
      <c r="AF385" s="101" t="str">
        <f t="shared" ca="1" si="16"/>
        <v>#REF!</v>
      </c>
      <c r="AG385" s="102" t="str">
        <f t="shared" ref="AG385:AH385" ca="1" si="403">AE385/V385</f>
        <v>#REF!</v>
      </c>
      <c r="AH385" s="102" t="str">
        <f t="shared" ca="1" si="403"/>
        <v>#REF!</v>
      </c>
    </row>
    <row r="386" spans="1:34" ht="13.2">
      <c r="A386" s="251"/>
      <c r="B386" s="251"/>
      <c r="C386" s="252"/>
      <c r="D386" s="252"/>
      <c r="E386" s="114"/>
      <c r="F386" s="252"/>
      <c r="G386" s="125" t="s">
        <v>145</v>
      </c>
      <c r="I386" s="172"/>
      <c r="J386" s="82" t="str">
        <f t="shared" ca="1" si="0"/>
        <v>#REF!</v>
      </c>
      <c r="K386" s="82" t="str">
        <f t="shared" ca="1" si="1"/>
        <v>#REF!</v>
      </c>
      <c r="L386" s="82" t="str">
        <f t="shared" ca="1" si="44"/>
        <v>#REF!</v>
      </c>
      <c r="M386" s="93"/>
      <c r="N386" s="93"/>
      <c r="O386" s="95">
        <f t="shared" si="2"/>
        <v>0</v>
      </c>
      <c r="P386" s="96">
        <f t="shared" si="3"/>
        <v>0</v>
      </c>
      <c r="Q386" s="97">
        <f t="shared" si="4"/>
        <v>0</v>
      </c>
      <c r="R386" s="97" t="str">
        <f ca="1">ROUNDUP(HLOOKUP(IF(CEILING(L386,0.5)&lt;1,0.5,CEILING(L386,0.5)),'배송비 조회'!A$44:AO$56,7,0)*B$3,-2)</f>
        <v>#REF!</v>
      </c>
      <c r="S386" s="97">
        <v>0</v>
      </c>
      <c r="T386" s="97" t="str">
        <f t="shared" ca="1" si="42"/>
        <v>#REF!</v>
      </c>
      <c r="U386" s="97" t="str">
        <f t="shared" ca="1" si="29"/>
        <v>#REF!</v>
      </c>
      <c r="V386" s="97" t="str">
        <f t="shared" ca="1" si="7"/>
        <v>#REF!</v>
      </c>
      <c r="W386" s="97" t="str">
        <f t="shared" ca="1" si="8"/>
        <v>#REF!</v>
      </c>
      <c r="X386" s="121">
        <v>0</v>
      </c>
      <c r="Y386" s="121" t="str">
        <f t="shared" ca="1" si="9"/>
        <v>#REF!</v>
      </c>
      <c r="Z386" s="121" t="str">
        <f t="shared" ca="1" si="10"/>
        <v>#REF!</v>
      </c>
      <c r="AA386" s="99" t="str">
        <f t="shared" ca="1" si="11"/>
        <v>#REF!</v>
      </c>
      <c r="AB386" s="234" t="str">
        <f t="shared" ca="1" si="12"/>
        <v>#REF!</v>
      </c>
      <c r="AC386" s="257" t="str">
        <f t="shared" ca="1" si="13"/>
        <v>#REF!</v>
      </c>
      <c r="AD386" s="234" t="str">
        <f t="shared" ca="1" si="14"/>
        <v>#REF!</v>
      </c>
      <c r="AE386" s="100" t="str">
        <f t="shared" ca="1" si="15"/>
        <v>#REF!</v>
      </c>
      <c r="AF386" s="101" t="str">
        <f t="shared" ca="1" si="16"/>
        <v>#REF!</v>
      </c>
      <c r="AG386" s="102" t="str">
        <f t="shared" ref="AG386:AH386" ca="1" si="404">AE386/V386</f>
        <v>#REF!</v>
      </c>
      <c r="AH386" s="102" t="str">
        <f t="shared" ca="1" si="404"/>
        <v>#REF!</v>
      </c>
    </row>
    <row r="387" spans="1:34" ht="13.2">
      <c r="A387" s="251"/>
      <c r="B387" s="251"/>
      <c r="C387" s="252"/>
      <c r="D387" s="252"/>
      <c r="E387" s="114"/>
      <c r="F387" s="252"/>
      <c r="G387" s="125" t="s">
        <v>145</v>
      </c>
      <c r="I387" s="172"/>
      <c r="J387" s="82" t="str">
        <f t="shared" ca="1" si="0"/>
        <v>#REF!</v>
      </c>
      <c r="K387" s="82" t="str">
        <f t="shared" ca="1" si="1"/>
        <v>#REF!</v>
      </c>
      <c r="L387" s="82" t="str">
        <f t="shared" ca="1" si="44"/>
        <v>#REF!</v>
      </c>
      <c r="M387" s="93"/>
      <c r="N387" s="93"/>
      <c r="O387" s="95">
        <f t="shared" si="2"/>
        <v>0</v>
      </c>
      <c r="P387" s="96">
        <f t="shared" si="3"/>
        <v>0</v>
      </c>
      <c r="Q387" s="97">
        <f t="shared" si="4"/>
        <v>0</v>
      </c>
      <c r="R387" s="97" t="str">
        <f ca="1">ROUNDUP(HLOOKUP(IF(CEILING(L387,0.5)&lt;1,0.5,CEILING(L387,0.5)),'배송비 조회'!A$44:AO$56,7,0)*B$3,-2)</f>
        <v>#REF!</v>
      </c>
      <c r="S387" s="97">
        <v>0</v>
      </c>
      <c r="T387" s="97" t="str">
        <f t="shared" ca="1" si="42"/>
        <v>#REF!</v>
      </c>
      <c r="U387" s="97" t="str">
        <f t="shared" ca="1" si="29"/>
        <v>#REF!</v>
      </c>
      <c r="V387" s="97" t="str">
        <f t="shared" ca="1" si="7"/>
        <v>#REF!</v>
      </c>
      <c r="W387" s="97" t="str">
        <f t="shared" ca="1" si="8"/>
        <v>#REF!</v>
      </c>
      <c r="X387" s="121">
        <v>0</v>
      </c>
      <c r="Y387" s="121" t="str">
        <f t="shared" ca="1" si="9"/>
        <v>#REF!</v>
      </c>
      <c r="Z387" s="121" t="str">
        <f t="shared" ca="1" si="10"/>
        <v>#REF!</v>
      </c>
      <c r="AA387" s="99" t="str">
        <f t="shared" ca="1" si="11"/>
        <v>#REF!</v>
      </c>
      <c r="AB387" s="234" t="str">
        <f t="shared" ca="1" si="12"/>
        <v>#REF!</v>
      </c>
      <c r="AC387" s="257" t="str">
        <f t="shared" ca="1" si="13"/>
        <v>#REF!</v>
      </c>
      <c r="AD387" s="234" t="str">
        <f t="shared" ca="1" si="14"/>
        <v>#REF!</v>
      </c>
      <c r="AE387" s="100" t="str">
        <f t="shared" ca="1" si="15"/>
        <v>#REF!</v>
      </c>
      <c r="AF387" s="101" t="str">
        <f t="shared" ca="1" si="16"/>
        <v>#REF!</v>
      </c>
      <c r="AG387" s="102" t="str">
        <f t="shared" ref="AG387:AH387" ca="1" si="405">AE387/V387</f>
        <v>#REF!</v>
      </c>
      <c r="AH387" s="102" t="str">
        <f t="shared" ca="1" si="405"/>
        <v>#REF!</v>
      </c>
    </row>
    <row r="388" spans="1:34" ht="13.2">
      <c r="A388" s="251"/>
      <c r="B388" s="251"/>
      <c r="C388" s="252"/>
      <c r="D388" s="252"/>
      <c r="E388" s="114"/>
      <c r="F388" s="252"/>
      <c r="G388" s="125" t="s">
        <v>145</v>
      </c>
      <c r="I388" s="172"/>
      <c r="J388" s="82" t="str">
        <f t="shared" ca="1" si="0"/>
        <v>#REF!</v>
      </c>
      <c r="K388" s="82" t="str">
        <f t="shared" ca="1" si="1"/>
        <v>#REF!</v>
      </c>
      <c r="L388" s="82" t="str">
        <f t="shared" ca="1" si="44"/>
        <v>#REF!</v>
      </c>
      <c r="M388" s="93"/>
      <c r="N388" s="93"/>
      <c r="O388" s="95">
        <f t="shared" si="2"/>
        <v>0</v>
      </c>
      <c r="P388" s="96">
        <f t="shared" si="3"/>
        <v>0</v>
      </c>
      <c r="Q388" s="97">
        <f t="shared" si="4"/>
        <v>0</v>
      </c>
      <c r="R388" s="97" t="str">
        <f ca="1">ROUNDUP(HLOOKUP(IF(CEILING(L388,0.5)&lt;1,0.5,CEILING(L388,0.5)),'배송비 조회'!A$44:AO$56,7,0)*B$3,-2)</f>
        <v>#REF!</v>
      </c>
      <c r="S388" s="97">
        <v>0</v>
      </c>
      <c r="T388" s="97" t="str">
        <f t="shared" ca="1" si="42"/>
        <v>#REF!</v>
      </c>
      <c r="U388" s="97" t="str">
        <f t="shared" ca="1" si="29"/>
        <v>#REF!</v>
      </c>
      <c r="V388" s="97" t="str">
        <f t="shared" ca="1" si="7"/>
        <v>#REF!</v>
      </c>
      <c r="W388" s="97" t="str">
        <f t="shared" ca="1" si="8"/>
        <v>#REF!</v>
      </c>
      <c r="X388" s="121">
        <v>0</v>
      </c>
      <c r="Y388" s="121" t="str">
        <f t="shared" ca="1" si="9"/>
        <v>#REF!</v>
      </c>
      <c r="Z388" s="121" t="str">
        <f t="shared" ca="1" si="10"/>
        <v>#REF!</v>
      </c>
      <c r="AA388" s="99" t="str">
        <f t="shared" ca="1" si="11"/>
        <v>#REF!</v>
      </c>
      <c r="AB388" s="234" t="str">
        <f t="shared" ca="1" si="12"/>
        <v>#REF!</v>
      </c>
      <c r="AC388" s="257" t="str">
        <f t="shared" ca="1" si="13"/>
        <v>#REF!</v>
      </c>
      <c r="AD388" s="234" t="str">
        <f t="shared" ca="1" si="14"/>
        <v>#REF!</v>
      </c>
      <c r="AE388" s="100" t="str">
        <f t="shared" ca="1" si="15"/>
        <v>#REF!</v>
      </c>
      <c r="AF388" s="101" t="str">
        <f t="shared" ca="1" si="16"/>
        <v>#REF!</v>
      </c>
      <c r="AG388" s="102" t="str">
        <f t="shared" ref="AG388:AH388" ca="1" si="406">AE388/V388</f>
        <v>#REF!</v>
      </c>
      <c r="AH388" s="102" t="str">
        <f t="shared" ca="1" si="406"/>
        <v>#REF!</v>
      </c>
    </row>
    <row r="389" spans="1:34" ht="13.2">
      <c r="A389" s="251"/>
      <c r="B389" s="251"/>
      <c r="C389" s="252"/>
      <c r="D389" s="252"/>
      <c r="E389" s="114"/>
      <c r="F389" s="252"/>
      <c r="G389" s="125" t="s">
        <v>145</v>
      </c>
      <c r="I389" s="172"/>
      <c r="J389" s="82" t="str">
        <f t="shared" ca="1" si="0"/>
        <v>#REF!</v>
      </c>
      <c r="K389" s="82" t="str">
        <f t="shared" ca="1" si="1"/>
        <v>#REF!</v>
      </c>
      <c r="L389" s="82" t="str">
        <f t="shared" ca="1" si="44"/>
        <v>#REF!</v>
      </c>
      <c r="M389" s="93"/>
      <c r="N389" s="93"/>
      <c r="O389" s="95">
        <f t="shared" si="2"/>
        <v>0</v>
      </c>
      <c r="P389" s="96">
        <f t="shared" si="3"/>
        <v>0</v>
      </c>
      <c r="Q389" s="97">
        <f t="shared" si="4"/>
        <v>0</v>
      </c>
      <c r="R389" s="97" t="str">
        <f ca="1">ROUNDUP(HLOOKUP(IF(CEILING(L389,0.5)&lt;1,0.5,CEILING(L389,0.5)),'배송비 조회'!A$44:AO$56,7,0)*B$3,-2)</f>
        <v>#REF!</v>
      </c>
      <c r="S389" s="97">
        <v>0</v>
      </c>
      <c r="T389" s="97" t="str">
        <f t="shared" ca="1" si="42"/>
        <v>#REF!</v>
      </c>
      <c r="U389" s="97" t="str">
        <f t="shared" ca="1" si="29"/>
        <v>#REF!</v>
      </c>
      <c r="V389" s="97" t="str">
        <f t="shared" ca="1" si="7"/>
        <v>#REF!</v>
      </c>
      <c r="W389" s="97" t="str">
        <f t="shared" ca="1" si="8"/>
        <v>#REF!</v>
      </c>
      <c r="X389" s="121">
        <v>0</v>
      </c>
      <c r="Y389" s="121" t="str">
        <f t="shared" ca="1" si="9"/>
        <v>#REF!</v>
      </c>
      <c r="Z389" s="121" t="str">
        <f t="shared" ca="1" si="10"/>
        <v>#REF!</v>
      </c>
      <c r="AA389" s="99" t="str">
        <f t="shared" ca="1" si="11"/>
        <v>#REF!</v>
      </c>
      <c r="AB389" s="234" t="str">
        <f t="shared" ca="1" si="12"/>
        <v>#REF!</v>
      </c>
      <c r="AC389" s="257" t="str">
        <f t="shared" ca="1" si="13"/>
        <v>#REF!</v>
      </c>
      <c r="AD389" s="234" t="str">
        <f t="shared" ca="1" si="14"/>
        <v>#REF!</v>
      </c>
      <c r="AE389" s="100" t="str">
        <f t="shared" ca="1" si="15"/>
        <v>#REF!</v>
      </c>
      <c r="AF389" s="101" t="str">
        <f t="shared" ca="1" si="16"/>
        <v>#REF!</v>
      </c>
      <c r="AG389" s="102" t="str">
        <f t="shared" ref="AG389:AH389" ca="1" si="407">AE389/V389</f>
        <v>#REF!</v>
      </c>
      <c r="AH389" s="102" t="str">
        <f t="shared" ca="1" si="407"/>
        <v>#REF!</v>
      </c>
    </row>
    <row r="390" spans="1:34" ht="13.2">
      <c r="A390" s="251"/>
      <c r="B390" s="251"/>
      <c r="C390" s="252"/>
      <c r="D390" s="252"/>
      <c r="E390" s="114"/>
      <c r="F390" s="252"/>
      <c r="G390" s="125" t="s">
        <v>145</v>
      </c>
      <c r="I390" s="172"/>
      <c r="J390" s="82" t="str">
        <f t="shared" ca="1" si="0"/>
        <v>#REF!</v>
      </c>
      <c r="K390" s="82" t="str">
        <f t="shared" ca="1" si="1"/>
        <v>#REF!</v>
      </c>
      <c r="L390" s="82" t="str">
        <f t="shared" ca="1" si="44"/>
        <v>#REF!</v>
      </c>
      <c r="M390" s="93"/>
      <c r="N390" s="93"/>
      <c r="O390" s="95">
        <f t="shared" si="2"/>
        <v>0</v>
      </c>
      <c r="P390" s="96">
        <f t="shared" si="3"/>
        <v>0</v>
      </c>
      <c r="Q390" s="97">
        <f t="shared" si="4"/>
        <v>0</v>
      </c>
      <c r="R390" s="97" t="str">
        <f ca="1">ROUNDUP(HLOOKUP(IF(CEILING(L390,0.5)&lt;1,0.5,CEILING(L390,0.5)),'배송비 조회'!A$44:AO$56,7,0)*B$3,-2)</f>
        <v>#REF!</v>
      </c>
      <c r="S390" s="97">
        <v>0</v>
      </c>
      <c r="T390" s="97" t="str">
        <f t="shared" ca="1" si="42"/>
        <v>#REF!</v>
      </c>
      <c r="U390" s="97" t="str">
        <f t="shared" ca="1" si="29"/>
        <v>#REF!</v>
      </c>
      <c r="V390" s="97" t="str">
        <f t="shared" ca="1" si="7"/>
        <v>#REF!</v>
      </c>
      <c r="W390" s="97" t="str">
        <f t="shared" ca="1" si="8"/>
        <v>#REF!</v>
      </c>
      <c r="X390" s="121">
        <v>0</v>
      </c>
      <c r="Y390" s="121" t="str">
        <f t="shared" ca="1" si="9"/>
        <v>#REF!</v>
      </c>
      <c r="Z390" s="121" t="str">
        <f t="shared" ca="1" si="10"/>
        <v>#REF!</v>
      </c>
      <c r="AA390" s="99" t="str">
        <f t="shared" ca="1" si="11"/>
        <v>#REF!</v>
      </c>
      <c r="AB390" s="234" t="str">
        <f t="shared" ca="1" si="12"/>
        <v>#REF!</v>
      </c>
      <c r="AC390" s="257" t="str">
        <f t="shared" ca="1" si="13"/>
        <v>#REF!</v>
      </c>
      <c r="AD390" s="234" t="str">
        <f t="shared" ca="1" si="14"/>
        <v>#REF!</v>
      </c>
      <c r="AE390" s="100" t="str">
        <f t="shared" ca="1" si="15"/>
        <v>#REF!</v>
      </c>
      <c r="AF390" s="101" t="str">
        <f t="shared" ca="1" si="16"/>
        <v>#REF!</v>
      </c>
      <c r="AG390" s="102" t="str">
        <f t="shared" ref="AG390:AH390" ca="1" si="408">AE390/V390</f>
        <v>#REF!</v>
      </c>
      <c r="AH390" s="102" t="str">
        <f t="shared" ca="1" si="408"/>
        <v>#REF!</v>
      </c>
    </row>
    <row r="391" spans="1:34" ht="13.2">
      <c r="A391" s="251"/>
      <c r="B391" s="251"/>
      <c r="C391" s="252"/>
      <c r="D391" s="252"/>
      <c r="E391" s="114"/>
      <c r="F391" s="252"/>
      <c r="G391" s="125" t="s">
        <v>145</v>
      </c>
      <c r="I391" s="172"/>
      <c r="J391" s="82" t="str">
        <f t="shared" ca="1" si="0"/>
        <v>#REF!</v>
      </c>
      <c r="K391" s="82" t="str">
        <f t="shared" ca="1" si="1"/>
        <v>#REF!</v>
      </c>
      <c r="L391" s="82" t="str">
        <f t="shared" ca="1" si="44"/>
        <v>#REF!</v>
      </c>
      <c r="M391" s="93"/>
      <c r="N391" s="93"/>
      <c r="O391" s="95">
        <f t="shared" si="2"/>
        <v>0</v>
      </c>
      <c r="P391" s="96">
        <f t="shared" si="3"/>
        <v>0</v>
      </c>
      <c r="Q391" s="97">
        <f t="shared" si="4"/>
        <v>0</v>
      </c>
      <c r="R391" s="97" t="str">
        <f ca="1">ROUNDUP(HLOOKUP(IF(CEILING(L391,0.5)&lt;1,0.5,CEILING(L391,0.5)),'배송비 조회'!A$44:AO$56,7,0)*B$3,-2)</f>
        <v>#REF!</v>
      </c>
      <c r="S391" s="97">
        <v>0</v>
      </c>
      <c r="T391" s="97" t="str">
        <f t="shared" ca="1" si="42"/>
        <v>#REF!</v>
      </c>
      <c r="U391" s="97" t="str">
        <f t="shared" ca="1" si="29"/>
        <v>#REF!</v>
      </c>
      <c r="V391" s="97" t="str">
        <f t="shared" ca="1" si="7"/>
        <v>#REF!</v>
      </c>
      <c r="W391" s="97" t="str">
        <f t="shared" ca="1" si="8"/>
        <v>#REF!</v>
      </c>
      <c r="X391" s="121">
        <v>0</v>
      </c>
      <c r="Y391" s="121" t="str">
        <f t="shared" ca="1" si="9"/>
        <v>#REF!</v>
      </c>
      <c r="Z391" s="121" t="str">
        <f t="shared" ca="1" si="10"/>
        <v>#REF!</v>
      </c>
      <c r="AA391" s="99" t="str">
        <f t="shared" ca="1" si="11"/>
        <v>#REF!</v>
      </c>
      <c r="AB391" s="234" t="str">
        <f t="shared" ca="1" si="12"/>
        <v>#REF!</v>
      </c>
      <c r="AC391" s="257" t="str">
        <f t="shared" ca="1" si="13"/>
        <v>#REF!</v>
      </c>
      <c r="AD391" s="234" t="str">
        <f t="shared" ca="1" si="14"/>
        <v>#REF!</v>
      </c>
      <c r="AE391" s="100" t="str">
        <f t="shared" ca="1" si="15"/>
        <v>#REF!</v>
      </c>
      <c r="AF391" s="101" t="str">
        <f t="shared" ca="1" si="16"/>
        <v>#REF!</v>
      </c>
      <c r="AG391" s="102" t="str">
        <f t="shared" ref="AG391:AH391" ca="1" si="409">AE391/V391</f>
        <v>#REF!</v>
      </c>
      <c r="AH391" s="102" t="str">
        <f t="shared" ca="1" si="409"/>
        <v>#REF!</v>
      </c>
    </row>
    <row r="392" spans="1:34" ht="13.2">
      <c r="A392" s="251"/>
      <c r="B392" s="251"/>
      <c r="C392" s="252"/>
      <c r="D392" s="252"/>
      <c r="E392" s="114"/>
      <c r="F392" s="252"/>
      <c r="G392" s="125" t="s">
        <v>145</v>
      </c>
      <c r="I392" s="172"/>
      <c r="J392" s="82" t="str">
        <f t="shared" ca="1" si="0"/>
        <v>#REF!</v>
      </c>
      <c r="K392" s="82" t="str">
        <f t="shared" ca="1" si="1"/>
        <v>#REF!</v>
      </c>
      <c r="L392" s="82" t="str">
        <f t="shared" ca="1" si="44"/>
        <v>#REF!</v>
      </c>
      <c r="M392" s="93"/>
      <c r="N392" s="93"/>
      <c r="O392" s="95">
        <f t="shared" si="2"/>
        <v>0</v>
      </c>
      <c r="P392" s="96">
        <f t="shared" si="3"/>
        <v>0</v>
      </c>
      <c r="Q392" s="97">
        <f t="shared" si="4"/>
        <v>0</v>
      </c>
      <c r="R392" s="97" t="str">
        <f ca="1">ROUNDUP(HLOOKUP(IF(CEILING(L392,0.5)&lt;1,0.5,CEILING(L392,0.5)),'배송비 조회'!A$44:AO$56,7,0)*B$3,-2)</f>
        <v>#REF!</v>
      </c>
      <c r="S392" s="97">
        <v>0</v>
      </c>
      <c r="T392" s="97" t="str">
        <f t="shared" ca="1" si="42"/>
        <v>#REF!</v>
      </c>
      <c r="U392" s="97" t="str">
        <f t="shared" ca="1" si="29"/>
        <v>#REF!</v>
      </c>
      <c r="V392" s="97" t="str">
        <f t="shared" ca="1" si="7"/>
        <v>#REF!</v>
      </c>
      <c r="W392" s="97" t="str">
        <f t="shared" ca="1" si="8"/>
        <v>#REF!</v>
      </c>
      <c r="X392" s="121">
        <v>0</v>
      </c>
      <c r="Y392" s="121" t="str">
        <f t="shared" ca="1" si="9"/>
        <v>#REF!</v>
      </c>
      <c r="Z392" s="121" t="str">
        <f t="shared" ca="1" si="10"/>
        <v>#REF!</v>
      </c>
      <c r="AA392" s="99" t="str">
        <f t="shared" ca="1" si="11"/>
        <v>#REF!</v>
      </c>
      <c r="AB392" s="234" t="str">
        <f t="shared" ca="1" si="12"/>
        <v>#REF!</v>
      </c>
      <c r="AC392" s="257" t="str">
        <f t="shared" ca="1" si="13"/>
        <v>#REF!</v>
      </c>
      <c r="AD392" s="234" t="str">
        <f t="shared" ca="1" si="14"/>
        <v>#REF!</v>
      </c>
      <c r="AE392" s="100" t="str">
        <f t="shared" ca="1" si="15"/>
        <v>#REF!</v>
      </c>
      <c r="AF392" s="101" t="str">
        <f t="shared" ca="1" si="16"/>
        <v>#REF!</v>
      </c>
      <c r="AG392" s="102" t="str">
        <f t="shared" ref="AG392:AH392" ca="1" si="410">AE392/V392</f>
        <v>#REF!</v>
      </c>
      <c r="AH392" s="102" t="str">
        <f t="shared" ca="1" si="410"/>
        <v>#REF!</v>
      </c>
    </row>
    <row r="393" spans="1:34" ht="13.2">
      <c r="A393" s="251"/>
      <c r="B393" s="251"/>
      <c r="C393" s="252"/>
      <c r="D393" s="252"/>
      <c r="E393" s="114"/>
      <c r="F393" s="252"/>
      <c r="G393" s="125" t="s">
        <v>145</v>
      </c>
      <c r="I393" s="172"/>
      <c r="J393" s="82" t="str">
        <f t="shared" ca="1" si="0"/>
        <v>#REF!</v>
      </c>
      <c r="K393" s="82" t="str">
        <f t="shared" ca="1" si="1"/>
        <v>#REF!</v>
      </c>
      <c r="L393" s="82" t="str">
        <f t="shared" ca="1" si="44"/>
        <v>#REF!</v>
      </c>
      <c r="M393" s="93"/>
      <c r="N393" s="93"/>
      <c r="O393" s="95">
        <f t="shared" si="2"/>
        <v>0</v>
      </c>
      <c r="P393" s="96">
        <f t="shared" si="3"/>
        <v>0</v>
      </c>
      <c r="Q393" s="97">
        <f t="shared" si="4"/>
        <v>0</v>
      </c>
      <c r="R393" s="97" t="str">
        <f ca="1">ROUNDUP(HLOOKUP(IF(CEILING(L393,0.5)&lt;1,0.5,CEILING(L393,0.5)),'배송비 조회'!A$44:AO$56,7,0)*B$3,-2)</f>
        <v>#REF!</v>
      </c>
      <c r="S393" s="97">
        <v>0</v>
      </c>
      <c r="T393" s="97" t="str">
        <f t="shared" ca="1" si="42"/>
        <v>#REF!</v>
      </c>
      <c r="U393" s="97" t="str">
        <f t="shared" ca="1" si="29"/>
        <v>#REF!</v>
      </c>
      <c r="V393" s="97" t="str">
        <f t="shared" ca="1" si="7"/>
        <v>#REF!</v>
      </c>
      <c r="W393" s="97" t="str">
        <f t="shared" ca="1" si="8"/>
        <v>#REF!</v>
      </c>
      <c r="X393" s="121">
        <v>0</v>
      </c>
      <c r="Y393" s="121" t="str">
        <f t="shared" ca="1" si="9"/>
        <v>#REF!</v>
      </c>
      <c r="Z393" s="121" t="str">
        <f t="shared" ca="1" si="10"/>
        <v>#REF!</v>
      </c>
      <c r="AA393" s="99" t="str">
        <f t="shared" ca="1" si="11"/>
        <v>#REF!</v>
      </c>
      <c r="AB393" s="234" t="str">
        <f t="shared" ca="1" si="12"/>
        <v>#REF!</v>
      </c>
      <c r="AC393" s="257" t="str">
        <f t="shared" ca="1" si="13"/>
        <v>#REF!</v>
      </c>
      <c r="AD393" s="234" t="str">
        <f t="shared" ca="1" si="14"/>
        <v>#REF!</v>
      </c>
      <c r="AE393" s="100" t="str">
        <f t="shared" ca="1" si="15"/>
        <v>#REF!</v>
      </c>
      <c r="AF393" s="101" t="str">
        <f t="shared" ca="1" si="16"/>
        <v>#REF!</v>
      </c>
      <c r="AG393" s="102" t="str">
        <f t="shared" ref="AG393:AH393" ca="1" si="411">AE393/V393</f>
        <v>#REF!</v>
      </c>
      <c r="AH393" s="102" t="str">
        <f t="shared" ca="1" si="411"/>
        <v>#REF!</v>
      </c>
    </row>
    <row r="394" spans="1:34" ht="13.2">
      <c r="A394" s="251"/>
      <c r="B394" s="251"/>
      <c r="C394" s="252"/>
      <c r="D394" s="252"/>
      <c r="E394" s="114"/>
      <c r="F394" s="252"/>
      <c r="G394" s="125" t="s">
        <v>145</v>
      </c>
      <c r="I394" s="172"/>
      <c r="J394" s="82" t="str">
        <f t="shared" ca="1" si="0"/>
        <v>#REF!</v>
      </c>
      <c r="K394" s="82" t="str">
        <f t="shared" ca="1" si="1"/>
        <v>#REF!</v>
      </c>
      <c r="L394" s="82" t="str">
        <f t="shared" ca="1" si="44"/>
        <v>#REF!</v>
      </c>
      <c r="M394" s="93"/>
      <c r="N394" s="93"/>
      <c r="O394" s="95">
        <f t="shared" si="2"/>
        <v>0</v>
      </c>
      <c r="P394" s="96">
        <f t="shared" si="3"/>
        <v>0</v>
      </c>
      <c r="Q394" s="97">
        <f t="shared" si="4"/>
        <v>0</v>
      </c>
      <c r="R394" s="97" t="str">
        <f ca="1">ROUNDUP(HLOOKUP(IF(CEILING(L394,0.5)&lt;1,0.5,CEILING(L394,0.5)),'배송비 조회'!A$44:AO$56,7,0)*B$3,-2)</f>
        <v>#REF!</v>
      </c>
      <c r="S394" s="97">
        <v>0</v>
      </c>
      <c r="T394" s="97" t="str">
        <f t="shared" ca="1" si="42"/>
        <v>#REF!</v>
      </c>
      <c r="U394" s="97" t="str">
        <f t="shared" ca="1" si="29"/>
        <v>#REF!</v>
      </c>
      <c r="V394" s="97" t="str">
        <f t="shared" ca="1" si="7"/>
        <v>#REF!</v>
      </c>
      <c r="W394" s="97" t="str">
        <f t="shared" ca="1" si="8"/>
        <v>#REF!</v>
      </c>
      <c r="X394" s="121">
        <v>0</v>
      </c>
      <c r="Y394" s="121" t="str">
        <f t="shared" ca="1" si="9"/>
        <v>#REF!</v>
      </c>
      <c r="Z394" s="121" t="str">
        <f t="shared" ca="1" si="10"/>
        <v>#REF!</v>
      </c>
      <c r="AA394" s="99" t="str">
        <f t="shared" ca="1" si="11"/>
        <v>#REF!</v>
      </c>
      <c r="AB394" s="234" t="str">
        <f t="shared" ca="1" si="12"/>
        <v>#REF!</v>
      </c>
      <c r="AC394" s="257" t="str">
        <f t="shared" ca="1" si="13"/>
        <v>#REF!</v>
      </c>
      <c r="AD394" s="234" t="str">
        <f t="shared" ca="1" si="14"/>
        <v>#REF!</v>
      </c>
      <c r="AE394" s="100" t="str">
        <f t="shared" ca="1" si="15"/>
        <v>#REF!</v>
      </c>
      <c r="AF394" s="101" t="str">
        <f t="shared" ca="1" si="16"/>
        <v>#REF!</v>
      </c>
      <c r="AG394" s="102" t="str">
        <f t="shared" ref="AG394:AH394" ca="1" si="412">AE394/V394</f>
        <v>#REF!</v>
      </c>
      <c r="AH394" s="102" t="str">
        <f t="shared" ca="1" si="412"/>
        <v>#REF!</v>
      </c>
    </row>
    <row r="395" spans="1:34" ht="13.2">
      <c r="A395" s="251"/>
      <c r="B395" s="251"/>
      <c r="C395" s="252"/>
      <c r="D395" s="252"/>
      <c r="E395" s="114"/>
      <c r="F395" s="252"/>
      <c r="G395" s="125" t="s">
        <v>145</v>
      </c>
      <c r="I395" s="172"/>
      <c r="J395" s="82" t="str">
        <f t="shared" ca="1" si="0"/>
        <v>#REF!</v>
      </c>
      <c r="K395" s="82" t="str">
        <f t="shared" ca="1" si="1"/>
        <v>#REF!</v>
      </c>
      <c r="L395" s="82" t="str">
        <f t="shared" ca="1" si="44"/>
        <v>#REF!</v>
      </c>
      <c r="M395" s="93"/>
      <c r="N395" s="93"/>
      <c r="O395" s="95">
        <f t="shared" si="2"/>
        <v>0</v>
      </c>
      <c r="P395" s="96">
        <f t="shared" si="3"/>
        <v>0</v>
      </c>
      <c r="Q395" s="97">
        <f t="shared" si="4"/>
        <v>0</v>
      </c>
      <c r="R395" s="97" t="str">
        <f ca="1">ROUNDUP(HLOOKUP(IF(CEILING(L395,0.5)&lt;1,0.5,CEILING(L395,0.5)),'배송비 조회'!A$44:AO$56,7,0)*B$3,-2)</f>
        <v>#REF!</v>
      </c>
      <c r="S395" s="97">
        <v>0</v>
      </c>
      <c r="T395" s="97" t="str">
        <f t="shared" ca="1" si="42"/>
        <v>#REF!</v>
      </c>
      <c r="U395" s="97" t="str">
        <f t="shared" ca="1" si="29"/>
        <v>#REF!</v>
      </c>
      <c r="V395" s="97" t="str">
        <f t="shared" ca="1" si="7"/>
        <v>#REF!</v>
      </c>
      <c r="W395" s="97" t="str">
        <f t="shared" ca="1" si="8"/>
        <v>#REF!</v>
      </c>
      <c r="X395" s="121">
        <v>0</v>
      </c>
      <c r="Y395" s="121" t="str">
        <f t="shared" ca="1" si="9"/>
        <v>#REF!</v>
      </c>
      <c r="Z395" s="121" t="str">
        <f t="shared" ca="1" si="10"/>
        <v>#REF!</v>
      </c>
      <c r="AA395" s="99" t="str">
        <f t="shared" ca="1" si="11"/>
        <v>#REF!</v>
      </c>
      <c r="AB395" s="234" t="str">
        <f t="shared" ca="1" si="12"/>
        <v>#REF!</v>
      </c>
      <c r="AC395" s="257" t="str">
        <f t="shared" ca="1" si="13"/>
        <v>#REF!</v>
      </c>
      <c r="AD395" s="234" t="str">
        <f t="shared" ca="1" si="14"/>
        <v>#REF!</v>
      </c>
      <c r="AE395" s="100" t="str">
        <f t="shared" ca="1" si="15"/>
        <v>#REF!</v>
      </c>
      <c r="AF395" s="101" t="str">
        <f t="shared" ca="1" si="16"/>
        <v>#REF!</v>
      </c>
      <c r="AG395" s="102" t="str">
        <f t="shared" ref="AG395:AH395" ca="1" si="413">AE395/V395</f>
        <v>#REF!</v>
      </c>
      <c r="AH395" s="102" t="str">
        <f t="shared" ca="1" si="413"/>
        <v>#REF!</v>
      </c>
    </row>
    <row r="396" spans="1:34" ht="13.2">
      <c r="A396" s="251"/>
      <c r="B396" s="251"/>
      <c r="C396" s="252"/>
      <c r="D396" s="252"/>
      <c r="E396" s="114"/>
      <c r="F396" s="252"/>
      <c r="G396" s="125" t="s">
        <v>145</v>
      </c>
      <c r="I396" s="172"/>
      <c r="J396" s="82" t="str">
        <f t="shared" ca="1" si="0"/>
        <v>#REF!</v>
      </c>
      <c r="K396" s="82" t="str">
        <f t="shared" ca="1" si="1"/>
        <v>#REF!</v>
      </c>
      <c r="L396" s="82" t="str">
        <f t="shared" ca="1" si="44"/>
        <v>#REF!</v>
      </c>
      <c r="M396" s="93"/>
      <c r="N396" s="93"/>
      <c r="O396" s="95">
        <f t="shared" si="2"/>
        <v>0</v>
      </c>
      <c r="P396" s="96">
        <f t="shared" si="3"/>
        <v>0</v>
      </c>
      <c r="Q396" s="97">
        <f t="shared" si="4"/>
        <v>0</v>
      </c>
      <c r="R396" s="97" t="str">
        <f ca="1">ROUNDUP(HLOOKUP(IF(CEILING(L396,0.5)&lt;1,0.5,CEILING(L396,0.5)),'배송비 조회'!A$44:AO$56,7,0)*B$3,-2)</f>
        <v>#REF!</v>
      </c>
      <c r="S396" s="97">
        <v>0</v>
      </c>
      <c r="T396" s="97" t="str">
        <f t="shared" ca="1" si="42"/>
        <v>#REF!</v>
      </c>
      <c r="U396" s="97" t="str">
        <f t="shared" ca="1" si="29"/>
        <v>#REF!</v>
      </c>
      <c r="V396" s="97" t="str">
        <f t="shared" ca="1" si="7"/>
        <v>#REF!</v>
      </c>
      <c r="W396" s="97" t="str">
        <f t="shared" ca="1" si="8"/>
        <v>#REF!</v>
      </c>
      <c r="X396" s="121">
        <v>0</v>
      </c>
      <c r="Y396" s="121" t="str">
        <f t="shared" ca="1" si="9"/>
        <v>#REF!</v>
      </c>
      <c r="Z396" s="121" t="str">
        <f t="shared" ca="1" si="10"/>
        <v>#REF!</v>
      </c>
      <c r="AA396" s="99" t="str">
        <f t="shared" ca="1" si="11"/>
        <v>#REF!</v>
      </c>
      <c r="AB396" s="234" t="str">
        <f t="shared" ca="1" si="12"/>
        <v>#REF!</v>
      </c>
      <c r="AC396" s="257" t="str">
        <f t="shared" ca="1" si="13"/>
        <v>#REF!</v>
      </c>
      <c r="AD396" s="234" t="str">
        <f t="shared" ca="1" si="14"/>
        <v>#REF!</v>
      </c>
      <c r="AE396" s="100" t="str">
        <f t="shared" ca="1" si="15"/>
        <v>#REF!</v>
      </c>
      <c r="AF396" s="101" t="str">
        <f t="shared" ca="1" si="16"/>
        <v>#REF!</v>
      </c>
      <c r="AG396" s="102" t="str">
        <f t="shared" ref="AG396:AH396" ca="1" si="414">AE396/V396</f>
        <v>#REF!</v>
      </c>
      <c r="AH396" s="102" t="str">
        <f t="shared" ca="1" si="414"/>
        <v>#REF!</v>
      </c>
    </row>
    <row r="397" spans="1:34" ht="13.2">
      <c r="A397" s="251"/>
      <c r="B397" s="251"/>
      <c r="C397" s="252"/>
      <c r="D397" s="252"/>
      <c r="E397" s="114"/>
      <c r="F397" s="252"/>
      <c r="G397" s="125" t="s">
        <v>145</v>
      </c>
      <c r="I397" s="172"/>
      <c r="J397" s="82" t="str">
        <f t="shared" ca="1" si="0"/>
        <v>#REF!</v>
      </c>
      <c r="K397" s="82" t="str">
        <f t="shared" ca="1" si="1"/>
        <v>#REF!</v>
      </c>
      <c r="L397" s="82" t="str">
        <f t="shared" ca="1" si="44"/>
        <v>#REF!</v>
      </c>
      <c r="M397" s="93"/>
      <c r="N397" s="93"/>
      <c r="O397" s="95">
        <f t="shared" si="2"/>
        <v>0</v>
      </c>
      <c r="P397" s="96">
        <f t="shared" si="3"/>
        <v>0</v>
      </c>
      <c r="Q397" s="97">
        <f t="shared" si="4"/>
        <v>0</v>
      </c>
      <c r="R397" s="97" t="str">
        <f ca="1">ROUNDUP(HLOOKUP(IF(CEILING(L397,0.5)&lt;1,0.5,CEILING(L397,0.5)),'배송비 조회'!A$44:AO$56,7,0)*B$3,-2)</f>
        <v>#REF!</v>
      </c>
      <c r="S397" s="97">
        <v>0</v>
      </c>
      <c r="T397" s="97" t="str">
        <f t="shared" ca="1" si="42"/>
        <v>#REF!</v>
      </c>
      <c r="U397" s="97" t="str">
        <f t="shared" ca="1" si="29"/>
        <v>#REF!</v>
      </c>
      <c r="V397" s="97" t="str">
        <f t="shared" ca="1" si="7"/>
        <v>#REF!</v>
      </c>
      <c r="W397" s="97" t="str">
        <f t="shared" ca="1" si="8"/>
        <v>#REF!</v>
      </c>
      <c r="X397" s="121">
        <v>0</v>
      </c>
      <c r="Y397" s="121" t="str">
        <f t="shared" ca="1" si="9"/>
        <v>#REF!</v>
      </c>
      <c r="Z397" s="121" t="str">
        <f t="shared" ca="1" si="10"/>
        <v>#REF!</v>
      </c>
      <c r="AA397" s="99" t="str">
        <f t="shared" ca="1" si="11"/>
        <v>#REF!</v>
      </c>
      <c r="AB397" s="234" t="str">
        <f t="shared" ca="1" si="12"/>
        <v>#REF!</v>
      </c>
      <c r="AC397" s="257" t="str">
        <f t="shared" ca="1" si="13"/>
        <v>#REF!</v>
      </c>
      <c r="AD397" s="234" t="str">
        <f t="shared" ca="1" si="14"/>
        <v>#REF!</v>
      </c>
      <c r="AE397" s="100" t="str">
        <f t="shared" ca="1" si="15"/>
        <v>#REF!</v>
      </c>
      <c r="AF397" s="101" t="str">
        <f t="shared" ca="1" si="16"/>
        <v>#REF!</v>
      </c>
      <c r="AG397" s="102" t="str">
        <f t="shared" ref="AG397:AH397" ca="1" si="415">AE397/V397</f>
        <v>#REF!</v>
      </c>
      <c r="AH397" s="102" t="str">
        <f t="shared" ca="1" si="415"/>
        <v>#REF!</v>
      </c>
    </row>
    <row r="398" spans="1:34" ht="13.2">
      <c r="A398" s="251"/>
      <c r="B398" s="251"/>
      <c r="C398" s="252"/>
      <c r="D398" s="252"/>
      <c r="E398" s="114"/>
      <c r="F398" s="252"/>
      <c r="G398" s="125" t="s">
        <v>145</v>
      </c>
      <c r="I398" s="172"/>
      <c r="J398" s="82" t="str">
        <f t="shared" ca="1" si="0"/>
        <v>#REF!</v>
      </c>
      <c r="K398" s="82" t="str">
        <f t="shared" ca="1" si="1"/>
        <v>#REF!</v>
      </c>
      <c r="L398" s="82" t="str">
        <f t="shared" ca="1" si="44"/>
        <v>#REF!</v>
      </c>
      <c r="M398" s="93"/>
      <c r="N398" s="93"/>
      <c r="O398" s="95">
        <f t="shared" si="2"/>
        <v>0</v>
      </c>
      <c r="P398" s="96">
        <f t="shared" si="3"/>
        <v>0</v>
      </c>
      <c r="Q398" s="97">
        <f t="shared" si="4"/>
        <v>0</v>
      </c>
      <c r="R398" s="97" t="str">
        <f ca="1">ROUNDUP(HLOOKUP(IF(CEILING(L398,0.5)&lt;1,0.5,CEILING(L398,0.5)),'배송비 조회'!A$44:AO$56,7,0)*B$3,-2)</f>
        <v>#REF!</v>
      </c>
      <c r="S398" s="97">
        <v>0</v>
      </c>
      <c r="T398" s="97" t="str">
        <f t="shared" ca="1" si="42"/>
        <v>#REF!</v>
      </c>
      <c r="U398" s="97" t="str">
        <f t="shared" ca="1" si="29"/>
        <v>#REF!</v>
      </c>
      <c r="V398" s="97" t="str">
        <f t="shared" ca="1" si="7"/>
        <v>#REF!</v>
      </c>
      <c r="W398" s="97" t="str">
        <f t="shared" ca="1" si="8"/>
        <v>#REF!</v>
      </c>
      <c r="X398" s="121">
        <v>0</v>
      </c>
      <c r="Y398" s="121" t="str">
        <f t="shared" ca="1" si="9"/>
        <v>#REF!</v>
      </c>
      <c r="Z398" s="121" t="str">
        <f t="shared" ca="1" si="10"/>
        <v>#REF!</v>
      </c>
      <c r="AA398" s="99" t="str">
        <f t="shared" ca="1" si="11"/>
        <v>#REF!</v>
      </c>
      <c r="AB398" s="234" t="str">
        <f t="shared" ca="1" si="12"/>
        <v>#REF!</v>
      </c>
      <c r="AC398" s="257" t="str">
        <f t="shared" ca="1" si="13"/>
        <v>#REF!</v>
      </c>
      <c r="AD398" s="234" t="str">
        <f t="shared" ca="1" si="14"/>
        <v>#REF!</v>
      </c>
      <c r="AE398" s="100" t="str">
        <f t="shared" ca="1" si="15"/>
        <v>#REF!</v>
      </c>
      <c r="AF398" s="101" t="str">
        <f t="shared" ca="1" si="16"/>
        <v>#REF!</v>
      </c>
      <c r="AG398" s="102" t="str">
        <f t="shared" ref="AG398:AH398" ca="1" si="416">AE398/V398</f>
        <v>#REF!</v>
      </c>
      <c r="AH398" s="102" t="str">
        <f t="shared" ca="1" si="416"/>
        <v>#REF!</v>
      </c>
    </row>
    <row r="399" spans="1:34" ht="13.2">
      <c r="A399" s="251"/>
      <c r="B399" s="251"/>
      <c r="C399" s="252"/>
      <c r="D399" s="252"/>
      <c r="E399" s="114"/>
      <c r="F399" s="252"/>
      <c r="G399" s="125" t="s">
        <v>145</v>
      </c>
      <c r="I399" s="172"/>
      <c r="J399" s="82" t="str">
        <f t="shared" ca="1" si="0"/>
        <v>#REF!</v>
      </c>
      <c r="K399" s="82" t="str">
        <f t="shared" ca="1" si="1"/>
        <v>#REF!</v>
      </c>
      <c r="L399" s="82" t="str">
        <f t="shared" ca="1" si="44"/>
        <v>#REF!</v>
      </c>
      <c r="M399" s="93"/>
      <c r="N399" s="93"/>
      <c r="O399" s="95">
        <f t="shared" si="2"/>
        <v>0</v>
      </c>
      <c r="P399" s="96">
        <f t="shared" si="3"/>
        <v>0</v>
      </c>
      <c r="Q399" s="97">
        <f t="shared" si="4"/>
        <v>0</v>
      </c>
      <c r="R399" s="97" t="str">
        <f ca="1">ROUNDUP(HLOOKUP(IF(CEILING(L399,0.5)&lt;1,0.5,CEILING(L399,0.5)),'배송비 조회'!A$44:AO$56,7,0)*B$3,-2)</f>
        <v>#REF!</v>
      </c>
      <c r="S399" s="97">
        <v>0</v>
      </c>
      <c r="T399" s="97" t="str">
        <f t="shared" ca="1" si="42"/>
        <v>#REF!</v>
      </c>
      <c r="U399" s="97" t="str">
        <f t="shared" ca="1" si="29"/>
        <v>#REF!</v>
      </c>
      <c r="V399" s="97" t="str">
        <f t="shared" ca="1" si="7"/>
        <v>#REF!</v>
      </c>
      <c r="W399" s="97" t="str">
        <f t="shared" ca="1" si="8"/>
        <v>#REF!</v>
      </c>
      <c r="X399" s="121">
        <v>0</v>
      </c>
      <c r="Y399" s="121" t="str">
        <f t="shared" ca="1" si="9"/>
        <v>#REF!</v>
      </c>
      <c r="Z399" s="121" t="str">
        <f t="shared" ca="1" si="10"/>
        <v>#REF!</v>
      </c>
      <c r="AA399" s="99" t="str">
        <f t="shared" ca="1" si="11"/>
        <v>#REF!</v>
      </c>
      <c r="AB399" s="234" t="str">
        <f t="shared" ca="1" si="12"/>
        <v>#REF!</v>
      </c>
      <c r="AC399" s="257" t="str">
        <f t="shared" ca="1" si="13"/>
        <v>#REF!</v>
      </c>
      <c r="AD399" s="234" t="str">
        <f t="shared" ca="1" si="14"/>
        <v>#REF!</v>
      </c>
      <c r="AE399" s="100" t="str">
        <f t="shared" ca="1" si="15"/>
        <v>#REF!</v>
      </c>
      <c r="AF399" s="101" t="str">
        <f t="shared" ca="1" si="16"/>
        <v>#REF!</v>
      </c>
      <c r="AG399" s="102" t="str">
        <f t="shared" ref="AG399:AH399" ca="1" si="417">AE399/V399</f>
        <v>#REF!</v>
      </c>
      <c r="AH399" s="102" t="str">
        <f t="shared" ca="1" si="417"/>
        <v>#REF!</v>
      </c>
    </row>
    <row r="400" spans="1:34" ht="13.2">
      <c r="A400" s="251"/>
      <c r="B400" s="251"/>
      <c r="C400" s="252"/>
      <c r="D400" s="252"/>
      <c r="E400" s="114"/>
      <c r="F400" s="252"/>
      <c r="G400" s="125" t="s">
        <v>145</v>
      </c>
      <c r="I400" s="172"/>
      <c r="J400" s="82" t="str">
        <f t="shared" ca="1" si="0"/>
        <v>#REF!</v>
      </c>
      <c r="K400" s="82" t="str">
        <f t="shared" ca="1" si="1"/>
        <v>#REF!</v>
      </c>
      <c r="L400" s="82" t="str">
        <f t="shared" ca="1" si="44"/>
        <v>#REF!</v>
      </c>
      <c r="M400" s="93"/>
      <c r="N400" s="93"/>
      <c r="O400" s="95">
        <f t="shared" si="2"/>
        <v>0</v>
      </c>
      <c r="P400" s="96">
        <f t="shared" si="3"/>
        <v>0</v>
      </c>
      <c r="Q400" s="97">
        <f t="shared" si="4"/>
        <v>0</v>
      </c>
      <c r="R400" s="97" t="str">
        <f ca="1">ROUNDUP(HLOOKUP(IF(CEILING(L400,0.5)&lt;1,0.5,CEILING(L400,0.5)),'배송비 조회'!A$44:AO$56,7,0)*B$3,-2)</f>
        <v>#REF!</v>
      </c>
      <c r="S400" s="97">
        <v>0</v>
      </c>
      <c r="T400" s="97" t="str">
        <f t="shared" ca="1" si="42"/>
        <v>#REF!</v>
      </c>
      <c r="U400" s="97" t="str">
        <f t="shared" ca="1" si="29"/>
        <v>#REF!</v>
      </c>
      <c r="V400" s="97" t="str">
        <f t="shared" ca="1" si="7"/>
        <v>#REF!</v>
      </c>
      <c r="W400" s="97" t="str">
        <f t="shared" ca="1" si="8"/>
        <v>#REF!</v>
      </c>
      <c r="X400" s="121">
        <v>0</v>
      </c>
      <c r="Y400" s="121" t="str">
        <f t="shared" ca="1" si="9"/>
        <v>#REF!</v>
      </c>
      <c r="Z400" s="121" t="str">
        <f t="shared" ca="1" si="10"/>
        <v>#REF!</v>
      </c>
      <c r="AA400" s="99" t="str">
        <f t="shared" ca="1" si="11"/>
        <v>#REF!</v>
      </c>
      <c r="AB400" s="234" t="str">
        <f t="shared" ca="1" si="12"/>
        <v>#REF!</v>
      </c>
      <c r="AC400" s="257" t="str">
        <f t="shared" ca="1" si="13"/>
        <v>#REF!</v>
      </c>
      <c r="AD400" s="234" t="str">
        <f t="shared" ca="1" si="14"/>
        <v>#REF!</v>
      </c>
      <c r="AE400" s="100" t="str">
        <f t="shared" ca="1" si="15"/>
        <v>#REF!</v>
      </c>
      <c r="AF400" s="101" t="str">
        <f t="shared" ca="1" si="16"/>
        <v>#REF!</v>
      </c>
      <c r="AG400" s="102" t="str">
        <f t="shared" ref="AG400:AH400" ca="1" si="418">AE400/V400</f>
        <v>#REF!</v>
      </c>
      <c r="AH400" s="102" t="str">
        <f t="shared" ca="1" si="418"/>
        <v>#REF!</v>
      </c>
    </row>
    <row r="401" spans="1:34" ht="13.2">
      <c r="A401" s="251"/>
      <c r="B401" s="251"/>
      <c r="C401" s="252"/>
      <c r="D401" s="252"/>
      <c r="E401" s="114"/>
      <c r="F401" s="252"/>
      <c r="G401" s="125" t="s">
        <v>145</v>
      </c>
      <c r="I401" s="172"/>
      <c r="J401" s="82" t="str">
        <f t="shared" ca="1" si="0"/>
        <v>#REF!</v>
      </c>
      <c r="K401" s="82" t="str">
        <f t="shared" ca="1" si="1"/>
        <v>#REF!</v>
      </c>
      <c r="L401" s="82" t="str">
        <f t="shared" ca="1" si="44"/>
        <v>#REF!</v>
      </c>
      <c r="M401" s="93"/>
      <c r="N401" s="93"/>
      <c r="O401" s="95">
        <f t="shared" si="2"/>
        <v>0</v>
      </c>
      <c r="P401" s="96">
        <f t="shared" si="3"/>
        <v>0</v>
      </c>
      <c r="Q401" s="97">
        <f t="shared" si="4"/>
        <v>0</v>
      </c>
      <c r="R401" s="97" t="str">
        <f ca="1">ROUNDUP(HLOOKUP(IF(CEILING(L401,0.5)&lt;1,0.5,CEILING(L401,0.5)),'배송비 조회'!A$44:AO$56,7,0)*B$3,-2)</f>
        <v>#REF!</v>
      </c>
      <c r="S401" s="97">
        <v>0</v>
      </c>
      <c r="T401" s="97" t="str">
        <f t="shared" ca="1" si="42"/>
        <v>#REF!</v>
      </c>
      <c r="U401" s="97" t="str">
        <f t="shared" ca="1" si="29"/>
        <v>#REF!</v>
      </c>
      <c r="V401" s="97" t="str">
        <f t="shared" ca="1" si="7"/>
        <v>#REF!</v>
      </c>
      <c r="W401" s="97" t="str">
        <f t="shared" ca="1" si="8"/>
        <v>#REF!</v>
      </c>
      <c r="X401" s="121">
        <v>0</v>
      </c>
      <c r="Y401" s="121" t="str">
        <f t="shared" ca="1" si="9"/>
        <v>#REF!</v>
      </c>
      <c r="Z401" s="121" t="str">
        <f t="shared" ca="1" si="10"/>
        <v>#REF!</v>
      </c>
      <c r="AA401" s="99" t="str">
        <f t="shared" ca="1" si="11"/>
        <v>#REF!</v>
      </c>
      <c r="AB401" s="234" t="str">
        <f t="shared" ca="1" si="12"/>
        <v>#REF!</v>
      </c>
      <c r="AC401" s="257" t="str">
        <f t="shared" ca="1" si="13"/>
        <v>#REF!</v>
      </c>
      <c r="AD401" s="234" t="str">
        <f t="shared" ca="1" si="14"/>
        <v>#REF!</v>
      </c>
      <c r="AE401" s="100" t="str">
        <f t="shared" ca="1" si="15"/>
        <v>#REF!</v>
      </c>
      <c r="AF401" s="101" t="str">
        <f t="shared" ca="1" si="16"/>
        <v>#REF!</v>
      </c>
      <c r="AG401" s="102" t="str">
        <f t="shared" ref="AG401:AH401" ca="1" si="419">AE401/V401</f>
        <v>#REF!</v>
      </c>
      <c r="AH401" s="102" t="str">
        <f t="shared" ca="1" si="419"/>
        <v>#REF!</v>
      </c>
    </row>
    <row r="402" spans="1:34" ht="13.2">
      <c r="A402" s="251"/>
      <c r="B402" s="251"/>
      <c r="C402" s="252"/>
      <c r="D402" s="252"/>
      <c r="E402" s="114"/>
      <c r="F402" s="252"/>
      <c r="G402" s="125" t="s">
        <v>145</v>
      </c>
      <c r="I402" s="172"/>
      <c r="J402" s="82" t="str">
        <f t="shared" ca="1" si="0"/>
        <v>#REF!</v>
      </c>
      <c r="K402" s="82" t="str">
        <f t="shared" ca="1" si="1"/>
        <v>#REF!</v>
      </c>
      <c r="L402" s="82" t="str">
        <f t="shared" ca="1" si="44"/>
        <v>#REF!</v>
      </c>
      <c r="M402" s="93"/>
      <c r="N402" s="93"/>
      <c r="O402" s="95">
        <f t="shared" si="2"/>
        <v>0</v>
      </c>
      <c r="P402" s="96">
        <f t="shared" si="3"/>
        <v>0</v>
      </c>
      <c r="Q402" s="97">
        <f t="shared" si="4"/>
        <v>0</v>
      </c>
      <c r="R402" s="97" t="str">
        <f ca="1">ROUNDUP(HLOOKUP(IF(CEILING(L402,0.5)&lt;1,0.5,CEILING(L402,0.5)),'배송비 조회'!A$44:AO$56,7,0)*B$3,-2)</f>
        <v>#REF!</v>
      </c>
      <c r="S402" s="97">
        <v>0</v>
      </c>
      <c r="T402" s="97" t="str">
        <f t="shared" ca="1" si="42"/>
        <v>#REF!</v>
      </c>
      <c r="U402" s="97" t="str">
        <f t="shared" ca="1" si="29"/>
        <v>#REF!</v>
      </c>
      <c r="V402" s="97" t="str">
        <f t="shared" ca="1" si="7"/>
        <v>#REF!</v>
      </c>
      <c r="W402" s="97" t="str">
        <f t="shared" ca="1" si="8"/>
        <v>#REF!</v>
      </c>
      <c r="X402" s="121">
        <v>0</v>
      </c>
      <c r="Y402" s="121" t="str">
        <f t="shared" ca="1" si="9"/>
        <v>#REF!</v>
      </c>
      <c r="Z402" s="121" t="str">
        <f t="shared" ca="1" si="10"/>
        <v>#REF!</v>
      </c>
      <c r="AA402" s="99" t="str">
        <f t="shared" ca="1" si="11"/>
        <v>#REF!</v>
      </c>
      <c r="AB402" s="234" t="str">
        <f t="shared" ca="1" si="12"/>
        <v>#REF!</v>
      </c>
      <c r="AC402" s="257" t="str">
        <f t="shared" ca="1" si="13"/>
        <v>#REF!</v>
      </c>
      <c r="AD402" s="234" t="str">
        <f t="shared" ca="1" si="14"/>
        <v>#REF!</v>
      </c>
      <c r="AE402" s="100" t="str">
        <f t="shared" ca="1" si="15"/>
        <v>#REF!</v>
      </c>
      <c r="AF402" s="101" t="str">
        <f t="shared" ca="1" si="16"/>
        <v>#REF!</v>
      </c>
      <c r="AG402" s="102" t="str">
        <f t="shared" ref="AG402:AH402" ca="1" si="420">AE402/V402</f>
        <v>#REF!</v>
      </c>
      <c r="AH402" s="102" t="str">
        <f t="shared" ca="1" si="420"/>
        <v>#REF!</v>
      </c>
    </row>
    <row r="403" spans="1:34" ht="13.2">
      <c r="A403" s="251"/>
      <c r="B403" s="251"/>
      <c r="C403" s="252"/>
      <c r="D403" s="252"/>
      <c r="E403" s="114"/>
      <c r="F403" s="252"/>
      <c r="G403" s="125" t="s">
        <v>145</v>
      </c>
      <c r="I403" s="172"/>
      <c r="J403" s="82" t="str">
        <f t="shared" ca="1" si="0"/>
        <v>#REF!</v>
      </c>
      <c r="K403" s="82" t="str">
        <f t="shared" ca="1" si="1"/>
        <v>#REF!</v>
      </c>
      <c r="L403" s="82" t="str">
        <f t="shared" ca="1" si="44"/>
        <v>#REF!</v>
      </c>
      <c r="M403" s="93"/>
      <c r="N403" s="93"/>
      <c r="O403" s="95">
        <f t="shared" si="2"/>
        <v>0</v>
      </c>
      <c r="P403" s="96">
        <f t="shared" si="3"/>
        <v>0</v>
      </c>
      <c r="Q403" s="97">
        <f t="shared" si="4"/>
        <v>0</v>
      </c>
      <c r="R403" s="97" t="str">
        <f ca="1">ROUNDUP(HLOOKUP(IF(CEILING(L403,0.5)&lt;1,0.5,CEILING(L403,0.5)),'배송비 조회'!A$44:AO$56,7,0)*B$3,-2)</f>
        <v>#REF!</v>
      </c>
      <c r="S403" s="97">
        <v>0</v>
      </c>
      <c r="T403" s="97" t="str">
        <f t="shared" ca="1" si="42"/>
        <v>#REF!</v>
      </c>
      <c r="U403" s="97" t="str">
        <f t="shared" ca="1" si="29"/>
        <v>#REF!</v>
      </c>
      <c r="V403" s="97" t="str">
        <f t="shared" ca="1" si="7"/>
        <v>#REF!</v>
      </c>
      <c r="W403" s="97" t="str">
        <f t="shared" ca="1" si="8"/>
        <v>#REF!</v>
      </c>
      <c r="X403" s="121">
        <v>0</v>
      </c>
      <c r="Y403" s="121" t="str">
        <f t="shared" ca="1" si="9"/>
        <v>#REF!</v>
      </c>
      <c r="Z403" s="121" t="str">
        <f t="shared" ca="1" si="10"/>
        <v>#REF!</v>
      </c>
      <c r="AA403" s="99" t="str">
        <f t="shared" ca="1" si="11"/>
        <v>#REF!</v>
      </c>
      <c r="AB403" s="234" t="str">
        <f t="shared" ca="1" si="12"/>
        <v>#REF!</v>
      </c>
      <c r="AC403" s="257" t="str">
        <f t="shared" ca="1" si="13"/>
        <v>#REF!</v>
      </c>
      <c r="AD403" s="234" t="str">
        <f t="shared" ca="1" si="14"/>
        <v>#REF!</v>
      </c>
      <c r="AE403" s="100" t="str">
        <f t="shared" ca="1" si="15"/>
        <v>#REF!</v>
      </c>
      <c r="AF403" s="101" t="str">
        <f t="shared" ca="1" si="16"/>
        <v>#REF!</v>
      </c>
      <c r="AG403" s="102" t="str">
        <f t="shared" ref="AG403:AH403" ca="1" si="421">AE403/V403</f>
        <v>#REF!</v>
      </c>
      <c r="AH403" s="102" t="str">
        <f t="shared" ca="1" si="421"/>
        <v>#REF!</v>
      </c>
    </row>
    <row r="404" spans="1:34" ht="13.2">
      <c r="A404" s="251"/>
      <c r="B404" s="251"/>
      <c r="C404" s="252"/>
      <c r="D404" s="252"/>
      <c r="E404" s="114"/>
      <c r="F404" s="252"/>
      <c r="G404" s="125" t="s">
        <v>145</v>
      </c>
      <c r="I404" s="172"/>
      <c r="J404" s="82" t="str">
        <f t="shared" ca="1" si="0"/>
        <v>#REF!</v>
      </c>
      <c r="K404" s="82" t="str">
        <f t="shared" ca="1" si="1"/>
        <v>#REF!</v>
      </c>
      <c r="L404" s="82" t="str">
        <f t="shared" ca="1" si="44"/>
        <v>#REF!</v>
      </c>
      <c r="M404" s="93"/>
      <c r="N404" s="93"/>
      <c r="O404" s="95">
        <f t="shared" si="2"/>
        <v>0</v>
      </c>
      <c r="P404" s="96">
        <f t="shared" si="3"/>
        <v>0</v>
      </c>
      <c r="Q404" s="97">
        <f t="shared" si="4"/>
        <v>0</v>
      </c>
      <c r="R404" s="97" t="str">
        <f ca="1">ROUNDUP(HLOOKUP(IF(CEILING(L404,0.5)&lt;1,0.5,CEILING(L404,0.5)),'배송비 조회'!A$44:AO$56,7,0)*B$3,-2)</f>
        <v>#REF!</v>
      </c>
      <c r="S404" s="97">
        <v>0</v>
      </c>
      <c r="T404" s="97" t="str">
        <f t="shared" ca="1" si="42"/>
        <v>#REF!</v>
      </c>
      <c r="U404" s="97" t="str">
        <f t="shared" ca="1" si="29"/>
        <v>#REF!</v>
      </c>
      <c r="V404" s="97" t="str">
        <f t="shared" ca="1" si="7"/>
        <v>#REF!</v>
      </c>
      <c r="W404" s="97" t="str">
        <f t="shared" ca="1" si="8"/>
        <v>#REF!</v>
      </c>
      <c r="X404" s="121">
        <v>0</v>
      </c>
      <c r="Y404" s="121" t="str">
        <f t="shared" ca="1" si="9"/>
        <v>#REF!</v>
      </c>
      <c r="Z404" s="121" t="str">
        <f t="shared" ca="1" si="10"/>
        <v>#REF!</v>
      </c>
      <c r="AA404" s="99" t="str">
        <f t="shared" ca="1" si="11"/>
        <v>#REF!</v>
      </c>
      <c r="AB404" s="234" t="str">
        <f t="shared" ca="1" si="12"/>
        <v>#REF!</v>
      </c>
      <c r="AC404" s="257" t="str">
        <f t="shared" ca="1" si="13"/>
        <v>#REF!</v>
      </c>
      <c r="AD404" s="234" t="str">
        <f t="shared" ca="1" si="14"/>
        <v>#REF!</v>
      </c>
      <c r="AE404" s="100" t="str">
        <f t="shared" ca="1" si="15"/>
        <v>#REF!</v>
      </c>
      <c r="AF404" s="101" t="str">
        <f t="shared" ca="1" si="16"/>
        <v>#REF!</v>
      </c>
      <c r="AG404" s="102" t="str">
        <f t="shared" ref="AG404:AH404" ca="1" si="422">AE404/V404</f>
        <v>#REF!</v>
      </c>
      <c r="AH404" s="102" t="str">
        <f t="shared" ca="1" si="422"/>
        <v>#REF!</v>
      </c>
    </row>
    <row r="405" spans="1:34" ht="13.2">
      <c r="A405" s="251"/>
      <c r="B405" s="251"/>
      <c r="C405" s="252"/>
      <c r="D405" s="252"/>
      <c r="E405" s="114"/>
      <c r="F405" s="252"/>
      <c r="G405" s="125" t="s">
        <v>145</v>
      </c>
      <c r="I405" s="172"/>
      <c r="J405" s="82" t="str">
        <f t="shared" ca="1" si="0"/>
        <v>#REF!</v>
      </c>
      <c r="K405" s="82" t="str">
        <f t="shared" ca="1" si="1"/>
        <v>#REF!</v>
      </c>
      <c r="L405" s="82" t="str">
        <f t="shared" ca="1" si="44"/>
        <v>#REF!</v>
      </c>
      <c r="M405" s="93"/>
      <c r="N405" s="93"/>
      <c r="O405" s="95">
        <f t="shared" si="2"/>
        <v>0</v>
      </c>
      <c r="P405" s="96">
        <f t="shared" si="3"/>
        <v>0</v>
      </c>
      <c r="Q405" s="97">
        <f t="shared" si="4"/>
        <v>0</v>
      </c>
      <c r="R405" s="97" t="str">
        <f ca="1">ROUNDUP(HLOOKUP(IF(CEILING(L405,0.5)&lt;1,0.5,CEILING(L405,0.5)),'배송비 조회'!A$44:AO$56,7,0)*B$3,-2)</f>
        <v>#REF!</v>
      </c>
      <c r="S405" s="97">
        <v>0</v>
      </c>
      <c r="T405" s="97" t="str">
        <f t="shared" ca="1" si="42"/>
        <v>#REF!</v>
      </c>
      <c r="U405" s="97" t="str">
        <f t="shared" ca="1" si="29"/>
        <v>#REF!</v>
      </c>
      <c r="V405" s="97" t="str">
        <f t="shared" ca="1" si="7"/>
        <v>#REF!</v>
      </c>
      <c r="W405" s="97" t="str">
        <f t="shared" ca="1" si="8"/>
        <v>#REF!</v>
      </c>
      <c r="X405" s="121">
        <v>0</v>
      </c>
      <c r="Y405" s="121" t="str">
        <f t="shared" ca="1" si="9"/>
        <v>#REF!</v>
      </c>
      <c r="Z405" s="121" t="str">
        <f t="shared" ca="1" si="10"/>
        <v>#REF!</v>
      </c>
      <c r="AA405" s="99" t="str">
        <f t="shared" ca="1" si="11"/>
        <v>#REF!</v>
      </c>
      <c r="AB405" s="234" t="str">
        <f t="shared" ca="1" si="12"/>
        <v>#REF!</v>
      </c>
      <c r="AC405" s="257" t="str">
        <f t="shared" ca="1" si="13"/>
        <v>#REF!</v>
      </c>
      <c r="AD405" s="234" t="str">
        <f t="shared" ca="1" si="14"/>
        <v>#REF!</v>
      </c>
      <c r="AE405" s="100" t="str">
        <f t="shared" ca="1" si="15"/>
        <v>#REF!</v>
      </c>
      <c r="AF405" s="101" t="str">
        <f t="shared" ca="1" si="16"/>
        <v>#REF!</v>
      </c>
      <c r="AG405" s="102" t="str">
        <f t="shared" ref="AG405:AH405" ca="1" si="423">AE405/V405</f>
        <v>#REF!</v>
      </c>
      <c r="AH405" s="102" t="str">
        <f t="shared" ca="1" si="423"/>
        <v>#REF!</v>
      </c>
    </row>
    <row r="406" spans="1:34" ht="13.2">
      <c r="A406" s="251"/>
      <c r="B406" s="251"/>
      <c r="C406" s="252"/>
      <c r="D406" s="252"/>
      <c r="E406" s="114"/>
      <c r="F406" s="252"/>
      <c r="G406" s="125" t="s">
        <v>145</v>
      </c>
      <c r="I406" s="172"/>
      <c r="J406" s="82" t="str">
        <f t="shared" ca="1" si="0"/>
        <v>#REF!</v>
      </c>
      <c r="K406" s="82" t="str">
        <f t="shared" ca="1" si="1"/>
        <v>#REF!</v>
      </c>
      <c r="L406" s="82" t="str">
        <f t="shared" ca="1" si="44"/>
        <v>#REF!</v>
      </c>
      <c r="M406" s="93"/>
      <c r="N406" s="93"/>
      <c r="O406" s="95">
        <f t="shared" si="2"/>
        <v>0</v>
      </c>
      <c r="P406" s="96">
        <f t="shared" si="3"/>
        <v>0</v>
      </c>
      <c r="Q406" s="97">
        <f t="shared" si="4"/>
        <v>0</v>
      </c>
      <c r="R406" s="97" t="str">
        <f ca="1">ROUNDUP(HLOOKUP(IF(CEILING(L406,0.5)&lt;1,0.5,CEILING(L406,0.5)),'배송비 조회'!A$44:AO$56,7,0)*B$3,-2)</f>
        <v>#REF!</v>
      </c>
      <c r="S406" s="97">
        <v>0</v>
      </c>
      <c r="T406" s="97" t="str">
        <f t="shared" ca="1" si="42"/>
        <v>#REF!</v>
      </c>
      <c r="U406" s="97" t="str">
        <f t="shared" ca="1" si="29"/>
        <v>#REF!</v>
      </c>
      <c r="V406" s="97" t="str">
        <f t="shared" ca="1" si="7"/>
        <v>#REF!</v>
      </c>
      <c r="W406" s="97" t="str">
        <f t="shared" ca="1" si="8"/>
        <v>#REF!</v>
      </c>
      <c r="X406" s="121">
        <v>0</v>
      </c>
      <c r="Y406" s="121" t="str">
        <f t="shared" ca="1" si="9"/>
        <v>#REF!</v>
      </c>
      <c r="Z406" s="121" t="str">
        <f t="shared" ca="1" si="10"/>
        <v>#REF!</v>
      </c>
      <c r="AA406" s="99" t="str">
        <f t="shared" ca="1" si="11"/>
        <v>#REF!</v>
      </c>
      <c r="AB406" s="234" t="str">
        <f t="shared" ca="1" si="12"/>
        <v>#REF!</v>
      </c>
      <c r="AC406" s="257" t="str">
        <f t="shared" ca="1" si="13"/>
        <v>#REF!</v>
      </c>
      <c r="AD406" s="234" t="str">
        <f t="shared" ca="1" si="14"/>
        <v>#REF!</v>
      </c>
      <c r="AE406" s="100" t="str">
        <f t="shared" ca="1" si="15"/>
        <v>#REF!</v>
      </c>
      <c r="AF406" s="101" t="str">
        <f t="shared" ca="1" si="16"/>
        <v>#REF!</v>
      </c>
      <c r="AG406" s="102" t="str">
        <f t="shared" ref="AG406:AH406" ca="1" si="424">AE406/V406</f>
        <v>#REF!</v>
      </c>
      <c r="AH406" s="102" t="str">
        <f t="shared" ca="1" si="424"/>
        <v>#REF!</v>
      </c>
    </row>
    <row r="407" spans="1:34" ht="13.2">
      <c r="A407" s="251"/>
      <c r="B407" s="251"/>
      <c r="C407" s="252"/>
      <c r="D407" s="252"/>
      <c r="E407" s="114"/>
      <c r="F407" s="252"/>
      <c r="G407" s="125" t="s">
        <v>145</v>
      </c>
      <c r="I407" s="172"/>
      <c r="J407" s="82" t="str">
        <f t="shared" ca="1" si="0"/>
        <v>#REF!</v>
      </c>
      <c r="K407" s="82" t="str">
        <f t="shared" ca="1" si="1"/>
        <v>#REF!</v>
      </c>
      <c r="L407" s="82" t="str">
        <f t="shared" ca="1" si="44"/>
        <v>#REF!</v>
      </c>
      <c r="M407" s="93"/>
      <c r="N407" s="93"/>
      <c r="O407" s="95">
        <f t="shared" si="2"/>
        <v>0</v>
      </c>
      <c r="P407" s="96">
        <f t="shared" si="3"/>
        <v>0</v>
      </c>
      <c r="Q407" s="97">
        <f t="shared" si="4"/>
        <v>0</v>
      </c>
      <c r="R407" s="97" t="str">
        <f ca="1">ROUNDUP(HLOOKUP(IF(CEILING(L407,0.5)&lt;1,0.5,CEILING(L407,0.5)),'배송비 조회'!A$44:AO$56,7,0)*B$3,-2)</f>
        <v>#REF!</v>
      </c>
      <c r="S407" s="97">
        <v>0</v>
      </c>
      <c r="T407" s="97" t="str">
        <f t="shared" ca="1" si="42"/>
        <v>#REF!</v>
      </c>
      <c r="U407" s="97" t="str">
        <f t="shared" ca="1" si="29"/>
        <v>#REF!</v>
      </c>
      <c r="V407" s="97" t="str">
        <f t="shared" ca="1" si="7"/>
        <v>#REF!</v>
      </c>
      <c r="W407" s="97" t="str">
        <f t="shared" ca="1" si="8"/>
        <v>#REF!</v>
      </c>
      <c r="X407" s="121">
        <v>0</v>
      </c>
      <c r="Y407" s="121" t="str">
        <f t="shared" ca="1" si="9"/>
        <v>#REF!</v>
      </c>
      <c r="Z407" s="121" t="str">
        <f t="shared" ca="1" si="10"/>
        <v>#REF!</v>
      </c>
      <c r="AA407" s="99" t="str">
        <f t="shared" ca="1" si="11"/>
        <v>#REF!</v>
      </c>
      <c r="AB407" s="234" t="str">
        <f t="shared" ca="1" si="12"/>
        <v>#REF!</v>
      </c>
      <c r="AC407" s="257" t="str">
        <f t="shared" ca="1" si="13"/>
        <v>#REF!</v>
      </c>
      <c r="AD407" s="234" t="str">
        <f t="shared" ca="1" si="14"/>
        <v>#REF!</v>
      </c>
      <c r="AE407" s="100" t="str">
        <f t="shared" ca="1" si="15"/>
        <v>#REF!</v>
      </c>
      <c r="AF407" s="101" t="str">
        <f t="shared" ca="1" si="16"/>
        <v>#REF!</v>
      </c>
      <c r="AG407" s="102" t="str">
        <f t="shared" ref="AG407:AH407" ca="1" si="425">AE407/V407</f>
        <v>#REF!</v>
      </c>
      <c r="AH407" s="102" t="str">
        <f t="shared" ca="1" si="425"/>
        <v>#REF!</v>
      </c>
    </row>
    <row r="408" spans="1:34" ht="13.2">
      <c r="A408" s="251"/>
      <c r="B408" s="251"/>
      <c r="C408" s="252"/>
      <c r="D408" s="252"/>
      <c r="E408" s="114"/>
      <c r="F408" s="252"/>
      <c r="G408" s="125" t="s">
        <v>145</v>
      </c>
      <c r="I408" s="172"/>
      <c r="J408" s="82" t="str">
        <f t="shared" ca="1" si="0"/>
        <v>#REF!</v>
      </c>
      <c r="K408" s="82" t="str">
        <f t="shared" ca="1" si="1"/>
        <v>#REF!</v>
      </c>
      <c r="L408" s="82" t="str">
        <f t="shared" ca="1" si="44"/>
        <v>#REF!</v>
      </c>
      <c r="M408" s="93"/>
      <c r="N408" s="93"/>
      <c r="O408" s="95">
        <f t="shared" si="2"/>
        <v>0</v>
      </c>
      <c r="P408" s="96">
        <f t="shared" si="3"/>
        <v>0</v>
      </c>
      <c r="Q408" s="97">
        <f t="shared" si="4"/>
        <v>0</v>
      </c>
      <c r="R408" s="97" t="str">
        <f ca="1">ROUNDUP(HLOOKUP(IF(CEILING(L408,0.5)&lt;1,0.5,CEILING(L408,0.5)),'배송비 조회'!A$44:AO$56,7,0)*B$3,-2)</f>
        <v>#REF!</v>
      </c>
      <c r="S408" s="97">
        <v>0</v>
      </c>
      <c r="T408" s="97" t="str">
        <f t="shared" ca="1" si="42"/>
        <v>#REF!</v>
      </c>
      <c r="U408" s="97" t="str">
        <f t="shared" ca="1" si="29"/>
        <v>#REF!</v>
      </c>
      <c r="V408" s="97" t="str">
        <f t="shared" ca="1" si="7"/>
        <v>#REF!</v>
      </c>
      <c r="W408" s="97" t="str">
        <f t="shared" ca="1" si="8"/>
        <v>#REF!</v>
      </c>
      <c r="X408" s="121">
        <v>0</v>
      </c>
      <c r="Y408" s="121" t="str">
        <f t="shared" ca="1" si="9"/>
        <v>#REF!</v>
      </c>
      <c r="Z408" s="121" t="str">
        <f t="shared" ca="1" si="10"/>
        <v>#REF!</v>
      </c>
      <c r="AA408" s="99" t="str">
        <f t="shared" ca="1" si="11"/>
        <v>#REF!</v>
      </c>
      <c r="AB408" s="234" t="str">
        <f t="shared" ca="1" si="12"/>
        <v>#REF!</v>
      </c>
      <c r="AC408" s="257" t="str">
        <f t="shared" ca="1" si="13"/>
        <v>#REF!</v>
      </c>
      <c r="AD408" s="234" t="str">
        <f t="shared" ca="1" si="14"/>
        <v>#REF!</v>
      </c>
      <c r="AE408" s="100" t="str">
        <f t="shared" ca="1" si="15"/>
        <v>#REF!</v>
      </c>
      <c r="AF408" s="101" t="str">
        <f t="shared" ca="1" si="16"/>
        <v>#REF!</v>
      </c>
      <c r="AG408" s="102" t="str">
        <f t="shared" ref="AG408:AH408" ca="1" si="426">AE408/V408</f>
        <v>#REF!</v>
      </c>
      <c r="AH408" s="102" t="str">
        <f t="shared" ca="1" si="426"/>
        <v>#REF!</v>
      </c>
    </row>
    <row r="409" spans="1:34" ht="13.2">
      <c r="A409" s="251"/>
      <c r="B409" s="251"/>
      <c r="C409" s="252"/>
      <c r="D409" s="252"/>
      <c r="E409" s="114"/>
      <c r="F409" s="252"/>
      <c r="G409" s="125" t="s">
        <v>145</v>
      </c>
      <c r="I409" s="172"/>
      <c r="J409" s="82" t="str">
        <f t="shared" ca="1" si="0"/>
        <v>#REF!</v>
      </c>
      <c r="K409" s="82" t="str">
        <f t="shared" ca="1" si="1"/>
        <v>#REF!</v>
      </c>
      <c r="L409" s="82" t="str">
        <f t="shared" ca="1" si="44"/>
        <v>#REF!</v>
      </c>
      <c r="M409" s="93"/>
      <c r="N409" s="93"/>
      <c r="O409" s="95">
        <f t="shared" si="2"/>
        <v>0</v>
      </c>
      <c r="P409" s="96">
        <f t="shared" si="3"/>
        <v>0</v>
      </c>
      <c r="Q409" s="97">
        <f t="shared" si="4"/>
        <v>0</v>
      </c>
      <c r="R409" s="97" t="str">
        <f ca="1">ROUNDUP(HLOOKUP(IF(CEILING(L409,0.5)&lt;1,0.5,CEILING(L409,0.5)),'배송비 조회'!A$44:AO$56,7,0)*B$3,-2)</f>
        <v>#REF!</v>
      </c>
      <c r="S409" s="97">
        <v>0</v>
      </c>
      <c r="T409" s="97" t="str">
        <f t="shared" ca="1" si="42"/>
        <v>#REF!</v>
      </c>
      <c r="U409" s="97" t="str">
        <f t="shared" ca="1" si="29"/>
        <v>#REF!</v>
      </c>
      <c r="V409" s="97" t="str">
        <f t="shared" ca="1" si="7"/>
        <v>#REF!</v>
      </c>
      <c r="W409" s="97" t="str">
        <f t="shared" ca="1" si="8"/>
        <v>#REF!</v>
      </c>
      <c r="X409" s="121">
        <v>0</v>
      </c>
      <c r="Y409" s="121" t="str">
        <f t="shared" ca="1" si="9"/>
        <v>#REF!</v>
      </c>
      <c r="Z409" s="121" t="str">
        <f t="shared" ca="1" si="10"/>
        <v>#REF!</v>
      </c>
      <c r="AA409" s="99" t="str">
        <f t="shared" ca="1" si="11"/>
        <v>#REF!</v>
      </c>
      <c r="AB409" s="234" t="str">
        <f t="shared" ca="1" si="12"/>
        <v>#REF!</v>
      </c>
      <c r="AC409" s="257" t="str">
        <f t="shared" ca="1" si="13"/>
        <v>#REF!</v>
      </c>
      <c r="AD409" s="234" t="str">
        <f t="shared" ca="1" si="14"/>
        <v>#REF!</v>
      </c>
      <c r="AE409" s="100" t="str">
        <f t="shared" ca="1" si="15"/>
        <v>#REF!</v>
      </c>
      <c r="AF409" s="101" t="str">
        <f t="shared" ca="1" si="16"/>
        <v>#REF!</v>
      </c>
      <c r="AG409" s="102" t="str">
        <f t="shared" ref="AG409:AH409" ca="1" si="427">AE409/V409</f>
        <v>#REF!</v>
      </c>
      <c r="AH409" s="102" t="str">
        <f t="shared" ca="1" si="427"/>
        <v>#REF!</v>
      </c>
    </row>
    <row r="410" spans="1:34" ht="13.2">
      <c r="A410" s="251"/>
      <c r="B410" s="251"/>
      <c r="C410" s="252"/>
      <c r="D410" s="252"/>
      <c r="E410" s="114"/>
      <c r="F410" s="252"/>
      <c r="G410" s="125" t="s">
        <v>145</v>
      </c>
      <c r="I410" s="172"/>
      <c r="J410" s="82" t="str">
        <f t="shared" ca="1" si="0"/>
        <v>#REF!</v>
      </c>
      <c r="K410" s="82" t="str">
        <f t="shared" ca="1" si="1"/>
        <v>#REF!</v>
      </c>
      <c r="L410" s="82" t="str">
        <f t="shared" ca="1" si="44"/>
        <v>#REF!</v>
      </c>
      <c r="M410" s="93"/>
      <c r="N410" s="93"/>
      <c r="O410" s="95">
        <f t="shared" si="2"/>
        <v>0</v>
      </c>
      <c r="P410" s="96">
        <f t="shared" si="3"/>
        <v>0</v>
      </c>
      <c r="Q410" s="97">
        <f t="shared" si="4"/>
        <v>0</v>
      </c>
      <c r="R410" s="97" t="str">
        <f ca="1">ROUNDUP(HLOOKUP(IF(CEILING(L410,0.5)&lt;1,0.5,CEILING(L410,0.5)),'배송비 조회'!A$44:AO$56,7,0)*B$3,-2)</f>
        <v>#REF!</v>
      </c>
      <c r="S410" s="97">
        <v>0</v>
      </c>
      <c r="T410" s="97" t="str">
        <f t="shared" ca="1" si="42"/>
        <v>#REF!</v>
      </c>
      <c r="U410" s="97" t="str">
        <f t="shared" ca="1" si="29"/>
        <v>#REF!</v>
      </c>
      <c r="V410" s="97" t="str">
        <f t="shared" ca="1" si="7"/>
        <v>#REF!</v>
      </c>
      <c r="W410" s="97" t="str">
        <f t="shared" ca="1" si="8"/>
        <v>#REF!</v>
      </c>
      <c r="X410" s="121">
        <v>0</v>
      </c>
      <c r="Y410" s="121" t="str">
        <f t="shared" ca="1" si="9"/>
        <v>#REF!</v>
      </c>
      <c r="Z410" s="121" t="str">
        <f t="shared" ca="1" si="10"/>
        <v>#REF!</v>
      </c>
      <c r="AA410" s="99" t="str">
        <f t="shared" ca="1" si="11"/>
        <v>#REF!</v>
      </c>
      <c r="AB410" s="234" t="str">
        <f t="shared" ca="1" si="12"/>
        <v>#REF!</v>
      </c>
      <c r="AC410" s="257" t="str">
        <f t="shared" ca="1" si="13"/>
        <v>#REF!</v>
      </c>
      <c r="AD410" s="234" t="str">
        <f t="shared" ca="1" si="14"/>
        <v>#REF!</v>
      </c>
      <c r="AE410" s="100" t="str">
        <f t="shared" ca="1" si="15"/>
        <v>#REF!</v>
      </c>
      <c r="AF410" s="101" t="str">
        <f t="shared" ca="1" si="16"/>
        <v>#REF!</v>
      </c>
      <c r="AG410" s="102" t="str">
        <f t="shared" ref="AG410:AH410" ca="1" si="428">AE410/V410</f>
        <v>#REF!</v>
      </c>
      <c r="AH410" s="102" t="str">
        <f t="shared" ca="1" si="428"/>
        <v>#REF!</v>
      </c>
    </row>
    <row r="411" spans="1:34" ht="13.2">
      <c r="A411" s="251"/>
      <c r="B411" s="251"/>
      <c r="C411" s="252"/>
      <c r="D411" s="252"/>
      <c r="E411" s="114"/>
      <c r="F411" s="252"/>
      <c r="G411" s="125" t="s">
        <v>145</v>
      </c>
      <c r="I411" s="172"/>
      <c r="J411" s="82" t="str">
        <f t="shared" ca="1" si="0"/>
        <v>#REF!</v>
      </c>
      <c r="K411" s="82" t="str">
        <f t="shared" ca="1" si="1"/>
        <v>#REF!</v>
      </c>
      <c r="L411" s="82" t="str">
        <f t="shared" ca="1" si="44"/>
        <v>#REF!</v>
      </c>
      <c r="M411" s="93"/>
      <c r="N411" s="93"/>
      <c r="O411" s="95">
        <f t="shared" si="2"/>
        <v>0</v>
      </c>
      <c r="P411" s="96">
        <f t="shared" si="3"/>
        <v>0</v>
      </c>
      <c r="Q411" s="97">
        <f t="shared" si="4"/>
        <v>0</v>
      </c>
      <c r="R411" s="97" t="str">
        <f ca="1">ROUNDUP(HLOOKUP(IF(CEILING(L411,0.5)&lt;1,0.5,CEILING(L411,0.5)),'배송비 조회'!A$44:AO$56,7,0)*B$3,-2)</f>
        <v>#REF!</v>
      </c>
      <c r="S411" s="97">
        <v>0</v>
      </c>
      <c r="T411" s="97" t="str">
        <f t="shared" ca="1" si="42"/>
        <v>#REF!</v>
      </c>
      <c r="U411" s="97" t="str">
        <f t="shared" ca="1" si="29"/>
        <v>#REF!</v>
      </c>
      <c r="V411" s="97" t="str">
        <f t="shared" ca="1" si="7"/>
        <v>#REF!</v>
      </c>
      <c r="W411" s="97" t="str">
        <f t="shared" ca="1" si="8"/>
        <v>#REF!</v>
      </c>
      <c r="X411" s="121">
        <v>0</v>
      </c>
      <c r="Y411" s="121" t="str">
        <f t="shared" ca="1" si="9"/>
        <v>#REF!</v>
      </c>
      <c r="Z411" s="121" t="str">
        <f t="shared" ca="1" si="10"/>
        <v>#REF!</v>
      </c>
      <c r="AA411" s="99" t="str">
        <f t="shared" ca="1" si="11"/>
        <v>#REF!</v>
      </c>
      <c r="AB411" s="234" t="str">
        <f t="shared" ca="1" si="12"/>
        <v>#REF!</v>
      </c>
      <c r="AC411" s="257" t="str">
        <f t="shared" ca="1" si="13"/>
        <v>#REF!</v>
      </c>
      <c r="AD411" s="234" t="str">
        <f t="shared" ca="1" si="14"/>
        <v>#REF!</v>
      </c>
      <c r="AE411" s="100" t="str">
        <f t="shared" ca="1" si="15"/>
        <v>#REF!</v>
      </c>
      <c r="AF411" s="101" t="str">
        <f t="shared" ca="1" si="16"/>
        <v>#REF!</v>
      </c>
      <c r="AG411" s="102" t="str">
        <f t="shared" ref="AG411:AH411" ca="1" si="429">AE411/V411</f>
        <v>#REF!</v>
      </c>
      <c r="AH411" s="102" t="str">
        <f t="shared" ca="1" si="429"/>
        <v>#REF!</v>
      </c>
    </row>
    <row r="412" spans="1:34" ht="13.2">
      <c r="A412" s="251"/>
      <c r="B412" s="251"/>
      <c r="C412" s="252"/>
      <c r="D412" s="252"/>
      <c r="E412" s="114"/>
      <c r="F412" s="252"/>
      <c r="G412" s="125" t="s">
        <v>145</v>
      </c>
      <c r="I412" s="172"/>
      <c r="J412" s="82" t="str">
        <f t="shared" ca="1" si="0"/>
        <v>#REF!</v>
      </c>
      <c r="K412" s="82" t="str">
        <f t="shared" ca="1" si="1"/>
        <v>#REF!</v>
      </c>
      <c r="L412" s="82" t="str">
        <f t="shared" ca="1" si="44"/>
        <v>#REF!</v>
      </c>
      <c r="M412" s="93"/>
      <c r="N412" s="93"/>
      <c r="O412" s="95">
        <f t="shared" si="2"/>
        <v>0</v>
      </c>
      <c r="P412" s="96">
        <f t="shared" si="3"/>
        <v>0</v>
      </c>
      <c r="Q412" s="97">
        <f t="shared" si="4"/>
        <v>0</v>
      </c>
      <c r="R412" s="97" t="str">
        <f ca="1">ROUNDUP(HLOOKUP(IF(CEILING(L412,0.5)&lt;1,0.5,CEILING(L412,0.5)),'배송비 조회'!A$44:AO$56,7,0)*B$3,-2)</f>
        <v>#REF!</v>
      </c>
      <c r="S412" s="97">
        <v>0</v>
      </c>
      <c r="T412" s="97" t="str">
        <f t="shared" ca="1" si="42"/>
        <v>#REF!</v>
      </c>
      <c r="U412" s="97" t="str">
        <f t="shared" ca="1" si="29"/>
        <v>#REF!</v>
      </c>
      <c r="V412" s="97" t="str">
        <f t="shared" ca="1" si="7"/>
        <v>#REF!</v>
      </c>
      <c r="W412" s="97" t="str">
        <f t="shared" ca="1" si="8"/>
        <v>#REF!</v>
      </c>
      <c r="X412" s="121">
        <v>0</v>
      </c>
      <c r="Y412" s="121" t="str">
        <f t="shared" ca="1" si="9"/>
        <v>#REF!</v>
      </c>
      <c r="Z412" s="121" t="str">
        <f t="shared" ca="1" si="10"/>
        <v>#REF!</v>
      </c>
      <c r="AA412" s="99" t="str">
        <f t="shared" ca="1" si="11"/>
        <v>#REF!</v>
      </c>
      <c r="AB412" s="234" t="str">
        <f t="shared" ca="1" si="12"/>
        <v>#REF!</v>
      </c>
      <c r="AC412" s="257" t="str">
        <f t="shared" ca="1" si="13"/>
        <v>#REF!</v>
      </c>
      <c r="AD412" s="234" t="str">
        <f t="shared" ca="1" si="14"/>
        <v>#REF!</v>
      </c>
      <c r="AE412" s="100" t="str">
        <f t="shared" ca="1" si="15"/>
        <v>#REF!</v>
      </c>
      <c r="AF412" s="101" t="str">
        <f t="shared" ca="1" si="16"/>
        <v>#REF!</v>
      </c>
      <c r="AG412" s="102" t="str">
        <f t="shared" ref="AG412:AH412" ca="1" si="430">AE412/V412</f>
        <v>#REF!</v>
      </c>
      <c r="AH412" s="102" t="str">
        <f t="shared" ca="1" si="430"/>
        <v>#REF!</v>
      </c>
    </row>
    <row r="413" spans="1:34" ht="13.2">
      <c r="A413" s="251"/>
      <c r="B413" s="251"/>
      <c r="C413" s="252"/>
      <c r="D413" s="252"/>
      <c r="E413" s="114"/>
      <c r="F413" s="252"/>
      <c r="G413" s="125" t="s">
        <v>145</v>
      </c>
      <c r="I413" s="172"/>
      <c r="J413" s="82" t="str">
        <f t="shared" ca="1" si="0"/>
        <v>#REF!</v>
      </c>
      <c r="K413" s="82" t="str">
        <f t="shared" ca="1" si="1"/>
        <v>#REF!</v>
      </c>
      <c r="L413" s="82" t="str">
        <f t="shared" ca="1" si="44"/>
        <v>#REF!</v>
      </c>
      <c r="M413" s="93"/>
      <c r="N413" s="93"/>
      <c r="O413" s="95">
        <f t="shared" si="2"/>
        <v>0</v>
      </c>
      <c r="P413" s="96">
        <f t="shared" si="3"/>
        <v>0</v>
      </c>
      <c r="Q413" s="97">
        <f t="shared" si="4"/>
        <v>0</v>
      </c>
      <c r="R413" s="97" t="str">
        <f ca="1">ROUNDUP(HLOOKUP(IF(CEILING(L413,0.5)&lt;1,0.5,CEILING(L413,0.5)),'배송비 조회'!A$44:AO$56,7,0)*B$3,-2)</f>
        <v>#REF!</v>
      </c>
      <c r="S413" s="97">
        <v>0</v>
      </c>
      <c r="T413" s="97" t="str">
        <f t="shared" ca="1" si="42"/>
        <v>#REF!</v>
      </c>
      <c r="U413" s="97" t="str">
        <f t="shared" ca="1" si="29"/>
        <v>#REF!</v>
      </c>
      <c r="V413" s="97" t="str">
        <f t="shared" ca="1" si="7"/>
        <v>#REF!</v>
      </c>
      <c r="W413" s="97" t="str">
        <f t="shared" ca="1" si="8"/>
        <v>#REF!</v>
      </c>
      <c r="X413" s="121">
        <v>0</v>
      </c>
      <c r="Y413" s="121" t="str">
        <f t="shared" ca="1" si="9"/>
        <v>#REF!</v>
      </c>
      <c r="Z413" s="121" t="str">
        <f t="shared" ca="1" si="10"/>
        <v>#REF!</v>
      </c>
      <c r="AA413" s="99" t="str">
        <f t="shared" ca="1" si="11"/>
        <v>#REF!</v>
      </c>
      <c r="AB413" s="234" t="str">
        <f t="shared" ca="1" si="12"/>
        <v>#REF!</v>
      </c>
      <c r="AC413" s="257" t="str">
        <f t="shared" ca="1" si="13"/>
        <v>#REF!</v>
      </c>
      <c r="AD413" s="234" t="str">
        <f t="shared" ca="1" si="14"/>
        <v>#REF!</v>
      </c>
      <c r="AE413" s="100" t="str">
        <f t="shared" ca="1" si="15"/>
        <v>#REF!</v>
      </c>
      <c r="AF413" s="101" t="str">
        <f t="shared" ca="1" si="16"/>
        <v>#REF!</v>
      </c>
      <c r="AG413" s="102" t="str">
        <f t="shared" ref="AG413:AH413" ca="1" si="431">AE413/V413</f>
        <v>#REF!</v>
      </c>
      <c r="AH413" s="102" t="str">
        <f t="shared" ca="1" si="431"/>
        <v>#REF!</v>
      </c>
    </row>
    <row r="414" spans="1:34" ht="13.2">
      <c r="A414" s="251"/>
      <c r="B414" s="251"/>
      <c r="C414" s="252"/>
      <c r="D414" s="252"/>
      <c r="E414" s="114"/>
      <c r="F414" s="252"/>
      <c r="G414" s="125" t="s">
        <v>145</v>
      </c>
      <c r="I414" s="172"/>
      <c r="J414" s="82" t="str">
        <f t="shared" ca="1" si="0"/>
        <v>#REF!</v>
      </c>
      <c r="K414" s="82" t="str">
        <f t="shared" ca="1" si="1"/>
        <v>#REF!</v>
      </c>
      <c r="L414" s="82" t="str">
        <f t="shared" ca="1" si="44"/>
        <v>#REF!</v>
      </c>
      <c r="M414" s="93"/>
      <c r="N414" s="93"/>
      <c r="O414" s="95">
        <f t="shared" si="2"/>
        <v>0</v>
      </c>
      <c r="P414" s="96">
        <f t="shared" si="3"/>
        <v>0</v>
      </c>
      <c r="Q414" s="97">
        <f t="shared" si="4"/>
        <v>0</v>
      </c>
      <c r="R414" s="97" t="str">
        <f ca="1">ROUNDUP(HLOOKUP(IF(CEILING(L414,0.5)&lt;1,0.5,CEILING(L414,0.5)),'배송비 조회'!A$44:AO$56,7,0)*B$3,-2)</f>
        <v>#REF!</v>
      </c>
      <c r="S414" s="97">
        <v>0</v>
      </c>
      <c r="T414" s="97" t="str">
        <f t="shared" ca="1" si="42"/>
        <v>#REF!</v>
      </c>
      <c r="U414" s="97" t="str">
        <f t="shared" ca="1" si="29"/>
        <v>#REF!</v>
      </c>
      <c r="V414" s="97" t="str">
        <f t="shared" ca="1" si="7"/>
        <v>#REF!</v>
      </c>
      <c r="W414" s="97" t="str">
        <f t="shared" ca="1" si="8"/>
        <v>#REF!</v>
      </c>
      <c r="X414" s="121">
        <v>0</v>
      </c>
      <c r="Y414" s="121" t="str">
        <f t="shared" ca="1" si="9"/>
        <v>#REF!</v>
      </c>
      <c r="Z414" s="121" t="str">
        <f t="shared" ca="1" si="10"/>
        <v>#REF!</v>
      </c>
      <c r="AA414" s="99" t="str">
        <f t="shared" ca="1" si="11"/>
        <v>#REF!</v>
      </c>
      <c r="AB414" s="234" t="str">
        <f t="shared" ca="1" si="12"/>
        <v>#REF!</v>
      </c>
      <c r="AC414" s="257" t="str">
        <f t="shared" ca="1" si="13"/>
        <v>#REF!</v>
      </c>
      <c r="AD414" s="234" t="str">
        <f t="shared" ca="1" si="14"/>
        <v>#REF!</v>
      </c>
      <c r="AE414" s="100" t="str">
        <f t="shared" ca="1" si="15"/>
        <v>#REF!</v>
      </c>
      <c r="AF414" s="101" t="str">
        <f t="shared" ca="1" si="16"/>
        <v>#REF!</v>
      </c>
      <c r="AG414" s="102" t="str">
        <f t="shared" ref="AG414:AH414" ca="1" si="432">AE414/V414</f>
        <v>#REF!</v>
      </c>
      <c r="AH414" s="102" t="str">
        <f t="shared" ca="1" si="432"/>
        <v>#REF!</v>
      </c>
    </row>
    <row r="415" spans="1:34" ht="13.2">
      <c r="A415" s="251"/>
      <c r="B415" s="251"/>
      <c r="C415" s="252"/>
      <c r="D415" s="252"/>
      <c r="E415" s="114"/>
      <c r="F415" s="252"/>
      <c r="G415" s="125" t="s">
        <v>145</v>
      </c>
      <c r="I415" s="172"/>
      <c r="J415" s="82" t="str">
        <f t="shared" ca="1" si="0"/>
        <v>#REF!</v>
      </c>
      <c r="K415" s="82" t="str">
        <f t="shared" ca="1" si="1"/>
        <v>#REF!</v>
      </c>
      <c r="L415" s="82" t="str">
        <f t="shared" ca="1" si="44"/>
        <v>#REF!</v>
      </c>
      <c r="M415" s="93"/>
      <c r="N415" s="93"/>
      <c r="O415" s="95">
        <f t="shared" si="2"/>
        <v>0</v>
      </c>
      <c r="P415" s="96">
        <f t="shared" si="3"/>
        <v>0</v>
      </c>
      <c r="Q415" s="97">
        <f t="shared" si="4"/>
        <v>0</v>
      </c>
      <c r="R415" s="97" t="str">
        <f ca="1">ROUNDUP(HLOOKUP(IF(CEILING(L415,0.5)&lt;1,0.5,CEILING(L415,0.5)),'배송비 조회'!A$44:AO$56,7,0)*B$3,-2)</f>
        <v>#REF!</v>
      </c>
      <c r="S415" s="97">
        <v>0</v>
      </c>
      <c r="T415" s="97" t="str">
        <f t="shared" ca="1" si="42"/>
        <v>#REF!</v>
      </c>
      <c r="U415" s="97" t="str">
        <f t="shared" ca="1" si="29"/>
        <v>#REF!</v>
      </c>
      <c r="V415" s="97" t="str">
        <f t="shared" ca="1" si="7"/>
        <v>#REF!</v>
      </c>
      <c r="W415" s="97" t="str">
        <f t="shared" ca="1" si="8"/>
        <v>#REF!</v>
      </c>
      <c r="X415" s="121">
        <v>0</v>
      </c>
      <c r="Y415" s="121" t="str">
        <f t="shared" ca="1" si="9"/>
        <v>#REF!</v>
      </c>
      <c r="Z415" s="121" t="str">
        <f t="shared" ca="1" si="10"/>
        <v>#REF!</v>
      </c>
      <c r="AA415" s="99" t="str">
        <f t="shared" ca="1" si="11"/>
        <v>#REF!</v>
      </c>
      <c r="AB415" s="234" t="str">
        <f t="shared" ca="1" si="12"/>
        <v>#REF!</v>
      </c>
      <c r="AC415" s="257" t="str">
        <f t="shared" ca="1" si="13"/>
        <v>#REF!</v>
      </c>
      <c r="AD415" s="234" t="str">
        <f t="shared" ca="1" si="14"/>
        <v>#REF!</v>
      </c>
      <c r="AE415" s="100" t="str">
        <f t="shared" ca="1" si="15"/>
        <v>#REF!</v>
      </c>
      <c r="AF415" s="101" t="str">
        <f t="shared" ca="1" si="16"/>
        <v>#REF!</v>
      </c>
      <c r="AG415" s="102" t="str">
        <f t="shared" ref="AG415:AH415" ca="1" si="433">AE415/V415</f>
        <v>#REF!</v>
      </c>
      <c r="AH415" s="102" t="str">
        <f t="shared" ca="1" si="433"/>
        <v>#REF!</v>
      </c>
    </row>
    <row r="416" spans="1:34" ht="13.2">
      <c r="A416" s="251"/>
      <c r="B416" s="251"/>
      <c r="C416" s="252"/>
      <c r="D416" s="252"/>
      <c r="E416" s="114"/>
      <c r="F416" s="252"/>
      <c r="G416" s="125" t="s">
        <v>145</v>
      </c>
      <c r="I416" s="172"/>
      <c r="J416" s="82" t="str">
        <f t="shared" ca="1" si="0"/>
        <v>#REF!</v>
      </c>
      <c r="K416" s="82" t="str">
        <f t="shared" ca="1" si="1"/>
        <v>#REF!</v>
      </c>
      <c r="L416" s="82" t="str">
        <f t="shared" ca="1" si="44"/>
        <v>#REF!</v>
      </c>
      <c r="M416" s="93"/>
      <c r="N416" s="93"/>
      <c r="O416" s="95">
        <f t="shared" si="2"/>
        <v>0</v>
      </c>
      <c r="P416" s="96">
        <f t="shared" si="3"/>
        <v>0</v>
      </c>
      <c r="Q416" s="97">
        <f t="shared" si="4"/>
        <v>0</v>
      </c>
      <c r="R416" s="97" t="str">
        <f ca="1">ROUNDUP(HLOOKUP(IF(CEILING(L416,0.5)&lt;1,0.5,CEILING(L416,0.5)),'배송비 조회'!A$44:AO$56,7,0)*B$3,-2)</f>
        <v>#REF!</v>
      </c>
      <c r="S416" s="97">
        <v>0</v>
      </c>
      <c r="T416" s="97" t="str">
        <f t="shared" ca="1" si="42"/>
        <v>#REF!</v>
      </c>
      <c r="U416" s="97" t="str">
        <f t="shared" ca="1" si="29"/>
        <v>#REF!</v>
      </c>
      <c r="V416" s="97" t="str">
        <f t="shared" ca="1" si="7"/>
        <v>#REF!</v>
      </c>
      <c r="W416" s="97" t="str">
        <f t="shared" ca="1" si="8"/>
        <v>#REF!</v>
      </c>
      <c r="X416" s="121">
        <v>0</v>
      </c>
      <c r="Y416" s="121" t="str">
        <f t="shared" ca="1" si="9"/>
        <v>#REF!</v>
      </c>
      <c r="Z416" s="121" t="str">
        <f t="shared" ca="1" si="10"/>
        <v>#REF!</v>
      </c>
      <c r="AA416" s="99" t="str">
        <f t="shared" ca="1" si="11"/>
        <v>#REF!</v>
      </c>
      <c r="AB416" s="234" t="str">
        <f t="shared" ca="1" si="12"/>
        <v>#REF!</v>
      </c>
      <c r="AC416" s="257" t="str">
        <f t="shared" ca="1" si="13"/>
        <v>#REF!</v>
      </c>
      <c r="AD416" s="234" t="str">
        <f t="shared" ca="1" si="14"/>
        <v>#REF!</v>
      </c>
      <c r="AE416" s="100" t="str">
        <f t="shared" ca="1" si="15"/>
        <v>#REF!</v>
      </c>
      <c r="AF416" s="101" t="str">
        <f t="shared" ca="1" si="16"/>
        <v>#REF!</v>
      </c>
      <c r="AG416" s="102" t="str">
        <f t="shared" ref="AG416:AH416" ca="1" si="434">AE416/V416</f>
        <v>#REF!</v>
      </c>
      <c r="AH416" s="102" t="str">
        <f t="shared" ca="1" si="434"/>
        <v>#REF!</v>
      </c>
    </row>
    <row r="417" spans="1:34" ht="13.2">
      <c r="A417" s="251"/>
      <c r="B417" s="251"/>
      <c r="C417" s="252"/>
      <c r="D417" s="252"/>
      <c r="E417" s="114"/>
      <c r="F417" s="252"/>
      <c r="G417" s="125" t="s">
        <v>145</v>
      </c>
      <c r="I417" s="172"/>
      <c r="J417" s="82" t="str">
        <f t="shared" ca="1" si="0"/>
        <v>#REF!</v>
      </c>
      <c r="K417" s="82" t="str">
        <f t="shared" ca="1" si="1"/>
        <v>#REF!</v>
      </c>
      <c r="L417" s="82" t="str">
        <f t="shared" ca="1" si="44"/>
        <v>#REF!</v>
      </c>
      <c r="M417" s="93"/>
      <c r="N417" s="93"/>
      <c r="O417" s="95">
        <f t="shared" si="2"/>
        <v>0</v>
      </c>
      <c r="P417" s="96">
        <f t="shared" si="3"/>
        <v>0</v>
      </c>
      <c r="Q417" s="97">
        <f t="shared" si="4"/>
        <v>0</v>
      </c>
      <c r="R417" s="97" t="str">
        <f ca="1">ROUNDUP(HLOOKUP(IF(CEILING(L417,0.5)&lt;1,0.5,CEILING(L417,0.5)),'배송비 조회'!A$44:AO$56,7,0)*B$3,-2)</f>
        <v>#REF!</v>
      </c>
      <c r="S417" s="97">
        <v>0</v>
      </c>
      <c r="T417" s="97" t="str">
        <f t="shared" ca="1" si="42"/>
        <v>#REF!</v>
      </c>
      <c r="U417" s="97" t="str">
        <f t="shared" ca="1" si="29"/>
        <v>#REF!</v>
      </c>
      <c r="V417" s="97" t="str">
        <f t="shared" ca="1" si="7"/>
        <v>#REF!</v>
      </c>
      <c r="W417" s="97" t="str">
        <f t="shared" ca="1" si="8"/>
        <v>#REF!</v>
      </c>
      <c r="X417" s="121">
        <v>0</v>
      </c>
      <c r="Y417" s="121" t="str">
        <f t="shared" ca="1" si="9"/>
        <v>#REF!</v>
      </c>
      <c r="Z417" s="121" t="str">
        <f t="shared" ca="1" si="10"/>
        <v>#REF!</v>
      </c>
      <c r="AA417" s="99" t="str">
        <f t="shared" ca="1" si="11"/>
        <v>#REF!</v>
      </c>
      <c r="AB417" s="234" t="str">
        <f t="shared" ca="1" si="12"/>
        <v>#REF!</v>
      </c>
      <c r="AC417" s="257" t="str">
        <f t="shared" ca="1" si="13"/>
        <v>#REF!</v>
      </c>
      <c r="AD417" s="234" t="str">
        <f t="shared" ca="1" si="14"/>
        <v>#REF!</v>
      </c>
      <c r="AE417" s="100" t="str">
        <f t="shared" ca="1" si="15"/>
        <v>#REF!</v>
      </c>
      <c r="AF417" s="101" t="str">
        <f t="shared" ca="1" si="16"/>
        <v>#REF!</v>
      </c>
      <c r="AG417" s="102" t="str">
        <f t="shared" ref="AG417:AH417" ca="1" si="435">AE417/V417</f>
        <v>#REF!</v>
      </c>
      <c r="AH417" s="102" t="str">
        <f t="shared" ca="1" si="435"/>
        <v>#REF!</v>
      </c>
    </row>
    <row r="418" spans="1:34" ht="13.2">
      <c r="A418" s="251"/>
      <c r="B418" s="251"/>
      <c r="C418" s="252"/>
      <c r="D418" s="252"/>
      <c r="E418" s="114"/>
      <c r="F418" s="252"/>
      <c r="G418" s="125" t="s">
        <v>145</v>
      </c>
      <c r="I418" s="172"/>
      <c r="J418" s="82" t="str">
        <f t="shared" ca="1" si="0"/>
        <v>#REF!</v>
      </c>
      <c r="K418" s="82" t="str">
        <f t="shared" ca="1" si="1"/>
        <v>#REF!</v>
      </c>
      <c r="L418" s="82" t="str">
        <f t="shared" ca="1" si="44"/>
        <v>#REF!</v>
      </c>
      <c r="M418" s="93"/>
      <c r="N418" s="93"/>
      <c r="O418" s="95">
        <f t="shared" si="2"/>
        <v>0</v>
      </c>
      <c r="P418" s="96">
        <f t="shared" si="3"/>
        <v>0</v>
      </c>
      <c r="Q418" s="97">
        <f t="shared" si="4"/>
        <v>0</v>
      </c>
      <c r="R418" s="97" t="str">
        <f ca="1">ROUNDUP(HLOOKUP(IF(CEILING(L418,0.5)&lt;1,0.5,CEILING(L418,0.5)),'배송비 조회'!A$44:AO$56,7,0)*B$3,-2)</f>
        <v>#REF!</v>
      </c>
      <c r="S418" s="97">
        <v>0</v>
      </c>
      <c r="T418" s="97" t="str">
        <f t="shared" ca="1" si="42"/>
        <v>#REF!</v>
      </c>
      <c r="U418" s="97" t="str">
        <f t="shared" ca="1" si="29"/>
        <v>#REF!</v>
      </c>
      <c r="V418" s="97" t="str">
        <f t="shared" ca="1" si="7"/>
        <v>#REF!</v>
      </c>
      <c r="W418" s="97" t="str">
        <f t="shared" ca="1" si="8"/>
        <v>#REF!</v>
      </c>
      <c r="X418" s="121">
        <v>0</v>
      </c>
      <c r="Y418" s="121" t="str">
        <f t="shared" ca="1" si="9"/>
        <v>#REF!</v>
      </c>
      <c r="Z418" s="121" t="str">
        <f t="shared" ca="1" si="10"/>
        <v>#REF!</v>
      </c>
      <c r="AA418" s="99" t="str">
        <f t="shared" ca="1" si="11"/>
        <v>#REF!</v>
      </c>
      <c r="AB418" s="234" t="str">
        <f t="shared" ca="1" si="12"/>
        <v>#REF!</v>
      </c>
      <c r="AC418" s="257" t="str">
        <f t="shared" ca="1" si="13"/>
        <v>#REF!</v>
      </c>
      <c r="AD418" s="234" t="str">
        <f t="shared" ca="1" si="14"/>
        <v>#REF!</v>
      </c>
      <c r="AE418" s="100" t="str">
        <f t="shared" ca="1" si="15"/>
        <v>#REF!</v>
      </c>
      <c r="AF418" s="101" t="str">
        <f t="shared" ca="1" si="16"/>
        <v>#REF!</v>
      </c>
      <c r="AG418" s="102" t="str">
        <f t="shared" ref="AG418:AH418" ca="1" si="436">AE418/V418</f>
        <v>#REF!</v>
      </c>
      <c r="AH418" s="102" t="str">
        <f t="shared" ca="1" si="436"/>
        <v>#REF!</v>
      </c>
    </row>
    <row r="419" spans="1:34" ht="13.2">
      <c r="A419" s="251"/>
      <c r="B419" s="251"/>
      <c r="C419" s="252"/>
      <c r="D419" s="252"/>
      <c r="E419" s="114"/>
      <c r="F419" s="252"/>
      <c r="G419" s="125" t="s">
        <v>145</v>
      </c>
      <c r="I419" s="172"/>
      <c r="J419" s="82" t="str">
        <f t="shared" ca="1" si="0"/>
        <v>#REF!</v>
      </c>
      <c r="K419" s="82" t="str">
        <f t="shared" ca="1" si="1"/>
        <v>#REF!</v>
      </c>
      <c r="L419" s="82" t="str">
        <f t="shared" ca="1" si="44"/>
        <v>#REF!</v>
      </c>
      <c r="M419" s="93"/>
      <c r="N419" s="93"/>
      <c r="O419" s="95">
        <f t="shared" si="2"/>
        <v>0</v>
      </c>
      <c r="P419" s="96">
        <f t="shared" si="3"/>
        <v>0</v>
      </c>
      <c r="Q419" s="97">
        <f t="shared" si="4"/>
        <v>0</v>
      </c>
      <c r="R419" s="97" t="str">
        <f ca="1">ROUNDUP(HLOOKUP(IF(CEILING(L419,0.5)&lt;1,0.5,CEILING(L419,0.5)),'배송비 조회'!A$44:AO$56,7,0)*B$3,-2)</f>
        <v>#REF!</v>
      </c>
      <c r="S419" s="97">
        <v>0</v>
      </c>
      <c r="T419" s="97" t="str">
        <f t="shared" ca="1" si="42"/>
        <v>#REF!</v>
      </c>
      <c r="U419" s="97" t="str">
        <f t="shared" ca="1" si="29"/>
        <v>#REF!</v>
      </c>
      <c r="V419" s="97" t="str">
        <f t="shared" ca="1" si="7"/>
        <v>#REF!</v>
      </c>
      <c r="W419" s="97" t="str">
        <f t="shared" ca="1" si="8"/>
        <v>#REF!</v>
      </c>
      <c r="X419" s="121">
        <v>0</v>
      </c>
      <c r="Y419" s="121" t="str">
        <f t="shared" ca="1" si="9"/>
        <v>#REF!</v>
      </c>
      <c r="Z419" s="121" t="str">
        <f t="shared" ca="1" si="10"/>
        <v>#REF!</v>
      </c>
      <c r="AA419" s="99" t="str">
        <f t="shared" ca="1" si="11"/>
        <v>#REF!</v>
      </c>
      <c r="AB419" s="234" t="str">
        <f t="shared" ca="1" si="12"/>
        <v>#REF!</v>
      </c>
      <c r="AC419" s="257" t="str">
        <f t="shared" ca="1" si="13"/>
        <v>#REF!</v>
      </c>
      <c r="AD419" s="234" t="str">
        <f t="shared" ca="1" si="14"/>
        <v>#REF!</v>
      </c>
      <c r="AE419" s="100" t="str">
        <f t="shared" ca="1" si="15"/>
        <v>#REF!</v>
      </c>
      <c r="AF419" s="101" t="str">
        <f t="shared" ca="1" si="16"/>
        <v>#REF!</v>
      </c>
      <c r="AG419" s="102" t="str">
        <f t="shared" ref="AG419:AH419" ca="1" si="437">AE419/V419</f>
        <v>#REF!</v>
      </c>
      <c r="AH419" s="102" t="str">
        <f t="shared" ca="1" si="437"/>
        <v>#REF!</v>
      </c>
    </row>
    <row r="420" spans="1:34" ht="13.2">
      <c r="A420" s="251"/>
      <c r="B420" s="251"/>
      <c r="C420" s="252"/>
      <c r="D420" s="252"/>
      <c r="E420" s="114"/>
      <c r="F420" s="252"/>
      <c r="G420" s="125" t="s">
        <v>145</v>
      </c>
      <c r="I420" s="172"/>
      <c r="J420" s="82" t="str">
        <f t="shared" ca="1" si="0"/>
        <v>#REF!</v>
      </c>
      <c r="K420" s="82" t="str">
        <f t="shared" ca="1" si="1"/>
        <v>#REF!</v>
      </c>
      <c r="L420" s="82" t="str">
        <f t="shared" ca="1" si="44"/>
        <v>#REF!</v>
      </c>
      <c r="M420" s="93"/>
      <c r="N420" s="93"/>
      <c r="O420" s="95">
        <f t="shared" si="2"/>
        <v>0</v>
      </c>
      <c r="P420" s="96">
        <f t="shared" si="3"/>
        <v>0</v>
      </c>
      <c r="Q420" s="97">
        <f t="shared" si="4"/>
        <v>0</v>
      </c>
      <c r="R420" s="97" t="str">
        <f ca="1">ROUNDUP(HLOOKUP(IF(CEILING(L420,0.5)&lt;1,0.5,CEILING(L420,0.5)),'배송비 조회'!A$44:AO$56,7,0)*B$3,-2)</f>
        <v>#REF!</v>
      </c>
      <c r="S420" s="97">
        <v>0</v>
      </c>
      <c r="T420" s="97" t="str">
        <f t="shared" ca="1" si="42"/>
        <v>#REF!</v>
      </c>
      <c r="U420" s="97" t="str">
        <f t="shared" ca="1" si="29"/>
        <v>#REF!</v>
      </c>
      <c r="V420" s="97" t="str">
        <f t="shared" ca="1" si="7"/>
        <v>#REF!</v>
      </c>
      <c r="W420" s="97" t="str">
        <f t="shared" ca="1" si="8"/>
        <v>#REF!</v>
      </c>
      <c r="X420" s="121">
        <v>0</v>
      </c>
      <c r="Y420" s="121" t="str">
        <f t="shared" ca="1" si="9"/>
        <v>#REF!</v>
      </c>
      <c r="Z420" s="121" t="str">
        <f t="shared" ca="1" si="10"/>
        <v>#REF!</v>
      </c>
      <c r="AA420" s="99" t="str">
        <f t="shared" ca="1" si="11"/>
        <v>#REF!</v>
      </c>
      <c r="AB420" s="234" t="str">
        <f t="shared" ca="1" si="12"/>
        <v>#REF!</v>
      </c>
      <c r="AC420" s="257" t="str">
        <f t="shared" ca="1" si="13"/>
        <v>#REF!</v>
      </c>
      <c r="AD420" s="234" t="str">
        <f t="shared" ca="1" si="14"/>
        <v>#REF!</v>
      </c>
      <c r="AE420" s="100" t="str">
        <f t="shared" ca="1" si="15"/>
        <v>#REF!</v>
      </c>
      <c r="AF420" s="101" t="str">
        <f t="shared" ca="1" si="16"/>
        <v>#REF!</v>
      </c>
      <c r="AG420" s="102" t="str">
        <f t="shared" ref="AG420:AH420" ca="1" si="438">AE420/V420</f>
        <v>#REF!</v>
      </c>
      <c r="AH420" s="102" t="str">
        <f t="shared" ca="1" si="438"/>
        <v>#REF!</v>
      </c>
    </row>
    <row r="421" spans="1:34" ht="13.2">
      <c r="A421" s="251"/>
      <c r="B421" s="251"/>
      <c r="C421" s="252"/>
      <c r="D421" s="252"/>
      <c r="E421" s="114"/>
      <c r="F421" s="252"/>
      <c r="G421" s="125" t="s">
        <v>145</v>
      </c>
      <c r="I421" s="172"/>
      <c r="J421" s="82" t="str">
        <f t="shared" ca="1" si="0"/>
        <v>#REF!</v>
      </c>
      <c r="K421" s="82" t="str">
        <f t="shared" ca="1" si="1"/>
        <v>#REF!</v>
      </c>
      <c r="L421" s="82" t="str">
        <f t="shared" ca="1" si="44"/>
        <v>#REF!</v>
      </c>
      <c r="M421" s="93"/>
      <c r="N421" s="93"/>
      <c r="O421" s="95">
        <f t="shared" si="2"/>
        <v>0</v>
      </c>
      <c r="P421" s="96">
        <f t="shared" si="3"/>
        <v>0</v>
      </c>
      <c r="Q421" s="97">
        <f t="shared" si="4"/>
        <v>0</v>
      </c>
      <c r="R421" s="97" t="str">
        <f ca="1">ROUNDUP(HLOOKUP(IF(CEILING(L421,0.5)&lt;1,0.5,CEILING(L421,0.5)),'배송비 조회'!A$44:AO$56,7,0)*B$3,-2)</f>
        <v>#REF!</v>
      </c>
      <c r="S421" s="97">
        <v>0</v>
      </c>
      <c r="T421" s="97" t="str">
        <f t="shared" ca="1" si="42"/>
        <v>#REF!</v>
      </c>
      <c r="U421" s="97" t="str">
        <f t="shared" ca="1" si="29"/>
        <v>#REF!</v>
      </c>
      <c r="V421" s="97" t="str">
        <f t="shared" ca="1" si="7"/>
        <v>#REF!</v>
      </c>
      <c r="W421" s="97" t="str">
        <f t="shared" ca="1" si="8"/>
        <v>#REF!</v>
      </c>
      <c r="X421" s="121">
        <v>0</v>
      </c>
      <c r="Y421" s="121" t="str">
        <f t="shared" ca="1" si="9"/>
        <v>#REF!</v>
      </c>
      <c r="Z421" s="121" t="str">
        <f t="shared" ca="1" si="10"/>
        <v>#REF!</v>
      </c>
      <c r="AA421" s="99" t="str">
        <f t="shared" ca="1" si="11"/>
        <v>#REF!</v>
      </c>
      <c r="AB421" s="234" t="str">
        <f t="shared" ca="1" si="12"/>
        <v>#REF!</v>
      </c>
      <c r="AC421" s="257" t="str">
        <f t="shared" ca="1" si="13"/>
        <v>#REF!</v>
      </c>
      <c r="AD421" s="234" t="str">
        <f t="shared" ca="1" si="14"/>
        <v>#REF!</v>
      </c>
      <c r="AE421" s="100" t="str">
        <f t="shared" ca="1" si="15"/>
        <v>#REF!</v>
      </c>
      <c r="AF421" s="101" t="str">
        <f t="shared" ca="1" si="16"/>
        <v>#REF!</v>
      </c>
      <c r="AG421" s="102" t="str">
        <f t="shared" ref="AG421:AH421" ca="1" si="439">AE421/V421</f>
        <v>#REF!</v>
      </c>
      <c r="AH421" s="102" t="str">
        <f t="shared" ca="1" si="439"/>
        <v>#REF!</v>
      </c>
    </row>
    <row r="422" spans="1:34" ht="13.2">
      <c r="A422" s="251"/>
      <c r="B422" s="251"/>
      <c r="C422" s="252"/>
      <c r="D422" s="252"/>
      <c r="E422" s="114"/>
      <c r="F422" s="252"/>
      <c r="G422" s="125" t="s">
        <v>145</v>
      </c>
      <c r="I422" s="172"/>
      <c r="J422" s="82" t="str">
        <f t="shared" ca="1" si="0"/>
        <v>#REF!</v>
      </c>
      <c r="K422" s="82" t="str">
        <f t="shared" ca="1" si="1"/>
        <v>#REF!</v>
      </c>
      <c r="L422" s="82" t="str">
        <f t="shared" ca="1" si="44"/>
        <v>#REF!</v>
      </c>
      <c r="M422" s="93"/>
      <c r="N422" s="93"/>
      <c r="O422" s="95">
        <f t="shared" si="2"/>
        <v>0</v>
      </c>
      <c r="P422" s="96">
        <f t="shared" si="3"/>
        <v>0</v>
      </c>
      <c r="Q422" s="97">
        <f t="shared" si="4"/>
        <v>0</v>
      </c>
      <c r="R422" s="97" t="str">
        <f ca="1">ROUNDUP(HLOOKUP(IF(CEILING(L422,0.5)&lt;1,0.5,CEILING(L422,0.5)),'배송비 조회'!A$44:AO$56,7,0)*B$3,-2)</f>
        <v>#REF!</v>
      </c>
      <c r="S422" s="97">
        <v>0</v>
      </c>
      <c r="T422" s="97" t="str">
        <f t="shared" ca="1" si="42"/>
        <v>#REF!</v>
      </c>
      <c r="U422" s="97" t="str">
        <f t="shared" ca="1" si="29"/>
        <v>#REF!</v>
      </c>
      <c r="V422" s="97" t="str">
        <f t="shared" ca="1" si="7"/>
        <v>#REF!</v>
      </c>
      <c r="W422" s="97" t="str">
        <f t="shared" ca="1" si="8"/>
        <v>#REF!</v>
      </c>
      <c r="X422" s="121">
        <v>0</v>
      </c>
      <c r="Y422" s="121" t="str">
        <f t="shared" ca="1" si="9"/>
        <v>#REF!</v>
      </c>
      <c r="Z422" s="121" t="str">
        <f t="shared" ca="1" si="10"/>
        <v>#REF!</v>
      </c>
      <c r="AA422" s="99" t="str">
        <f t="shared" ca="1" si="11"/>
        <v>#REF!</v>
      </c>
      <c r="AB422" s="234" t="str">
        <f t="shared" ca="1" si="12"/>
        <v>#REF!</v>
      </c>
      <c r="AC422" s="257" t="str">
        <f t="shared" ca="1" si="13"/>
        <v>#REF!</v>
      </c>
      <c r="AD422" s="234" t="str">
        <f t="shared" ca="1" si="14"/>
        <v>#REF!</v>
      </c>
      <c r="AE422" s="100" t="str">
        <f t="shared" ca="1" si="15"/>
        <v>#REF!</v>
      </c>
      <c r="AF422" s="101" t="str">
        <f t="shared" ca="1" si="16"/>
        <v>#REF!</v>
      </c>
      <c r="AG422" s="102" t="str">
        <f t="shared" ref="AG422:AH422" ca="1" si="440">AE422/V422</f>
        <v>#REF!</v>
      </c>
      <c r="AH422" s="102" t="str">
        <f t="shared" ca="1" si="440"/>
        <v>#REF!</v>
      </c>
    </row>
    <row r="423" spans="1:34" ht="13.2">
      <c r="A423" s="251"/>
      <c r="B423" s="251"/>
      <c r="C423" s="252"/>
      <c r="D423" s="252"/>
      <c r="E423" s="114"/>
      <c r="F423" s="252"/>
      <c r="G423" s="125" t="s">
        <v>145</v>
      </c>
      <c r="I423" s="172"/>
      <c r="J423" s="82" t="str">
        <f t="shared" ca="1" si="0"/>
        <v>#REF!</v>
      </c>
      <c r="K423" s="82" t="str">
        <f t="shared" ca="1" si="1"/>
        <v>#REF!</v>
      </c>
      <c r="L423" s="82" t="str">
        <f t="shared" ca="1" si="44"/>
        <v>#REF!</v>
      </c>
      <c r="M423" s="93"/>
      <c r="N423" s="93"/>
      <c r="O423" s="95">
        <f t="shared" si="2"/>
        <v>0</v>
      </c>
      <c r="P423" s="96">
        <f t="shared" si="3"/>
        <v>0</v>
      </c>
      <c r="Q423" s="97">
        <f t="shared" si="4"/>
        <v>0</v>
      </c>
      <c r="R423" s="97" t="str">
        <f ca="1">ROUNDUP(HLOOKUP(IF(CEILING(L423,0.5)&lt;1,0.5,CEILING(L423,0.5)),'배송비 조회'!A$44:AO$56,7,0)*B$3,-2)</f>
        <v>#REF!</v>
      </c>
      <c r="S423" s="97">
        <v>0</v>
      </c>
      <c r="T423" s="97" t="str">
        <f t="shared" ca="1" si="42"/>
        <v>#REF!</v>
      </c>
      <c r="U423" s="97" t="str">
        <f t="shared" ca="1" si="29"/>
        <v>#REF!</v>
      </c>
      <c r="V423" s="97" t="str">
        <f t="shared" ca="1" si="7"/>
        <v>#REF!</v>
      </c>
      <c r="W423" s="97" t="str">
        <f t="shared" ca="1" si="8"/>
        <v>#REF!</v>
      </c>
      <c r="X423" s="121">
        <v>0</v>
      </c>
      <c r="Y423" s="121" t="str">
        <f t="shared" ca="1" si="9"/>
        <v>#REF!</v>
      </c>
      <c r="Z423" s="121" t="str">
        <f t="shared" ca="1" si="10"/>
        <v>#REF!</v>
      </c>
      <c r="AA423" s="99" t="str">
        <f t="shared" ca="1" si="11"/>
        <v>#REF!</v>
      </c>
      <c r="AB423" s="234" t="str">
        <f t="shared" ca="1" si="12"/>
        <v>#REF!</v>
      </c>
      <c r="AC423" s="257" t="str">
        <f t="shared" ca="1" si="13"/>
        <v>#REF!</v>
      </c>
      <c r="AD423" s="234" t="str">
        <f t="shared" ca="1" si="14"/>
        <v>#REF!</v>
      </c>
      <c r="AE423" s="100" t="str">
        <f t="shared" ca="1" si="15"/>
        <v>#REF!</v>
      </c>
      <c r="AF423" s="101" t="str">
        <f t="shared" ca="1" si="16"/>
        <v>#REF!</v>
      </c>
      <c r="AG423" s="102" t="str">
        <f t="shared" ref="AG423:AH423" ca="1" si="441">AE423/V423</f>
        <v>#REF!</v>
      </c>
      <c r="AH423" s="102" t="str">
        <f t="shared" ca="1" si="441"/>
        <v>#REF!</v>
      </c>
    </row>
    <row r="424" spans="1:34" ht="13.2">
      <c r="A424" s="251"/>
      <c r="B424" s="251"/>
      <c r="C424" s="252"/>
      <c r="D424" s="252"/>
      <c r="E424" s="114"/>
      <c r="F424" s="252"/>
      <c r="G424" s="125" t="s">
        <v>145</v>
      </c>
      <c r="I424" s="172"/>
      <c r="J424" s="82" t="str">
        <f t="shared" ca="1" si="0"/>
        <v>#REF!</v>
      </c>
      <c r="K424" s="82" t="str">
        <f t="shared" ca="1" si="1"/>
        <v>#REF!</v>
      </c>
      <c r="L424" s="82" t="str">
        <f t="shared" ca="1" si="44"/>
        <v>#REF!</v>
      </c>
      <c r="M424" s="93"/>
      <c r="N424" s="93"/>
      <c r="O424" s="95">
        <f t="shared" si="2"/>
        <v>0</v>
      </c>
      <c r="P424" s="96">
        <f t="shared" si="3"/>
        <v>0</v>
      </c>
      <c r="Q424" s="97">
        <f t="shared" si="4"/>
        <v>0</v>
      </c>
      <c r="R424" s="97" t="str">
        <f ca="1">ROUNDUP(HLOOKUP(IF(CEILING(L424,0.5)&lt;1,0.5,CEILING(L424,0.5)),'배송비 조회'!A$44:AO$56,7,0)*B$3,-2)</f>
        <v>#REF!</v>
      </c>
      <c r="S424" s="97">
        <v>0</v>
      </c>
      <c r="T424" s="97" t="str">
        <f t="shared" ca="1" si="42"/>
        <v>#REF!</v>
      </c>
      <c r="U424" s="97" t="str">
        <f t="shared" ca="1" si="29"/>
        <v>#REF!</v>
      </c>
      <c r="V424" s="97" t="str">
        <f t="shared" ca="1" si="7"/>
        <v>#REF!</v>
      </c>
      <c r="W424" s="97" t="str">
        <f t="shared" ca="1" si="8"/>
        <v>#REF!</v>
      </c>
      <c r="X424" s="121">
        <v>0</v>
      </c>
      <c r="Y424" s="121" t="str">
        <f t="shared" ca="1" si="9"/>
        <v>#REF!</v>
      </c>
      <c r="Z424" s="121" t="str">
        <f t="shared" ca="1" si="10"/>
        <v>#REF!</v>
      </c>
      <c r="AA424" s="99" t="str">
        <f t="shared" ca="1" si="11"/>
        <v>#REF!</v>
      </c>
      <c r="AB424" s="234" t="str">
        <f t="shared" ca="1" si="12"/>
        <v>#REF!</v>
      </c>
      <c r="AC424" s="257" t="str">
        <f t="shared" ca="1" si="13"/>
        <v>#REF!</v>
      </c>
      <c r="AD424" s="234" t="str">
        <f t="shared" ca="1" si="14"/>
        <v>#REF!</v>
      </c>
      <c r="AE424" s="100" t="str">
        <f t="shared" ca="1" si="15"/>
        <v>#REF!</v>
      </c>
      <c r="AF424" s="101" t="str">
        <f t="shared" ca="1" si="16"/>
        <v>#REF!</v>
      </c>
      <c r="AG424" s="102" t="str">
        <f t="shared" ref="AG424:AH424" ca="1" si="442">AE424/V424</f>
        <v>#REF!</v>
      </c>
      <c r="AH424" s="102" t="str">
        <f t="shared" ca="1" si="442"/>
        <v>#REF!</v>
      </c>
    </row>
    <row r="425" spans="1:34" ht="13.2">
      <c r="A425" s="251"/>
      <c r="B425" s="251"/>
      <c r="C425" s="252"/>
      <c r="D425" s="252"/>
      <c r="E425" s="114"/>
      <c r="F425" s="252"/>
      <c r="G425" s="125" t="s">
        <v>145</v>
      </c>
      <c r="I425" s="172"/>
      <c r="J425" s="82" t="str">
        <f t="shared" ca="1" si="0"/>
        <v>#REF!</v>
      </c>
      <c r="K425" s="82" t="str">
        <f t="shared" ca="1" si="1"/>
        <v>#REF!</v>
      </c>
      <c r="L425" s="82" t="str">
        <f t="shared" ca="1" si="44"/>
        <v>#REF!</v>
      </c>
      <c r="M425" s="93"/>
      <c r="N425" s="93"/>
      <c r="O425" s="95">
        <f t="shared" si="2"/>
        <v>0</v>
      </c>
      <c r="P425" s="96">
        <f t="shared" si="3"/>
        <v>0</v>
      </c>
      <c r="Q425" s="97">
        <f t="shared" si="4"/>
        <v>0</v>
      </c>
      <c r="R425" s="97" t="str">
        <f ca="1">ROUNDUP(HLOOKUP(IF(CEILING(L425,0.5)&lt;1,0.5,CEILING(L425,0.5)),'배송비 조회'!A$44:AO$56,7,0)*B$3,-2)</f>
        <v>#REF!</v>
      </c>
      <c r="S425" s="97">
        <v>0</v>
      </c>
      <c r="T425" s="97" t="str">
        <f t="shared" ca="1" si="42"/>
        <v>#REF!</v>
      </c>
      <c r="U425" s="97" t="str">
        <f t="shared" ca="1" si="29"/>
        <v>#REF!</v>
      </c>
      <c r="V425" s="97" t="str">
        <f t="shared" ca="1" si="7"/>
        <v>#REF!</v>
      </c>
      <c r="W425" s="97" t="str">
        <f t="shared" ca="1" si="8"/>
        <v>#REF!</v>
      </c>
      <c r="X425" s="121">
        <v>0</v>
      </c>
      <c r="Y425" s="121" t="str">
        <f t="shared" ca="1" si="9"/>
        <v>#REF!</v>
      </c>
      <c r="Z425" s="121" t="str">
        <f t="shared" ca="1" si="10"/>
        <v>#REF!</v>
      </c>
      <c r="AA425" s="99" t="str">
        <f t="shared" ca="1" si="11"/>
        <v>#REF!</v>
      </c>
      <c r="AB425" s="234" t="str">
        <f t="shared" ca="1" si="12"/>
        <v>#REF!</v>
      </c>
      <c r="AC425" s="257" t="str">
        <f t="shared" ca="1" si="13"/>
        <v>#REF!</v>
      </c>
      <c r="AD425" s="234" t="str">
        <f t="shared" ca="1" si="14"/>
        <v>#REF!</v>
      </c>
      <c r="AE425" s="100" t="str">
        <f t="shared" ca="1" si="15"/>
        <v>#REF!</v>
      </c>
      <c r="AF425" s="101" t="str">
        <f t="shared" ca="1" si="16"/>
        <v>#REF!</v>
      </c>
      <c r="AG425" s="102" t="str">
        <f t="shared" ref="AG425:AH425" ca="1" si="443">AE425/V425</f>
        <v>#REF!</v>
      </c>
      <c r="AH425" s="102" t="str">
        <f t="shared" ca="1" si="443"/>
        <v>#REF!</v>
      </c>
    </row>
    <row r="426" spans="1:34" ht="13.2">
      <c r="A426" s="251"/>
      <c r="B426" s="251"/>
      <c r="C426" s="252"/>
      <c r="D426" s="252"/>
      <c r="E426" s="114"/>
      <c r="F426" s="252"/>
      <c r="G426" s="125" t="s">
        <v>145</v>
      </c>
      <c r="I426" s="172"/>
      <c r="J426" s="82" t="str">
        <f t="shared" ca="1" si="0"/>
        <v>#REF!</v>
      </c>
      <c r="K426" s="82" t="str">
        <f t="shared" ca="1" si="1"/>
        <v>#REF!</v>
      </c>
      <c r="L426" s="82" t="str">
        <f t="shared" ca="1" si="44"/>
        <v>#REF!</v>
      </c>
      <c r="M426" s="93"/>
      <c r="N426" s="93"/>
      <c r="O426" s="95">
        <f t="shared" si="2"/>
        <v>0</v>
      </c>
      <c r="P426" s="96">
        <f t="shared" si="3"/>
        <v>0</v>
      </c>
      <c r="Q426" s="97">
        <f t="shared" si="4"/>
        <v>0</v>
      </c>
      <c r="R426" s="97" t="str">
        <f ca="1">ROUNDUP(HLOOKUP(IF(CEILING(L426,0.5)&lt;1,0.5,CEILING(L426,0.5)),'배송비 조회'!A$44:AO$56,7,0)*B$3,-2)</f>
        <v>#REF!</v>
      </c>
      <c r="S426" s="97">
        <v>0</v>
      </c>
      <c r="T426" s="97" t="str">
        <f t="shared" ca="1" si="42"/>
        <v>#REF!</v>
      </c>
      <c r="U426" s="97" t="str">
        <f t="shared" ca="1" si="29"/>
        <v>#REF!</v>
      </c>
      <c r="V426" s="97" t="str">
        <f t="shared" ca="1" si="7"/>
        <v>#REF!</v>
      </c>
      <c r="W426" s="97" t="str">
        <f t="shared" ca="1" si="8"/>
        <v>#REF!</v>
      </c>
      <c r="X426" s="121">
        <v>0</v>
      </c>
      <c r="Y426" s="121" t="str">
        <f t="shared" ca="1" si="9"/>
        <v>#REF!</v>
      </c>
      <c r="Z426" s="121" t="str">
        <f t="shared" ca="1" si="10"/>
        <v>#REF!</v>
      </c>
      <c r="AA426" s="99" t="str">
        <f t="shared" ca="1" si="11"/>
        <v>#REF!</v>
      </c>
      <c r="AB426" s="234" t="str">
        <f t="shared" ca="1" si="12"/>
        <v>#REF!</v>
      </c>
      <c r="AC426" s="257" t="str">
        <f t="shared" ca="1" si="13"/>
        <v>#REF!</v>
      </c>
      <c r="AD426" s="234" t="str">
        <f t="shared" ca="1" si="14"/>
        <v>#REF!</v>
      </c>
      <c r="AE426" s="100" t="str">
        <f t="shared" ca="1" si="15"/>
        <v>#REF!</v>
      </c>
      <c r="AF426" s="101" t="str">
        <f t="shared" ca="1" si="16"/>
        <v>#REF!</v>
      </c>
      <c r="AG426" s="102" t="str">
        <f t="shared" ref="AG426:AH426" ca="1" si="444">AE426/V426</f>
        <v>#REF!</v>
      </c>
      <c r="AH426" s="102" t="str">
        <f t="shared" ca="1" si="444"/>
        <v>#REF!</v>
      </c>
    </row>
    <row r="427" spans="1:34" ht="13.2">
      <c r="A427" s="251"/>
      <c r="B427" s="251"/>
      <c r="C427" s="252"/>
      <c r="D427" s="252"/>
      <c r="E427" s="114"/>
      <c r="F427" s="252"/>
      <c r="G427" s="125" t="s">
        <v>145</v>
      </c>
      <c r="I427" s="172"/>
      <c r="J427" s="82" t="str">
        <f t="shared" ca="1" si="0"/>
        <v>#REF!</v>
      </c>
      <c r="K427" s="82" t="str">
        <f t="shared" ca="1" si="1"/>
        <v>#REF!</v>
      </c>
      <c r="L427" s="82" t="str">
        <f t="shared" ca="1" si="44"/>
        <v>#REF!</v>
      </c>
      <c r="M427" s="93"/>
      <c r="N427" s="93"/>
      <c r="O427" s="95">
        <f t="shared" si="2"/>
        <v>0</v>
      </c>
      <c r="P427" s="96">
        <f t="shared" si="3"/>
        <v>0</v>
      </c>
      <c r="Q427" s="97">
        <f t="shared" si="4"/>
        <v>0</v>
      </c>
      <c r="R427" s="97" t="str">
        <f ca="1">ROUNDUP(HLOOKUP(IF(CEILING(L427,0.5)&lt;1,0.5,CEILING(L427,0.5)),'배송비 조회'!A$44:AO$56,7,0)*B$3,-2)</f>
        <v>#REF!</v>
      </c>
      <c r="S427" s="97">
        <v>0</v>
      </c>
      <c r="T427" s="97" t="str">
        <f t="shared" ca="1" si="42"/>
        <v>#REF!</v>
      </c>
      <c r="U427" s="97" t="str">
        <f t="shared" ca="1" si="29"/>
        <v>#REF!</v>
      </c>
      <c r="V427" s="97" t="str">
        <f t="shared" ca="1" si="7"/>
        <v>#REF!</v>
      </c>
      <c r="W427" s="97" t="str">
        <f t="shared" ca="1" si="8"/>
        <v>#REF!</v>
      </c>
      <c r="X427" s="121">
        <v>0</v>
      </c>
      <c r="Y427" s="121" t="str">
        <f t="shared" ca="1" si="9"/>
        <v>#REF!</v>
      </c>
      <c r="Z427" s="121" t="str">
        <f t="shared" ca="1" si="10"/>
        <v>#REF!</v>
      </c>
      <c r="AA427" s="99" t="str">
        <f t="shared" ca="1" si="11"/>
        <v>#REF!</v>
      </c>
      <c r="AB427" s="234" t="str">
        <f t="shared" ca="1" si="12"/>
        <v>#REF!</v>
      </c>
      <c r="AC427" s="257" t="str">
        <f t="shared" ca="1" si="13"/>
        <v>#REF!</v>
      </c>
      <c r="AD427" s="234" t="str">
        <f t="shared" ca="1" si="14"/>
        <v>#REF!</v>
      </c>
      <c r="AE427" s="100" t="str">
        <f t="shared" ca="1" si="15"/>
        <v>#REF!</v>
      </c>
      <c r="AF427" s="101" t="str">
        <f t="shared" ca="1" si="16"/>
        <v>#REF!</v>
      </c>
      <c r="AG427" s="102" t="str">
        <f t="shared" ref="AG427:AH427" ca="1" si="445">AE427/V427</f>
        <v>#REF!</v>
      </c>
      <c r="AH427" s="102" t="str">
        <f t="shared" ca="1" si="445"/>
        <v>#REF!</v>
      </c>
    </row>
    <row r="428" spans="1:34" ht="13.2">
      <c r="A428" s="251"/>
      <c r="B428" s="251"/>
      <c r="C428" s="252"/>
      <c r="D428" s="252"/>
      <c r="E428" s="114"/>
      <c r="F428" s="252"/>
      <c r="G428" s="125" t="s">
        <v>145</v>
      </c>
      <c r="I428" s="172"/>
      <c r="J428" s="82" t="str">
        <f t="shared" ca="1" si="0"/>
        <v>#REF!</v>
      </c>
      <c r="K428" s="82" t="str">
        <f t="shared" ca="1" si="1"/>
        <v>#REF!</v>
      </c>
      <c r="L428" s="82" t="str">
        <f t="shared" ca="1" si="44"/>
        <v>#REF!</v>
      </c>
      <c r="M428" s="93"/>
      <c r="N428" s="93"/>
      <c r="O428" s="95">
        <f t="shared" si="2"/>
        <v>0</v>
      </c>
      <c r="P428" s="96">
        <f t="shared" si="3"/>
        <v>0</v>
      </c>
      <c r="Q428" s="97">
        <f t="shared" si="4"/>
        <v>0</v>
      </c>
      <c r="R428" s="97" t="str">
        <f ca="1">ROUNDUP(HLOOKUP(IF(CEILING(L428,0.5)&lt;1,0.5,CEILING(L428,0.5)),'배송비 조회'!A$44:AO$56,7,0)*B$3,-2)</f>
        <v>#REF!</v>
      </c>
      <c r="S428" s="97">
        <v>0</v>
      </c>
      <c r="T428" s="97" t="str">
        <f t="shared" ca="1" si="42"/>
        <v>#REF!</v>
      </c>
      <c r="U428" s="97" t="str">
        <f t="shared" ca="1" si="29"/>
        <v>#REF!</v>
      </c>
      <c r="V428" s="97" t="str">
        <f t="shared" ca="1" si="7"/>
        <v>#REF!</v>
      </c>
      <c r="W428" s="97" t="str">
        <f t="shared" ca="1" si="8"/>
        <v>#REF!</v>
      </c>
      <c r="X428" s="121">
        <v>0</v>
      </c>
      <c r="Y428" s="121" t="str">
        <f t="shared" ca="1" si="9"/>
        <v>#REF!</v>
      </c>
      <c r="Z428" s="121" t="str">
        <f t="shared" ca="1" si="10"/>
        <v>#REF!</v>
      </c>
      <c r="AA428" s="99" t="str">
        <f t="shared" ca="1" si="11"/>
        <v>#REF!</v>
      </c>
      <c r="AB428" s="234" t="str">
        <f t="shared" ca="1" si="12"/>
        <v>#REF!</v>
      </c>
      <c r="AC428" s="257" t="str">
        <f t="shared" ca="1" si="13"/>
        <v>#REF!</v>
      </c>
      <c r="AD428" s="234" t="str">
        <f t="shared" ca="1" si="14"/>
        <v>#REF!</v>
      </c>
      <c r="AE428" s="100" t="str">
        <f t="shared" ca="1" si="15"/>
        <v>#REF!</v>
      </c>
      <c r="AF428" s="101" t="str">
        <f t="shared" ca="1" si="16"/>
        <v>#REF!</v>
      </c>
      <c r="AG428" s="102" t="str">
        <f t="shared" ref="AG428:AH428" ca="1" si="446">AE428/V428</f>
        <v>#REF!</v>
      </c>
      <c r="AH428" s="102" t="str">
        <f t="shared" ca="1" si="446"/>
        <v>#REF!</v>
      </c>
    </row>
    <row r="429" spans="1:34" ht="13.2">
      <c r="A429" s="251"/>
      <c r="B429" s="251"/>
      <c r="C429" s="252"/>
      <c r="D429" s="252"/>
      <c r="E429" s="114"/>
      <c r="F429" s="252"/>
      <c r="G429" s="125" t="s">
        <v>145</v>
      </c>
      <c r="I429" s="172"/>
      <c r="J429" s="82" t="str">
        <f t="shared" ca="1" si="0"/>
        <v>#REF!</v>
      </c>
      <c r="K429" s="82" t="str">
        <f t="shared" ca="1" si="1"/>
        <v>#REF!</v>
      </c>
      <c r="L429" s="82" t="str">
        <f t="shared" ca="1" si="44"/>
        <v>#REF!</v>
      </c>
      <c r="M429" s="93"/>
      <c r="N429" s="93"/>
      <c r="O429" s="95">
        <f t="shared" si="2"/>
        <v>0</v>
      </c>
      <c r="P429" s="96">
        <f t="shared" si="3"/>
        <v>0</v>
      </c>
      <c r="Q429" s="97">
        <f t="shared" si="4"/>
        <v>0</v>
      </c>
      <c r="R429" s="97" t="str">
        <f ca="1">ROUNDUP(HLOOKUP(IF(CEILING(L429,0.5)&lt;1,0.5,CEILING(L429,0.5)),'배송비 조회'!A$44:AO$56,7,0)*B$3,-2)</f>
        <v>#REF!</v>
      </c>
      <c r="S429" s="97">
        <v>0</v>
      </c>
      <c r="T429" s="97" t="str">
        <f t="shared" ca="1" si="42"/>
        <v>#REF!</v>
      </c>
      <c r="U429" s="97" t="str">
        <f t="shared" ca="1" si="29"/>
        <v>#REF!</v>
      </c>
      <c r="V429" s="97" t="str">
        <f t="shared" ca="1" si="7"/>
        <v>#REF!</v>
      </c>
      <c r="W429" s="97" t="str">
        <f t="shared" ca="1" si="8"/>
        <v>#REF!</v>
      </c>
      <c r="X429" s="121">
        <v>0</v>
      </c>
      <c r="Y429" s="121" t="str">
        <f t="shared" ca="1" si="9"/>
        <v>#REF!</v>
      </c>
      <c r="Z429" s="121" t="str">
        <f t="shared" ca="1" si="10"/>
        <v>#REF!</v>
      </c>
      <c r="AA429" s="99" t="str">
        <f t="shared" ca="1" si="11"/>
        <v>#REF!</v>
      </c>
      <c r="AB429" s="234" t="str">
        <f t="shared" ca="1" si="12"/>
        <v>#REF!</v>
      </c>
      <c r="AC429" s="257" t="str">
        <f t="shared" ca="1" si="13"/>
        <v>#REF!</v>
      </c>
      <c r="AD429" s="234" t="str">
        <f t="shared" ca="1" si="14"/>
        <v>#REF!</v>
      </c>
      <c r="AE429" s="100" t="str">
        <f t="shared" ca="1" si="15"/>
        <v>#REF!</v>
      </c>
      <c r="AF429" s="101" t="str">
        <f t="shared" ca="1" si="16"/>
        <v>#REF!</v>
      </c>
      <c r="AG429" s="102" t="str">
        <f t="shared" ref="AG429:AH429" ca="1" si="447">AE429/V429</f>
        <v>#REF!</v>
      </c>
      <c r="AH429" s="102" t="str">
        <f t="shared" ca="1" si="447"/>
        <v>#REF!</v>
      </c>
    </row>
    <row r="430" spans="1:34" ht="13.2">
      <c r="A430" s="251"/>
      <c r="B430" s="251"/>
      <c r="C430" s="252"/>
      <c r="D430" s="252"/>
      <c r="E430" s="114"/>
      <c r="F430" s="252"/>
      <c r="G430" s="125" t="s">
        <v>145</v>
      </c>
      <c r="I430" s="172"/>
      <c r="J430" s="82" t="str">
        <f t="shared" ca="1" si="0"/>
        <v>#REF!</v>
      </c>
      <c r="K430" s="82" t="str">
        <f t="shared" ca="1" si="1"/>
        <v>#REF!</v>
      </c>
      <c r="L430" s="82" t="str">
        <f t="shared" ca="1" si="44"/>
        <v>#REF!</v>
      </c>
      <c r="M430" s="93"/>
      <c r="N430" s="93"/>
      <c r="O430" s="95">
        <f t="shared" si="2"/>
        <v>0</v>
      </c>
      <c r="P430" s="96">
        <f t="shared" si="3"/>
        <v>0</v>
      </c>
      <c r="Q430" s="97">
        <f t="shared" si="4"/>
        <v>0</v>
      </c>
      <c r="R430" s="97" t="str">
        <f ca="1">ROUNDUP(HLOOKUP(IF(CEILING(L430,0.5)&lt;1,0.5,CEILING(L430,0.5)),'배송비 조회'!A$44:AO$56,7,0)*B$3,-2)</f>
        <v>#REF!</v>
      </c>
      <c r="S430" s="97">
        <v>0</v>
      </c>
      <c r="T430" s="97" t="str">
        <f t="shared" ca="1" si="42"/>
        <v>#REF!</v>
      </c>
      <c r="U430" s="97" t="str">
        <f t="shared" ca="1" si="29"/>
        <v>#REF!</v>
      </c>
      <c r="V430" s="97" t="str">
        <f t="shared" ca="1" si="7"/>
        <v>#REF!</v>
      </c>
      <c r="W430" s="97" t="str">
        <f t="shared" ca="1" si="8"/>
        <v>#REF!</v>
      </c>
      <c r="X430" s="121">
        <v>0</v>
      </c>
      <c r="Y430" s="121" t="str">
        <f t="shared" ca="1" si="9"/>
        <v>#REF!</v>
      </c>
      <c r="Z430" s="121" t="str">
        <f t="shared" ca="1" si="10"/>
        <v>#REF!</v>
      </c>
      <c r="AA430" s="99" t="str">
        <f t="shared" ca="1" si="11"/>
        <v>#REF!</v>
      </c>
      <c r="AB430" s="234" t="str">
        <f t="shared" ca="1" si="12"/>
        <v>#REF!</v>
      </c>
      <c r="AC430" s="257" t="str">
        <f t="shared" ca="1" si="13"/>
        <v>#REF!</v>
      </c>
      <c r="AD430" s="234" t="str">
        <f t="shared" ca="1" si="14"/>
        <v>#REF!</v>
      </c>
      <c r="AE430" s="100" t="str">
        <f t="shared" ca="1" si="15"/>
        <v>#REF!</v>
      </c>
      <c r="AF430" s="101" t="str">
        <f t="shared" ca="1" si="16"/>
        <v>#REF!</v>
      </c>
      <c r="AG430" s="102" t="str">
        <f t="shared" ref="AG430:AH430" ca="1" si="448">AE430/V430</f>
        <v>#REF!</v>
      </c>
      <c r="AH430" s="102" t="str">
        <f t="shared" ca="1" si="448"/>
        <v>#REF!</v>
      </c>
    </row>
    <row r="431" spans="1:34" ht="13.2">
      <c r="A431" s="251"/>
      <c r="B431" s="251"/>
      <c r="C431" s="252"/>
      <c r="D431" s="252"/>
      <c r="E431" s="114"/>
      <c r="F431" s="252"/>
      <c r="G431" s="125" t="s">
        <v>145</v>
      </c>
      <c r="I431" s="172"/>
      <c r="J431" s="82" t="str">
        <f t="shared" ca="1" si="0"/>
        <v>#REF!</v>
      </c>
      <c r="K431" s="82" t="str">
        <f t="shared" ca="1" si="1"/>
        <v>#REF!</v>
      </c>
      <c r="L431" s="82" t="str">
        <f t="shared" ca="1" si="44"/>
        <v>#REF!</v>
      </c>
      <c r="M431" s="93"/>
      <c r="N431" s="93"/>
      <c r="O431" s="95">
        <f t="shared" si="2"/>
        <v>0</v>
      </c>
      <c r="P431" s="96">
        <f t="shared" si="3"/>
        <v>0</v>
      </c>
      <c r="Q431" s="97">
        <f t="shared" si="4"/>
        <v>0</v>
      </c>
      <c r="R431" s="97" t="str">
        <f ca="1">ROUNDUP(HLOOKUP(IF(CEILING(L431,0.5)&lt;1,0.5,CEILING(L431,0.5)),'배송비 조회'!A$44:AO$56,7,0)*B$3,-2)</f>
        <v>#REF!</v>
      </c>
      <c r="S431" s="97">
        <v>0</v>
      </c>
      <c r="T431" s="97" t="str">
        <f t="shared" ca="1" si="42"/>
        <v>#REF!</v>
      </c>
      <c r="U431" s="97" t="str">
        <f t="shared" ca="1" si="29"/>
        <v>#REF!</v>
      </c>
      <c r="V431" s="97" t="str">
        <f t="shared" ca="1" si="7"/>
        <v>#REF!</v>
      </c>
      <c r="W431" s="97" t="str">
        <f t="shared" ca="1" si="8"/>
        <v>#REF!</v>
      </c>
      <c r="X431" s="121">
        <v>0</v>
      </c>
      <c r="Y431" s="121" t="str">
        <f t="shared" ca="1" si="9"/>
        <v>#REF!</v>
      </c>
      <c r="Z431" s="121" t="str">
        <f t="shared" ca="1" si="10"/>
        <v>#REF!</v>
      </c>
      <c r="AA431" s="99" t="str">
        <f t="shared" ca="1" si="11"/>
        <v>#REF!</v>
      </c>
      <c r="AB431" s="234" t="str">
        <f t="shared" ca="1" si="12"/>
        <v>#REF!</v>
      </c>
      <c r="AC431" s="257" t="str">
        <f t="shared" ca="1" si="13"/>
        <v>#REF!</v>
      </c>
      <c r="AD431" s="234" t="str">
        <f t="shared" ca="1" si="14"/>
        <v>#REF!</v>
      </c>
      <c r="AE431" s="100" t="str">
        <f t="shared" ca="1" si="15"/>
        <v>#REF!</v>
      </c>
      <c r="AF431" s="101" t="str">
        <f t="shared" ca="1" si="16"/>
        <v>#REF!</v>
      </c>
      <c r="AG431" s="102" t="str">
        <f t="shared" ref="AG431:AH431" ca="1" si="449">AE431/V431</f>
        <v>#REF!</v>
      </c>
      <c r="AH431" s="102" t="str">
        <f t="shared" ca="1" si="449"/>
        <v>#REF!</v>
      </c>
    </row>
    <row r="432" spans="1:34" ht="13.2">
      <c r="A432" s="251"/>
      <c r="B432" s="251"/>
      <c r="C432" s="252"/>
      <c r="D432" s="252"/>
      <c r="E432" s="114"/>
      <c r="F432" s="252"/>
      <c r="G432" s="125" t="s">
        <v>145</v>
      </c>
      <c r="I432" s="172"/>
      <c r="J432" s="82" t="str">
        <f t="shared" ca="1" si="0"/>
        <v>#REF!</v>
      </c>
      <c r="K432" s="82" t="str">
        <f t="shared" ca="1" si="1"/>
        <v>#REF!</v>
      </c>
      <c r="L432" s="82" t="str">
        <f t="shared" ca="1" si="44"/>
        <v>#REF!</v>
      </c>
      <c r="M432" s="93"/>
      <c r="N432" s="93"/>
      <c r="O432" s="95">
        <f t="shared" si="2"/>
        <v>0</v>
      </c>
      <c r="P432" s="96">
        <f t="shared" si="3"/>
        <v>0</v>
      </c>
      <c r="Q432" s="97">
        <f t="shared" si="4"/>
        <v>0</v>
      </c>
      <c r="R432" s="97" t="str">
        <f ca="1">ROUNDUP(HLOOKUP(IF(CEILING(L432,0.5)&lt;1,0.5,CEILING(L432,0.5)),'배송비 조회'!A$44:AO$56,7,0)*B$3,-2)</f>
        <v>#REF!</v>
      </c>
      <c r="S432" s="97">
        <v>0</v>
      </c>
      <c r="T432" s="97" t="str">
        <f t="shared" ca="1" si="42"/>
        <v>#REF!</v>
      </c>
      <c r="U432" s="97" t="str">
        <f t="shared" ca="1" si="29"/>
        <v>#REF!</v>
      </c>
      <c r="V432" s="97" t="str">
        <f t="shared" ca="1" si="7"/>
        <v>#REF!</v>
      </c>
      <c r="W432" s="97" t="str">
        <f t="shared" ca="1" si="8"/>
        <v>#REF!</v>
      </c>
      <c r="X432" s="121">
        <v>0</v>
      </c>
      <c r="Y432" s="121" t="str">
        <f t="shared" ca="1" si="9"/>
        <v>#REF!</v>
      </c>
      <c r="Z432" s="121" t="str">
        <f t="shared" ca="1" si="10"/>
        <v>#REF!</v>
      </c>
      <c r="AA432" s="99" t="str">
        <f t="shared" ca="1" si="11"/>
        <v>#REF!</v>
      </c>
      <c r="AB432" s="234" t="str">
        <f t="shared" ca="1" si="12"/>
        <v>#REF!</v>
      </c>
      <c r="AC432" s="257" t="str">
        <f t="shared" ca="1" si="13"/>
        <v>#REF!</v>
      </c>
      <c r="AD432" s="234" t="str">
        <f t="shared" ca="1" si="14"/>
        <v>#REF!</v>
      </c>
      <c r="AE432" s="100" t="str">
        <f t="shared" ca="1" si="15"/>
        <v>#REF!</v>
      </c>
      <c r="AF432" s="101" t="str">
        <f t="shared" ca="1" si="16"/>
        <v>#REF!</v>
      </c>
      <c r="AG432" s="102" t="str">
        <f t="shared" ref="AG432:AH432" ca="1" si="450">AE432/V432</f>
        <v>#REF!</v>
      </c>
      <c r="AH432" s="102" t="str">
        <f t="shared" ca="1" si="450"/>
        <v>#REF!</v>
      </c>
    </row>
    <row r="433" spans="1:34" ht="13.2">
      <c r="A433" s="251"/>
      <c r="B433" s="251"/>
      <c r="C433" s="252"/>
      <c r="D433" s="252"/>
      <c r="E433" s="114"/>
      <c r="F433" s="252"/>
      <c r="G433" s="125" t="s">
        <v>145</v>
      </c>
      <c r="I433" s="172"/>
      <c r="J433" s="82" t="str">
        <f t="shared" ca="1" si="0"/>
        <v>#REF!</v>
      </c>
      <c r="K433" s="82" t="str">
        <f t="shared" ca="1" si="1"/>
        <v>#REF!</v>
      </c>
      <c r="L433" s="82" t="str">
        <f t="shared" ca="1" si="44"/>
        <v>#REF!</v>
      </c>
      <c r="M433" s="93"/>
      <c r="N433" s="93"/>
      <c r="O433" s="95">
        <f t="shared" si="2"/>
        <v>0</v>
      </c>
      <c r="P433" s="96">
        <f t="shared" si="3"/>
        <v>0</v>
      </c>
      <c r="Q433" s="97">
        <f t="shared" si="4"/>
        <v>0</v>
      </c>
      <c r="R433" s="97" t="str">
        <f ca="1">ROUNDUP(HLOOKUP(IF(CEILING(L433,0.5)&lt;1,0.5,CEILING(L433,0.5)),'배송비 조회'!A$44:AO$56,7,0)*B$3,-2)</f>
        <v>#REF!</v>
      </c>
      <c r="S433" s="97">
        <v>0</v>
      </c>
      <c r="T433" s="97" t="str">
        <f t="shared" ca="1" si="42"/>
        <v>#REF!</v>
      </c>
      <c r="U433" s="97" t="str">
        <f t="shared" ca="1" si="29"/>
        <v>#REF!</v>
      </c>
      <c r="V433" s="97" t="str">
        <f t="shared" ca="1" si="7"/>
        <v>#REF!</v>
      </c>
      <c r="W433" s="97" t="str">
        <f t="shared" ca="1" si="8"/>
        <v>#REF!</v>
      </c>
      <c r="X433" s="121">
        <v>0</v>
      </c>
      <c r="Y433" s="121" t="str">
        <f t="shared" ca="1" si="9"/>
        <v>#REF!</v>
      </c>
      <c r="Z433" s="121" t="str">
        <f t="shared" ca="1" si="10"/>
        <v>#REF!</v>
      </c>
      <c r="AA433" s="99" t="str">
        <f t="shared" ca="1" si="11"/>
        <v>#REF!</v>
      </c>
      <c r="AB433" s="234" t="str">
        <f t="shared" ca="1" si="12"/>
        <v>#REF!</v>
      </c>
      <c r="AC433" s="257" t="str">
        <f t="shared" ca="1" si="13"/>
        <v>#REF!</v>
      </c>
      <c r="AD433" s="234" t="str">
        <f t="shared" ca="1" si="14"/>
        <v>#REF!</v>
      </c>
      <c r="AE433" s="100" t="str">
        <f t="shared" ca="1" si="15"/>
        <v>#REF!</v>
      </c>
      <c r="AF433" s="101" t="str">
        <f t="shared" ca="1" si="16"/>
        <v>#REF!</v>
      </c>
      <c r="AG433" s="102" t="str">
        <f t="shared" ref="AG433:AH433" ca="1" si="451">AE433/V433</f>
        <v>#REF!</v>
      </c>
      <c r="AH433" s="102" t="str">
        <f t="shared" ca="1" si="451"/>
        <v>#REF!</v>
      </c>
    </row>
    <row r="434" spans="1:34" ht="13.2">
      <c r="A434" s="251"/>
      <c r="B434" s="251"/>
      <c r="C434" s="252"/>
      <c r="D434" s="252"/>
      <c r="E434" s="114"/>
      <c r="F434" s="252"/>
      <c r="G434" s="125" t="s">
        <v>145</v>
      </c>
      <c r="I434" s="172"/>
      <c r="J434" s="82" t="str">
        <f t="shared" ca="1" si="0"/>
        <v>#REF!</v>
      </c>
      <c r="K434" s="82" t="str">
        <f t="shared" ca="1" si="1"/>
        <v>#REF!</v>
      </c>
      <c r="L434" s="82" t="str">
        <f t="shared" ca="1" si="44"/>
        <v>#REF!</v>
      </c>
      <c r="M434" s="93"/>
      <c r="N434" s="93"/>
      <c r="O434" s="95">
        <f t="shared" si="2"/>
        <v>0</v>
      </c>
      <c r="P434" s="96">
        <f t="shared" si="3"/>
        <v>0</v>
      </c>
      <c r="Q434" s="97">
        <f t="shared" si="4"/>
        <v>0</v>
      </c>
      <c r="R434" s="97" t="str">
        <f ca="1">ROUNDUP(HLOOKUP(IF(CEILING(L434,0.5)&lt;1,0.5,CEILING(L434,0.5)),'배송비 조회'!A$44:AO$56,7,0)*B$3,-2)</f>
        <v>#REF!</v>
      </c>
      <c r="S434" s="97">
        <v>0</v>
      </c>
      <c r="T434" s="97" t="str">
        <f t="shared" ca="1" si="42"/>
        <v>#REF!</v>
      </c>
      <c r="U434" s="97" t="str">
        <f t="shared" ca="1" si="29"/>
        <v>#REF!</v>
      </c>
      <c r="V434" s="97" t="str">
        <f t="shared" ca="1" si="7"/>
        <v>#REF!</v>
      </c>
      <c r="W434" s="97" t="str">
        <f t="shared" ca="1" si="8"/>
        <v>#REF!</v>
      </c>
      <c r="X434" s="121">
        <v>0</v>
      </c>
      <c r="Y434" s="121" t="str">
        <f t="shared" ca="1" si="9"/>
        <v>#REF!</v>
      </c>
      <c r="Z434" s="121" t="str">
        <f t="shared" ca="1" si="10"/>
        <v>#REF!</v>
      </c>
      <c r="AA434" s="99" t="str">
        <f t="shared" ca="1" si="11"/>
        <v>#REF!</v>
      </c>
      <c r="AB434" s="234" t="str">
        <f t="shared" ca="1" si="12"/>
        <v>#REF!</v>
      </c>
      <c r="AC434" s="257" t="str">
        <f t="shared" ca="1" si="13"/>
        <v>#REF!</v>
      </c>
      <c r="AD434" s="234" t="str">
        <f t="shared" ca="1" si="14"/>
        <v>#REF!</v>
      </c>
      <c r="AE434" s="100" t="str">
        <f t="shared" ca="1" si="15"/>
        <v>#REF!</v>
      </c>
      <c r="AF434" s="101" t="str">
        <f t="shared" ca="1" si="16"/>
        <v>#REF!</v>
      </c>
      <c r="AG434" s="102" t="str">
        <f t="shared" ref="AG434:AH434" ca="1" si="452">AE434/V434</f>
        <v>#REF!</v>
      </c>
      <c r="AH434" s="102" t="str">
        <f t="shared" ca="1" si="452"/>
        <v>#REF!</v>
      </c>
    </row>
    <row r="435" spans="1:34" ht="13.2">
      <c r="A435" s="251"/>
      <c r="B435" s="251"/>
      <c r="C435" s="252"/>
      <c r="D435" s="252"/>
      <c r="E435" s="114"/>
      <c r="F435" s="252"/>
      <c r="G435" s="125" t="s">
        <v>145</v>
      </c>
      <c r="I435" s="172"/>
      <c r="J435" s="82" t="str">
        <f t="shared" ca="1" si="0"/>
        <v>#REF!</v>
      </c>
      <c r="K435" s="82" t="str">
        <f t="shared" ca="1" si="1"/>
        <v>#REF!</v>
      </c>
      <c r="L435" s="82" t="str">
        <f t="shared" ca="1" si="44"/>
        <v>#REF!</v>
      </c>
      <c r="M435" s="93"/>
      <c r="N435" s="93"/>
      <c r="O435" s="95">
        <f t="shared" si="2"/>
        <v>0</v>
      </c>
      <c r="P435" s="96">
        <f t="shared" si="3"/>
        <v>0</v>
      </c>
      <c r="Q435" s="97">
        <f t="shared" si="4"/>
        <v>0</v>
      </c>
      <c r="R435" s="97" t="str">
        <f ca="1">ROUNDUP(HLOOKUP(IF(CEILING(L435,0.5)&lt;1,0.5,CEILING(L435,0.5)),'배송비 조회'!A$44:AO$56,7,0)*B$3,-2)</f>
        <v>#REF!</v>
      </c>
      <c r="S435" s="97">
        <v>0</v>
      </c>
      <c r="T435" s="97" t="str">
        <f t="shared" ca="1" si="42"/>
        <v>#REF!</v>
      </c>
      <c r="U435" s="97" t="str">
        <f t="shared" ca="1" si="29"/>
        <v>#REF!</v>
      </c>
      <c r="V435" s="97" t="str">
        <f t="shared" ca="1" si="7"/>
        <v>#REF!</v>
      </c>
      <c r="W435" s="97" t="str">
        <f t="shared" ca="1" si="8"/>
        <v>#REF!</v>
      </c>
      <c r="X435" s="121">
        <v>0</v>
      </c>
      <c r="Y435" s="121" t="str">
        <f t="shared" ca="1" si="9"/>
        <v>#REF!</v>
      </c>
      <c r="Z435" s="121" t="str">
        <f t="shared" ca="1" si="10"/>
        <v>#REF!</v>
      </c>
      <c r="AA435" s="99" t="str">
        <f t="shared" ca="1" si="11"/>
        <v>#REF!</v>
      </c>
      <c r="AB435" s="234" t="str">
        <f t="shared" ca="1" si="12"/>
        <v>#REF!</v>
      </c>
      <c r="AC435" s="257" t="str">
        <f t="shared" ca="1" si="13"/>
        <v>#REF!</v>
      </c>
      <c r="AD435" s="234" t="str">
        <f t="shared" ca="1" si="14"/>
        <v>#REF!</v>
      </c>
      <c r="AE435" s="100" t="str">
        <f t="shared" ca="1" si="15"/>
        <v>#REF!</v>
      </c>
      <c r="AF435" s="101" t="str">
        <f t="shared" ca="1" si="16"/>
        <v>#REF!</v>
      </c>
      <c r="AG435" s="102" t="str">
        <f t="shared" ref="AG435:AH435" ca="1" si="453">AE435/V435</f>
        <v>#REF!</v>
      </c>
      <c r="AH435" s="102" t="str">
        <f t="shared" ca="1" si="453"/>
        <v>#REF!</v>
      </c>
    </row>
    <row r="436" spans="1:34" ht="13.2">
      <c r="A436" s="251"/>
      <c r="B436" s="251"/>
      <c r="C436" s="252"/>
      <c r="D436" s="252"/>
      <c r="E436" s="114"/>
      <c r="F436" s="252"/>
      <c r="G436" s="125" t="s">
        <v>145</v>
      </c>
      <c r="I436" s="172"/>
      <c r="J436" s="82" t="str">
        <f t="shared" ca="1" si="0"/>
        <v>#REF!</v>
      </c>
      <c r="K436" s="82" t="str">
        <f t="shared" ca="1" si="1"/>
        <v>#REF!</v>
      </c>
      <c r="L436" s="82" t="str">
        <f t="shared" ca="1" si="44"/>
        <v>#REF!</v>
      </c>
      <c r="M436" s="93"/>
      <c r="N436" s="93"/>
      <c r="O436" s="95">
        <f t="shared" si="2"/>
        <v>0</v>
      </c>
      <c r="P436" s="96">
        <f t="shared" si="3"/>
        <v>0</v>
      </c>
      <c r="Q436" s="97">
        <f t="shared" si="4"/>
        <v>0</v>
      </c>
      <c r="R436" s="97" t="str">
        <f ca="1">ROUNDUP(HLOOKUP(IF(CEILING(L436,0.5)&lt;1,0.5,CEILING(L436,0.5)),'배송비 조회'!A$44:AO$56,7,0)*B$3,-2)</f>
        <v>#REF!</v>
      </c>
      <c r="S436" s="97">
        <v>0</v>
      </c>
      <c r="T436" s="97" t="str">
        <f t="shared" ca="1" si="42"/>
        <v>#REF!</v>
      </c>
      <c r="U436" s="97" t="str">
        <f t="shared" ca="1" si="29"/>
        <v>#REF!</v>
      </c>
      <c r="V436" s="97" t="str">
        <f t="shared" ca="1" si="7"/>
        <v>#REF!</v>
      </c>
      <c r="W436" s="97" t="str">
        <f t="shared" ca="1" si="8"/>
        <v>#REF!</v>
      </c>
      <c r="X436" s="121">
        <v>0</v>
      </c>
      <c r="Y436" s="121" t="str">
        <f t="shared" ca="1" si="9"/>
        <v>#REF!</v>
      </c>
      <c r="Z436" s="121" t="str">
        <f t="shared" ca="1" si="10"/>
        <v>#REF!</v>
      </c>
      <c r="AA436" s="99" t="str">
        <f t="shared" ca="1" si="11"/>
        <v>#REF!</v>
      </c>
      <c r="AB436" s="234" t="str">
        <f t="shared" ca="1" si="12"/>
        <v>#REF!</v>
      </c>
      <c r="AC436" s="257" t="str">
        <f t="shared" ca="1" si="13"/>
        <v>#REF!</v>
      </c>
      <c r="AD436" s="234" t="str">
        <f t="shared" ca="1" si="14"/>
        <v>#REF!</v>
      </c>
      <c r="AE436" s="100" t="str">
        <f t="shared" ca="1" si="15"/>
        <v>#REF!</v>
      </c>
      <c r="AF436" s="101" t="str">
        <f t="shared" ca="1" si="16"/>
        <v>#REF!</v>
      </c>
      <c r="AG436" s="102" t="str">
        <f t="shared" ref="AG436:AH436" ca="1" si="454">AE436/V436</f>
        <v>#REF!</v>
      </c>
      <c r="AH436" s="102" t="str">
        <f t="shared" ca="1" si="454"/>
        <v>#REF!</v>
      </c>
    </row>
    <row r="437" spans="1:34" ht="13.2">
      <c r="A437" s="251"/>
      <c r="B437" s="251"/>
      <c r="C437" s="252"/>
      <c r="D437" s="252"/>
      <c r="E437" s="114"/>
      <c r="F437" s="252"/>
      <c r="G437" s="125" t="s">
        <v>145</v>
      </c>
      <c r="I437" s="172"/>
      <c r="J437" s="82" t="str">
        <f t="shared" ca="1" si="0"/>
        <v>#REF!</v>
      </c>
      <c r="K437" s="82" t="str">
        <f t="shared" ca="1" si="1"/>
        <v>#REF!</v>
      </c>
      <c r="L437" s="82" t="str">
        <f t="shared" ca="1" si="44"/>
        <v>#REF!</v>
      </c>
      <c r="M437" s="93"/>
      <c r="N437" s="93"/>
      <c r="O437" s="95">
        <f t="shared" si="2"/>
        <v>0</v>
      </c>
      <c r="P437" s="96">
        <f t="shared" si="3"/>
        <v>0</v>
      </c>
      <c r="Q437" s="97">
        <f t="shared" si="4"/>
        <v>0</v>
      </c>
      <c r="R437" s="97" t="str">
        <f ca="1">ROUNDUP(HLOOKUP(IF(CEILING(L437,0.5)&lt;1,0.5,CEILING(L437,0.5)),'배송비 조회'!A$44:AO$56,7,0)*B$3,-2)</f>
        <v>#REF!</v>
      </c>
      <c r="S437" s="97">
        <v>0</v>
      </c>
      <c r="T437" s="97" t="str">
        <f t="shared" ca="1" si="42"/>
        <v>#REF!</v>
      </c>
      <c r="U437" s="97" t="str">
        <f t="shared" ca="1" si="29"/>
        <v>#REF!</v>
      </c>
      <c r="V437" s="97" t="str">
        <f t="shared" ca="1" si="7"/>
        <v>#REF!</v>
      </c>
      <c r="W437" s="97" t="str">
        <f t="shared" ca="1" si="8"/>
        <v>#REF!</v>
      </c>
      <c r="X437" s="121">
        <v>0</v>
      </c>
      <c r="Y437" s="121" t="str">
        <f t="shared" ca="1" si="9"/>
        <v>#REF!</v>
      </c>
      <c r="Z437" s="121" t="str">
        <f t="shared" ca="1" si="10"/>
        <v>#REF!</v>
      </c>
      <c r="AA437" s="99" t="str">
        <f t="shared" ca="1" si="11"/>
        <v>#REF!</v>
      </c>
      <c r="AB437" s="234" t="str">
        <f t="shared" ca="1" si="12"/>
        <v>#REF!</v>
      </c>
      <c r="AC437" s="257" t="str">
        <f t="shared" ca="1" si="13"/>
        <v>#REF!</v>
      </c>
      <c r="AD437" s="234" t="str">
        <f t="shared" ca="1" si="14"/>
        <v>#REF!</v>
      </c>
      <c r="AE437" s="100" t="str">
        <f t="shared" ca="1" si="15"/>
        <v>#REF!</v>
      </c>
      <c r="AF437" s="101" t="str">
        <f t="shared" ca="1" si="16"/>
        <v>#REF!</v>
      </c>
      <c r="AG437" s="102" t="str">
        <f t="shared" ref="AG437:AH437" ca="1" si="455">AE437/V437</f>
        <v>#REF!</v>
      </c>
      <c r="AH437" s="102" t="str">
        <f t="shared" ca="1" si="455"/>
        <v>#REF!</v>
      </c>
    </row>
    <row r="438" spans="1:34" ht="13.2">
      <c r="A438" s="251"/>
      <c r="B438" s="251"/>
      <c r="C438" s="252"/>
      <c r="D438" s="252"/>
      <c r="E438" s="114"/>
      <c r="F438" s="252"/>
      <c r="G438" s="125" t="s">
        <v>145</v>
      </c>
      <c r="I438" s="172"/>
      <c r="J438" s="82" t="str">
        <f t="shared" ca="1" si="0"/>
        <v>#REF!</v>
      </c>
      <c r="K438" s="82" t="str">
        <f t="shared" ca="1" si="1"/>
        <v>#REF!</v>
      </c>
      <c r="L438" s="82" t="str">
        <f t="shared" ca="1" si="44"/>
        <v>#REF!</v>
      </c>
      <c r="M438" s="93"/>
      <c r="N438" s="93"/>
      <c r="O438" s="95">
        <f t="shared" si="2"/>
        <v>0</v>
      </c>
      <c r="P438" s="96">
        <f t="shared" si="3"/>
        <v>0</v>
      </c>
      <c r="Q438" s="97">
        <f t="shared" si="4"/>
        <v>0</v>
      </c>
      <c r="R438" s="97" t="str">
        <f ca="1">ROUNDUP(HLOOKUP(IF(CEILING(L438,0.5)&lt;1,0.5,CEILING(L438,0.5)),'배송비 조회'!A$44:AO$56,7,0)*B$3,-2)</f>
        <v>#REF!</v>
      </c>
      <c r="S438" s="97">
        <v>0</v>
      </c>
      <c r="T438" s="97" t="str">
        <f t="shared" ca="1" si="42"/>
        <v>#REF!</v>
      </c>
      <c r="U438" s="97" t="str">
        <f t="shared" ca="1" si="29"/>
        <v>#REF!</v>
      </c>
      <c r="V438" s="97" t="str">
        <f t="shared" ca="1" si="7"/>
        <v>#REF!</v>
      </c>
      <c r="W438" s="97" t="str">
        <f t="shared" ca="1" si="8"/>
        <v>#REF!</v>
      </c>
      <c r="X438" s="121">
        <v>0</v>
      </c>
      <c r="Y438" s="121" t="str">
        <f t="shared" ca="1" si="9"/>
        <v>#REF!</v>
      </c>
      <c r="Z438" s="121" t="str">
        <f t="shared" ca="1" si="10"/>
        <v>#REF!</v>
      </c>
      <c r="AA438" s="99" t="str">
        <f t="shared" ca="1" si="11"/>
        <v>#REF!</v>
      </c>
      <c r="AB438" s="234" t="str">
        <f t="shared" ca="1" si="12"/>
        <v>#REF!</v>
      </c>
      <c r="AC438" s="257" t="str">
        <f t="shared" ca="1" si="13"/>
        <v>#REF!</v>
      </c>
      <c r="AD438" s="234" t="str">
        <f t="shared" ca="1" si="14"/>
        <v>#REF!</v>
      </c>
      <c r="AE438" s="100" t="str">
        <f t="shared" ca="1" si="15"/>
        <v>#REF!</v>
      </c>
      <c r="AF438" s="101" t="str">
        <f t="shared" ca="1" si="16"/>
        <v>#REF!</v>
      </c>
      <c r="AG438" s="102" t="str">
        <f t="shared" ref="AG438:AH438" ca="1" si="456">AE438/V438</f>
        <v>#REF!</v>
      </c>
      <c r="AH438" s="102" t="str">
        <f t="shared" ca="1" si="456"/>
        <v>#REF!</v>
      </c>
    </row>
    <row r="439" spans="1:34" ht="13.2">
      <c r="A439" s="251"/>
      <c r="B439" s="251"/>
      <c r="C439" s="252"/>
      <c r="D439" s="252"/>
      <c r="E439" s="114"/>
      <c r="F439" s="252"/>
      <c r="G439" s="125" t="s">
        <v>145</v>
      </c>
      <c r="I439" s="172"/>
      <c r="J439" s="82" t="str">
        <f t="shared" ca="1" si="0"/>
        <v>#REF!</v>
      </c>
      <c r="K439" s="82" t="str">
        <f t="shared" ca="1" si="1"/>
        <v>#REF!</v>
      </c>
      <c r="L439" s="82" t="str">
        <f t="shared" ca="1" si="44"/>
        <v>#REF!</v>
      </c>
      <c r="M439" s="93"/>
      <c r="N439" s="93"/>
      <c r="O439" s="95">
        <f t="shared" si="2"/>
        <v>0</v>
      </c>
      <c r="P439" s="96">
        <f t="shared" si="3"/>
        <v>0</v>
      </c>
      <c r="Q439" s="97">
        <f t="shared" si="4"/>
        <v>0</v>
      </c>
      <c r="R439" s="97" t="str">
        <f ca="1">ROUNDUP(HLOOKUP(IF(CEILING(L439,0.5)&lt;1,0.5,CEILING(L439,0.5)),'배송비 조회'!A$44:AO$56,7,0)*B$3,-2)</f>
        <v>#REF!</v>
      </c>
      <c r="S439" s="97">
        <v>0</v>
      </c>
      <c r="T439" s="97" t="str">
        <f t="shared" ca="1" si="42"/>
        <v>#REF!</v>
      </c>
      <c r="U439" s="97" t="str">
        <f t="shared" ca="1" si="29"/>
        <v>#REF!</v>
      </c>
      <c r="V439" s="97" t="str">
        <f t="shared" ca="1" si="7"/>
        <v>#REF!</v>
      </c>
      <c r="W439" s="97" t="str">
        <f t="shared" ca="1" si="8"/>
        <v>#REF!</v>
      </c>
      <c r="X439" s="121">
        <v>0</v>
      </c>
      <c r="Y439" s="121" t="str">
        <f t="shared" ca="1" si="9"/>
        <v>#REF!</v>
      </c>
      <c r="Z439" s="121" t="str">
        <f t="shared" ca="1" si="10"/>
        <v>#REF!</v>
      </c>
      <c r="AA439" s="99" t="str">
        <f t="shared" ca="1" si="11"/>
        <v>#REF!</v>
      </c>
      <c r="AB439" s="234" t="str">
        <f t="shared" ca="1" si="12"/>
        <v>#REF!</v>
      </c>
      <c r="AC439" s="257" t="str">
        <f t="shared" ca="1" si="13"/>
        <v>#REF!</v>
      </c>
      <c r="AD439" s="234" t="str">
        <f t="shared" ca="1" si="14"/>
        <v>#REF!</v>
      </c>
      <c r="AE439" s="100" t="str">
        <f t="shared" ca="1" si="15"/>
        <v>#REF!</v>
      </c>
      <c r="AF439" s="101" t="str">
        <f t="shared" ca="1" si="16"/>
        <v>#REF!</v>
      </c>
      <c r="AG439" s="102" t="str">
        <f t="shared" ref="AG439:AH439" ca="1" si="457">AE439/V439</f>
        <v>#REF!</v>
      </c>
      <c r="AH439" s="102" t="str">
        <f t="shared" ca="1" si="457"/>
        <v>#REF!</v>
      </c>
    </row>
    <row r="440" spans="1:34" ht="13.2">
      <c r="A440" s="251"/>
      <c r="B440" s="251"/>
      <c r="C440" s="252"/>
      <c r="D440" s="252"/>
      <c r="E440" s="114"/>
      <c r="F440" s="252"/>
      <c r="G440" s="125" t="s">
        <v>145</v>
      </c>
      <c r="I440" s="172"/>
      <c r="J440" s="82" t="str">
        <f t="shared" ca="1" si="0"/>
        <v>#REF!</v>
      </c>
      <c r="K440" s="82" t="str">
        <f t="shared" ca="1" si="1"/>
        <v>#REF!</v>
      </c>
      <c r="L440" s="82" t="str">
        <f t="shared" ca="1" si="44"/>
        <v>#REF!</v>
      </c>
      <c r="M440" s="93"/>
      <c r="N440" s="93"/>
      <c r="O440" s="95">
        <f t="shared" si="2"/>
        <v>0</v>
      </c>
      <c r="P440" s="96">
        <f t="shared" si="3"/>
        <v>0</v>
      </c>
      <c r="Q440" s="97">
        <f t="shared" si="4"/>
        <v>0</v>
      </c>
      <c r="R440" s="97" t="str">
        <f ca="1">ROUNDUP(HLOOKUP(IF(CEILING(L440,0.5)&lt;1,0.5,CEILING(L440,0.5)),'배송비 조회'!A$44:AO$56,7,0)*B$3,-2)</f>
        <v>#REF!</v>
      </c>
      <c r="S440" s="97">
        <v>0</v>
      </c>
      <c r="T440" s="97" t="str">
        <f t="shared" ca="1" si="42"/>
        <v>#REF!</v>
      </c>
      <c r="U440" s="97" t="str">
        <f t="shared" ca="1" si="29"/>
        <v>#REF!</v>
      </c>
      <c r="V440" s="97" t="str">
        <f t="shared" ca="1" si="7"/>
        <v>#REF!</v>
      </c>
      <c r="W440" s="97" t="str">
        <f t="shared" ca="1" si="8"/>
        <v>#REF!</v>
      </c>
      <c r="X440" s="121">
        <v>0</v>
      </c>
      <c r="Y440" s="121" t="str">
        <f t="shared" ca="1" si="9"/>
        <v>#REF!</v>
      </c>
      <c r="Z440" s="121" t="str">
        <f t="shared" ca="1" si="10"/>
        <v>#REF!</v>
      </c>
      <c r="AA440" s="99" t="str">
        <f t="shared" ca="1" si="11"/>
        <v>#REF!</v>
      </c>
      <c r="AB440" s="234" t="str">
        <f t="shared" ca="1" si="12"/>
        <v>#REF!</v>
      </c>
      <c r="AC440" s="257" t="str">
        <f t="shared" ca="1" si="13"/>
        <v>#REF!</v>
      </c>
      <c r="AD440" s="234" t="str">
        <f t="shared" ca="1" si="14"/>
        <v>#REF!</v>
      </c>
      <c r="AE440" s="100" t="str">
        <f t="shared" ca="1" si="15"/>
        <v>#REF!</v>
      </c>
      <c r="AF440" s="101" t="str">
        <f t="shared" ca="1" si="16"/>
        <v>#REF!</v>
      </c>
      <c r="AG440" s="102" t="str">
        <f t="shared" ref="AG440:AH440" ca="1" si="458">AE440/V440</f>
        <v>#REF!</v>
      </c>
      <c r="AH440" s="102" t="str">
        <f t="shared" ca="1" si="458"/>
        <v>#REF!</v>
      </c>
    </row>
    <row r="441" spans="1:34" ht="13.2">
      <c r="A441" s="251"/>
      <c r="B441" s="251"/>
      <c r="C441" s="252"/>
      <c r="D441" s="252"/>
      <c r="E441" s="114"/>
      <c r="F441" s="252"/>
      <c r="G441" s="125" t="s">
        <v>145</v>
      </c>
      <c r="I441" s="172"/>
      <c r="J441" s="82" t="str">
        <f t="shared" ca="1" si="0"/>
        <v>#REF!</v>
      </c>
      <c r="K441" s="82" t="str">
        <f t="shared" ca="1" si="1"/>
        <v>#REF!</v>
      </c>
      <c r="L441" s="82" t="str">
        <f t="shared" ca="1" si="44"/>
        <v>#REF!</v>
      </c>
      <c r="M441" s="93"/>
      <c r="N441" s="93"/>
      <c r="O441" s="95">
        <f t="shared" si="2"/>
        <v>0</v>
      </c>
      <c r="P441" s="96">
        <f t="shared" si="3"/>
        <v>0</v>
      </c>
      <c r="Q441" s="97">
        <f t="shared" si="4"/>
        <v>0</v>
      </c>
      <c r="R441" s="97" t="str">
        <f ca="1">ROUNDUP(HLOOKUP(IF(CEILING(L441,0.5)&lt;1,0.5,CEILING(L441,0.5)),'배송비 조회'!A$44:AO$56,7,0)*B$3,-2)</f>
        <v>#REF!</v>
      </c>
      <c r="S441" s="97">
        <v>0</v>
      </c>
      <c r="T441" s="97" t="str">
        <f t="shared" ca="1" si="42"/>
        <v>#REF!</v>
      </c>
      <c r="U441" s="97" t="str">
        <f t="shared" ca="1" si="29"/>
        <v>#REF!</v>
      </c>
      <c r="V441" s="97" t="str">
        <f t="shared" ca="1" si="7"/>
        <v>#REF!</v>
      </c>
      <c r="W441" s="97" t="str">
        <f t="shared" ca="1" si="8"/>
        <v>#REF!</v>
      </c>
      <c r="X441" s="121">
        <v>0</v>
      </c>
      <c r="Y441" s="121" t="str">
        <f t="shared" ca="1" si="9"/>
        <v>#REF!</v>
      </c>
      <c r="Z441" s="121" t="str">
        <f t="shared" ca="1" si="10"/>
        <v>#REF!</v>
      </c>
      <c r="AA441" s="99" t="str">
        <f t="shared" ca="1" si="11"/>
        <v>#REF!</v>
      </c>
      <c r="AB441" s="234" t="str">
        <f t="shared" ca="1" si="12"/>
        <v>#REF!</v>
      </c>
      <c r="AC441" s="257" t="str">
        <f t="shared" ca="1" si="13"/>
        <v>#REF!</v>
      </c>
      <c r="AD441" s="234" t="str">
        <f t="shared" ca="1" si="14"/>
        <v>#REF!</v>
      </c>
      <c r="AE441" s="100" t="str">
        <f t="shared" ca="1" si="15"/>
        <v>#REF!</v>
      </c>
      <c r="AF441" s="101" t="str">
        <f t="shared" ca="1" si="16"/>
        <v>#REF!</v>
      </c>
      <c r="AG441" s="102" t="str">
        <f t="shared" ref="AG441:AH441" ca="1" si="459">AE441/V441</f>
        <v>#REF!</v>
      </c>
      <c r="AH441" s="102" t="str">
        <f t="shared" ca="1" si="459"/>
        <v>#REF!</v>
      </c>
    </row>
    <row r="442" spans="1:34" ht="13.2">
      <c r="A442" s="251"/>
      <c r="B442" s="251"/>
      <c r="C442" s="252"/>
      <c r="D442" s="252"/>
      <c r="E442" s="114"/>
      <c r="F442" s="252"/>
      <c r="G442" s="125" t="s">
        <v>145</v>
      </c>
      <c r="I442" s="172"/>
      <c r="J442" s="82" t="str">
        <f t="shared" ca="1" si="0"/>
        <v>#REF!</v>
      </c>
      <c r="K442" s="82" t="str">
        <f t="shared" ca="1" si="1"/>
        <v>#REF!</v>
      </c>
      <c r="L442" s="82" t="str">
        <f t="shared" ca="1" si="44"/>
        <v>#REF!</v>
      </c>
      <c r="M442" s="93"/>
      <c r="N442" s="93"/>
      <c r="O442" s="95">
        <f t="shared" si="2"/>
        <v>0</v>
      </c>
      <c r="P442" s="96">
        <f t="shared" si="3"/>
        <v>0</v>
      </c>
      <c r="Q442" s="97">
        <f t="shared" si="4"/>
        <v>0</v>
      </c>
      <c r="R442" s="97" t="str">
        <f ca="1">ROUNDUP(HLOOKUP(IF(CEILING(L442,0.5)&lt;1,0.5,CEILING(L442,0.5)),'배송비 조회'!A$44:AO$56,7,0)*B$3,-2)</f>
        <v>#REF!</v>
      </c>
      <c r="S442" s="97">
        <v>0</v>
      </c>
      <c r="T442" s="97" t="str">
        <f t="shared" ca="1" si="42"/>
        <v>#REF!</v>
      </c>
      <c r="U442" s="97" t="str">
        <f t="shared" ca="1" si="29"/>
        <v>#REF!</v>
      </c>
      <c r="V442" s="97" t="str">
        <f t="shared" ca="1" si="7"/>
        <v>#REF!</v>
      </c>
      <c r="W442" s="97" t="str">
        <f t="shared" ca="1" si="8"/>
        <v>#REF!</v>
      </c>
      <c r="X442" s="121">
        <v>0</v>
      </c>
      <c r="Y442" s="121" t="str">
        <f t="shared" ca="1" si="9"/>
        <v>#REF!</v>
      </c>
      <c r="Z442" s="121" t="str">
        <f t="shared" ca="1" si="10"/>
        <v>#REF!</v>
      </c>
      <c r="AA442" s="99" t="str">
        <f t="shared" ca="1" si="11"/>
        <v>#REF!</v>
      </c>
      <c r="AB442" s="234" t="str">
        <f t="shared" ca="1" si="12"/>
        <v>#REF!</v>
      </c>
      <c r="AC442" s="257" t="str">
        <f t="shared" ca="1" si="13"/>
        <v>#REF!</v>
      </c>
      <c r="AD442" s="234" t="str">
        <f t="shared" ca="1" si="14"/>
        <v>#REF!</v>
      </c>
      <c r="AE442" s="100" t="str">
        <f t="shared" ca="1" si="15"/>
        <v>#REF!</v>
      </c>
      <c r="AF442" s="101" t="str">
        <f t="shared" ca="1" si="16"/>
        <v>#REF!</v>
      </c>
      <c r="AG442" s="102" t="str">
        <f t="shared" ref="AG442:AH442" ca="1" si="460">AE442/V442</f>
        <v>#REF!</v>
      </c>
      <c r="AH442" s="102" t="str">
        <f t="shared" ca="1" si="460"/>
        <v>#REF!</v>
      </c>
    </row>
    <row r="443" spans="1:34" ht="13.2">
      <c r="A443" s="251"/>
      <c r="B443" s="251"/>
      <c r="C443" s="252"/>
      <c r="D443" s="252"/>
      <c r="E443" s="114"/>
      <c r="F443" s="252"/>
      <c r="G443" s="125" t="s">
        <v>145</v>
      </c>
      <c r="I443" s="172"/>
      <c r="J443" s="82" t="str">
        <f t="shared" ca="1" si="0"/>
        <v>#REF!</v>
      </c>
      <c r="K443" s="82" t="str">
        <f t="shared" ca="1" si="1"/>
        <v>#REF!</v>
      </c>
      <c r="L443" s="82" t="str">
        <f t="shared" ca="1" si="44"/>
        <v>#REF!</v>
      </c>
      <c r="M443" s="93"/>
      <c r="N443" s="93"/>
      <c r="O443" s="95">
        <f t="shared" si="2"/>
        <v>0</v>
      </c>
      <c r="P443" s="96">
        <f t="shared" si="3"/>
        <v>0</v>
      </c>
      <c r="Q443" s="97">
        <f t="shared" si="4"/>
        <v>0</v>
      </c>
      <c r="R443" s="97" t="str">
        <f ca="1">ROUNDUP(HLOOKUP(IF(CEILING(L443,0.5)&lt;1,0.5,CEILING(L443,0.5)),'배송비 조회'!A$44:AO$56,7,0)*B$3,-2)</f>
        <v>#REF!</v>
      </c>
      <c r="S443" s="97">
        <v>0</v>
      </c>
      <c r="T443" s="97" t="str">
        <f t="shared" ca="1" si="42"/>
        <v>#REF!</v>
      </c>
      <c r="U443" s="97" t="str">
        <f t="shared" ca="1" si="29"/>
        <v>#REF!</v>
      </c>
      <c r="V443" s="97" t="str">
        <f t="shared" ca="1" si="7"/>
        <v>#REF!</v>
      </c>
      <c r="W443" s="97" t="str">
        <f t="shared" ca="1" si="8"/>
        <v>#REF!</v>
      </c>
      <c r="X443" s="121">
        <v>0</v>
      </c>
      <c r="Y443" s="121" t="str">
        <f t="shared" ca="1" si="9"/>
        <v>#REF!</v>
      </c>
      <c r="Z443" s="121" t="str">
        <f t="shared" ca="1" si="10"/>
        <v>#REF!</v>
      </c>
      <c r="AA443" s="99" t="str">
        <f t="shared" ca="1" si="11"/>
        <v>#REF!</v>
      </c>
      <c r="AB443" s="234" t="str">
        <f t="shared" ca="1" si="12"/>
        <v>#REF!</v>
      </c>
      <c r="AC443" s="257" t="str">
        <f t="shared" ca="1" si="13"/>
        <v>#REF!</v>
      </c>
      <c r="AD443" s="234" t="str">
        <f t="shared" ca="1" si="14"/>
        <v>#REF!</v>
      </c>
      <c r="AE443" s="100" t="str">
        <f t="shared" ca="1" si="15"/>
        <v>#REF!</v>
      </c>
      <c r="AF443" s="101" t="str">
        <f t="shared" ca="1" si="16"/>
        <v>#REF!</v>
      </c>
      <c r="AG443" s="102" t="str">
        <f t="shared" ref="AG443:AH443" ca="1" si="461">AE443/V443</f>
        <v>#REF!</v>
      </c>
      <c r="AH443" s="102" t="str">
        <f t="shared" ca="1" si="461"/>
        <v>#REF!</v>
      </c>
    </row>
    <row r="444" spans="1:34" ht="13.2">
      <c r="A444" s="251"/>
      <c r="B444" s="251"/>
      <c r="C444" s="252"/>
      <c r="D444" s="252"/>
      <c r="E444" s="114"/>
      <c r="F444" s="252"/>
      <c r="G444" s="125" t="s">
        <v>145</v>
      </c>
      <c r="I444" s="172"/>
      <c r="J444" s="82" t="str">
        <f t="shared" ca="1" si="0"/>
        <v>#REF!</v>
      </c>
      <c r="K444" s="82" t="str">
        <f t="shared" ca="1" si="1"/>
        <v>#REF!</v>
      </c>
      <c r="L444" s="82" t="str">
        <f t="shared" ca="1" si="44"/>
        <v>#REF!</v>
      </c>
      <c r="M444" s="93"/>
      <c r="N444" s="93"/>
      <c r="O444" s="95">
        <f t="shared" si="2"/>
        <v>0</v>
      </c>
      <c r="P444" s="96">
        <f t="shared" si="3"/>
        <v>0</v>
      </c>
      <c r="Q444" s="97">
        <f t="shared" si="4"/>
        <v>0</v>
      </c>
      <c r="R444" s="97" t="str">
        <f ca="1">ROUNDUP(HLOOKUP(IF(CEILING(L444,0.5)&lt;1,0.5,CEILING(L444,0.5)),'배송비 조회'!A$44:AO$56,7,0)*B$3,-2)</f>
        <v>#REF!</v>
      </c>
      <c r="S444" s="97">
        <v>0</v>
      </c>
      <c r="T444" s="97" t="str">
        <f t="shared" ca="1" si="42"/>
        <v>#REF!</v>
      </c>
      <c r="U444" s="97" t="str">
        <f t="shared" ca="1" si="29"/>
        <v>#REF!</v>
      </c>
      <c r="V444" s="97" t="str">
        <f t="shared" ca="1" si="7"/>
        <v>#REF!</v>
      </c>
      <c r="W444" s="97" t="str">
        <f t="shared" ca="1" si="8"/>
        <v>#REF!</v>
      </c>
      <c r="X444" s="121">
        <v>0</v>
      </c>
      <c r="Y444" s="121" t="str">
        <f t="shared" ca="1" si="9"/>
        <v>#REF!</v>
      </c>
      <c r="Z444" s="121" t="str">
        <f t="shared" ca="1" si="10"/>
        <v>#REF!</v>
      </c>
      <c r="AA444" s="99" t="str">
        <f t="shared" ca="1" si="11"/>
        <v>#REF!</v>
      </c>
      <c r="AB444" s="234" t="str">
        <f t="shared" ca="1" si="12"/>
        <v>#REF!</v>
      </c>
      <c r="AC444" s="257" t="str">
        <f t="shared" ca="1" si="13"/>
        <v>#REF!</v>
      </c>
      <c r="AD444" s="234" t="str">
        <f t="shared" ca="1" si="14"/>
        <v>#REF!</v>
      </c>
      <c r="AE444" s="100" t="str">
        <f t="shared" ca="1" si="15"/>
        <v>#REF!</v>
      </c>
      <c r="AF444" s="101" t="str">
        <f t="shared" ca="1" si="16"/>
        <v>#REF!</v>
      </c>
      <c r="AG444" s="102" t="str">
        <f t="shared" ref="AG444:AH444" ca="1" si="462">AE444/V444</f>
        <v>#REF!</v>
      </c>
      <c r="AH444" s="102" t="str">
        <f t="shared" ca="1" si="462"/>
        <v>#REF!</v>
      </c>
    </row>
    <row r="445" spans="1:34" ht="13.2">
      <c r="A445" s="251"/>
      <c r="B445" s="251"/>
      <c r="C445" s="252"/>
      <c r="D445" s="252"/>
      <c r="E445" s="114"/>
      <c r="F445" s="252"/>
      <c r="G445" s="125" t="s">
        <v>145</v>
      </c>
      <c r="I445" s="172"/>
      <c r="J445" s="82" t="str">
        <f t="shared" ca="1" si="0"/>
        <v>#REF!</v>
      </c>
      <c r="K445" s="82" t="str">
        <f t="shared" ca="1" si="1"/>
        <v>#REF!</v>
      </c>
      <c r="L445" s="82" t="str">
        <f t="shared" ca="1" si="44"/>
        <v>#REF!</v>
      </c>
      <c r="M445" s="93"/>
      <c r="N445" s="93"/>
      <c r="O445" s="95">
        <f t="shared" si="2"/>
        <v>0</v>
      </c>
      <c r="P445" s="96">
        <f t="shared" si="3"/>
        <v>0</v>
      </c>
      <c r="Q445" s="97">
        <f t="shared" si="4"/>
        <v>0</v>
      </c>
      <c r="R445" s="97" t="str">
        <f ca="1">ROUNDUP(HLOOKUP(IF(CEILING(L445,0.5)&lt;1,0.5,CEILING(L445,0.5)),'배송비 조회'!A$44:AO$56,7,0)*B$3,-2)</f>
        <v>#REF!</v>
      </c>
      <c r="S445" s="97">
        <v>0</v>
      </c>
      <c r="T445" s="97" t="str">
        <f t="shared" ca="1" si="42"/>
        <v>#REF!</v>
      </c>
      <c r="U445" s="97" t="str">
        <f t="shared" ca="1" si="29"/>
        <v>#REF!</v>
      </c>
      <c r="V445" s="97" t="str">
        <f t="shared" ca="1" si="7"/>
        <v>#REF!</v>
      </c>
      <c r="W445" s="97" t="str">
        <f t="shared" ca="1" si="8"/>
        <v>#REF!</v>
      </c>
      <c r="X445" s="121">
        <v>0</v>
      </c>
      <c r="Y445" s="121" t="str">
        <f t="shared" ca="1" si="9"/>
        <v>#REF!</v>
      </c>
      <c r="Z445" s="121" t="str">
        <f t="shared" ca="1" si="10"/>
        <v>#REF!</v>
      </c>
      <c r="AA445" s="99" t="str">
        <f t="shared" ca="1" si="11"/>
        <v>#REF!</v>
      </c>
      <c r="AB445" s="234" t="str">
        <f t="shared" ca="1" si="12"/>
        <v>#REF!</v>
      </c>
      <c r="AC445" s="257" t="str">
        <f t="shared" ca="1" si="13"/>
        <v>#REF!</v>
      </c>
      <c r="AD445" s="234" t="str">
        <f t="shared" ca="1" si="14"/>
        <v>#REF!</v>
      </c>
      <c r="AE445" s="100" t="str">
        <f t="shared" ca="1" si="15"/>
        <v>#REF!</v>
      </c>
      <c r="AF445" s="101" t="str">
        <f t="shared" ca="1" si="16"/>
        <v>#REF!</v>
      </c>
      <c r="AG445" s="102" t="str">
        <f t="shared" ref="AG445:AH445" ca="1" si="463">AE445/V445</f>
        <v>#REF!</v>
      </c>
      <c r="AH445" s="102" t="str">
        <f t="shared" ca="1" si="463"/>
        <v>#REF!</v>
      </c>
    </row>
    <row r="446" spans="1:34" ht="13.2">
      <c r="A446" s="251"/>
      <c r="B446" s="251"/>
      <c r="C446" s="252"/>
      <c r="D446" s="252"/>
      <c r="E446" s="114"/>
      <c r="F446" s="252"/>
      <c r="G446" s="125" t="s">
        <v>145</v>
      </c>
      <c r="I446" s="172"/>
      <c r="J446" s="82" t="str">
        <f t="shared" ca="1" si="0"/>
        <v>#REF!</v>
      </c>
      <c r="K446" s="82" t="str">
        <f t="shared" ca="1" si="1"/>
        <v>#REF!</v>
      </c>
      <c r="L446" s="82" t="str">
        <f t="shared" ca="1" si="44"/>
        <v>#REF!</v>
      </c>
      <c r="M446" s="93"/>
      <c r="N446" s="93"/>
      <c r="O446" s="95">
        <f t="shared" si="2"/>
        <v>0</v>
      </c>
      <c r="P446" s="96">
        <f t="shared" si="3"/>
        <v>0</v>
      </c>
      <c r="Q446" s="97">
        <f t="shared" si="4"/>
        <v>0</v>
      </c>
      <c r="R446" s="97" t="str">
        <f ca="1">ROUNDUP(HLOOKUP(IF(CEILING(L446,0.5)&lt;1,0.5,CEILING(L446,0.5)),'배송비 조회'!A$44:AO$56,7,0)*B$3,-2)</f>
        <v>#REF!</v>
      </c>
      <c r="S446" s="97">
        <v>0</v>
      </c>
      <c r="T446" s="97" t="str">
        <f t="shared" ca="1" si="42"/>
        <v>#REF!</v>
      </c>
      <c r="U446" s="97" t="str">
        <f t="shared" ca="1" si="29"/>
        <v>#REF!</v>
      </c>
      <c r="V446" s="97" t="str">
        <f t="shared" ca="1" si="7"/>
        <v>#REF!</v>
      </c>
      <c r="W446" s="97" t="str">
        <f t="shared" ca="1" si="8"/>
        <v>#REF!</v>
      </c>
      <c r="X446" s="121">
        <v>0</v>
      </c>
      <c r="Y446" s="121" t="str">
        <f t="shared" ca="1" si="9"/>
        <v>#REF!</v>
      </c>
      <c r="Z446" s="121" t="str">
        <f t="shared" ca="1" si="10"/>
        <v>#REF!</v>
      </c>
      <c r="AA446" s="99" t="str">
        <f t="shared" ca="1" si="11"/>
        <v>#REF!</v>
      </c>
      <c r="AB446" s="234" t="str">
        <f t="shared" ca="1" si="12"/>
        <v>#REF!</v>
      </c>
      <c r="AC446" s="257" t="str">
        <f t="shared" ca="1" si="13"/>
        <v>#REF!</v>
      </c>
      <c r="AD446" s="234" t="str">
        <f t="shared" ca="1" si="14"/>
        <v>#REF!</v>
      </c>
      <c r="AE446" s="100" t="str">
        <f t="shared" ca="1" si="15"/>
        <v>#REF!</v>
      </c>
      <c r="AF446" s="101" t="str">
        <f t="shared" ca="1" si="16"/>
        <v>#REF!</v>
      </c>
      <c r="AG446" s="102" t="str">
        <f t="shared" ref="AG446:AH446" ca="1" si="464">AE446/V446</f>
        <v>#REF!</v>
      </c>
      <c r="AH446" s="102" t="str">
        <f t="shared" ca="1" si="464"/>
        <v>#REF!</v>
      </c>
    </row>
    <row r="447" spans="1:34" ht="13.2">
      <c r="A447" s="251"/>
      <c r="B447" s="251"/>
      <c r="C447" s="252"/>
      <c r="D447" s="252"/>
      <c r="E447" s="114"/>
      <c r="F447" s="252"/>
      <c r="G447" s="125" t="s">
        <v>145</v>
      </c>
      <c r="I447" s="172"/>
      <c r="J447" s="82" t="str">
        <f t="shared" ca="1" si="0"/>
        <v>#REF!</v>
      </c>
      <c r="K447" s="82" t="str">
        <f t="shared" ca="1" si="1"/>
        <v>#REF!</v>
      </c>
      <c r="L447" s="82" t="str">
        <f t="shared" ca="1" si="44"/>
        <v>#REF!</v>
      </c>
      <c r="M447" s="93"/>
      <c r="N447" s="93"/>
      <c r="O447" s="95">
        <f t="shared" si="2"/>
        <v>0</v>
      </c>
      <c r="P447" s="96">
        <f t="shared" si="3"/>
        <v>0</v>
      </c>
      <c r="Q447" s="97">
        <f t="shared" si="4"/>
        <v>0</v>
      </c>
      <c r="R447" s="97" t="str">
        <f ca="1">ROUNDUP(HLOOKUP(IF(CEILING(L447,0.5)&lt;1,0.5,CEILING(L447,0.5)),'배송비 조회'!A$44:AO$56,7,0)*B$3,-2)</f>
        <v>#REF!</v>
      </c>
      <c r="S447" s="97">
        <v>0</v>
      </c>
      <c r="T447" s="97" t="str">
        <f t="shared" ca="1" si="42"/>
        <v>#REF!</v>
      </c>
      <c r="U447" s="97" t="str">
        <f t="shared" ca="1" si="29"/>
        <v>#REF!</v>
      </c>
      <c r="V447" s="97" t="str">
        <f t="shared" ca="1" si="7"/>
        <v>#REF!</v>
      </c>
      <c r="W447" s="97" t="str">
        <f t="shared" ca="1" si="8"/>
        <v>#REF!</v>
      </c>
      <c r="X447" s="121">
        <v>0</v>
      </c>
      <c r="Y447" s="121" t="str">
        <f t="shared" ca="1" si="9"/>
        <v>#REF!</v>
      </c>
      <c r="Z447" s="121" t="str">
        <f t="shared" ca="1" si="10"/>
        <v>#REF!</v>
      </c>
      <c r="AA447" s="99" t="str">
        <f t="shared" ca="1" si="11"/>
        <v>#REF!</v>
      </c>
      <c r="AB447" s="234" t="str">
        <f t="shared" ca="1" si="12"/>
        <v>#REF!</v>
      </c>
      <c r="AC447" s="257" t="str">
        <f t="shared" ca="1" si="13"/>
        <v>#REF!</v>
      </c>
      <c r="AD447" s="234" t="str">
        <f t="shared" ca="1" si="14"/>
        <v>#REF!</v>
      </c>
      <c r="AE447" s="100" t="str">
        <f t="shared" ca="1" si="15"/>
        <v>#REF!</v>
      </c>
      <c r="AF447" s="101" t="str">
        <f t="shared" ca="1" si="16"/>
        <v>#REF!</v>
      </c>
      <c r="AG447" s="102" t="str">
        <f t="shared" ref="AG447:AH447" ca="1" si="465">AE447/V447</f>
        <v>#REF!</v>
      </c>
      <c r="AH447" s="102" t="str">
        <f t="shared" ca="1" si="465"/>
        <v>#REF!</v>
      </c>
    </row>
    <row r="448" spans="1:34" ht="13.2">
      <c r="A448" s="251"/>
      <c r="B448" s="251"/>
      <c r="C448" s="252"/>
      <c r="D448" s="252"/>
      <c r="E448" s="114"/>
      <c r="F448" s="252"/>
      <c r="G448" s="125" t="s">
        <v>145</v>
      </c>
      <c r="I448" s="172"/>
      <c r="J448" s="82" t="str">
        <f t="shared" ca="1" si="0"/>
        <v>#REF!</v>
      </c>
      <c r="K448" s="82" t="str">
        <f t="shared" ca="1" si="1"/>
        <v>#REF!</v>
      </c>
      <c r="L448" s="82" t="str">
        <f t="shared" ca="1" si="44"/>
        <v>#REF!</v>
      </c>
      <c r="M448" s="93"/>
      <c r="N448" s="93"/>
      <c r="O448" s="95">
        <f t="shared" si="2"/>
        <v>0</v>
      </c>
      <c r="P448" s="96">
        <f t="shared" si="3"/>
        <v>0</v>
      </c>
      <c r="Q448" s="97">
        <f t="shared" si="4"/>
        <v>0</v>
      </c>
      <c r="R448" s="97" t="str">
        <f ca="1">ROUNDUP(HLOOKUP(IF(CEILING(L448,0.5)&lt;1,0.5,CEILING(L448,0.5)),'배송비 조회'!A$44:AO$56,7,0)*B$3,-2)</f>
        <v>#REF!</v>
      </c>
      <c r="S448" s="97">
        <v>0</v>
      </c>
      <c r="T448" s="97" t="str">
        <f t="shared" ca="1" si="42"/>
        <v>#REF!</v>
      </c>
      <c r="U448" s="97" t="str">
        <f t="shared" ca="1" si="29"/>
        <v>#REF!</v>
      </c>
      <c r="V448" s="97" t="str">
        <f t="shared" ca="1" si="7"/>
        <v>#REF!</v>
      </c>
      <c r="W448" s="97" t="str">
        <f t="shared" ca="1" si="8"/>
        <v>#REF!</v>
      </c>
      <c r="X448" s="121">
        <v>0</v>
      </c>
      <c r="Y448" s="121" t="str">
        <f t="shared" ca="1" si="9"/>
        <v>#REF!</v>
      </c>
      <c r="Z448" s="121" t="str">
        <f t="shared" ca="1" si="10"/>
        <v>#REF!</v>
      </c>
      <c r="AA448" s="99" t="str">
        <f t="shared" ca="1" si="11"/>
        <v>#REF!</v>
      </c>
      <c r="AB448" s="234" t="str">
        <f t="shared" ca="1" si="12"/>
        <v>#REF!</v>
      </c>
      <c r="AC448" s="257" t="str">
        <f t="shared" ca="1" si="13"/>
        <v>#REF!</v>
      </c>
      <c r="AD448" s="234" t="str">
        <f t="shared" ca="1" si="14"/>
        <v>#REF!</v>
      </c>
      <c r="AE448" s="100" t="str">
        <f t="shared" ca="1" si="15"/>
        <v>#REF!</v>
      </c>
      <c r="AF448" s="101" t="str">
        <f t="shared" ca="1" si="16"/>
        <v>#REF!</v>
      </c>
      <c r="AG448" s="102" t="str">
        <f t="shared" ref="AG448:AH448" ca="1" si="466">AE448/V448</f>
        <v>#REF!</v>
      </c>
      <c r="AH448" s="102" t="str">
        <f t="shared" ca="1" si="466"/>
        <v>#REF!</v>
      </c>
    </row>
    <row r="449" spans="1:34" ht="13.2">
      <c r="A449" s="251"/>
      <c r="B449" s="251"/>
      <c r="C449" s="252"/>
      <c r="D449" s="252"/>
      <c r="E449" s="114"/>
      <c r="F449" s="252"/>
      <c r="G449" s="125" t="s">
        <v>145</v>
      </c>
      <c r="I449" s="172"/>
      <c r="J449" s="82" t="str">
        <f t="shared" ca="1" si="0"/>
        <v>#REF!</v>
      </c>
      <c r="K449" s="82" t="str">
        <f t="shared" ca="1" si="1"/>
        <v>#REF!</v>
      </c>
      <c r="L449" s="82" t="str">
        <f t="shared" ca="1" si="44"/>
        <v>#REF!</v>
      </c>
      <c r="M449" s="93"/>
      <c r="N449" s="93"/>
      <c r="O449" s="95">
        <f t="shared" si="2"/>
        <v>0</v>
      </c>
      <c r="P449" s="96">
        <f t="shared" si="3"/>
        <v>0</v>
      </c>
      <c r="Q449" s="97">
        <f t="shared" si="4"/>
        <v>0</v>
      </c>
      <c r="R449" s="97" t="str">
        <f ca="1">ROUNDUP(HLOOKUP(IF(CEILING(L449,0.5)&lt;1,0.5,CEILING(L449,0.5)),'배송비 조회'!A$44:AO$56,7,0)*B$3,-2)</f>
        <v>#REF!</v>
      </c>
      <c r="S449" s="97">
        <v>0</v>
      </c>
      <c r="T449" s="97" t="str">
        <f t="shared" ca="1" si="42"/>
        <v>#REF!</v>
      </c>
      <c r="U449" s="97" t="str">
        <f t="shared" ca="1" si="29"/>
        <v>#REF!</v>
      </c>
      <c r="V449" s="97" t="str">
        <f t="shared" ca="1" si="7"/>
        <v>#REF!</v>
      </c>
      <c r="W449" s="97" t="str">
        <f t="shared" ca="1" si="8"/>
        <v>#REF!</v>
      </c>
      <c r="X449" s="121">
        <v>0</v>
      </c>
      <c r="Y449" s="121" t="str">
        <f t="shared" ca="1" si="9"/>
        <v>#REF!</v>
      </c>
      <c r="Z449" s="121" t="str">
        <f t="shared" ca="1" si="10"/>
        <v>#REF!</v>
      </c>
      <c r="AA449" s="99" t="str">
        <f t="shared" ca="1" si="11"/>
        <v>#REF!</v>
      </c>
      <c r="AB449" s="234" t="str">
        <f t="shared" ca="1" si="12"/>
        <v>#REF!</v>
      </c>
      <c r="AC449" s="257" t="str">
        <f t="shared" ca="1" si="13"/>
        <v>#REF!</v>
      </c>
      <c r="AD449" s="234" t="str">
        <f t="shared" ca="1" si="14"/>
        <v>#REF!</v>
      </c>
      <c r="AE449" s="100" t="str">
        <f t="shared" ca="1" si="15"/>
        <v>#REF!</v>
      </c>
      <c r="AF449" s="101" t="str">
        <f t="shared" ca="1" si="16"/>
        <v>#REF!</v>
      </c>
      <c r="AG449" s="102" t="str">
        <f t="shared" ref="AG449:AH449" ca="1" si="467">AE449/V449</f>
        <v>#REF!</v>
      </c>
      <c r="AH449" s="102" t="str">
        <f t="shared" ca="1" si="467"/>
        <v>#REF!</v>
      </c>
    </row>
    <row r="450" spans="1:34" ht="13.2">
      <c r="A450" s="251"/>
      <c r="B450" s="251"/>
      <c r="C450" s="252"/>
      <c r="D450" s="252"/>
      <c r="E450" s="114"/>
      <c r="F450" s="252"/>
      <c r="G450" s="125" t="s">
        <v>145</v>
      </c>
      <c r="I450" s="172"/>
      <c r="J450" s="82" t="str">
        <f t="shared" ca="1" si="0"/>
        <v>#REF!</v>
      </c>
      <c r="K450" s="82" t="str">
        <f t="shared" ca="1" si="1"/>
        <v>#REF!</v>
      </c>
      <c r="L450" s="82" t="str">
        <f t="shared" ca="1" si="44"/>
        <v>#REF!</v>
      </c>
      <c r="M450" s="93"/>
      <c r="N450" s="93"/>
      <c r="O450" s="95">
        <f t="shared" si="2"/>
        <v>0</v>
      </c>
      <c r="P450" s="96">
        <f t="shared" si="3"/>
        <v>0</v>
      </c>
      <c r="Q450" s="97">
        <f t="shared" si="4"/>
        <v>0</v>
      </c>
      <c r="R450" s="97" t="str">
        <f ca="1">ROUNDUP(HLOOKUP(IF(CEILING(L450,0.5)&lt;1,0.5,CEILING(L450,0.5)),'배송비 조회'!A$44:AO$56,7,0)*B$3,-2)</f>
        <v>#REF!</v>
      </c>
      <c r="S450" s="97">
        <v>0</v>
      </c>
      <c r="T450" s="97" t="str">
        <f t="shared" ca="1" si="42"/>
        <v>#REF!</v>
      </c>
      <c r="U450" s="97" t="str">
        <f t="shared" ca="1" si="29"/>
        <v>#REF!</v>
      </c>
      <c r="V450" s="97" t="str">
        <f t="shared" ca="1" si="7"/>
        <v>#REF!</v>
      </c>
      <c r="W450" s="97" t="str">
        <f t="shared" ca="1" si="8"/>
        <v>#REF!</v>
      </c>
      <c r="X450" s="121">
        <v>0</v>
      </c>
      <c r="Y450" s="121" t="str">
        <f t="shared" ca="1" si="9"/>
        <v>#REF!</v>
      </c>
      <c r="Z450" s="121" t="str">
        <f t="shared" ca="1" si="10"/>
        <v>#REF!</v>
      </c>
      <c r="AA450" s="99" t="str">
        <f t="shared" ca="1" si="11"/>
        <v>#REF!</v>
      </c>
      <c r="AB450" s="234" t="str">
        <f t="shared" ca="1" si="12"/>
        <v>#REF!</v>
      </c>
      <c r="AC450" s="257" t="str">
        <f t="shared" ca="1" si="13"/>
        <v>#REF!</v>
      </c>
      <c r="AD450" s="234" t="str">
        <f t="shared" ca="1" si="14"/>
        <v>#REF!</v>
      </c>
      <c r="AE450" s="100" t="str">
        <f t="shared" ca="1" si="15"/>
        <v>#REF!</v>
      </c>
      <c r="AF450" s="101" t="str">
        <f t="shared" ca="1" si="16"/>
        <v>#REF!</v>
      </c>
      <c r="AG450" s="102" t="str">
        <f t="shared" ref="AG450:AH450" ca="1" si="468">AE450/V450</f>
        <v>#REF!</v>
      </c>
      <c r="AH450" s="102" t="str">
        <f t="shared" ca="1" si="468"/>
        <v>#REF!</v>
      </c>
    </row>
    <row r="451" spans="1:34" ht="13.2">
      <c r="A451" s="251"/>
      <c r="B451" s="251"/>
      <c r="C451" s="252"/>
      <c r="D451" s="252"/>
      <c r="E451" s="114"/>
      <c r="F451" s="252"/>
      <c r="G451" s="125" t="s">
        <v>145</v>
      </c>
      <c r="I451" s="172"/>
      <c r="J451" s="82" t="str">
        <f t="shared" ca="1" si="0"/>
        <v>#REF!</v>
      </c>
      <c r="K451" s="82" t="str">
        <f t="shared" ca="1" si="1"/>
        <v>#REF!</v>
      </c>
      <c r="L451" s="82" t="str">
        <f t="shared" ca="1" si="44"/>
        <v>#REF!</v>
      </c>
      <c r="M451" s="93"/>
      <c r="N451" s="93"/>
      <c r="O451" s="95">
        <f t="shared" si="2"/>
        <v>0</v>
      </c>
      <c r="P451" s="96">
        <f t="shared" si="3"/>
        <v>0</v>
      </c>
      <c r="Q451" s="97">
        <f t="shared" si="4"/>
        <v>0</v>
      </c>
      <c r="R451" s="97" t="str">
        <f ca="1">ROUNDUP(HLOOKUP(IF(CEILING(L451,0.5)&lt;1,0.5,CEILING(L451,0.5)),'배송비 조회'!A$44:AO$56,7,0)*B$3,-2)</f>
        <v>#REF!</v>
      </c>
      <c r="S451" s="97">
        <v>0</v>
      </c>
      <c r="T451" s="97" t="str">
        <f t="shared" ca="1" si="42"/>
        <v>#REF!</v>
      </c>
      <c r="U451" s="97" t="str">
        <f t="shared" ca="1" si="29"/>
        <v>#REF!</v>
      </c>
      <c r="V451" s="97" t="str">
        <f t="shared" ca="1" si="7"/>
        <v>#REF!</v>
      </c>
      <c r="W451" s="97" t="str">
        <f t="shared" ca="1" si="8"/>
        <v>#REF!</v>
      </c>
      <c r="X451" s="121">
        <v>0</v>
      </c>
      <c r="Y451" s="121" t="str">
        <f t="shared" ca="1" si="9"/>
        <v>#REF!</v>
      </c>
      <c r="Z451" s="121" t="str">
        <f t="shared" ca="1" si="10"/>
        <v>#REF!</v>
      </c>
      <c r="AA451" s="99" t="str">
        <f t="shared" ca="1" si="11"/>
        <v>#REF!</v>
      </c>
      <c r="AB451" s="234" t="str">
        <f t="shared" ca="1" si="12"/>
        <v>#REF!</v>
      </c>
      <c r="AC451" s="257" t="str">
        <f t="shared" ca="1" si="13"/>
        <v>#REF!</v>
      </c>
      <c r="AD451" s="234" t="str">
        <f t="shared" ca="1" si="14"/>
        <v>#REF!</v>
      </c>
      <c r="AE451" s="100" t="str">
        <f t="shared" ca="1" si="15"/>
        <v>#REF!</v>
      </c>
      <c r="AF451" s="101" t="str">
        <f t="shared" ca="1" si="16"/>
        <v>#REF!</v>
      </c>
      <c r="AG451" s="102" t="str">
        <f t="shared" ref="AG451:AH451" ca="1" si="469">AE451/V451</f>
        <v>#REF!</v>
      </c>
      <c r="AH451" s="102" t="str">
        <f t="shared" ca="1" si="469"/>
        <v>#REF!</v>
      </c>
    </row>
    <row r="452" spans="1:34" ht="13.2">
      <c r="A452" s="251"/>
      <c r="B452" s="251"/>
      <c r="C452" s="252"/>
      <c r="D452" s="252"/>
      <c r="E452" s="114"/>
      <c r="F452" s="252"/>
      <c r="G452" s="125" t="s">
        <v>145</v>
      </c>
      <c r="I452" s="172"/>
      <c r="J452" s="82" t="str">
        <f t="shared" ca="1" si="0"/>
        <v>#REF!</v>
      </c>
      <c r="K452" s="82" t="str">
        <f t="shared" ca="1" si="1"/>
        <v>#REF!</v>
      </c>
      <c r="L452" s="82" t="str">
        <f t="shared" ca="1" si="44"/>
        <v>#REF!</v>
      </c>
      <c r="M452" s="93"/>
      <c r="N452" s="93"/>
      <c r="O452" s="95">
        <f t="shared" si="2"/>
        <v>0</v>
      </c>
      <c r="P452" s="96">
        <f t="shared" si="3"/>
        <v>0</v>
      </c>
      <c r="Q452" s="97">
        <f t="shared" si="4"/>
        <v>0</v>
      </c>
      <c r="R452" s="97" t="str">
        <f ca="1">ROUNDUP(HLOOKUP(IF(CEILING(L452,0.5)&lt;1,0.5,CEILING(L452,0.5)),'배송비 조회'!A$44:AO$56,7,0)*B$3,-2)</f>
        <v>#REF!</v>
      </c>
      <c r="S452" s="97">
        <v>0</v>
      </c>
      <c r="T452" s="97" t="str">
        <f t="shared" ca="1" si="42"/>
        <v>#REF!</v>
      </c>
      <c r="U452" s="97" t="str">
        <f t="shared" ca="1" si="29"/>
        <v>#REF!</v>
      </c>
      <c r="V452" s="97" t="str">
        <f t="shared" ca="1" si="7"/>
        <v>#REF!</v>
      </c>
      <c r="W452" s="97" t="str">
        <f t="shared" ca="1" si="8"/>
        <v>#REF!</v>
      </c>
      <c r="X452" s="121">
        <v>0</v>
      </c>
      <c r="Y452" s="121" t="str">
        <f t="shared" ca="1" si="9"/>
        <v>#REF!</v>
      </c>
      <c r="Z452" s="121" t="str">
        <f t="shared" ca="1" si="10"/>
        <v>#REF!</v>
      </c>
      <c r="AA452" s="99" t="str">
        <f t="shared" ca="1" si="11"/>
        <v>#REF!</v>
      </c>
      <c r="AB452" s="234" t="str">
        <f t="shared" ca="1" si="12"/>
        <v>#REF!</v>
      </c>
      <c r="AC452" s="257" t="str">
        <f t="shared" ca="1" si="13"/>
        <v>#REF!</v>
      </c>
      <c r="AD452" s="234" t="str">
        <f t="shared" ca="1" si="14"/>
        <v>#REF!</v>
      </c>
      <c r="AE452" s="100" t="str">
        <f t="shared" ca="1" si="15"/>
        <v>#REF!</v>
      </c>
      <c r="AF452" s="101" t="str">
        <f t="shared" ca="1" si="16"/>
        <v>#REF!</v>
      </c>
      <c r="AG452" s="102" t="str">
        <f t="shared" ref="AG452:AH452" ca="1" si="470">AE452/V452</f>
        <v>#REF!</v>
      </c>
      <c r="AH452" s="102" t="str">
        <f t="shared" ca="1" si="470"/>
        <v>#REF!</v>
      </c>
    </row>
    <row r="453" spans="1:34" ht="13.2">
      <c r="A453" s="251"/>
      <c r="B453" s="251"/>
      <c r="C453" s="252"/>
      <c r="D453" s="252"/>
      <c r="E453" s="114"/>
      <c r="F453" s="252"/>
      <c r="G453" s="125" t="s">
        <v>145</v>
      </c>
      <c r="I453" s="172"/>
      <c r="J453" s="82" t="str">
        <f t="shared" ca="1" si="0"/>
        <v>#REF!</v>
      </c>
      <c r="K453" s="82" t="str">
        <f t="shared" ca="1" si="1"/>
        <v>#REF!</v>
      </c>
      <c r="L453" s="82" t="str">
        <f t="shared" ca="1" si="44"/>
        <v>#REF!</v>
      </c>
      <c r="M453" s="93"/>
      <c r="N453" s="93"/>
      <c r="O453" s="95">
        <f t="shared" si="2"/>
        <v>0</v>
      </c>
      <c r="P453" s="96">
        <f t="shared" si="3"/>
        <v>0</v>
      </c>
      <c r="Q453" s="97">
        <f t="shared" si="4"/>
        <v>0</v>
      </c>
      <c r="R453" s="97" t="str">
        <f ca="1">ROUNDUP(HLOOKUP(IF(CEILING(L453,0.5)&lt;1,0.5,CEILING(L453,0.5)),'배송비 조회'!A$44:AO$56,7,0)*B$3,-2)</f>
        <v>#REF!</v>
      </c>
      <c r="S453" s="97">
        <v>0</v>
      </c>
      <c r="T453" s="97" t="str">
        <f t="shared" ca="1" si="42"/>
        <v>#REF!</v>
      </c>
      <c r="U453" s="97" t="str">
        <f t="shared" ca="1" si="29"/>
        <v>#REF!</v>
      </c>
      <c r="V453" s="97" t="str">
        <f t="shared" ca="1" si="7"/>
        <v>#REF!</v>
      </c>
      <c r="W453" s="97" t="str">
        <f t="shared" ca="1" si="8"/>
        <v>#REF!</v>
      </c>
      <c r="X453" s="121">
        <v>0</v>
      </c>
      <c r="Y453" s="121" t="str">
        <f t="shared" ca="1" si="9"/>
        <v>#REF!</v>
      </c>
      <c r="Z453" s="121" t="str">
        <f t="shared" ca="1" si="10"/>
        <v>#REF!</v>
      </c>
      <c r="AA453" s="99" t="str">
        <f t="shared" ca="1" si="11"/>
        <v>#REF!</v>
      </c>
      <c r="AB453" s="234" t="str">
        <f t="shared" ca="1" si="12"/>
        <v>#REF!</v>
      </c>
      <c r="AC453" s="257" t="str">
        <f t="shared" ca="1" si="13"/>
        <v>#REF!</v>
      </c>
      <c r="AD453" s="234" t="str">
        <f t="shared" ca="1" si="14"/>
        <v>#REF!</v>
      </c>
      <c r="AE453" s="100" t="str">
        <f t="shared" ca="1" si="15"/>
        <v>#REF!</v>
      </c>
      <c r="AF453" s="101" t="str">
        <f t="shared" ca="1" si="16"/>
        <v>#REF!</v>
      </c>
      <c r="AG453" s="102" t="str">
        <f t="shared" ref="AG453:AH453" ca="1" si="471">AE453/V453</f>
        <v>#REF!</v>
      </c>
      <c r="AH453" s="102" t="str">
        <f t="shared" ca="1" si="471"/>
        <v>#REF!</v>
      </c>
    </row>
    <row r="454" spans="1:34" ht="13.2">
      <c r="A454" s="251"/>
      <c r="B454" s="251"/>
      <c r="C454" s="252"/>
      <c r="D454" s="252"/>
      <c r="E454" s="114"/>
      <c r="F454" s="252"/>
      <c r="G454" s="125" t="s">
        <v>145</v>
      </c>
      <c r="I454" s="172"/>
      <c r="J454" s="82" t="str">
        <f t="shared" ca="1" si="0"/>
        <v>#REF!</v>
      </c>
      <c r="K454" s="82" t="str">
        <f t="shared" ca="1" si="1"/>
        <v>#REF!</v>
      </c>
      <c r="L454" s="82" t="str">
        <f t="shared" ca="1" si="44"/>
        <v>#REF!</v>
      </c>
      <c r="M454" s="93"/>
      <c r="N454" s="93"/>
      <c r="O454" s="95">
        <f t="shared" si="2"/>
        <v>0</v>
      </c>
      <c r="P454" s="96">
        <f t="shared" si="3"/>
        <v>0</v>
      </c>
      <c r="Q454" s="97">
        <f t="shared" si="4"/>
        <v>0</v>
      </c>
      <c r="R454" s="97" t="str">
        <f ca="1">ROUNDUP(HLOOKUP(IF(CEILING(L454,0.5)&lt;1,0.5,CEILING(L454,0.5)),'배송비 조회'!A$44:AO$56,7,0)*B$3,-2)</f>
        <v>#REF!</v>
      </c>
      <c r="S454" s="97">
        <v>0</v>
      </c>
      <c r="T454" s="97" t="str">
        <f t="shared" ca="1" si="42"/>
        <v>#REF!</v>
      </c>
      <c r="U454" s="97" t="str">
        <f t="shared" ca="1" si="29"/>
        <v>#REF!</v>
      </c>
      <c r="V454" s="97" t="str">
        <f t="shared" ca="1" si="7"/>
        <v>#REF!</v>
      </c>
      <c r="W454" s="97" t="str">
        <f t="shared" ca="1" si="8"/>
        <v>#REF!</v>
      </c>
      <c r="X454" s="121">
        <v>0</v>
      </c>
      <c r="Y454" s="121" t="str">
        <f t="shared" ca="1" si="9"/>
        <v>#REF!</v>
      </c>
      <c r="Z454" s="121" t="str">
        <f t="shared" ca="1" si="10"/>
        <v>#REF!</v>
      </c>
      <c r="AA454" s="99" t="str">
        <f t="shared" ca="1" si="11"/>
        <v>#REF!</v>
      </c>
      <c r="AB454" s="234" t="str">
        <f t="shared" ca="1" si="12"/>
        <v>#REF!</v>
      </c>
      <c r="AC454" s="257" t="str">
        <f t="shared" ca="1" si="13"/>
        <v>#REF!</v>
      </c>
      <c r="AD454" s="234" t="str">
        <f t="shared" ca="1" si="14"/>
        <v>#REF!</v>
      </c>
      <c r="AE454" s="100" t="str">
        <f t="shared" ca="1" si="15"/>
        <v>#REF!</v>
      </c>
      <c r="AF454" s="101" t="str">
        <f t="shared" ca="1" si="16"/>
        <v>#REF!</v>
      </c>
      <c r="AG454" s="102" t="str">
        <f t="shared" ref="AG454:AH454" ca="1" si="472">AE454/V454</f>
        <v>#REF!</v>
      </c>
      <c r="AH454" s="102" t="str">
        <f t="shared" ca="1" si="472"/>
        <v>#REF!</v>
      </c>
    </row>
    <row r="455" spans="1:34" ht="13.2">
      <c r="A455" s="251"/>
      <c r="B455" s="251"/>
      <c r="C455" s="252"/>
      <c r="D455" s="252"/>
      <c r="E455" s="114"/>
      <c r="F455" s="252"/>
      <c r="G455" s="125" t="s">
        <v>145</v>
      </c>
      <c r="I455" s="172"/>
      <c r="J455" s="82" t="str">
        <f t="shared" ca="1" si="0"/>
        <v>#REF!</v>
      </c>
      <c r="K455" s="82" t="str">
        <f t="shared" ca="1" si="1"/>
        <v>#REF!</v>
      </c>
      <c r="L455" s="82" t="str">
        <f t="shared" ca="1" si="44"/>
        <v>#REF!</v>
      </c>
      <c r="M455" s="93"/>
      <c r="N455" s="93"/>
      <c r="O455" s="95">
        <f t="shared" si="2"/>
        <v>0</v>
      </c>
      <c r="P455" s="96">
        <f t="shared" si="3"/>
        <v>0</v>
      </c>
      <c r="Q455" s="97">
        <f t="shared" si="4"/>
        <v>0</v>
      </c>
      <c r="R455" s="97" t="str">
        <f ca="1">ROUNDUP(HLOOKUP(IF(CEILING(L455,0.5)&lt;1,0.5,CEILING(L455,0.5)),'배송비 조회'!A$44:AO$56,7,0)*B$3,-2)</f>
        <v>#REF!</v>
      </c>
      <c r="S455" s="97">
        <v>0</v>
      </c>
      <c r="T455" s="97" t="str">
        <f t="shared" ca="1" si="42"/>
        <v>#REF!</v>
      </c>
      <c r="U455" s="97" t="str">
        <f t="shared" ca="1" si="29"/>
        <v>#REF!</v>
      </c>
      <c r="V455" s="97" t="str">
        <f t="shared" ca="1" si="7"/>
        <v>#REF!</v>
      </c>
      <c r="W455" s="97" t="str">
        <f t="shared" ca="1" si="8"/>
        <v>#REF!</v>
      </c>
      <c r="X455" s="121">
        <v>0</v>
      </c>
      <c r="Y455" s="121" t="str">
        <f t="shared" ca="1" si="9"/>
        <v>#REF!</v>
      </c>
      <c r="Z455" s="121" t="str">
        <f t="shared" ca="1" si="10"/>
        <v>#REF!</v>
      </c>
      <c r="AA455" s="99" t="str">
        <f t="shared" ca="1" si="11"/>
        <v>#REF!</v>
      </c>
      <c r="AB455" s="234" t="str">
        <f t="shared" ca="1" si="12"/>
        <v>#REF!</v>
      </c>
      <c r="AC455" s="257" t="str">
        <f t="shared" ca="1" si="13"/>
        <v>#REF!</v>
      </c>
      <c r="AD455" s="234" t="str">
        <f t="shared" ca="1" si="14"/>
        <v>#REF!</v>
      </c>
      <c r="AE455" s="100" t="str">
        <f t="shared" ca="1" si="15"/>
        <v>#REF!</v>
      </c>
      <c r="AF455" s="101" t="str">
        <f t="shared" ca="1" si="16"/>
        <v>#REF!</v>
      </c>
      <c r="AG455" s="102" t="str">
        <f t="shared" ref="AG455:AH455" ca="1" si="473">AE455/V455</f>
        <v>#REF!</v>
      </c>
      <c r="AH455" s="102" t="str">
        <f t="shared" ca="1" si="473"/>
        <v>#REF!</v>
      </c>
    </row>
    <row r="456" spans="1:34" ht="13.2">
      <c r="A456" s="251"/>
      <c r="B456" s="251"/>
      <c r="C456" s="252"/>
      <c r="D456" s="252"/>
      <c r="E456" s="114"/>
      <c r="F456" s="252"/>
      <c r="G456" s="125" t="s">
        <v>145</v>
      </c>
      <c r="I456" s="172"/>
      <c r="J456" s="82" t="str">
        <f t="shared" ca="1" si="0"/>
        <v>#REF!</v>
      </c>
      <c r="K456" s="82" t="str">
        <f t="shared" ca="1" si="1"/>
        <v>#REF!</v>
      </c>
      <c r="L456" s="82" t="str">
        <f t="shared" ca="1" si="44"/>
        <v>#REF!</v>
      </c>
      <c r="M456" s="93"/>
      <c r="N456" s="93"/>
      <c r="O456" s="95">
        <f t="shared" si="2"/>
        <v>0</v>
      </c>
      <c r="P456" s="96">
        <f t="shared" si="3"/>
        <v>0</v>
      </c>
      <c r="Q456" s="97">
        <f t="shared" si="4"/>
        <v>0</v>
      </c>
      <c r="R456" s="97" t="str">
        <f ca="1">ROUNDUP(HLOOKUP(IF(CEILING(L456,0.5)&lt;1,0.5,CEILING(L456,0.5)),'배송비 조회'!A$44:AO$56,7,0)*B$3,-2)</f>
        <v>#REF!</v>
      </c>
      <c r="S456" s="97">
        <v>0</v>
      </c>
      <c r="T456" s="97" t="str">
        <f t="shared" ca="1" si="42"/>
        <v>#REF!</v>
      </c>
      <c r="U456" s="97" t="str">
        <f t="shared" ca="1" si="29"/>
        <v>#REF!</v>
      </c>
      <c r="V456" s="97" t="str">
        <f t="shared" ca="1" si="7"/>
        <v>#REF!</v>
      </c>
      <c r="W456" s="97" t="str">
        <f t="shared" ca="1" si="8"/>
        <v>#REF!</v>
      </c>
      <c r="X456" s="121">
        <v>0</v>
      </c>
      <c r="Y456" s="121" t="str">
        <f t="shared" ca="1" si="9"/>
        <v>#REF!</v>
      </c>
      <c r="Z456" s="121" t="str">
        <f t="shared" ca="1" si="10"/>
        <v>#REF!</v>
      </c>
      <c r="AA456" s="99" t="str">
        <f t="shared" ca="1" si="11"/>
        <v>#REF!</v>
      </c>
      <c r="AB456" s="234" t="str">
        <f t="shared" ca="1" si="12"/>
        <v>#REF!</v>
      </c>
      <c r="AC456" s="257" t="str">
        <f t="shared" ca="1" si="13"/>
        <v>#REF!</v>
      </c>
      <c r="AD456" s="234" t="str">
        <f t="shared" ca="1" si="14"/>
        <v>#REF!</v>
      </c>
      <c r="AE456" s="100" t="str">
        <f t="shared" ca="1" si="15"/>
        <v>#REF!</v>
      </c>
      <c r="AF456" s="101" t="str">
        <f t="shared" ca="1" si="16"/>
        <v>#REF!</v>
      </c>
      <c r="AG456" s="102" t="str">
        <f t="shared" ref="AG456:AH456" ca="1" si="474">AE456/V456</f>
        <v>#REF!</v>
      </c>
      <c r="AH456" s="102" t="str">
        <f t="shared" ca="1" si="474"/>
        <v>#REF!</v>
      </c>
    </row>
    <row r="457" spans="1:34" ht="13.2">
      <c r="A457" s="251"/>
      <c r="B457" s="251"/>
      <c r="C457" s="252"/>
      <c r="D457" s="252"/>
      <c r="E457" s="114"/>
      <c r="F457" s="252"/>
      <c r="G457" s="125" t="s">
        <v>145</v>
      </c>
      <c r="I457" s="172"/>
      <c r="J457" s="82" t="str">
        <f t="shared" ca="1" si="0"/>
        <v>#REF!</v>
      </c>
      <c r="K457" s="82" t="str">
        <f t="shared" ca="1" si="1"/>
        <v>#REF!</v>
      </c>
      <c r="L457" s="82" t="str">
        <f t="shared" ca="1" si="44"/>
        <v>#REF!</v>
      </c>
      <c r="M457" s="93"/>
      <c r="N457" s="93"/>
      <c r="O457" s="95">
        <f t="shared" si="2"/>
        <v>0</v>
      </c>
      <c r="P457" s="96">
        <f t="shared" si="3"/>
        <v>0</v>
      </c>
      <c r="Q457" s="97">
        <f t="shared" si="4"/>
        <v>0</v>
      </c>
      <c r="R457" s="97" t="str">
        <f ca="1">ROUNDUP(HLOOKUP(IF(CEILING(L457,0.5)&lt;1,0.5,CEILING(L457,0.5)),'배송비 조회'!A$44:AO$56,7,0)*B$3,-2)</f>
        <v>#REF!</v>
      </c>
      <c r="S457" s="97">
        <v>0</v>
      </c>
      <c r="T457" s="97" t="str">
        <f t="shared" ca="1" si="42"/>
        <v>#REF!</v>
      </c>
      <c r="U457" s="97" t="str">
        <f t="shared" ca="1" si="29"/>
        <v>#REF!</v>
      </c>
      <c r="V457" s="97" t="str">
        <f t="shared" ca="1" si="7"/>
        <v>#REF!</v>
      </c>
      <c r="W457" s="97" t="str">
        <f t="shared" ca="1" si="8"/>
        <v>#REF!</v>
      </c>
      <c r="X457" s="121">
        <v>0</v>
      </c>
      <c r="Y457" s="121" t="str">
        <f t="shared" ca="1" si="9"/>
        <v>#REF!</v>
      </c>
      <c r="Z457" s="121" t="str">
        <f t="shared" ca="1" si="10"/>
        <v>#REF!</v>
      </c>
      <c r="AA457" s="99" t="str">
        <f t="shared" ca="1" si="11"/>
        <v>#REF!</v>
      </c>
      <c r="AB457" s="234" t="str">
        <f t="shared" ca="1" si="12"/>
        <v>#REF!</v>
      </c>
      <c r="AC457" s="257" t="str">
        <f t="shared" ca="1" si="13"/>
        <v>#REF!</v>
      </c>
      <c r="AD457" s="234" t="str">
        <f t="shared" ca="1" si="14"/>
        <v>#REF!</v>
      </c>
      <c r="AE457" s="100" t="str">
        <f t="shared" ca="1" si="15"/>
        <v>#REF!</v>
      </c>
      <c r="AF457" s="101" t="str">
        <f t="shared" ca="1" si="16"/>
        <v>#REF!</v>
      </c>
      <c r="AG457" s="102" t="str">
        <f t="shared" ref="AG457:AH457" ca="1" si="475">AE457/V457</f>
        <v>#REF!</v>
      </c>
      <c r="AH457" s="102" t="str">
        <f t="shared" ca="1" si="475"/>
        <v>#REF!</v>
      </c>
    </row>
    <row r="458" spans="1:34" ht="13.2">
      <c r="A458" s="251"/>
      <c r="B458" s="251"/>
      <c r="C458" s="252"/>
      <c r="D458" s="252"/>
      <c r="E458" s="114"/>
      <c r="F458" s="252"/>
      <c r="G458" s="125" t="s">
        <v>145</v>
      </c>
      <c r="I458" s="172"/>
      <c r="J458" s="82" t="str">
        <f t="shared" ca="1" si="0"/>
        <v>#REF!</v>
      </c>
      <c r="K458" s="82" t="str">
        <f t="shared" ca="1" si="1"/>
        <v>#REF!</v>
      </c>
      <c r="L458" s="82" t="str">
        <f t="shared" ca="1" si="44"/>
        <v>#REF!</v>
      </c>
      <c r="M458" s="93"/>
      <c r="N458" s="93"/>
      <c r="O458" s="95">
        <f t="shared" si="2"/>
        <v>0</v>
      </c>
      <c r="P458" s="96">
        <f t="shared" si="3"/>
        <v>0</v>
      </c>
      <c r="Q458" s="97">
        <f t="shared" si="4"/>
        <v>0</v>
      </c>
      <c r="R458" s="97" t="str">
        <f ca="1">ROUNDUP(HLOOKUP(IF(CEILING(L458,0.5)&lt;1,0.5,CEILING(L458,0.5)),'배송비 조회'!A$44:AO$56,7,0)*B$3,-2)</f>
        <v>#REF!</v>
      </c>
      <c r="S458" s="97">
        <v>0</v>
      </c>
      <c r="T458" s="97" t="str">
        <f t="shared" ca="1" si="42"/>
        <v>#REF!</v>
      </c>
      <c r="U458" s="97" t="str">
        <f t="shared" ca="1" si="29"/>
        <v>#REF!</v>
      </c>
      <c r="V458" s="97" t="str">
        <f t="shared" ca="1" si="7"/>
        <v>#REF!</v>
      </c>
      <c r="W458" s="97" t="str">
        <f t="shared" ca="1" si="8"/>
        <v>#REF!</v>
      </c>
      <c r="X458" s="121">
        <v>0</v>
      </c>
      <c r="Y458" s="121" t="str">
        <f t="shared" ca="1" si="9"/>
        <v>#REF!</v>
      </c>
      <c r="Z458" s="121" t="str">
        <f t="shared" ca="1" si="10"/>
        <v>#REF!</v>
      </c>
      <c r="AA458" s="99" t="str">
        <f t="shared" ca="1" si="11"/>
        <v>#REF!</v>
      </c>
      <c r="AB458" s="234" t="str">
        <f t="shared" ca="1" si="12"/>
        <v>#REF!</v>
      </c>
      <c r="AC458" s="257" t="str">
        <f t="shared" ca="1" si="13"/>
        <v>#REF!</v>
      </c>
      <c r="AD458" s="234" t="str">
        <f t="shared" ca="1" si="14"/>
        <v>#REF!</v>
      </c>
      <c r="AE458" s="100" t="str">
        <f t="shared" ca="1" si="15"/>
        <v>#REF!</v>
      </c>
      <c r="AF458" s="101" t="str">
        <f t="shared" ca="1" si="16"/>
        <v>#REF!</v>
      </c>
      <c r="AG458" s="102" t="str">
        <f t="shared" ref="AG458:AH458" ca="1" si="476">AE458/V458</f>
        <v>#REF!</v>
      </c>
      <c r="AH458" s="102" t="str">
        <f t="shared" ca="1" si="476"/>
        <v>#REF!</v>
      </c>
    </row>
    <row r="459" spans="1:34" ht="13.2">
      <c r="A459" s="251"/>
      <c r="B459" s="251"/>
      <c r="C459" s="252"/>
      <c r="D459" s="252"/>
      <c r="E459" s="114"/>
      <c r="F459" s="252"/>
      <c r="G459" s="125" t="s">
        <v>145</v>
      </c>
      <c r="I459" s="172"/>
      <c r="J459" s="82" t="str">
        <f t="shared" ca="1" si="0"/>
        <v>#REF!</v>
      </c>
      <c r="K459" s="82" t="str">
        <f t="shared" ca="1" si="1"/>
        <v>#REF!</v>
      </c>
      <c r="L459" s="82" t="str">
        <f t="shared" ca="1" si="44"/>
        <v>#REF!</v>
      </c>
      <c r="M459" s="93"/>
      <c r="N459" s="93"/>
      <c r="O459" s="95">
        <f t="shared" si="2"/>
        <v>0</v>
      </c>
      <c r="P459" s="96">
        <f t="shared" si="3"/>
        <v>0</v>
      </c>
      <c r="Q459" s="97">
        <f t="shared" si="4"/>
        <v>0</v>
      </c>
      <c r="R459" s="97" t="str">
        <f ca="1">ROUNDUP(HLOOKUP(IF(CEILING(L459,0.5)&lt;1,0.5,CEILING(L459,0.5)),'배송비 조회'!A$44:AO$56,7,0)*B$3,-2)</f>
        <v>#REF!</v>
      </c>
      <c r="S459" s="97">
        <v>0</v>
      </c>
      <c r="T459" s="97" t="str">
        <f t="shared" ca="1" si="42"/>
        <v>#REF!</v>
      </c>
      <c r="U459" s="97" t="str">
        <f t="shared" ca="1" si="29"/>
        <v>#REF!</v>
      </c>
      <c r="V459" s="97" t="str">
        <f t="shared" ca="1" si="7"/>
        <v>#REF!</v>
      </c>
      <c r="W459" s="97" t="str">
        <f t="shared" ca="1" si="8"/>
        <v>#REF!</v>
      </c>
      <c r="X459" s="121">
        <v>0</v>
      </c>
      <c r="Y459" s="121" t="str">
        <f t="shared" ca="1" si="9"/>
        <v>#REF!</v>
      </c>
      <c r="Z459" s="121" t="str">
        <f t="shared" ca="1" si="10"/>
        <v>#REF!</v>
      </c>
      <c r="AA459" s="99" t="str">
        <f t="shared" ca="1" si="11"/>
        <v>#REF!</v>
      </c>
      <c r="AB459" s="234" t="str">
        <f t="shared" ca="1" si="12"/>
        <v>#REF!</v>
      </c>
      <c r="AC459" s="257" t="str">
        <f t="shared" ca="1" si="13"/>
        <v>#REF!</v>
      </c>
      <c r="AD459" s="234" t="str">
        <f t="shared" ca="1" si="14"/>
        <v>#REF!</v>
      </c>
      <c r="AE459" s="100" t="str">
        <f t="shared" ca="1" si="15"/>
        <v>#REF!</v>
      </c>
      <c r="AF459" s="101" t="str">
        <f t="shared" ca="1" si="16"/>
        <v>#REF!</v>
      </c>
      <c r="AG459" s="102" t="str">
        <f t="shared" ref="AG459:AH459" ca="1" si="477">AE459/V459</f>
        <v>#REF!</v>
      </c>
      <c r="AH459" s="102" t="str">
        <f t="shared" ca="1" si="477"/>
        <v>#REF!</v>
      </c>
    </row>
    <row r="460" spans="1:34" ht="13.2">
      <c r="A460" s="251"/>
      <c r="B460" s="251"/>
      <c r="C460" s="252"/>
      <c r="D460" s="252"/>
      <c r="E460" s="114"/>
      <c r="F460" s="252"/>
      <c r="G460" s="125" t="s">
        <v>145</v>
      </c>
      <c r="I460" s="172"/>
      <c r="J460" s="82" t="str">
        <f t="shared" ca="1" si="0"/>
        <v>#REF!</v>
      </c>
      <c r="K460" s="82" t="str">
        <f t="shared" ca="1" si="1"/>
        <v>#REF!</v>
      </c>
      <c r="L460" s="82" t="str">
        <f t="shared" ca="1" si="44"/>
        <v>#REF!</v>
      </c>
      <c r="M460" s="93"/>
      <c r="N460" s="93"/>
      <c r="O460" s="95">
        <f t="shared" si="2"/>
        <v>0</v>
      </c>
      <c r="P460" s="96">
        <f t="shared" si="3"/>
        <v>0</v>
      </c>
      <c r="Q460" s="97">
        <f t="shared" si="4"/>
        <v>0</v>
      </c>
      <c r="R460" s="97" t="str">
        <f ca="1">ROUNDUP(HLOOKUP(IF(CEILING(L460,0.5)&lt;1,0.5,CEILING(L460,0.5)),'배송비 조회'!A$44:AO$56,7,0)*B$3,-2)</f>
        <v>#REF!</v>
      </c>
      <c r="S460" s="97">
        <v>0</v>
      </c>
      <c r="T460" s="97" t="str">
        <f t="shared" ca="1" si="42"/>
        <v>#REF!</v>
      </c>
      <c r="U460" s="97" t="str">
        <f t="shared" ca="1" si="29"/>
        <v>#REF!</v>
      </c>
      <c r="V460" s="97" t="str">
        <f t="shared" ca="1" si="7"/>
        <v>#REF!</v>
      </c>
      <c r="W460" s="97" t="str">
        <f t="shared" ca="1" si="8"/>
        <v>#REF!</v>
      </c>
      <c r="X460" s="121">
        <v>0</v>
      </c>
      <c r="Y460" s="121" t="str">
        <f t="shared" ca="1" si="9"/>
        <v>#REF!</v>
      </c>
      <c r="Z460" s="121" t="str">
        <f t="shared" ca="1" si="10"/>
        <v>#REF!</v>
      </c>
      <c r="AA460" s="99" t="str">
        <f t="shared" ca="1" si="11"/>
        <v>#REF!</v>
      </c>
      <c r="AB460" s="234" t="str">
        <f t="shared" ca="1" si="12"/>
        <v>#REF!</v>
      </c>
      <c r="AC460" s="257" t="str">
        <f t="shared" ca="1" si="13"/>
        <v>#REF!</v>
      </c>
      <c r="AD460" s="234" t="str">
        <f t="shared" ca="1" si="14"/>
        <v>#REF!</v>
      </c>
      <c r="AE460" s="100" t="str">
        <f t="shared" ca="1" si="15"/>
        <v>#REF!</v>
      </c>
      <c r="AF460" s="101" t="str">
        <f t="shared" ca="1" si="16"/>
        <v>#REF!</v>
      </c>
      <c r="AG460" s="102" t="str">
        <f t="shared" ref="AG460:AH460" ca="1" si="478">AE460/V460</f>
        <v>#REF!</v>
      </c>
      <c r="AH460" s="102" t="str">
        <f t="shared" ca="1" si="478"/>
        <v>#REF!</v>
      </c>
    </row>
    <row r="461" spans="1:34" ht="13.2">
      <c r="A461" s="251"/>
      <c r="B461" s="251"/>
      <c r="C461" s="252"/>
      <c r="D461" s="252"/>
      <c r="E461" s="114"/>
      <c r="F461" s="252"/>
      <c r="G461" s="125" t="s">
        <v>145</v>
      </c>
      <c r="I461" s="172"/>
      <c r="J461" s="82" t="str">
        <f t="shared" ca="1" si="0"/>
        <v>#REF!</v>
      </c>
      <c r="K461" s="82" t="str">
        <f t="shared" ca="1" si="1"/>
        <v>#REF!</v>
      </c>
      <c r="L461" s="82" t="str">
        <f t="shared" ca="1" si="44"/>
        <v>#REF!</v>
      </c>
      <c r="M461" s="93"/>
      <c r="N461" s="93"/>
      <c r="O461" s="95">
        <f t="shared" si="2"/>
        <v>0</v>
      </c>
      <c r="P461" s="96">
        <f t="shared" si="3"/>
        <v>0</v>
      </c>
      <c r="Q461" s="97">
        <f t="shared" si="4"/>
        <v>0</v>
      </c>
      <c r="R461" s="97" t="str">
        <f ca="1">ROUNDUP(HLOOKUP(IF(CEILING(L461,0.5)&lt;1,0.5,CEILING(L461,0.5)),'배송비 조회'!A$44:AO$56,7,0)*B$3,-2)</f>
        <v>#REF!</v>
      </c>
      <c r="S461" s="97">
        <v>0</v>
      </c>
      <c r="T461" s="97" t="str">
        <f t="shared" ca="1" si="42"/>
        <v>#REF!</v>
      </c>
      <c r="U461" s="97" t="str">
        <f t="shared" ca="1" si="29"/>
        <v>#REF!</v>
      </c>
      <c r="V461" s="97" t="str">
        <f t="shared" ca="1" si="7"/>
        <v>#REF!</v>
      </c>
      <c r="W461" s="97" t="str">
        <f t="shared" ca="1" si="8"/>
        <v>#REF!</v>
      </c>
      <c r="X461" s="121">
        <v>0</v>
      </c>
      <c r="Y461" s="121" t="str">
        <f t="shared" ca="1" si="9"/>
        <v>#REF!</v>
      </c>
      <c r="Z461" s="121" t="str">
        <f t="shared" ca="1" si="10"/>
        <v>#REF!</v>
      </c>
      <c r="AA461" s="99" t="str">
        <f t="shared" ca="1" si="11"/>
        <v>#REF!</v>
      </c>
      <c r="AB461" s="234" t="str">
        <f t="shared" ca="1" si="12"/>
        <v>#REF!</v>
      </c>
      <c r="AC461" s="257" t="str">
        <f t="shared" ca="1" si="13"/>
        <v>#REF!</v>
      </c>
      <c r="AD461" s="234" t="str">
        <f t="shared" ca="1" si="14"/>
        <v>#REF!</v>
      </c>
      <c r="AE461" s="100" t="str">
        <f t="shared" ca="1" si="15"/>
        <v>#REF!</v>
      </c>
      <c r="AF461" s="101" t="str">
        <f t="shared" ca="1" si="16"/>
        <v>#REF!</v>
      </c>
      <c r="AG461" s="102" t="str">
        <f t="shared" ref="AG461:AH461" ca="1" si="479">AE461/V461</f>
        <v>#REF!</v>
      </c>
      <c r="AH461" s="102" t="str">
        <f t="shared" ca="1" si="479"/>
        <v>#REF!</v>
      </c>
    </row>
    <row r="462" spans="1:34" ht="13.2">
      <c r="A462" s="251"/>
      <c r="B462" s="251"/>
      <c r="C462" s="252"/>
      <c r="D462" s="252"/>
      <c r="E462" s="114"/>
      <c r="F462" s="252"/>
      <c r="G462" s="125" t="s">
        <v>145</v>
      </c>
      <c r="I462" s="172"/>
      <c r="J462" s="82" t="str">
        <f t="shared" ca="1" si="0"/>
        <v>#REF!</v>
      </c>
      <c r="K462" s="82" t="str">
        <f t="shared" ca="1" si="1"/>
        <v>#REF!</v>
      </c>
      <c r="L462" s="82" t="str">
        <f t="shared" ca="1" si="44"/>
        <v>#REF!</v>
      </c>
      <c r="M462" s="93"/>
      <c r="N462" s="93"/>
      <c r="O462" s="95">
        <f t="shared" si="2"/>
        <v>0</v>
      </c>
      <c r="P462" s="96">
        <f t="shared" si="3"/>
        <v>0</v>
      </c>
      <c r="Q462" s="97">
        <f t="shared" si="4"/>
        <v>0</v>
      </c>
      <c r="R462" s="97" t="str">
        <f ca="1">ROUNDUP(HLOOKUP(IF(CEILING(L462,0.5)&lt;1,0.5,CEILING(L462,0.5)),'배송비 조회'!A$44:AO$56,7,0)*B$3,-2)</f>
        <v>#REF!</v>
      </c>
      <c r="S462" s="97">
        <v>0</v>
      </c>
      <c r="T462" s="97" t="str">
        <f t="shared" ca="1" si="42"/>
        <v>#REF!</v>
      </c>
      <c r="U462" s="97" t="str">
        <f t="shared" ca="1" si="29"/>
        <v>#REF!</v>
      </c>
      <c r="V462" s="97" t="str">
        <f t="shared" ca="1" si="7"/>
        <v>#REF!</v>
      </c>
      <c r="W462" s="97" t="str">
        <f t="shared" ca="1" si="8"/>
        <v>#REF!</v>
      </c>
      <c r="X462" s="121">
        <v>0</v>
      </c>
      <c r="Y462" s="121" t="str">
        <f t="shared" ca="1" si="9"/>
        <v>#REF!</v>
      </c>
      <c r="Z462" s="121" t="str">
        <f t="shared" ca="1" si="10"/>
        <v>#REF!</v>
      </c>
      <c r="AA462" s="99" t="str">
        <f t="shared" ca="1" si="11"/>
        <v>#REF!</v>
      </c>
      <c r="AB462" s="234" t="str">
        <f t="shared" ca="1" si="12"/>
        <v>#REF!</v>
      </c>
      <c r="AC462" s="257" t="str">
        <f t="shared" ca="1" si="13"/>
        <v>#REF!</v>
      </c>
      <c r="AD462" s="234" t="str">
        <f t="shared" ca="1" si="14"/>
        <v>#REF!</v>
      </c>
      <c r="AE462" s="100" t="str">
        <f t="shared" ca="1" si="15"/>
        <v>#REF!</v>
      </c>
      <c r="AF462" s="101" t="str">
        <f t="shared" ca="1" si="16"/>
        <v>#REF!</v>
      </c>
      <c r="AG462" s="102" t="str">
        <f t="shared" ref="AG462:AH462" ca="1" si="480">AE462/V462</f>
        <v>#REF!</v>
      </c>
      <c r="AH462" s="102" t="str">
        <f t="shared" ca="1" si="480"/>
        <v>#REF!</v>
      </c>
    </row>
    <row r="463" spans="1:34" ht="13.2">
      <c r="A463" s="251"/>
      <c r="B463" s="251"/>
      <c r="C463" s="252"/>
      <c r="D463" s="252"/>
      <c r="E463" s="114"/>
      <c r="F463" s="252"/>
      <c r="G463" s="125" t="s">
        <v>145</v>
      </c>
      <c r="I463" s="172"/>
      <c r="J463" s="82" t="str">
        <f t="shared" ca="1" si="0"/>
        <v>#REF!</v>
      </c>
      <c r="K463" s="82" t="str">
        <f t="shared" ca="1" si="1"/>
        <v>#REF!</v>
      </c>
      <c r="L463" s="82" t="str">
        <f t="shared" ca="1" si="44"/>
        <v>#REF!</v>
      </c>
      <c r="M463" s="93"/>
      <c r="N463" s="93"/>
      <c r="O463" s="95">
        <f t="shared" si="2"/>
        <v>0</v>
      </c>
      <c r="P463" s="96">
        <f t="shared" si="3"/>
        <v>0</v>
      </c>
      <c r="Q463" s="97">
        <f t="shared" si="4"/>
        <v>0</v>
      </c>
      <c r="R463" s="97" t="str">
        <f ca="1">ROUNDUP(HLOOKUP(IF(CEILING(L463,0.5)&lt;1,0.5,CEILING(L463,0.5)),'배송비 조회'!A$44:AO$56,7,0)*B$3,-2)</f>
        <v>#REF!</v>
      </c>
      <c r="S463" s="97">
        <v>0</v>
      </c>
      <c r="T463" s="97" t="str">
        <f t="shared" ca="1" si="42"/>
        <v>#REF!</v>
      </c>
      <c r="U463" s="97" t="str">
        <f t="shared" ca="1" si="29"/>
        <v>#REF!</v>
      </c>
      <c r="V463" s="97" t="str">
        <f t="shared" ca="1" si="7"/>
        <v>#REF!</v>
      </c>
      <c r="W463" s="97" t="str">
        <f t="shared" ca="1" si="8"/>
        <v>#REF!</v>
      </c>
      <c r="X463" s="121">
        <v>0</v>
      </c>
      <c r="Y463" s="121" t="str">
        <f t="shared" ca="1" si="9"/>
        <v>#REF!</v>
      </c>
      <c r="Z463" s="121" t="str">
        <f t="shared" ca="1" si="10"/>
        <v>#REF!</v>
      </c>
      <c r="AA463" s="99" t="str">
        <f t="shared" ca="1" si="11"/>
        <v>#REF!</v>
      </c>
      <c r="AB463" s="234" t="str">
        <f t="shared" ca="1" si="12"/>
        <v>#REF!</v>
      </c>
      <c r="AC463" s="257" t="str">
        <f t="shared" ca="1" si="13"/>
        <v>#REF!</v>
      </c>
      <c r="AD463" s="234" t="str">
        <f t="shared" ca="1" si="14"/>
        <v>#REF!</v>
      </c>
      <c r="AE463" s="100" t="str">
        <f t="shared" ca="1" si="15"/>
        <v>#REF!</v>
      </c>
      <c r="AF463" s="101" t="str">
        <f t="shared" ca="1" si="16"/>
        <v>#REF!</v>
      </c>
      <c r="AG463" s="102" t="str">
        <f t="shared" ref="AG463:AH463" ca="1" si="481">AE463/V463</f>
        <v>#REF!</v>
      </c>
      <c r="AH463" s="102" t="str">
        <f t="shared" ca="1" si="481"/>
        <v>#REF!</v>
      </c>
    </row>
    <row r="464" spans="1:34" ht="13.2">
      <c r="A464" s="251"/>
      <c r="B464" s="251"/>
      <c r="C464" s="252"/>
      <c r="D464" s="252"/>
      <c r="E464" s="114"/>
      <c r="F464" s="252"/>
      <c r="G464" s="125" t="s">
        <v>145</v>
      </c>
      <c r="I464" s="172"/>
      <c r="J464" s="82" t="str">
        <f t="shared" ca="1" si="0"/>
        <v>#REF!</v>
      </c>
      <c r="K464" s="82" t="str">
        <f t="shared" ca="1" si="1"/>
        <v>#REF!</v>
      </c>
      <c r="L464" s="82" t="str">
        <f t="shared" ca="1" si="44"/>
        <v>#REF!</v>
      </c>
      <c r="M464" s="93"/>
      <c r="N464" s="93"/>
      <c r="O464" s="95">
        <f t="shared" si="2"/>
        <v>0</v>
      </c>
      <c r="P464" s="96">
        <f t="shared" si="3"/>
        <v>0</v>
      </c>
      <c r="Q464" s="97">
        <f t="shared" si="4"/>
        <v>0</v>
      </c>
      <c r="R464" s="97" t="str">
        <f ca="1">ROUNDUP(HLOOKUP(IF(CEILING(L464,0.5)&lt;1,0.5,CEILING(L464,0.5)),'배송비 조회'!A$44:AO$56,7,0)*B$3,-2)</f>
        <v>#REF!</v>
      </c>
      <c r="S464" s="97">
        <v>0</v>
      </c>
      <c r="T464" s="97" t="str">
        <f t="shared" ca="1" si="42"/>
        <v>#REF!</v>
      </c>
      <c r="U464" s="97" t="str">
        <f t="shared" ca="1" si="29"/>
        <v>#REF!</v>
      </c>
      <c r="V464" s="97" t="str">
        <f t="shared" ca="1" si="7"/>
        <v>#REF!</v>
      </c>
      <c r="W464" s="97" t="str">
        <f t="shared" ca="1" si="8"/>
        <v>#REF!</v>
      </c>
      <c r="X464" s="121">
        <v>0</v>
      </c>
      <c r="Y464" s="121" t="str">
        <f t="shared" ca="1" si="9"/>
        <v>#REF!</v>
      </c>
      <c r="Z464" s="121" t="str">
        <f t="shared" ca="1" si="10"/>
        <v>#REF!</v>
      </c>
      <c r="AA464" s="99" t="str">
        <f t="shared" ca="1" si="11"/>
        <v>#REF!</v>
      </c>
      <c r="AB464" s="234" t="str">
        <f t="shared" ca="1" si="12"/>
        <v>#REF!</v>
      </c>
      <c r="AC464" s="257" t="str">
        <f t="shared" ca="1" si="13"/>
        <v>#REF!</v>
      </c>
      <c r="AD464" s="234" t="str">
        <f t="shared" ca="1" si="14"/>
        <v>#REF!</v>
      </c>
      <c r="AE464" s="100" t="str">
        <f t="shared" ca="1" si="15"/>
        <v>#REF!</v>
      </c>
      <c r="AF464" s="101" t="str">
        <f t="shared" ca="1" si="16"/>
        <v>#REF!</v>
      </c>
      <c r="AG464" s="102" t="str">
        <f t="shared" ref="AG464:AH464" ca="1" si="482">AE464/V464</f>
        <v>#REF!</v>
      </c>
      <c r="AH464" s="102" t="str">
        <f t="shared" ca="1" si="482"/>
        <v>#REF!</v>
      </c>
    </row>
    <row r="465" spans="1:34" ht="13.2">
      <c r="A465" s="251"/>
      <c r="B465" s="251"/>
      <c r="C465" s="252"/>
      <c r="D465" s="252"/>
      <c r="E465" s="114"/>
      <c r="F465" s="252"/>
      <c r="G465" s="125" t="s">
        <v>145</v>
      </c>
      <c r="I465" s="172"/>
      <c r="J465" s="82" t="str">
        <f t="shared" ca="1" si="0"/>
        <v>#REF!</v>
      </c>
      <c r="K465" s="82" t="str">
        <f t="shared" ca="1" si="1"/>
        <v>#REF!</v>
      </c>
      <c r="L465" s="82" t="str">
        <f t="shared" ca="1" si="44"/>
        <v>#REF!</v>
      </c>
      <c r="M465" s="93"/>
      <c r="N465" s="93"/>
      <c r="O465" s="95">
        <f t="shared" si="2"/>
        <v>0</v>
      </c>
      <c r="P465" s="96">
        <f t="shared" si="3"/>
        <v>0</v>
      </c>
      <c r="Q465" s="97">
        <f t="shared" si="4"/>
        <v>0</v>
      </c>
      <c r="R465" s="97" t="str">
        <f ca="1">ROUNDUP(HLOOKUP(IF(CEILING(L465,0.5)&lt;1,0.5,CEILING(L465,0.5)),'배송비 조회'!A$44:AO$56,7,0)*B$3,-2)</f>
        <v>#REF!</v>
      </c>
      <c r="S465" s="97">
        <v>0</v>
      </c>
      <c r="T465" s="97" t="str">
        <f t="shared" ca="1" si="42"/>
        <v>#REF!</v>
      </c>
      <c r="U465" s="97" t="str">
        <f t="shared" ca="1" si="29"/>
        <v>#REF!</v>
      </c>
      <c r="V465" s="97" t="str">
        <f t="shared" ca="1" si="7"/>
        <v>#REF!</v>
      </c>
      <c r="W465" s="97" t="str">
        <f t="shared" ca="1" si="8"/>
        <v>#REF!</v>
      </c>
      <c r="X465" s="121">
        <v>0</v>
      </c>
      <c r="Y465" s="121" t="str">
        <f t="shared" ca="1" si="9"/>
        <v>#REF!</v>
      </c>
      <c r="Z465" s="121" t="str">
        <f t="shared" ca="1" si="10"/>
        <v>#REF!</v>
      </c>
      <c r="AA465" s="99" t="str">
        <f t="shared" ca="1" si="11"/>
        <v>#REF!</v>
      </c>
      <c r="AB465" s="234" t="str">
        <f t="shared" ca="1" si="12"/>
        <v>#REF!</v>
      </c>
      <c r="AC465" s="257" t="str">
        <f t="shared" ca="1" si="13"/>
        <v>#REF!</v>
      </c>
      <c r="AD465" s="234" t="str">
        <f t="shared" ca="1" si="14"/>
        <v>#REF!</v>
      </c>
      <c r="AE465" s="100" t="str">
        <f t="shared" ca="1" si="15"/>
        <v>#REF!</v>
      </c>
      <c r="AF465" s="101" t="str">
        <f t="shared" ca="1" si="16"/>
        <v>#REF!</v>
      </c>
      <c r="AG465" s="102" t="str">
        <f t="shared" ref="AG465:AH465" ca="1" si="483">AE465/V465</f>
        <v>#REF!</v>
      </c>
      <c r="AH465" s="102" t="str">
        <f t="shared" ca="1" si="483"/>
        <v>#REF!</v>
      </c>
    </row>
    <row r="466" spans="1:34" ht="13.2">
      <c r="A466" s="251"/>
      <c r="B466" s="251"/>
      <c r="C466" s="252"/>
      <c r="D466" s="252"/>
      <c r="E466" s="114"/>
      <c r="F466" s="252"/>
      <c r="G466" s="125" t="s">
        <v>145</v>
      </c>
      <c r="I466" s="172"/>
      <c r="J466" s="82" t="str">
        <f t="shared" ca="1" si="0"/>
        <v>#REF!</v>
      </c>
      <c r="K466" s="82" t="str">
        <f t="shared" ca="1" si="1"/>
        <v>#REF!</v>
      </c>
      <c r="L466" s="82" t="str">
        <f t="shared" ca="1" si="44"/>
        <v>#REF!</v>
      </c>
      <c r="M466" s="93"/>
      <c r="N466" s="93"/>
      <c r="O466" s="95">
        <f t="shared" si="2"/>
        <v>0</v>
      </c>
      <c r="P466" s="96">
        <f t="shared" si="3"/>
        <v>0</v>
      </c>
      <c r="Q466" s="97">
        <f t="shared" si="4"/>
        <v>0</v>
      </c>
      <c r="R466" s="97" t="str">
        <f ca="1">ROUNDUP(HLOOKUP(IF(CEILING(L466,0.5)&lt;1,0.5,CEILING(L466,0.5)),'배송비 조회'!A$44:AO$56,7,0)*B$3,-2)</f>
        <v>#REF!</v>
      </c>
      <c r="S466" s="97">
        <v>0</v>
      </c>
      <c r="T466" s="97" t="str">
        <f t="shared" ca="1" si="42"/>
        <v>#REF!</v>
      </c>
      <c r="U466" s="97" t="str">
        <f t="shared" ca="1" si="29"/>
        <v>#REF!</v>
      </c>
      <c r="V466" s="97" t="str">
        <f t="shared" ca="1" si="7"/>
        <v>#REF!</v>
      </c>
      <c r="W466" s="97" t="str">
        <f t="shared" ca="1" si="8"/>
        <v>#REF!</v>
      </c>
      <c r="X466" s="121">
        <v>0</v>
      </c>
      <c r="Y466" s="121" t="str">
        <f t="shared" ca="1" si="9"/>
        <v>#REF!</v>
      </c>
      <c r="Z466" s="121" t="str">
        <f t="shared" ca="1" si="10"/>
        <v>#REF!</v>
      </c>
      <c r="AA466" s="99" t="str">
        <f t="shared" ca="1" si="11"/>
        <v>#REF!</v>
      </c>
      <c r="AB466" s="234" t="str">
        <f t="shared" ca="1" si="12"/>
        <v>#REF!</v>
      </c>
      <c r="AC466" s="257" t="str">
        <f t="shared" ca="1" si="13"/>
        <v>#REF!</v>
      </c>
      <c r="AD466" s="234" t="str">
        <f t="shared" ca="1" si="14"/>
        <v>#REF!</v>
      </c>
      <c r="AE466" s="100" t="str">
        <f t="shared" ca="1" si="15"/>
        <v>#REF!</v>
      </c>
      <c r="AF466" s="101" t="str">
        <f t="shared" ca="1" si="16"/>
        <v>#REF!</v>
      </c>
      <c r="AG466" s="102" t="str">
        <f t="shared" ref="AG466:AH466" ca="1" si="484">AE466/V466</f>
        <v>#REF!</v>
      </c>
      <c r="AH466" s="102" t="str">
        <f t="shared" ca="1" si="484"/>
        <v>#REF!</v>
      </c>
    </row>
    <row r="467" spans="1:34" ht="13.2">
      <c r="A467" s="251"/>
      <c r="B467" s="251"/>
      <c r="C467" s="252"/>
      <c r="D467" s="252"/>
      <c r="E467" s="114"/>
      <c r="F467" s="252"/>
      <c r="G467" s="125" t="s">
        <v>145</v>
      </c>
      <c r="I467" s="172"/>
      <c r="J467" s="82" t="str">
        <f t="shared" ca="1" si="0"/>
        <v>#REF!</v>
      </c>
      <c r="K467" s="82" t="str">
        <f t="shared" ca="1" si="1"/>
        <v>#REF!</v>
      </c>
      <c r="L467" s="82" t="str">
        <f t="shared" ca="1" si="44"/>
        <v>#REF!</v>
      </c>
      <c r="M467" s="93"/>
      <c r="N467" s="93"/>
      <c r="O467" s="95">
        <f t="shared" si="2"/>
        <v>0</v>
      </c>
      <c r="P467" s="96">
        <f t="shared" si="3"/>
        <v>0</v>
      </c>
      <c r="Q467" s="97">
        <f t="shared" si="4"/>
        <v>0</v>
      </c>
      <c r="R467" s="97" t="str">
        <f ca="1">ROUNDUP(HLOOKUP(IF(CEILING(L467,0.5)&lt;1,0.5,CEILING(L467,0.5)),'배송비 조회'!A$44:AO$56,7,0)*B$3,-2)</f>
        <v>#REF!</v>
      </c>
      <c r="S467" s="97">
        <v>0</v>
      </c>
      <c r="T467" s="97" t="str">
        <f t="shared" ca="1" si="42"/>
        <v>#REF!</v>
      </c>
      <c r="U467" s="97" t="str">
        <f t="shared" ca="1" si="29"/>
        <v>#REF!</v>
      </c>
      <c r="V467" s="97" t="str">
        <f t="shared" ca="1" si="7"/>
        <v>#REF!</v>
      </c>
      <c r="W467" s="97" t="str">
        <f t="shared" ca="1" si="8"/>
        <v>#REF!</v>
      </c>
      <c r="X467" s="121">
        <v>0</v>
      </c>
      <c r="Y467" s="121" t="str">
        <f t="shared" ca="1" si="9"/>
        <v>#REF!</v>
      </c>
      <c r="Z467" s="121" t="str">
        <f t="shared" ca="1" si="10"/>
        <v>#REF!</v>
      </c>
      <c r="AA467" s="99" t="str">
        <f t="shared" ca="1" si="11"/>
        <v>#REF!</v>
      </c>
      <c r="AB467" s="234" t="str">
        <f t="shared" ca="1" si="12"/>
        <v>#REF!</v>
      </c>
      <c r="AC467" s="257" t="str">
        <f t="shared" ca="1" si="13"/>
        <v>#REF!</v>
      </c>
      <c r="AD467" s="234" t="str">
        <f t="shared" ca="1" si="14"/>
        <v>#REF!</v>
      </c>
      <c r="AE467" s="100" t="str">
        <f t="shared" ca="1" si="15"/>
        <v>#REF!</v>
      </c>
      <c r="AF467" s="101" t="str">
        <f t="shared" ca="1" si="16"/>
        <v>#REF!</v>
      </c>
      <c r="AG467" s="102" t="str">
        <f t="shared" ref="AG467:AH467" ca="1" si="485">AE467/V467</f>
        <v>#REF!</v>
      </c>
      <c r="AH467" s="102" t="str">
        <f t="shared" ca="1" si="485"/>
        <v>#REF!</v>
      </c>
    </row>
    <row r="468" spans="1:34" ht="13.2">
      <c r="A468" s="251"/>
      <c r="B468" s="251"/>
      <c r="C468" s="252"/>
      <c r="D468" s="252"/>
      <c r="E468" s="114"/>
      <c r="F468" s="252"/>
      <c r="G468" s="125" t="s">
        <v>145</v>
      </c>
      <c r="I468" s="172"/>
      <c r="J468" s="82" t="str">
        <f t="shared" ca="1" si="0"/>
        <v>#REF!</v>
      </c>
      <c r="K468" s="82" t="str">
        <f t="shared" ca="1" si="1"/>
        <v>#REF!</v>
      </c>
      <c r="L468" s="82" t="str">
        <f t="shared" ca="1" si="44"/>
        <v>#REF!</v>
      </c>
      <c r="M468" s="93"/>
      <c r="N468" s="93"/>
      <c r="O468" s="95">
        <f t="shared" si="2"/>
        <v>0</v>
      </c>
      <c r="P468" s="96">
        <f t="shared" si="3"/>
        <v>0</v>
      </c>
      <c r="Q468" s="97">
        <f t="shared" si="4"/>
        <v>0</v>
      </c>
      <c r="R468" s="97" t="str">
        <f ca="1">ROUNDUP(HLOOKUP(IF(CEILING(L468,0.5)&lt;1,0.5,CEILING(L468,0.5)),'배송비 조회'!A$44:AO$56,7,0)*B$3,-2)</f>
        <v>#REF!</v>
      </c>
      <c r="S468" s="97">
        <v>0</v>
      </c>
      <c r="T468" s="97" t="str">
        <f t="shared" ca="1" si="42"/>
        <v>#REF!</v>
      </c>
      <c r="U468" s="97" t="str">
        <f t="shared" ca="1" si="29"/>
        <v>#REF!</v>
      </c>
      <c r="V468" s="97" t="str">
        <f t="shared" ca="1" si="7"/>
        <v>#REF!</v>
      </c>
      <c r="W468" s="97" t="str">
        <f t="shared" ca="1" si="8"/>
        <v>#REF!</v>
      </c>
      <c r="X468" s="121">
        <v>0</v>
      </c>
      <c r="Y468" s="121" t="str">
        <f t="shared" ca="1" si="9"/>
        <v>#REF!</v>
      </c>
      <c r="Z468" s="121" t="str">
        <f t="shared" ca="1" si="10"/>
        <v>#REF!</v>
      </c>
      <c r="AA468" s="99" t="str">
        <f t="shared" ca="1" si="11"/>
        <v>#REF!</v>
      </c>
      <c r="AB468" s="234" t="str">
        <f t="shared" ca="1" si="12"/>
        <v>#REF!</v>
      </c>
      <c r="AC468" s="257" t="str">
        <f t="shared" ca="1" si="13"/>
        <v>#REF!</v>
      </c>
      <c r="AD468" s="234" t="str">
        <f t="shared" ca="1" si="14"/>
        <v>#REF!</v>
      </c>
      <c r="AE468" s="100" t="str">
        <f t="shared" ca="1" si="15"/>
        <v>#REF!</v>
      </c>
      <c r="AF468" s="101" t="str">
        <f t="shared" ca="1" si="16"/>
        <v>#REF!</v>
      </c>
      <c r="AG468" s="102" t="str">
        <f t="shared" ref="AG468:AH468" ca="1" si="486">AE468/V468</f>
        <v>#REF!</v>
      </c>
      <c r="AH468" s="102" t="str">
        <f t="shared" ca="1" si="486"/>
        <v>#REF!</v>
      </c>
    </row>
    <row r="469" spans="1:34" ht="13.2">
      <c r="A469" s="251"/>
      <c r="B469" s="251"/>
      <c r="C469" s="252"/>
      <c r="D469" s="252"/>
      <c r="E469" s="114"/>
      <c r="F469" s="252"/>
      <c r="G469" s="125" t="s">
        <v>145</v>
      </c>
      <c r="I469" s="172"/>
      <c r="J469" s="82" t="str">
        <f t="shared" ca="1" si="0"/>
        <v>#REF!</v>
      </c>
      <c r="K469" s="82" t="str">
        <f t="shared" ca="1" si="1"/>
        <v>#REF!</v>
      </c>
      <c r="L469" s="82" t="str">
        <f t="shared" ca="1" si="44"/>
        <v>#REF!</v>
      </c>
      <c r="M469" s="93"/>
      <c r="N469" s="93"/>
      <c r="O469" s="95">
        <f t="shared" si="2"/>
        <v>0</v>
      </c>
      <c r="P469" s="96">
        <f t="shared" si="3"/>
        <v>0</v>
      </c>
      <c r="Q469" s="97">
        <f t="shared" si="4"/>
        <v>0</v>
      </c>
      <c r="R469" s="97" t="str">
        <f ca="1">ROUNDUP(HLOOKUP(IF(CEILING(L469,0.5)&lt;1,0.5,CEILING(L469,0.5)),'배송비 조회'!A$44:AO$56,7,0)*B$3,-2)</f>
        <v>#REF!</v>
      </c>
      <c r="S469" s="97">
        <v>0</v>
      </c>
      <c r="T469" s="97" t="str">
        <f t="shared" ca="1" si="42"/>
        <v>#REF!</v>
      </c>
      <c r="U469" s="97" t="str">
        <f t="shared" ca="1" si="29"/>
        <v>#REF!</v>
      </c>
      <c r="V469" s="97" t="str">
        <f t="shared" ca="1" si="7"/>
        <v>#REF!</v>
      </c>
      <c r="W469" s="97" t="str">
        <f t="shared" ca="1" si="8"/>
        <v>#REF!</v>
      </c>
      <c r="X469" s="121">
        <v>0</v>
      </c>
      <c r="Y469" s="121" t="str">
        <f t="shared" ca="1" si="9"/>
        <v>#REF!</v>
      </c>
      <c r="Z469" s="121" t="str">
        <f t="shared" ca="1" si="10"/>
        <v>#REF!</v>
      </c>
      <c r="AA469" s="99" t="str">
        <f t="shared" ca="1" si="11"/>
        <v>#REF!</v>
      </c>
      <c r="AB469" s="234" t="str">
        <f t="shared" ca="1" si="12"/>
        <v>#REF!</v>
      </c>
      <c r="AC469" s="257" t="str">
        <f t="shared" ca="1" si="13"/>
        <v>#REF!</v>
      </c>
      <c r="AD469" s="234" t="str">
        <f t="shared" ca="1" si="14"/>
        <v>#REF!</v>
      </c>
      <c r="AE469" s="100" t="str">
        <f t="shared" ca="1" si="15"/>
        <v>#REF!</v>
      </c>
      <c r="AF469" s="101" t="str">
        <f t="shared" ca="1" si="16"/>
        <v>#REF!</v>
      </c>
      <c r="AG469" s="102" t="str">
        <f t="shared" ref="AG469:AH469" ca="1" si="487">AE469/V469</f>
        <v>#REF!</v>
      </c>
      <c r="AH469" s="102" t="str">
        <f t="shared" ca="1" si="487"/>
        <v>#REF!</v>
      </c>
    </row>
    <row r="470" spans="1:34" ht="13.2">
      <c r="A470" s="251"/>
      <c r="B470" s="251"/>
      <c r="C470" s="252"/>
      <c r="D470" s="252"/>
      <c r="E470" s="114"/>
      <c r="F470" s="252"/>
      <c r="G470" s="125" t="s">
        <v>145</v>
      </c>
      <c r="I470" s="172"/>
      <c r="J470" s="82" t="str">
        <f t="shared" ca="1" si="0"/>
        <v>#REF!</v>
      </c>
      <c r="K470" s="82" t="str">
        <f t="shared" ca="1" si="1"/>
        <v>#REF!</v>
      </c>
      <c r="L470" s="82" t="str">
        <f t="shared" ca="1" si="44"/>
        <v>#REF!</v>
      </c>
      <c r="M470" s="93"/>
      <c r="N470" s="93"/>
      <c r="O470" s="95">
        <f t="shared" si="2"/>
        <v>0</v>
      </c>
      <c r="P470" s="96">
        <f t="shared" si="3"/>
        <v>0</v>
      </c>
      <c r="Q470" s="97">
        <f t="shared" si="4"/>
        <v>0</v>
      </c>
      <c r="R470" s="97" t="str">
        <f ca="1">ROUNDUP(HLOOKUP(IF(CEILING(L470,0.5)&lt;1,0.5,CEILING(L470,0.5)),'배송비 조회'!A$44:AO$56,7,0)*B$3,-2)</f>
        <v>#REF!</v>
      </c>
      <c r="S470" s="97">
        <v>0</v>
      </c>
      <c r="T470" s="97" t="str">
        <f t="shared" ca="1" si="42"/>
        <v>#REF!</v>
      </c>
      <c r="U470" s="97" t="str">
        <f t="shared" ca="1" si="29"/>
        <v>#REF!</v>
      </c>
      <c r="V470" s="97" t="str">
        <f t="shared" ca="1" si="7"/>
        <v>#REF!</v>
      </c>
      <c r="W470" s="97" t="str">
        <f t="shared" ca="1" si="8"/>
        <v>#REF!</v>
      </c>
      <c r="X470" s="121">
        <v>0</v>
      </c>
      <c r="Y470" s="121" t="str">
        <f t="shared" ca="1" si="9"/>
        <v>#REF!</v>
      </c>
      <c r="Z470" s="121" t="str">
        <f t="shared" ca="1" si="10"/>
        <v>#REF!</v>
      </c>
      <c r="AA470" s="99" t="str">
        <f t="shared" ca="1" si="11"/>
        <v>#REF!</v>
      </c>
      <c r="AB470" s="234" t="str">
        <f t="shared" ca="1" si="12"/>
        <v>#REF!</v>
      </c>
      <c r="AC470" s="257" t="str">
        <f t="shared" ca="1" si="13"/>
        <v>#REF!</v>
      </c>
      <c r="AD470" s="234" t="str">
        <f t="shared" ca="1" si="14"/>
        <v>#REF!</v>
      </c>
      <c r="AE470" s="100" t="str">
        <f t="shared" ca="1" si="15"/>
        <v>#REF!</v>
      </c>
      <c r="AF470" s="101" t="str">
        <f t="shared" ca="1" si="16"/>
        <v>#REF!</v>
      </c>
      <c r="AG470" s="102" t="str">
        <f t="shared" ref="AG470:AH470" ca="1" si="488">AE470/V470</f>
        <v>#REF!</v>
      </c>
      <c r="AH470" s="102" t="str">
        <f t="shared" ca="1" si="488"/>
        <v>#REF!</v>
      </c>
    </row>
    <row r="471" spans="1:34" ht="13.2">
      <c r="A471" s="251"/>
      <c r="B471" s="251"/>
      <c r="C471" s="252"/>
      <c r="D471" s="252"/>
      <c r="E471" s="114"/>
      <c r="F471" s="252"/>
      <c r="G471" s="125" t="s">
        <v>145</v>
      </c>
      <c r="I471" s="172"/>
      <c r="J471" s="82" t="str">
        <f t="shared" ca="1" si="0"/>
        <v>#REF!</v>
      </c>
      <c r="K471" s="82" t="str">
        <f t="shared" ca="1" si="1"/>
        <v>#REF!</v>
      </c>
      <c r="L471" s="82" t="str">
        <f t="shared" ca="1" si="44"/>
        <v>#REF!</v>
      </c>
      <c r="M471" s="93"/>
      <c r="N471" s="93"/>
      <c r="O471" s="95">
        <f t="shared" si="2"/>
        <v>0</v>
      </c>
      <c r="P471" s="96">
        <f t="shared" si="3"/>
        <v>0</v>
      </c>
      <c r="Q471" s="97">
        <f t="shared" si="4"/>
        <v>0</v>
      </c>
      <c r="R471" s="97" t="str">
        <f ca="1">ROUNDUP(HLOOKUP(IF(CEILING(L471,0.5)&lt;1,0.5,CEILING(L471,0.5)),'배송비 조회'!A$44:AO$56,7,0)*B$3,-2)</f>
        <v>#REF!</v>
      </c>
      <c r="S471" s="97">
        <v>0</v>
      </c>
      <c r="T471" s="97" t="str">
        <f t="shared" ca="1" si="42"/>
        <v>#REF!</v>
      </c>
      <c r="U471" s="97" t="str">
        <f t="shared" ca="1" si="29"/>
        <v>#REF!</v>
      </c>
      <c r="V471" s="97" t="str">
        <f t="shared" ca="1" si="7"/>
        <v>#REF!</v>
      </c>
      <c r="W471" s="97" t="str">
        <f t="shared" ca="1" si="8"/>
        <v>#REF!</v>
      </c>
      <c r="X471" s="121">
        <v>0</v>
      </c>
      <c r="Y471" s="121" t="str">
        <f t="shared" ca="1" si="9"/>
        <v>#REF!</v>
      </c>
      <c r="Z471" s="121" t="str">
        <f t="shared" ca="1" si="10"/>
        <v>#REF!</v>
      </c>
      <c r="AA471" s="99" t="str">
        <f t="shared" ca="1" si="11"/>
        <v>#REF!</v>
      </c>
      <c r="AB471" s="234" t="str">
        <f t="shared" ca="1" si="12"/>
        <v>#REF!</v>
      </c>
      <c r="AC471" s="257" t="str">
        <f t="shared" ca="1" si="13"/>
        <v>#REF!</v>
      </c>
      <c r="AD471" s="234" t="str">
        <f t="shared" ca="1" si="14"/>
        <v>#REF!</v>
      </c>
      <c r="AE471" s="100" t="str">
        <f t="shared" ca="1" si="15"/>
        <v>#REF!</v>
      </c>
      <c r="AF471" s="101" t="str">
        <f t="shared" ca="1" si="16"/>
        <v>#REF!</v>
      </c>
      <c r="AG471" s="102" t="str">
        <f t="shared" ref="AG471:AH471" ca="1" si="489">AE471/V471</f>
        <v>#REF!</v>
      </c>
      <c r="AH471" s="102" t="str">
        <f t="shared" ca="1" si="489"/>
        <v>#REF!</v>
      </c>
    </row>
    <row r="472" spans="1:34" ht="13.2">
      <c r="A472" s="251"/>
      <c r="B472" s="251"/>
      <c r="C472" s="252"/>
      <c r="D472" s="252"/>
      <c r="E472" s="114"/>
      <c r="F472" s="252"/>
      <c r="G472" s="125" t="s">
        <v>145</v>
      </c>
      <c r="I472" s="172"/>
      <c r="J472" s="82" t="str">
        <f t="shared" ca="1" si="0"/>
        <v>#REF!</v>
      </c>
      <c r="K472" s="82" t="str">
        <f t="shared" ca="1" si="1"/>
        <v>#REF!</v>
      </c>
      <c r="L472" s="82" t="str">
        <f t="shared" ca="1" si="44"/>
        <v>#REF!</v>
      </c>
      <c r="M472" s="93"/>
      <c r="N472" s="93"/>
      <c r="O472" s="95">
        <f t="shared" si="2"/>
        <v>0</v>
      </c>
      <c r="P472" s="96">
        <f t="shared" si="3"/>
        <v>0</v>
      </c>
      <c r="Q472" s="97">
        <f t="shared" si="4"/>
        <v>0</v>
      </c>
      <c r="R472" s="97" t="str">
        <f ca="1">ROUNDUP(HLOOKUP(IF(CEILING(L472,0.5)&lt;1,0.5,CEILING(L472,0.5)),'배송비 조회'!A$44:AO$56,7,0)*B$3,-2)</f>
        <v>#REF!</v>
      </c>
      <c r="S472" s="97">
        <v>0</v>
      </c>
      <c r="T472" s="97" t="str">
        <f t="shared" ca="1" si="42"/>
        <v>#REF!</v>
      </c>
      <c r="U472" s="97" t="str">
        <f t="shared" ca="1" si="29"/>
        <v>#REF!</v>
      </c>
      <c r="V472" s="97" t="str">
        <f t="shared" ca="1" si="7"/>
        <v>#REF!</v>
      </c>
      <c r="W472" s="97" t="str">
        <f t="shared" ca="1" si="8"/>
        <v>#REF!</v>
      </c>
      <c r="X472" s="121">
        <v>0</v>
      </c>
      <c r="Y472" s="121" t="str">
        <f t="shared" ca="1" si="9"/>
        <v>#REF!</v>
      </c>
      <c r="Z472" s="121" t="str">
        <f t="shared" ca="1" si="10"/>
        <v>#REF!</v>
      </c>
      <c r="AA472" s="99" t="str">
        <f t="shared" ca="1" si="11"/>
        <v>#REF!</v>
      </c>
      <c r="AB472" s="234" t="str">
        <f t="shared" ca="1" si="12"/>
        <v>#REF!</v>
      </c>
      <c r="AC472" s="257" t="str">
        <f t="shared" ca="1" si="13"/>
        <v>#REF!</v>
      </c>
      <c r="AD472" s="234" t="str">
        <f t="shared" ca="1" si="14"/>
        <v>#REF!</v>
      </c>
      <c r="AE472" s="100" t="str">
        <f t="shared" ca="1" si="15"/>
        <v>#REF!</v>
      </c>
      <c r="AF472" s="101" t="str">
        <f t="shared" ca="1" si="16"/>
        <v>#REF!</v>
      </c>
      <c r="AG472" s="102" t="str">
        <f t="shared" ref="AG472:AH472" ca="1" si="490">AE472/V472</f>
        <v>#REF!</v>
      </c>
      <c r="AH472" s="102" t="str">
        <f t="shared" ca="1" si="490"/>
        <v>#REF!</v>
      </c>
    </row>
    <row r="473" spans="1:34" ht="13.2">
      <c r="A473" s="251"/>
      <c r="B473" s="251"/>
      <c r="C473" s="252"/>
      <c r="D473" s="252"/>
      <c r="E473" s="114"/>
      <c r="F473" s="252"/>
      <c r="G473" s="125" t="s">
        <v>145</v>
      </c>
      <c r="I473" s="172"/>
      <c r="J473" s="82" t="str">
        <f t="shared" ca="1" si="0"/>
        <v>#REF!</v>
      </c>
      <c r="K473" s="82" t="str">
        <f t="shared" ca="1" si="1"/>
        <v>#REF!</v>
      </c>
      <c r="L473" s="82" t="str">
        <f t="shared" ca="1" si="44"/>
        <v>#REF!</v>
      </c>
      <c r="M473" s="93"/>
      <c r="N473" s="93"/>
      <c r="O473" s="95">
        <f t="shared" si="2"/>
        <v>0</v>
      </c>
      <c r="P473" s="96">
        <f t="shared" si="3"/>
        <v>0</v>
      </c>
      <c r="Q473" s="97">
        <f t="shared" si="4"/>
        <v>0</v>
      </c>
      <c r="R473" s="97" t="str">
        <f ca="1">ROUNDUP(HLOOKUP(IF(CEILING(L473,0.5)&lt;1,0.5,CEILING(L473,0.5)),'배송비 조회'!A$44:AO$56,7,0)*B$3,-2)</f>
        <v>#REF!</v>
      </c>
      <c r="S473" s="97">
        <v>0</v>
      </c>
      <c r="T473" s="97" t="str">
        <f t="shared" ca="1" si="42"/>
        <v>#REF!</v>
      </c>
      <c r="U473" s="97" t="str">
        <f t="shared" ca="1" si="29"/>
        <v>#REF!</v>
      </c>
      <c r="V473" s="97" t="str">
        <f t="shared" ca="1" si="7"/>
        <v>#REF!</v>
      </c>
      <c r="W473" s="97" t="str">
        <f t="shared" ca="1" si="8"/>
        <v>#REF!</v>
      </c>
      <c r="X473" s="121">
        <v>0</v>
      </c>
      <c r="Y473" s="121" t="str">
        <f t="shared" ca="1" si="9"/>
        <v>#REF!</v>
      </c>
      <c r="Z473" s="121" t="str">
        <f t="shared" ca="1" si="10"/>
        <v>#REF!</v>
      </c>
      <c r="AA473" s="99" t="str">
        <f t="shared" ca="1" si="11"/>
        <v>#REF!</v>
      </c>
      <c r="AB473" s="234" t="str">
        <f t="shared" ca="1" si="12"/>
        <v>#REF!</v>
      </c>
      <c r="AC473" s="257" t="str">
        <f t="shared" ca="1" si="13"/>
        <v>#REF!</v>
      </c>
      <c r="AD473" s="234" t="str">
        <f t="shared" ca="1" si="14"/>
        <v>#REF!</v>
      </c>
      <c r="AE473" s="100" t="str">
        <f t="shared" ca="1" si="15"/>
        <v>#REF!</v>
      </c>
      <c r="AF473" s="101" t="str">
        <f t="shared" ca="1" si="16"/>
        <v>#REF!</v>
      </c>
      <c r="AG473" s="102" t="str">
        <f t="shared" ref="AG473:AH473" ca="1" si="491">AE473/V473</f>
        <v>#REF!</v>
      </c>
      <c r="AH473" s="102" t="str">
        <f t="shared" ca="1" si="491"/>
        <v>#REF!</v>
      </c>
    </row>
    <row r="474" spans="1:34" ht="13.2">
      <c r="A474" s="251"/>
      <c r="B474" s="251"/>
      <c r="C474" s="252"/>
      <c r="D474" s="252"/>
      <c r="E474" s="114"/>
      <c r="F474" s="252"/>
      <c r="G474" s="125" t="s">
        <v>145</v>
      </c>
      <c r="I474" s="172"/>
      <c r="J474" s="82" t="str">
        <f t="shared" ca="1" si="0"/>
        <v>#REF!</v>
      </c>
      <c r="K474" s="82" t="str">
        <f t="shared" ca="1" si="1"/>
        <v>#REF!</v>
      </c>
      <c r="L474" s="82" t="str">
        <f t="shared" ca="1" si="44"/>
        <v>#REF!</v>
      </c>
      <c r="M474" s="93"/>
      <c r="N474" s="93"/>
      <c r="O474" s="95">
        <f t="shared" si="2"/>
        <v>0</v>
      </c>
      <c r="P474" s="96">
        <f t="shared" si="3"/>
        <v>0</v>
      </c>
      <c r="Q474" s="97">
        <f t="shared" si="4"/>
        <v>0</v>
      </c>
      <c r="R474" s="97" t="str">
        <f ca="1">ROUNDUP(HLOOKUP(IF(CEILING(L474,0.5)&lt;1,0.5,CEILING(L474,0.5)),'배송비 조회'!A$44:AO$56,7,0)*B$3,-2)</f>
        <v>#REF!</v>
      </c>
      <c r="S474" s="97">
        <v>0</v>
      </c>
      <c r="T474" s="97" t="str">
        <f t="shared" ca="1" si="42"/>
        <v>#REF!</v>
      </c>
      <c r="U474" s="97" t="str">
        <f t="shared" ca="1" si="29"/>
        <v>#REF!</v>
      </c>
      <c r="V474" s="97" t="str">
        <f t="shared" ca="1" si="7"/>
        <v>#REF!</v>
      </c>
      <c r="W474" s="97" t="str">
        <f t="shared" ca="1" si="8"/>
        <v>#REF!</v>
      </c>
      <c r="X474" s="121">
        <v>0</v>
      </c>
      <c r="Y474" s="121" t="str">
        <f t="shared" ca="1" si="9"/>
        <v>#REF!</v>
      </c>
      <c r="Z474" s="121" t="str">
        <f t="shared" ca="1" si="10"/>
        <v>#REF!</v>
      </c>
      <c r="AA474" s="99" t="str">
        <f t="shared" ca="1" si="11"/>
        <v>#REF!</v>
      </c>
      <c r="AB474" s="234" t="str">
        <f t="shared" ca="1" si="12"/>
        <v>#REF!</v>
      </c>
      <c r="AC474" s="257" t="str">
        <f t="shared" ca="1" si="13"/>
        <v>#REF!</v>
      </c>
      <c r="AD474" s="234" t="str">
        <f t="shared" ca="1" si="14"/>
        <v>#REF!</v>
      </c>
      <c r="AE474" s="100" t="str">
        <f t="shared" ca="1" si="15"/>
        <v>#REF!</v>
      </c>
      <c r="AF474" s="101" t="str">
        <f t="shared" ca="1" si="16"/>
        <v>#REF!</v>
      </c>
      <c r="AG474" s="102" t="str">
        <f t="shared" ref="AG474:AH474" ca="1" si="492">AE474/V474</f>
        <v>#REF!</v>
      </c>
      <c r="AH474" s="102" t="str">
        <f t="shared" ca="1" si="492"/>
        <v>#REF!</v>
      </c>
    </row>
    <row r="475" spans="1:34" ht="13.2">
      <c r="A475" s="251"/>
      <c r="B475" s="251"/>
      <c r="C475" s="252"/>
      <c r="D475" s="252"/>
      <c r="E475" s="114"/>
      <c r="F475" s="252"/>
      <c r="G475" s="125" t="s">
        <v>145</v>
      </c>
      <c r="I475" s="172"/>
      <c r="J475" s="82" t="str">
        <f t="shared" ca="1" si="0"/>
        <v>#REF!</v>
      </c>
      <c r="K475" s="82" t="str">
        <f t="shared" ca="1" si="1"/>
        <v>#REF!</v>
      </c>
      <c r="L475" s="82" t="str">
        <f t="shared" ca="1" si="44"/>
        <v>#REF!</v>
      </c>
      <c r="M475" s="93"/>
      <c r="N475" s="93"/>
      <c r="O475" s="95">
        <f t="shared" si="2"/>
        <v>0</v>
      </c>
      <c r="P475" s="96">
        <f t="shared" si="3"/>
        <v>0</v>
      </c>
      <c r="Q475" s="97">
        <f t="shared" si="4"/>
        <v>0</v>
      </c>
      <c r="R475" s="97" t="str">
        <f ca="1">ROUNDUP(HLOOKUP(IF(CEILING(L475,0.5)&lt;1,0.5,CEILING(L475,0.5)),'배송비 조회'!A$44:AO$56,7,0)*B$3,-2)</f>
        <v>#REF!</v>
      </c>
      <c r="S475" s="97">
        <v>0</v>
      </c>
      <c r="T475" s="97" t="str">
        <f t="shared" ca="1" si="42"/>
        <v>#REF!</v>
      </c>
      <c r="U475" s="97" t="str">
        <f t="shared" ca="1" si="29"/>
        <v>#REF!</v>
      </c>
      <c r="V475" s="97" t="str">
        <f t="shared" ca="1" si="7"/>
        <v>#REF!</v>
      </c>
      <c r="W475" s="97" t="str">
        <f t="shared" ca="1" si="8"/>
        <v>#REF!</v>
      </c>
      <c r="X475" s="121">
        <v>0</v>
      </c>
      <c r="Y475" s="121" t="str">
        <f t="shared" ca="1" si="9"/>
        <v>#REF!</v>
      </c>
      <c r="Z475" s="121" t="str">
        <f t="shared" ca="1" si="10"/>
        <v>#REF!</v>
      </c>
      <c r="AA475" s="99" t="str">
        <f t="shared" ca="1" si="11"/>
        <v>#REF!</v>
      </c>
      <c r="AB475" s="234" t="str">
        <f t="shared" ca="1" si="12"/>
        <v>#REF!</v>
      </c>
      <c r="AC475" s="257" t="str">
        <f t="shared" ca="1" si="13"/>
        <v>#REF!</v>
      </c>
      <c r="AD475" s="234" t="str">
        <f t="shared" ca="1" si="14"/>
        <v>#REF!</v>
      </c>
      <c r="AE475" s="100" t="str">
        <f t="shared" ca="1" si="15"/>
        <v>#REF!</v>
      </c>
      <c r="AF475" s="101" t="str">
        <f t="shared" ca="1" si="16"/>
        <v>#REF!</v>
      </c>
      <c r="AG475" s="102" t="str">
        <f t="shared" ref="AG475:AH475" ca="1" si="493">AE475/V475</f>
        <v>#REF!</v>
      </c>
      <c r="AH475" s="102" t="str">
        <f t="shared" ca="1" si="493"/>
        <v>#REF!</v>
      </c>
    </row>
    <row r="476" spans="1:34" ht="13.2">
      <c r="A476" s="251"/>
      <c r="B476" s="251"/>
      <c r="C476" s="252"/>
      <c r="D476" s="252"/>
      <c r="E476" s="114"/>
      <c r="F476" s="252"/>
      <c r="G476" s="125" t="s">
        <v>145</v>
      </c>
      <c r="I476" s="172"/>
      <c r="J476" s="82" t="str">
        <f t="shared" ca="1" si="0"/>
        <v>#REF!</v>
      </c>
      <c r="K476" s="82" t="str">
        <f t="shared" ca="1" si="1"/>
        <v>#REF!</v>
      </c>
      <c r="L476" s="82" t="str">
        <f t="shared" ca="1" si="44"/>
        <v>#REF!</v>
      </c>
      <c r="M476" s="93"/>
      <c r="N476" s="93"/>
      <c r="O476" s="95">
        <f t="shared" si="2"/>
        <v>0</v>
      </c>
      <c r="P476" s="96">
        <f t="shared" si="3"/>
        <v>0</v>
      </c>
      <c r="Q476" s="97">
        <f t="shared" si="4"/>
        <v>0</v>
      </c>
      <c r="R476" s="97" t="str">
        <f ca="1">ROUNDUP(HLOOKUP(IF(CEILING(L476,0.5)&lt;1,0.5,CEILING(L476,0.5)),'배송비 조회'!A$44:AO$56,7,0)*B$3,-2)</f>
        <v>#REF!</v>
      </c>
      <c r="S476" s="97">
        <v>0</v>
      </c>
      <c r="T476" s="97" t="str">
        <f t="shared" ca="1" si="42"/>
        <v>#REF!</v>
      </c>
      <c r="U476" s="97" t="str">
        <f t="shared" ca="1" si="29"/>
        <v>#REF!</v>
      </c>
      <c r="V476" s="97" t="str">
        <f t="shared" ca="1" si="7"/>
        <v>#REF!</v>
      </c>
      <c r="W476" s="97" t="str">
        <f t="shared" ca="1" si="8"/>
        <v>#REF!</v>
      </c>
      <c r="X476" s="121">
        <v>0</v>
      </c>
      <c r="Y476" s="121" t="str">
        <f t="shared" ca="1" si="9"/>
        <v>#REF!</v>
      </c>
      <c r="Z476" s="121" t="str">
        <f t="shared" ca="1" si="10"/>
        <v>#REF!</v>
      </c>
      <c r="AA476" s="99" t="str">
        <f t="shared" ca="1" si="11"/>
        <v>#REF!</v>
      </c>
      <c r="AB476" s="234" t="str">
        <f t="shared" ca="1" si="12"/>
        <v>#REF!</v>
      </c>
      <c r="AC476" s="257" t="str">
        <f t="shared" ca="1" si="13"/>
        <v>#REF!</v>
      </c>
      <c r="AD476" s="234" t="str">
        <f t="shared" ca="1" si="14"/>
        <v>#REF!</v>
      </c>
      <c r="AE476" s="100" t="str">
        <f t="shared" ca="1" si="15"/>
        <v>#REF!</v>
      </c>
      <c r="AF476" s="101" t="str">
        <f t="shared" ca="1" si="16"/>
        <v>#REF!</v>
      </c>
      <c r="AG476" s="102" t="str">
        <f t="shared" ref="AG476:AH476" ca="1" si="494">AE476/V476</f>
        <v>#REF!</v>
      </c>
      <c r="AH476" s="102" t="str">
        <f t="shared" ca="1" si="494"/>
        <v>#REF!</v>
      </c>
    </row>
    <row r="477" spans="1:34" ht="13.2">
      <c r="A477" s="251"/>
      <c r="B477" s="251"/>
      <c r="C477" s="252"/>
      <c r="D477" s="252"/>
      <c r="E477" s="114"/>
      <c r="F477" s="252"/>
      <c r="G477" s="125" t="s">
        <v>145</v>
      </c>
      <c r="I477" s="172"/>
      <c r="J477" s="82" t="str">
        <f t="shared" ca="1" si="0"/>
        <v>#REF!</v>
      </c>
      <c r="K477" s="82" t="str">
        <f t="shared" ca="1" si="1"/>
        <v>#REF!</v>
      </c>
      <c r="L477" s="82" t="str">
        <f t="shared" ca="1" si="44"/>
        <v>#REF!</v>
      </c>
      <c r="M477" s="93"/>
      <c r="N477" s="93"/>
      <c r="O477" s="95">
        <f t="shared" si="2"/>
        <v>0</v>
      </c>
      <c r="P477" s="96">
        <f t="shared" si="3"/>
        <v>0</v>
      </c>
      <c r="Q477" s="97">
        <f t="shared" si="4"/>
        <v>0</v>
      </c>
      <c r="R477" s="97" t="str">
        <f ca="1">ROUNDUP(HLOOKUP(IF(CEILING(L477,0.5)&lt;1,0.5,CEILING(L477,0.5)),'배송비 조회'!A$44:AO$56,7,0)*B$3,-2)</f>
        <v>#REF!</v>
      </c>
      <c r="S477" s="97">
        <v>0</v>
      </c>
      <c r="T477" s="97" t="str">
        <f t="shared" ca="1" si="42"/>
        <v>#REF!</v>
      </c>
      <c r="U477" s="97" t="str">
        <f t="shared" ca="1" si="29"/>
        <v>#REF!</v>
      </c>
      <c r="V477" s="97" t="str">
        <f t="shared" ca="1" si="7"/>
        <v>#REF!</v>
      </c>
      <c r="W477" s="97" t="str">
        <f t="shared" ca="1" si="8"/>
        <v>#REF!</v>
      </c>
      <c r="X477" s="121">
        <v>0</v>
      </c>
      <c r="Y477" s="121" t="str">
        <f t="shared" ca="1" si="9"/>
        <v>#REF!</v>
      </c>
      <c r="Z477" s="121" t="str">
        <f t="shared" ca="1" si="10"/>
        <v>#REF!</v>
      </c>
      <c r="AA477" s="99" t="str">
        <f t="shared" ca="1" si="11"/>
        <v>#REF!</v>
      </c>
      <c r="AB477" s="234" t="str">
        <f t="shared" ca="1" si="12"/>
        <v>#REF!</v>
      </c>
      <c r="AC477" s="257" t="str">
        <f t="shared" ca="1" si="13"/>
        <v>#REF!</v>
      </c>
      <c r="AD477" s="234" t="str">
        <f t="shared" ca="1" si="14"/>
        <v>#REF!</v>
      </c>
      <c r="AE477" s="100" t="str">
        <f t="shared" ca="1" si="15"/>
        <v>#REF!</v>
      </c>
      <c r="AF477" s="101" t="str">
        <f t="shared" ca="1" si="16"/>
        <v>#REF!</v>
      </c>
      <c r="AG477" s="102" t="str">
        <f t="shared" ref="AG477:AH477" ca="1" si="495">AE477/V477</f>
        <v>#REF!</v>
      </c>
      <c r="AH477" s="102" t="str">
        <f t="shared" ca="1" si="495"/>
        <v>#REF!</v>
      </c>
    </row>
    <row r="478" spans="1:34" ht="13.2">
      <c r="A478" s="251"/>
      <c r="B478" s="251"/>
      <c r="C478" s="252"/>
      <c r="D478" s="252"/>
      <c r="E478" s="114"/>
      <c r="F478" s="252"/>
      <c r="G478" s="125" t="s">
        <v>145</v>
      </c>
      <c r="I478" s="172"/>
      <c r="J478" s="82" t="str">
        <f t="shared" ca="1" si="0"/>
        <v>#REF!</v>
      </c>
      <c r="K478" s="82" t="str">
        <f t="shared" ca="1" si="1"/>
        <v>#REF!</v>
      </c>
      <c r="L478" s="82" t="str">
        <f t="shared" ca="1" si="44"/>
        <v>#REF!</v>
      </c>
      <c r="M478" s="93"/>
      <c r="N478" s="93"/>
      <c r="O478" s="95">
        <f t="shared" si="2"/>
        <v>0</v>
      </c>
      <c r="P478" s="96">
        <f t="shared" si="3"/>
        <v>0</v>
      </c>
      <c r="Q478" s="97">
        <f t="shared" si="4"/>
        <v>0</v>
      </c>
      <c r="R478" s="97" t="str">
        <f ca="1">ROUNDUP(HLOOKUP(IF(CEILING(L478,0.5)&lt;1,0.5,CEILING(L478,0.5)),'배송비 조회'!A$44:AO$56,7,0)*B$3,-2)</f>
        <v>#REF!</v>
      </c>
      <c r="S478" s="97">
        <v>0</v>
      </c>
      <c r="T478" s="97" t="str">
        <f t="shared" ca="1" si="42"/>
        <v>#REF!</v>
      </c>
      <c r="U478" s="97" t="str">
        <f t="shared" ca="1" si="29"/>
        <v>#REF!</v>
      </c>
      <c r="V478" s="97" t="str">
        <f t="shared" ca="1" si="7"/>
        <v>#REF!</v>
      </c>
      <c r="W478" s="97" t="str">
        <f t="shared" ca="1" si="8"/>
        <v>#REF!</v>
      </c>
      <c r="X478" s="121">
        <v>0</v>
      </c>
      <c r="Y478" s="121" t="str">
        <f t="shared" ca="1" si="9"/>
        <v>#REF!</v>
      </c>
      <c r="Z478" s="121" t="str">
        <f t="shared" ca="1" si="10"/>
        <v>#REF!</v>
      </c>
      <c r="AA478" s="99" t="str">
        <f t="shared" ca="1" si="11"/>
        <v>#REF!</v>
      </c>
      <c r="AB478" s="234" t="str">
        <f t="shared" ca="1" si="12"/>
        <v>#REF!</v>
      </c>
      <c r="AC478" s="257" t="str">
        <f t="shared" ca="1" si="13"/>
        <v>#REF!</v>
      </c>
      <c r="AD478" s="234" t="str">
        <f t="shared" ca="1" si="14"/>
        <v>#REF!</v>
      </c>
      <c r="AE478" s="100" t="str">
        <f t="shared" ca="1" si="15"/>
        <v>#REF!</v>
      </c>
      <c r="AF478" s="101" t="str">
        <f t="shared" ca="1" si="16"/>
        <v>#REF!</v>
      </c>
      <c r="AG478" s="102" t="str">
        <f t="shared" ref="AG478:AH478" ca="1" si="496">AE478/V478</f>
        <v>#REF!</v>
      </c>
      <c r="AH478" s="102" t="str">
        <f t="shared" ca="1" si="496"/>
        <v>#REF!</v>
      </c>
    </row>
    <row r="479" spans="1:34" ht="13.2">
      <c r="A479" s="251"/>
      <c r="B479" s="251"/>
      <c r="C479" s="252"/>
      <c r="D479" s="252"/>
      <c r="E479" s="114"/>
      <c r="F479" s="252"/>
      <c r="G479" s="125" t="s">
        <v>145</v>
      </c>
      <c r="I479" s="172"/>
      <c r="J479" s="82" t="str">
        <f t="shared" ca="1" si="0"/>
        <v>#REF!</v>
      </c>
      <c r="K479" s="82" t="str">
        <f t="shared" ca="1" si="1"/>
        <v>#REF!</v>
      </c>
      <c r="L479" s="82" t="str">
        <f t="shared" ca="1" si="44"/>
        <v>#REF!</v>
      </c>
      <c r="M479" s="93"/>
      <c r="N479" s="93"/>
      <c r="O479" s="95">
        <f t="shared" si="2"/>
        <v>0</v>
      </c>
      <c r="P479" s="96">
        <f t="shared" si="3"/>
        <v>0</v>
      </c>
      <c r="Q479" s="97">
        <f t="shared" si="4"/>
        <v>0</v>
      </c>
      <c r="R479" s="97" t="str">
        <f ca="1">ROUNDUP(HLOOKUP(IF(CEILING(L479,0.5)&lt;1,0.5,CEILING(L479,0.5)),'배송비 조회'!A$44:AO$56,7,0)*B$3,-2)</f>
        <v>#REF!</v>
      </c>
      <c r="S479" s="97">
        <v>0</v>
      </c>
      <c r="T479" s="97" t="str">
        <f t="shared" ca="1" si="42"/>
        <v>#REF!</v>
      </c>
      <c r="U479" s="97" t="str">
        <f t="shared" ca="1" si="29"/>
        <v>#REF!</v>
      </c>
      <c r="V479" s="97" t="str">
        <f t="shared" ca="1" si="7"/>
        <v>#REF!</v>
      </c>
      <c r="W479" s="97" t="str">
        <f t="shared" ca="1" si="8"/>
        <v>#REF!</v>
      </c>
      <c r="X479" s="121">
        <v>0</v>
      </c>
      <c r="Y479" s="121" t="str">
        <f t="shared" ca="1" si="9"/>
        <v>#REF!</v>
      </c>
      <c r="Z479" s="121" t="str">
        <f t="shared" ca="1" si="10"/>
        <v>#REF!</v>
      </c>
      <c r="AA479" s="99" t="str">
        <f t="shared" ca="1" si="11"/>
        <v>#REF!</v>
      </c>
      <c r="AB479" s="234" t="str">
        <f t="shared" ca="1" si="12"/>
        <v>#REF!</v>
      </c>
      <c r="AC479" s="257" t="str">
        <f t="shared" ca="1" si="13"/>
        <v>#REF!</v>
      </c>
      <c r="AD479" s="234" t="str">
        <f t="shared" ca="1" si="14"/>
        <v>#REF!</v>
      </c>
      <c r="AE479" s="100" t="str">
        <f t="shared" ca="1" si="15"/>
        <v>#REF!</v>
      </c>
      <c r="AF479" s="101" t="str">
        <f t="shared" ca="1" si="16"/>
        <v>#REF!</v>
      </c>
      <c r="AG479" s="102" t="str">
        <f t="shared" ref="AG479:AH479" ca="1" si="497">AE479/V479</f>
        <v>#REF!</v>
      </c>
      <c r="AH479" s="102" t="str">
        <f t="shared" ca="1" si="497"/>
        <v>#REF!</v>
      </c>
    </row>
    <row r="480" spans="1:34" ht="13.2">
      <c r="A480" s="251"/>
      <c r="B480" s="251"/>
      <c r="C480" s="252"/>
      <c r="D480" s="252"/>
      <c r="E480" s="114"/>
      <c r="F480" s="252"/>
      <c r="G480" s="125" t="s">
        <v>145</v>
      </c>
      <c r="I480" s="172"/>
      <c r="J480" s="82" t="str">
        <f t="shared" ca="1" si="0"/>
        <v>#REF!</v>
      </c>
      <c r="K480" s="82" t="str">
        <f t="shared" ca="1" si="1"/>
        <v>#REF!</v>
      </c>
      <c r="L480" s="82" t="str">
        <f t="shared" ca="1" si="44"/>
        <v>#REF!</v>
      </c>
      <c r="M480" s="93"/>
      <c r="N480" s="93"/>
      <c r="O480" s="95">
        <f t="shared" si="2"/>
        <v>0</v>
      </c>
      <c r="P480" s="96">
        <f t="shared" si="3"/>
        <v>0</v>
      </c>
      <c r="Q480" s="97">
        <f t="shared" si="4"/>
        <v>0</v>
      </c>
      <c r="R480" s="97" t="str">
        <f ca="1">ROUNDUP(HLOOKUP(IF(CEILING(L480,0.5)&lt;1,0.5,CEILING(L480,0.5)),'배송비 조회'!A$44:AO$56,7,0)*B$3,-2)</f>
        <v>#REF!</v>
      </c>
      <c r="S480" s="97">
        <v>0</v>
      </c>
      <c r="T480" s="97" t="str">
        <f t="shared" ca="1" si="42"/>
        <v>#REF!</v>
      </c>
      <c r="U480" s="97" t="str">
        <f t="shared" ca="1" si="29"/>
        <v>#REF!</v>
      </c>
      <c r="V480" s="97" t="str">
        <f t="shared" ca="1" si="7"/>
        <v>#REF!</v>
      </c>
      <c r="W480" s="97" t="str">
        <f t="shared" ca="1" si="8"/>
        <v>#REF!</v>
      </c>
      <c r="X480" s="121">
        <v>0</v>
      </c>
      <c r="Y480" s="121" t="str">
        <f t="shared" ca="1" si="9"/>
        <v>#REF!</v>
      </c>
      <c r="Z480" s="121" t="str">
        <f t="shared" ca="1" si="10"/>
        <v>#REF!</v>
      </c>
      <c r="AA480" s="99" t="str">
        <f t="shared" ca="1" si="11"/>
        <v>#REF!</v>
      </c>
      <c r="AB480" s="234" t="str">
        <f t="shared" ca="1" si="12"/>
        <v>#REF!</v>
      </c>
      <c r="AC480" s="257" t="str">
        <f t="shared" ca="1" si="13"/>
        <v>#REF!</v>
      </c>
      <c r="AD480" s="234" t="str">
        <f t="shared" ca="1" si="14"/>
        <v>#REF!</v>
      </c>
      <c r="AE480" s="100" t="str">
        <f t="shared" ca="1" si="15"/>
        <v>#REF!</v>
      </c>
      <c r="AF480" s="101" t="str">
        <f t="shared" ca="1" si="16"/>
        <v>#REF!</v>
      </c>
      <c r="AG480" s="102" t="str">
        <f t="shared" ref="AG480:AH480" ca="1" si="498">AE480/V480</f>
        <v>#REF!</v>
      </c>
      <c r="AH480" s="102" t="str">
        <f t="shared" ca="1" si="498"/>
        <v>#REF!</v>
      </c>
    </row>
    <row r="481" spans="1:34" ht="13.2">
      <c r="A481" s="251"/>
      <c r="B481" s="251"/>
      <c r="C481" s="252"/>
      <c r="D481" s="252"/>
      <c r="E481" s="114"/>
      <c r="F481" s="252"/>
      <c r="G481" s="125" t="s">
        <v>145</v>
      </c>
      <c r="I481" s="172"/>
      <c r="J481" s="82" t="str">
        <f t="shared" ca="1" si="0"/>
        <v>#REF!</v>
      </c>
      <c r="K481" s="82" t="str">
        <f t="shared" ca="1" si="1"/>
        <v>#REF!</v>
      </c>
      <c r="L481" s="82" t="str">
        <f t="shared" ca="1" si="44"/>
        <v>#REF!</v>
      </c>
      <c r="M481" s="93"/>
      <c r="N481" s="93"/>
      <c r="O481" s="95">
        <f t="shared" si="2"/>
        <v>0</v>
      </c>
      <c r="P481" s="96">
        <f t="shared" si="3"/>
        <v>0</v>
      </c>
      <c r="Q481" s="97">
        <f t="shared" si="4"/>
        <v>0</v>
      </c>
      <c r="R481" s="97" t="str">
        <f ca="1">ROUNDUP(HLOOKUP(IF(CEILING(L481,0.5)&lt;1,0.5,CEILING(L481,0.5)),'배송비 조회'!A$44:AO$56,7,0)*B$3,-2)</f>
        <v>#REF!</v>
      </c>
      <c r="S481" s="97">
        <v>0</v>
      </c>
      <c r="T481" s="97" t="str">
        <f t="shared" ca="1" si="42"/>
        <v>#REF!</v>
      </c>
      <c r="U481" s="97" t="str">
        <f t="shared" ca="1" si="29"/>
        <v>#REF!</v>
      </c>
      <c r="V481" s="97" t="str">
        <f t="shared" ca="1" si="7"/>
        <v>#REF!</v>
      </c>
      <c r="W481" s="97" t="str">
        <f t="shared" ca="1" si="8"/>
        <v>#REF!</v>
      </c>
      <c r="X481" s="121">
        <v>0</v>
      </c>
      <c r="Y481" s="121" t="str">
        <f t="shared" ca="1" si="9"/>
        <v>#REF!</v>
      </c>
      <c r="Z481" s="121" t="str">
        <f t="shared" ca="1" si="10"/>
        <v>#REF!</v>
      </c>
      <c r="AA481" s="99" t="str">
        <f t="shared" ca="1" si="11"/>
        <v>#REF!</v>
      </c>
      <c r="AB481" s="234" t="str">
        <f t="shared" ca="1" si="12"/>
        <v>#REF!</v>
      </c>
      <c r="AC481" s="257" t="str">
        <f t="shared" ca="1" si="13"/>
        <v>#REF!</v>
      </c>
      <c r="AD481" s="234" t="str">
        <f t="shared" ca="1" si="14"/>
        <v>#REF!</v>
      </c>
      <c r="AE481" s="100" t="str">
        <f t="shared" ca="1" si="15"/>
        <v>#REF!</v>
      </c>
      <c r="AF481" s="101" t="str">
        <f t="shared" ca="1" si="16"/>
        <v>#REF!</v>
      </c>
      <c r="AG481" s="102" t="str">
        <f t="shared" ref="AG481:AH481" ca="1" si="499">AE481/V481</f>
        <v>#REF!</v>
      </c>
      <c r="AH481" s="102" t="str">
        <f t="shared" ca="1" si="499"/>
        <v>#REF!</v>
      </c>
    </row>
    <row r="482" spans="1:34" ht="13.2">
      <c r="A482" s="251"/>
      <c r="B482" s="251"/>
      <c r="C482" s="252"/>
      <c r="D482" s="252"/>
      <c r="E482" s="114"/>
      <c r="F482" s="252"/>
      <c r="G482" s="125" t="s">
        <v>145</v>
      </c>
      <c r="I482" s="172"/>
      <c r="J482" s="82" t="str">
        <f t="shared" ca="1" si="0"/>
        <v>#REF!</v>
      </c>
      <c r="K482" s="82" t="str">
        <f t="shared" ca="1" si="1"/>
        <v>#REF!</v>
      </c>
      <c r="L482" s="82" t="str">
        <f t="shared" ca="1" si="44"/>
        <v>#REF!</v>
      </c>
      <c r="M482" s="93"/>
      <c r="N482" s="93"/>
      <c r="O482" s="95">
        <f t="shared" si="2"/>
        <v>0</v>
      </c>
      <c r="P482" s="96">
        <f t="shared" si="3"/>
        <v>0</v>
      </c>
      <c r="Q482" s="97">
        <f t="shared" si="4"/>
        <v>0</v>
      </c>
      <c r="R482" s="97" t="str">
        <f ca="1">ROUNDUP(HLOOKUP(IF(CEILING(L482,0.5)&lt;1,0.5,CEILING(L482,0.5)),'배송비 조회'!A$44:AO$56,7,0)*B$3,-2)</f>
        <v>#REF!</v>
      </c>
      <c r="S482" s="97">
        <v>0</v>
      </c>
      <c r="T482" s="97" t="str">
        <f t="shared" ca="1" si="42"/>
        <v>#REF!</v>
      </c>
      <c r="U482" s="97" t="str">
        <f t="shared" ca="1" si="29"/>
        <v>#REF!</v>
      </c>
      <c r="V482" s="97" t="str">
        <f t="shared" ca="1" si="7"/>
        <v>#REF!</v>
      </c>
      <c r="W482" s="97" t="str">
        <f t="shared" ca="1" si="8"/>
        <v>#REF!</v>
      </c>
      <c r="X482" s="121">
        <v>0</v>
      </c>
      <c r="Y482" s="121" t="str">
        <f t="shared" ca="1" si="9"/>
        <v>#REF!</v>
      </c>
      <c r="Z482" s="121" t="str">
        <f t="shared" ca="1" si="10"/>
        <v>#REF!</v>
      </c>
      <c r="AA482" s="99" t="str">
        <f t="shared" ca="1" si="11"/>
        <v>#REF!</v>
      </c>
      <c r="AB482" s="234" t="str">
        <f t="shared" ca="1" si="12"/>
        <v>#REF!</v>
      </c>
      <c r="AC482" s="257" t="str">
        <f t="shared" ca="1" si="13"/>
        <v>#REF!</v>
      </c>
      <c r="AD482" s="234" t="str">
        <f t="shared" ca="1" si="14"/>
        <v>#REF!</v>
      </c>
      <c r="AE482" s="100" t="str">
        <f t="shared" ca="1" si="15"/>
        <v>#REF!</v>
      </c>
      <c r="AF482" s="101" t="str">
        <f t="shared" ca="1" si="16"/>
        <v>#REF!</v>
      </c>
      <c r="AG482" s="102" t="str">
        <f t="shared" ref="AG482:AH482" ca="1" si="500">AE482/V482</f>
        <v>#REF!</v>
      </c>
      <c r="AH482" s="102" t="str">
        <f t="shared" ca="1" si="500"/>
        <v>#REF!</v>
      </c>
    </row>
    <row r="483" spans="1:34" ht="13.2">
      <c r="A483" s="251"/>
      <c r="B483" s="251"/>
      <c r="C483" s="252"/>
      <c r="D483" s="252"/>
      <c r="E483" s="114"/>
      <c r="F483" s="252"/>
      <c r="G483" s="125" t="s">
        <v>145</v>
      </c>
      <c r="I483" s="172"/>
      <c r="J483" s="82" t="str">
        <f t="shared" ca="1" si="0"/>
        <v>#REF!</v>
      </c>
      <c r="K483" s="82" t="str">
        <f t="shared" ca="1" si="1"/>
        <v>#REF!</v>
      </c>
      <c r="L483" s="82" t="str">
        <f t="shared" ca="1" si="44"/>
        <v>#REF!</v>
      </c>
      <c r="M483" s="93"/>
      <c r="N483" s="93"/>
      <c r="O483" s="95">
        <f t="shared" si="2"/>
        <v>0</v>
      </c>
      <c r="P483" s="96">
        <f t="shared" si="3"/>
        <v>0</v>
      </c>
      <c r="Q483" s="97">
        <f t="shared" si="4"/>
        <v>0</v>
      </c>
      <c r="R483" s="97" t="str">
        <f ca="1">ROUNDUP(HLOOKUP(IF(CEILING(L483,0.5)&lt;1,0.5,CEILING(L483,0.5)),'배송비 조회'!A$44:AO$56,7,0)*B$3,-2)</f>
        <v>#REF!</v>
      </c>
      <c r="S483" s="97">
        <v>0</v>
      </c>
      <c r="T483" s="97" t="str">
        <f t="shared" ca="1" si="42"/>
        <v>#REF!</v>
      </c>
      <c r="U483" s="97" t="str">
        <f t="shared" ca="1" si="29"/>
        <v>#REF!</v>
      </c>
      <c r="V483" s="97" t="str">
        <f t="shared" ca="1" si="7"/>
        <v>#REF!</v>
      </c>
      <c r="W483" s="97" t="str">
        <f t="shared" ca="1" si="8"/>
        <v>#REF!</v>
      </c>
      <c r="X483" s="121">
        <v>0</v>
      </c>
      <c r="Y483" s="121" t="str">
        <f t="shared" ca="1" si="9"/>
        <v>#REF!</v>
      </c>
      <c r="Z483" s="121" t="str">
        <f t="shared" ca="1" si="10"/>
        <v>#REF!</v>
      </c>
      <c r="AA483" s="99" t="str">
        <f t="shared" ca="1" si="11"/>
        <v>#REF!</v>
      </c>
      <c r="AB483" s="234" t="str">
        <f t="shared" ca="1" si="12"/>
        <v>#REF!</v>
      </c>
      <c r="AC483" s="257" t="str">
        <f t="shared" ca="1" si="13"/>
        <v>#REF!</v>
      </c>
      <c r="AD483" s="234" t="str">
        <f t="shared" ca="1" si="14"/>
        <v>#REF!</v>
      </c>
      <c r="AE483" s="100" t="str">
        <f t="shared" ca="1" si="15"/>
        <v>#REF!</v>
      </c>
      <c r="AF483" s="101" t="str">
        <f t="shared" ca="1" si="16"/>
        <v>#REF!</v>
      </c>
      <c r="AG483" s="102" t="str">
        <f t="shared" ref="AG483:AH483" ca="1" si="501">AE483/V483</f>
        <v>#REF!</v>
      </c>
      <c r="AH483" s="102" t="str">
        <f t="shared" ca="1" si="501"/>
        <v>#REF!</v>
      </c>
    </row>
    <row r="484" spans="1:34" ht="13.2">
      <c r="A484" s="251"/>
      <c r="B484" s="251"/>
      <c r="C484" s="252"/>
      <c r="D484" s="252"/>
      <c r="E484" s="114"/>
      <c r="F484" s="252"/>
      <c r="G484" s="125" t="s">
        <v>145</v>
      </c>
      <c r="I484" s="172"/>
      <c r="J484" s="82" t="str">
        <f t="shared" ca="1" si="0"/>
        <v>#REF!</v>
      </c>
      <c r="K484" s="82" t="str">
        <f t="shared" ca="1" si="1"/>
        <v>#REF!</v>
      </c>
      <c r="L484" s="82" t="str">
        <f t="shared" ca="1" si="44"/>
        <v>#REF!</v>
      </c>
      <c r="M484" s="93"/>
      <c r="N484" s="93"/>
      <c r="O484" s="95">
        <f t="shared" si="2"/>
        <v>0</v>
      </c>
      <c r="P484" s="96">
        <f t="shared" si="3"/>
        <v>0</v>
      </c>
      <c r="Q484" s="97">
        <f t="shared" si="4"/>
        <v>0</v>
      </c>
      <c r="R484" s="97" t="str">
        <f ca="1">ROUNDUP(HLOOKUP(IF(CEILING(L484,0.5)&lt;1,0.5,CEILING(L484,0.5)),'배송비 조회'!A$44:AO$56,7,0)*B$3,-2)</f>
        <v>#REF!</v>
      </c>
      <c r="S484" s="97">
        <v>0</v>
      </c>
      <c r="T484" s="97" t="str">
        <f t="shared" ca="1" si="42"/>
        <v>#REF!</v>
      </c>
      <c r="U484" s="97" t="str">
        <f t="shared" ca="1" si="29"/>
        <v>#REF!</v>
      </c>
      <c r="V484" s="97" t="str">
        <f t="shared" ca="1" si="7"/>
        <v>#REF!</v>
      </c>
      <c r="W484" s="97" t="str">
        <f t="shared" ca="1" si="8"/>
        <v>#REF!</v>
      </c>
      <c r="X484" s="121">
        <v>0</v>
      </c>
      <c r="Y484" s="121" t="str">
        <f t="shared" ca="1" si="9"/>
        <v>#REF!</v>
      </c>
      <c r="Z484" s="121" t="str">
        <f t="shared" ca="1" si="10"/>
        <v>#REF!</v>
      </c>
      <c r="AA484" s="99" t="str">
        <f t="shared" ca="1" si="11"/>
        <v>#REF!</v>
      </c>
      <c r="AB484" s="234" t="str">
        <f t="shared" ca="1" si="12"/>
        <v>#REF!</v>
      </c>
      <c r="AC484" s="257" t="str">
        <f t="shared" ca="1" si="13"/>
        <v>#REF!</v>
      </c>
      <c r="AD484" s="234" t="str">
        <f t="shared" ca="1" si="14"/>
        <v>#REF!</v>
      </c>
      <c r="AE484" s="100" t="str">
        <f t="shared" ca="1" si="15"/>
        <v>#REF!</v>
      </c>
      <c r="AF484" s="101" t="str">
        <f t="shared" ca="1" si="16"/>
        <v>#REF!</v>
      </c>
      <c r="AG484" s="102" t="str">
        <f t="shared" ref="AG484:AH484" ca="1" si="502">AE484/V484</f>
        <v>#REF!</v>
      </c>
      <c r="AH484" s="102" t="str">
        <f t="shared" ca="1" si="502"/>
        <v>#REF!</v>
      </c>
    </row>
    <row r="485" spans="1:34" ht="13.2">
      <c r="A485" s="251"/>
      <c r="B485" s="251"/>
      <c r="C485" s="252"/>
      <c r="D485" s="252"/>
      <c r="E485" s="114"/>
      <c r="F485" s="252"/>
      <c r="G485" s="125" t="s">
        <v>145</v>
      </c>
      <c r="I485" s="172"/>
      <c r="J485" s="82" t="str">
        <f t="shared" ca="1" si="0"/>
        <v>#REF!</v>
      </c>
      <c r="K485" s="82" t="str">
        <f t="shared" ca="1" si="1"/>
        <v>#REF!</v>
      </c>
      <c r="L485" s="82" t="str">
        <f t="shared" ca="1" si="44"/>
        <v>#REF!</v>
      </c>
      <c r="M485" s="93"/>
      <c r="N485" s="93"/>
      <c r="O485" s="95">
        <f t="shared" si="2"/>
        <v>0</v>
      </c>
      <c r="P485" s="96">
        <f t="shared" si="3"/>
        <v>0</v>
      </c>
      <c r="Q485" s="97">
        <f t="shared" si="4"/>
        <v>0</v>
      </c>
      <c r="R485" s="97" t="str">
        <f ca="1">ROUNDUP(HLOOKUP(IF(CEILING(L485,0.5)&lt;1,0.5,CEILING(L485,0.5)),'배송비 조회'!A$44:AO$56,7,0)*B$3,-2)</f>
        <v>#REF!</v>
      </c>
      <c r="S485" s="97">
        <v>0</v>
      </c>
      <c r="T485" s="97" t="str">
        <f t="shared" ca="1" si="42"/>
        <v>#REF!</v>
      </c>
      <c r="U485" s="97" t="str">
        <f t="shared" ca="1" si="29"/>
        <v>#REF!</v>
      </c>
      <c r="V485" s="97" t="str">
        <f t="shared" ca="1" si="7"/>
        <v>#REF!</v>
      </c>
      <c r="W485" s="97" t="str">
        <f t="shared" ca="1" si="8"/>
        <v>#REF!</v>
      </c>
      <c r="X485" s="121">
        <v>0</v>
      </c>
      <c r="Y485" s="121" t="str">
        <f t="shared" ca="1" si="9"/>
        <v>#REF!</v>
      </c>
      <c r="Z485" s="121" t="str">
        <f t="shared" ca="1" si="10"/>
        <v>#REF!</v>
      </c>
      <c r="AA485" s="99" t="str">
        <f t="shared" ca="1" si="11"/>
        <v>#REF!</v>
      </c>
      <c r="AB485" s="234" t="str">
        <f t="shared" ca="1" si="12"/>
        <v>#REF!</v>
      </c>
      <c r="AC485" s="257" t="str">
        <f t="shared" ca="1" si="13"/>
        <v>#REF!</v>
      </c>
      <c r="AD485" s="234" t="str">
        <f t="shared" ca="1" si="14"/>
        <v>#REF!</v>
      </c>
      <c r="AE485" s="100" t="str">
        <f t="shared" ca="1" si="15"/>
        <v>#REF!</v>
      </c>
      <c r="AF485" s="101" t="str">
        <f t="shared" ca="1" si="16"/>
        <v>#REF!</v>
      </c>
      <c r="AG485" s="102" t="str">
        <f t="shared" ref="AG485:AH485" ca="1" si="503">AE485/V485</f>
        <v>#REF!</v>
      </c>
      <c r="AH485" s="102" t="str">
        <f t="shared" ca="1" si="503"/>
        <v>#REF!</v>
      </c>
    </row>
    <row r="486" spans="1:34" ht="13.2">
      <c r="A486" s="251"/>
      <c r="B486" s="251"/>
      <c r="C486" s="252"/>
      <c r="D486" s="252"/>
      <c r="E486" s="114"/>
      <c r="F486" s="252"/>
      <c r="G486" s="125" t="s">
        <v>145</v>
      </c>
      <c r="I486" s="172"/>
      <c r="J486" s="82" t="str">
        <f t="shared" ca="1" si="0"/>
        <v>#REF!</v>
      </c>
      <c r="K486" s="82" t="str">
        <f t="shared" ca="1" si="1"/>
        <v>#REF!</v>
      </c>
      <c r="L486" s="82" t="str">
        <f t="shared" ca="1" si="44"/>
        <v>#REF!</v>
      </c>
      <c r="M486" s="93"/>
      <c r="N486" s="93"/>
      <c r="O486" s="95">
        <f t="shared" si="2"/>
        <v>0</v>
      </c>
      <c r="P486" s="96">
        <f t="shared" si="3"/>
        <v>0</v>
      </c>
      <c r="Q486" s="97">
        <f t="shared" si="4"/>
        <v>0</v>
      </c>
      <c r="R486" s="97" t="str">
        <f ca="1">ROUNDUP(HLOOKUP(IF(CEILING(L486,0.5)&lt;1,0.5,CEILING(L486,0.5)),'배송비 조회'!A$44:AO$56,7,0)*B$3,-2)</f>
        <v>#REF!</v>
      </c>
      <c r="S486" s="97">
        <v>0</v>
      </c>
      <c r="T486" s="97" t="str">
        <f t="shared" ca="1" si="42"/>
        <v>#REF!</v>
      </c>
      <c r="U486" s="97" t="str">
        <f t="shared" ca="1" si="29"/>
        <v>#REF!</v>
      </c>
      <c r="V486" s="97" t="str">
        <f t="shared" ca="1" si="7"/>
        <v>#REF!</v>
      </c>
      <c r="W486" s="97" t="str">
        <f t="shared" ca="1" si="8"/>
        <v>#REF!</v>
      </c>
      <c r="X486" s="121">
        <v>0</v>
      </c>
      <c r="Y486" s="121" t="str">
        <f t="shared" ca="1" si="9"/>
        <v>#REF!</v>
      </c>
      <c r="Z486" s="121" t="str">
        <f t="shared" ca="1" si="10"/>
        <v>#REF!</v>
      </c>
      <c r="AA486" s="99" t="str">
        <f t="shared" ca="1" si="11"/>
        <v>#REF!</v>
      </c>
      <c r="AB486" s="234" t="str">
        <f t="shared" ca="1" si="12"/>
        <v>#REF!</v>
      </c>
      <c r="AC486" s="257" t="str">
        <f t="shared" ca="1" si="13"/>
        <v>#REF!</v>
      </c>
      <c r="AD486" s="234" t="str">
        <f t="shared" ca="1" si="14"/>
        <v>#REF!</v>
      </c>
      <c r="AE486" s="100" t="str">
        <f t="shared" ca="1" si="15"/>
        <v>#REF!</v>
      </c>
      <c r="AF486" s="101" t="str">
        <f t="shared" ca="1" si="16"/>
        <v>#REF!</v>
      </c>
      <c r="AG486" s="102" t="str">
        <f t="shared" ref="AG486:AH486" ca="1" si="504">AE486/V486</f>
        <v>#REF!</v>
      </c>
      <c r="AH486" s="102" t="str">
        <f t="shared" ca="1" si="504"/>
        <v>#REF!</v>
      </c>
    </row>
    <row r="487" spans="1:34" ht="13.2">
      <c r="A487" s="251"/>
      <c r="B487" s="251"/>
      <c r="C487" s="252"/>
      <c r="D487" s="252"/>
      <c r="E487" s="114"/>
      <c r="F487" s="252"/>
      <c r="G487" s="125" t="s">
        <v>145</v>
      </c>
      <c r="I487" s="172"/>
      <c r="J487" s="82" t="str">
        <f t="shared" ca="1" si="0"/>
        <v>#REF!</v>
      </c>
      <c r="K487" s="82" t="str">
        <f t="shared" ca="1" si="1"/>
        <v>#REF!</v>
      </c>
      <c r="L487" s="82" t="str">
        <f t="shared" ca="1" si="44"/>
        <v>#REF!</v>
      </c>
      <c r="M487" s="93"/>
      <c r="N487" s="93"/>
      <c r="O487" s="95">
        <f t="shared" si="2"/>
        <v>0</v>
      </c>
      <c r="P487" s="96">
        <f t="shared" si="3"/>
        <v>0</v>
      </c>
      <c r="Q487" s="97">
        <f t="shared" si="4"/>
        <v>0</v>
      </c>
      <c r="R487" s="97" t="str">
        <f ca="1">ROUNDUP(HLOOKUP(IF(CEILING(L487,0.5)&lt;1,0.5,CEILING(L487,0.5)),'배송비 조회'!A$44:AO$56,7,0)*B$3,-2)</f>
        <v>#REF!</v>
      </c>
      <c r="S487" s="97">
        <v>0</v>
      </c>
      <c r="T487" s="97" t="str">
        <f t="shared" ca="1" si="42"/>
        <v>#REF!</v>
      </c>
      <c r="U487" s="97" t="str">
        <f t="shared" ca="1" si="29"/>
        <v>#REF!</v>
      </c>
      <c r="V487" s="97" t="str">
        <f t="shared" ca="1" si="7"/>
        <v>#REF!</v>
      </c>
      <c r="W487" s="97" t="str">
        <f t="shared" ca="1" si="8"/>
        <v>#REF!</v>
      </c>
      <c r="X487" s="121">
        <v>0</v>
      </c>
      <c r="Y487" s="121" t="str">
        <f t="shared" ca="1" si="9"/>
        <v>#REF!</v>
      </c>
      <c r="Z487" s="121" t="str">
        <f t="shared" ca="1" si="10"/>
        <v>#REF!</v>
      </c>
      <c r="AA487" s="99" t="str">
        <f t="shared" ca="1" si="11"/>
        <v>#REF!</v>
      </c>
      <c r="AB487" s="234" t="str">
        <f t="shared" ca="1" si="12"/>
        <v>#REF!</v>
      </c>
      <c r="AC487" s="257" t="str">
        <f t="shared" ca="1" si="13"/>
        <v>#REF!</v>
      </c>
      <c r="AD487" s="234" t="str">
        <f t="shared" ca="1" si="14"/>
        <v>#REF!</v>
      </c>
      <c r="AE487" s="100" t="str">
        <f t="shared" ca="1" si="15"/>
        <v>#REF!</v>
      </c>
      <c r="AF487" s="101" t="str">
        <f t="shared" ca="1" si="16"/>
        <v>#REF!</v>
      </c>
      <c r="AG487" s="102" t="str">
        <f t="shared" ref="AG487:AH487" ca="1" si="505">AE487/V487</f>
        <v>#REF!</v>
      </c>
      <c r="AH487" s="102" t="str">
        <f t="shared" ca="1" si="505"/>
        <v>#REF!</v>
      </c>
    </row>
    <row r="488" spans="1:34" ht="13.2">
      <c r="A488" s="251"/>
      <c r="B488" s="251"/>
      <c r="C488" s="252"/>
      <c r="D488" s="252"/>
      <c r="E488" s="114"/>
      <c r="F488" s="252"/>
      <c r="G488" s="125" t="s">
        <v>145</v>
      </c>
      <c r="I488" s="172"/>
      <c r="J488" s="82" t="str">
        <f t="shared" ca="1" si="0"/>
        <v>#REF!</v>
      </c>
      <c r="K488" s="82" t="str">
        <f t="shared" ca="1" si="1"/>
        <v>#REF!</v>
      </c>
      <c r="L488" s="82" t="str">
        <f t="shared" ca="1" si="44"/>
        <v>#REF!</v>
      </c>
      <c r="M488" s="93"/>
      <c r="N488" s="93"/>
      <c r="O488" s="95">
        <f t="shared" si="2"/>
        <v>0</v>
      </c>
      <c r="P488" s="96">
        <f t="shared" si="3"/>
        <v>0</v>
      </c>
      <c r="Q488" s="97">
        <f t="shared" si="4"/>
        <v>0</v>
      </c>
      <c r="R488" s="97" t="str">
        <f ca="1">ROUNDUP(HLOOKUP(IF(CEILING(L488,0.5)&lt;1,0.5,CEILING(L488,0.5)),'배송비 조회'!A$44:AO$56,7,0)*B$3,-2)</f>
        <v>#REF!</v>
      </c>
      <c r="S488" s="97">
        <v>0</v>
      </c>
      <c r="T488" s="97" t="str">
        <f t="shared" ca="1" si="42"/>
        <v>#REF!</v>
      </c>
      <c r="U488" s="97" t="str">
        <f t="shared" ca="1" si="29"/>
        <v>#REF!</v>
      </c>
      <c r="V488" s="97" t="str">
        <f t="shared" ca="1" si="7"/>
        <v>#REF!</v>
      </c>
      <c r="W488" s="97" t="str">
        <f t="shared" ca="1" si="8"/>
        <v>#REF!</v>
      </c>
      <c r="X488" s="121">
        <v>0</v>
      </c>
      <c r="Y488" s="121" t="str">
        <f t="shared" ca="1" si="9"/>
        <v>#REF!</v>
      </c>
      <c r="Z488" s="121" t="str">
        <f t="shared" ca="1" si="10"/>
        <v>#REF!</v>
      </c>
      <c r="AA488" s="99" t="str">
        <f t="shared" ca="1" si="11"/>
        <v>#REF!</v>
      </c>
      <c r="AB488" s="234" t="str">
        <f t="shared" ca="1" si="12"/>
        <v>#REF!</v>
      </c>
      <c r="AC488" s="257" t="str">
        <f t="shared" ca="1" si="13"/>
        <v>#REF!</v>
      </c>
      <c r="AD488" s="234" t="str">
        <f t="shared" ca="1" si="14"/>
        <v>#REF!</v>
      </c>
      <c r="AE488" s="100" t="str">
        <f t="shared" ca="1" si="15"/>
        <v>#REF!</v>
      </c>
      <c r="AF488" s="101" t="str">
        <f t="shared" ca="1" si="16"/>
        <v>#REF!</v>
      </c>
      <c r="AG488" s="102" t="str">
        <f t="shared" ref="AG488:AH488" ca="1" si="506">AE488/V488</f>
        <v>#REF!</v>
      </c>
      <c r="AH488" s="102" t="str">
        <f t="shared" ca="1" si="506"/>
        <v>#REF!</v>
      </c>
    </row>
    <row r="489" spans="1:34" ht="13.2">
      <c r="A489" s="251"/>
      <c r="B489" s="251"/>
      <c r="C489" s="252"/>
      <c r="D489" s="252"/>
      <c r="E489" s="114"/>
      <c r="F489" s="252"/>
      <c r="G489" s="125" t="s">
        <v>145</v>
      </c>
      <c r="I489" s="172"/>
      <c r="J489" s="82" t="str">
        <f t="shared" ca="1" si="0"/>
        <v>#REF!</v>
      </c>
      <c r="K489" s="82" t="str">
        <f t="shared" ca="1" si="1"/>
        <v>#REF!</v>
      </c>
      <c r="L489" s="82" t="str">
        <f t="shared" ca="1" si="44"/>
        <v>#REF!</v>
      </c>
      <c r="M489" s="93"/>
      <c r="N489" s="93"/>
      <c r="O489" s="95">
        <f t="shared" si="2"/>
        <v>0</v>
      </c>
      <c r="P489" s="96">
        <f t="shared" si="3"/>
        <v>0</v>
      </c>
      <c r="Q489" s="97">
        <f t="shared" si="4"/>
        <v>0</v>
      </c>
      <c r="R489" s="97" t="str">
        <f ca="1">ROUNDUP(HLOOKUP(IF(CEILING(L489,0.5)&lt;1,0.5,CEILING(L489,0.5)),'배송비 조회'!A$44:AO$56,7,0)*B$3,-2)</f>
        <v>#REF!</v>
      </c>
      <c r="S489" s="97">
        <v>0</v>
      </c>
      <c r="T489" s="97" t="str">
        <f t="shared" ca="1" si="42"/>
        <v>#REF!</v>
      </c>
      <c r="U489" s="97" t="str">
        <f t="shared" ca="1" si="29"/>
        <v>#REF!</v>
      </c>
      <c r="V489" s="97" t="str">
        <f t="shared" ca="1" si="7"/>
        <v>#REF!</v>
      </c>
      <c r="W489" s="97" t="str">
        <f t="shared" ca="1" si="8"/>
        <v>#REF!</v>
      </c>
      <c r="X489" s="121">
        <v>0</v>
      </c>
      <c r="Y489" s="121" t="str">
        <f t="shared" ca="1" si="9"/>
        <v>#REF!</v>
      </c>
      <c r="Z489" s="121" t="str">
        <f t="shared" ca="1" si="10"/>
        <v>#REF!</v>
      </c>
      <c r="AA489" s="99" t="str">
        <f t="shared" ca="1" si="11"/>
        <v>#REF!</v>
      </c>
      <c r="AB489" s="234" t="str">
        <f t="shared" ca="1" si="12"/>
        <v>#REF!</v>
      </c>
      <c r="AC489" s="257" t="str">
        <f t="shared" ca="1" si="13"/>
        <v>#REF!</v>
      </c>
      <c r="AD489" s="234" t="str">
        <f t="shared" ca="1" si="14"/>
        <v>#REF!</v>
      </c>
      <c r="AE489" s="100" t="str">
        <f t="shared" ca="1" si="15"/>
        <v>#REF!</v>
      </c>
      <c r="AF489" s="101" t="str">
        <f t="shared" ca="1" si="16"/>
        <v>#REF!</v>
      </c>
      <c r="AG489" s="102" t="str">
        <f t="shared" ref="AG489:AH489" ca="1" si="507">AE489/V489</f>
        <v>#REF!</v>
      </c>
      <c r="AH489" s="102" t="str">
        <f t="shared" ca="1" si="507"/>
        <v>#REF!</v>
      </c>
    </row>
    <row r="490" spans="1:34" ht="13.2">
      <c r="A490" s="251"/>
      <c r="B490" s="251"/>
      <c r="C490" s="252"/>
      <c r="D490" s="252"/>
      <c r="E490" s="114"/>
      <c r="F490" s="252"/>
      <c r="G490" s="125" t="s">
        <v>145</v>
      </c>
      <c r="I490" s="172"/>
      <c r="J490" s="82" t="str">
        <f t="shared" ca="1" si="0"/>
        <v>#REF!</v>
      </c>
      <c r="K490" s="82" t="str">
        <f t="shared" ca="1" si="1"/>
        <v>#REF!</v>
      </c>
      <c r="L490" s="82" t="str">
        <f t="shared" ca="1" si="44"/>
        <v>#REF!</v>
      </c>
      <c r="M490" s="93"/>
      <c r="N490" s="93"/>
      <c r="O490" s="95">
        <f t="shared" si="2"/>
        <v>0</v>
      </c>
      <c r="P490" s="96">
        <f t="shared" si="3"/>
        <v>0</v>
      </c>
      <c r="Q490" s="97">
        <f t="shared" si="4"/>
        <v>0</v>
      </c>
      <c r="R490" s="97" t="str">
        <f ca="1">ROUNDUP(HLOOKUP(IF(CEILING(L490,0.5)&lt;1,0.5,CEILING(L490,0.5)),'배송비 조회'!A$44:AO$56,7,0)*B$3,-2)</f>
        <v>#REF!</v>
      </c>
      <c r="S490" s="97">
        <v>0</v>
      </c>
      <c r="T490" s="97" t="str">
        <f t="shared" ca="1" si="42"/>
        <v>#REF!</v>
      </c>
      <c r="U490" s="97" t="str">
        <f t="shared" ca="1" si="29"/>
        <v>#REF!</v>
      </c>
      <c r="V490" s="97" t="str">
        <f t="shared" ca="1" si="7"/>
        <v>#REF!</v>
      </c>
      <c r="W490" s="97" t="str">
        <f t="shared" ca="1" si="8"/>
        <v>#REF!</v>
      </c>
      <c r="X490" s="121">
        <v>0</v>
      </c>
      <c r="Y490" s="121" t="str">
        <f t="shared" ca="1" si="9"/>
        <v>#REF!</v>
      </c>
      <c r="Z490" s="121" t="str">
        <f t="shared" ca="1" si="10"/>
        <v>#REF!</v>
      </c>
      <c r="AA490" s="99" t="str">
        <f t="shared" ca="1" si="11"/>
        <v>#REF!</v>
      </c>
      <c r="AB490" s="234" t="str">
        <f t="shared" ca="1" si="12"/>
        <v>#REF!</v>
      </c>
      <c r="AC490" s="257" t="str">
        <f t="shared" ca="1" si="13"/>
        <v>#REF!</v>
      </c>
      <c r="AD490" s="234" t="str">
        <f t="shared" ca="1" si="14"/>
        <v>#REF!</v>
      </c>
      <c r="AE490" s="100" t="str">
        <f t="shared" ca="1" si="15"/>
        <v>#REF!</v>
      </c>
      <c r="AF490" s="101" t="str">
        <f t="shared" ca="1" si="16"/>
        <v>#REF!</v>
      </c>
      <c r="AG490" s="102" t="str">
        <f t="shared" ref="AG490:AH490" ca="1" si="508">AE490/V490</f>
        <v>#REF!</v>
      </c>
      <c r="AH490" s="102" t="str">
        <f t="shared" ca="1" si="508"/>
        <v>#REF!</v>
      </c>
    </row>
    <row r="491" spans="1:34" ht="13.2">
      <c r="A491" s="251"/>
      <c r="B491" s="251"/>
      <c r="C491" s="252"/>
      <c r="D491" s="252"/>
      <c r="E491" s="114"/>
      <c r="F491" s="252"/>
      <c r="G491" s="125" t="s">
        <v>145</v>
      </c>
      <c r="I491" s="172"/>
      <c r="J491" s="82" t="str">
        <f t="shared" ca="1" si="0"/>
        <v>#REF!</v>
      </c>
      <c r="K491" s="82" t="str">
        <f t="shared" ca="1" si="1"/>
        <v>#REF!</v>
      </c>
      <c r="L491" s="82" t="str">
        <f t="shared" ca="1" si="44"/>
        <v>#REF!</v>
      </c>
      <c r="M491" s="93"/>
      <c r="N491" s="93"/>
      <c r="O491" s="95">
        <f t="shared" si="2"/>
        <v>0</v>
      </c>
      <c r="P491" s="96">
        <f t="shared" si="3"/>
        <v>0</v>
      </c>
      <c r="Q491" s="97">
        <f t="shared" si="4"/>
        <v>0</v>
      </c>
      <c r="R491" s="97" t="str">
        <f ca="1">ROUNDUP(HLOOKUP(IF(CEILING(L491,0.5)&lt;1,0.5,CEILING(L491,0.5)),'배송비 조회'!A$44:AO$56,7,0)*B$3,-2)</f>
        <v>#REF!</v>
      </c>
      <c r="S491" s="97">
        <v>0</v>
      </c>
      <c r="T491" s="97" t="str">
        <f t="shared" ca="1" si="42"/>
        <v>#REF!</v>
      </c>
      <c r="U491" s="97" t="str">
        <f t="shared" ca="1" si="29"/>
        <v>#REF!</v>
      </c>
      <c r="V491" s="97" t="str">
        <f t="shared" ca="1" si="7"/>
        <v>#REF!</v>
      </c>
      <c r="W491" s="97" t="str">
        <f t="shared" ca="1" si="8"/>
        <v>#REF!</v>
      </c>
      <c r="X491" s="121">
        <v>0</v>
      </c>
      <c r="Y491" s="121" t="str">
        <f t="shared" ca="1" si="9"/>
        <v>#REF!</v>
      </c>
      <c r="Z491" s="121" t="str">
        <f t="shared" ca="1" si="10"/>
        <v>#REF!</v>
      </c>
      <c r="AA491" s="99" t="str">
        <f t="shared" ca="1" si="11"/>
        <v>#REF!</v>
      </c>
      <c r="AB491" s="234" t="str">
        <f t="shared" ca="1" si="12"/>
        <v>#REF!</v>
      </c>
      <c r="AC491" s="257" t="str">
        <f t="shared" ca="1" si="13"/>
        <v>#REF!</v>
      </c>
      <c r="AD491" s="234" t="str">
        <f t="shared" ca="1" si="14"/>
        <v>#REF!</v>
      </c>
      <c r="AE491" s="100" t="str">
        <f t="shared" ca="1" si="15"/>
        <v>#REF!</v>
      </c>
      <c r="AF491" s="101" t="str">
        <f t="shared" ca="1" si="16"/>
        <v>#REF!</v>
      </c>
      <c r="AG491" s="102" t="str">
        <f t="shared" ref="AG491:AH491" ca="1" si="509">AE491/V491</f>
        <v>#REF!</v>
      </c>
      <c r="AH491" s="102" t="str">
        <f t="shared" ca="1" si="509"/>
        <v>#REF!</v>
      </c>
    </row>
    <row r="492" spans="1:34" ht="13.2">
      <c r="A492" s="251"/>
      <c r="B492" s="251"/>
      <c r="C492" s="252"/>
      <c r="D492" s="252"/>
      <c r="E492" s="114"/>
      <c r="F492" s="252"/>
      <c r="G492" s="125" t="s">
        <v>145</v>
      </c>
      <c r="I492" s="172"/>
      <c r="J492" s="82" t="str">
        <f t="shared" ca="1" si="0"/>
        <v>#REF!</v>
      </c>
      <c r="K492" s="82" t="str">
        <f t="shared" ca="1" si="1"/>
        <v>#REF!</v>
      </c>
      <c r="L492" s="82" t="str">
        <f t="shared" ca="1" si="44"/>
        <v>#REF!</v>
      </c>
      <c r="M492" s="93"/>
      <c r="N492" s="93"/>
      <c r="O492" s="95">
        <f t="shared" si="2"/>
        <v>0</v>
      </c>
      <c r="P492" s="96">
        <f t="shared" si="3"/>
        <v>0</v>
      </c>
      <c r="Q492" s="97">
        <f t="shared" si="4"/>
        <v>0</v>
      </c>
      <c r="R492" s="97" t="str">
        <f ca="1">ROUNDUP(HLOOKUP(IF(CEILING(L492,0.5)&lt;1,0.5,CEILING(L492,0.5)),'배송비 조회'!A$44:AO$56,7,0)*B$3,-2)</f>
        <v>#REF!</v>
      </c>
      <c r="S492" s="97">
        <v>0</v>
      </c>
      <c r="T492" s="97" t="str">
        <f t="shared" ca="1" si="42"/>
        <v>#REF!</v>
      </c>
      <c r="U492" s="97" t="str">
        <f t="shared" ca="1" si="29"/>
        <v>#REF!</v>
      </c>
      <c r="V492" s="97" t="str">
        <f t="shared" ca="1" si="7"/>
        <v>#REF!</v>
      </c>
      <c r="W492" s="97" t="str">
        <f t="shared" ca="1" si="8"/>
        <v>#REF!</v>
      </c>
      <c r="X492" s="121">
        <v>0</v>
      </c>
      <c r="Y492" s="121" t="str">
        <f t="shared" ca="1" si="9"/>
        <v>#REF!</v>
      </c>
      <c r="Z492" s="121" t="str">
        <f t="shared" ca="1" si="10"/>
        <v>#REF!</v>
      </c>
      <c r="AA492" s="99" t="str">
        <f t="shared" ca="1" si="11"/>
        <v>#REF!</v>
      </c>
      <c r="AB492" s="234" t="str">
        <f t="shared" ca="1" si="12"/>
        <v>#REF!</v>
      </c>
      <c r="AC492" s="257" t="str">
        <f t="shared" ca="1" si="13"/>
        <v>#REF!</v>
      </c>
      <c r="AD492" s="234" t="str">
        <f t="shared" ca="1" si="14"/>
        <v>#REF!</v>
      </c>
      <c r="AE492" s="100" t="str">
        <f t="shared" ca="1" si="15"/>
        <v>#REF!</v>
      </c>
      <c r="AF492" s="101" t="str">
        <f t="shared" ca="1" si="16"/>
        <v>#REF!</v>
      </c>
      <c r="AG492" s="102" t="str">
        <f t="shared" ref="AG492:AH492" ca="1" si="510">AE492/V492</f>
        <v>#REF!</v>
      </c>
      <c r="AH492" s="102" t="str">
        <f t="shared" ca="1" si="510"/>
        <v>#REF!</v>
      </c>
    </row>
    <row r="493" spans="1:34" ht="13.2">
      <c r="A493" s="251"/>
      <c r="B493" s="251"/>
      <c r="C493" s="252"/>
      <c r="D493" s="252"/>
      <c r="E493" s="114"/>
      <c r="F493" s="252"/>
      <c r="G493" s="125" t="s">
        <v>145</v>
      </c>
      <c r="I493" s="172"/>
      <c r="J493" s="82" t="str">
        <f t="shared" ca="1" si="0"/>
        <v>#REF!</v>
      </c>
      <c r="K493" s="82" t="str">
        <f t="shared" ca="1" si="1"/>
        <v>#REF!</v>
      </c>
      <c r="L493" s="82" t="str">
        <f t="shared" ca="1" si="44"/>
        <v>#REF!</v>
      </c>
      <c r="M493" s="93"/>
      <c r="N493" s="93"/>
      <c r="O493" s="95">
        <f t="shared" si="2"/>
        <v>0</v>
      </c>
      <c r="P493" s="96">
        <f t="shared" si="3"/>
        <v>0</v>
      </c>
      <c r="Q493" s="97">
        <f t="shared" si="4"/>
        <v>0</v>
      </c>
      <c r="R493" s="97" t="str">
        <f ca="1">ROUNDUP(HLOOKUP(IF(CEILING(L493,0.5)&lt;1,0.5,CEILING(L493,0.5)),'배송비 조회'!A$44:AO$56,7,0)*B$3,-2)</f>
        <v>#REF!</v>
      </c>
      <c r="S493" s="97">
        <v>0</v>
      </c>
      <c r="T493" s="97" t="str">
        <f t="shared" ca="1" si="42"/>
        <v>#REF!</v>
      </c>
      <c r="U493" s="97" t="str">
        <f t="shared" ca="1" si="29"/>
        <v>#REF!</v>
      </c>
      <c r="V493" s="97" t="str">
        <f t="shared" ca="1" si="7"/>
        <v>#REF!</v>
      </c>
      <c r="W493" s="97" t="str">
        <f t="shared" ca="1" si="8"/>
        <v>#REF!</v>
      </c>
      <c r="X493" s="121">
        <v>0</v>
      </c>
      <c r="Y493" s="121" t="str">
        <f t="shared" ca="1" si="9"/>
        <v>#REF!</v>
      </c>
      <c r="Z493" s="121" t="str">
        <f t="shared" ca="1" si="10"/>
        <v>#REF!</v>
      </c>
      <c r="AA493" s="99" t="str">
        <f t="shared" ca="1" si="11"/>
        <v>#REF!</v>
      </c>
      <c r="AB493" s="234" t="str">
        <f t="shared" ca="1" si="12"/>
        <v>#REF!</v>
      </c>
      <c r="AC493" s="257" t="str">
        <f t="shared" ca="1" si="13"/>
        <v>#REF!</v>
      </c>
      <c r="AD493" s="234" t="str">
        <f t="shared" ca="1" si="14"/>
        <v>#REF!</v>
      </c>
      <c r="AE493" s="100" t="str">
        <f t="shared" ca="1" si="15"/>
        <v>#REF!</v>
      </c>
      <c r="AF493" s="101" t="str">
        <f t="shared" ca="1" si="16"/>
        <v>#REF!</v>
      </c>
      <c r="AG493" s="102" t="str">
        <f t="shared" ref="AG493:AH493" ca="1" si="511">AE493/V493</f>
        <v>#REF!</v>
      </c>
      <c r="AH493" s="102" t="str">
        <f t="shared" ca="1" si="511"/>
        <v>#REF!</v>
      </c>
    </row>
    <row r="494" spans="1:34" ht="13.2">
      <c r="A494" s="251"/>
      <c r="B494" s="251"/>
      <c r="C494" s="252"/>
      <c r="D494" s="252"/>
      <c r="E494" s="114"/>
      <c r="F494" s="252"/>
      <c r="G494" s="125" t="s">
        <v>145</v>
      </c>
      <c r="I494" s="172"/>
      <c r="J494" s="82" t="str">
        <f t="shared" ca="1" si="0"/>
        <v>#REF!</v>
      </c>
      <c r="K494" s="82" t="str">
        <f t="shared" ca="1" si="1"/>
        <v>#REF!</v>
      </c>
      <c r="L494" s="82" t="str">
        <f t="shared" ca="1" si="44"/>
        <v>#REF!</v>
      </c>
      <c r="M494" s="93"/>
      <c r="N494" s="93"/>
      <c r="O494" s="95">
        <f t="shared" si="2"/>
        <v>0</v>
      </c>
      <c r="P494" s="96">
        <f t="shared" si="3"/>
        <v>0</v>
      </c>
      <c r="Q494" s="97">
        <f t="shared" si="4"/>
        <v>0</v>
      </c>
      <c r="R494" s="97" t="str">
        <f ca="1">ROUNDUP(HLOOKUP(IF(CEILING(L494,0.5)&lt;1,0.5,CEILING(L494,0.5)),'배송비 조회'!A$44:AO$56,7,0)*B$3,-2)</f>
        <v>#REF!</v>
      </c>
      <c r="S494" s="97">
        <v>0</v>
      </c>
      <c r="T494" s="97" t="str">
        <f t="shared" ca="1" si="42"/>
        <v>#REF!</v>
      </c>
      <c r="U494" s="97" t="str">
        <f t="shared" ca="1" si="29"/>
        <v>#REF!</v>
      </c>
      <c r="V494" s="97" t="str">
        <f t="shared" ca="1" si="7"/>
        <v>#REF!</v>
      </c>
      <c r="W494" s="97" t="str">
        <f t="shared" ca="1" si="8"/>
        <v>#REF!</v>
      </c>
      <c r="X494" s="121">
        <v>0</v>
      </c>
      <c r="Y494" s="121" t="str">
        <f t="shared" ca="1" si="9"/>
        <v>#REF!</v>
      </c>
      <c r="Z494" s="121" t="str">
        <f t="shared" ca="1" si="10"/>
        <v>#REF!</v>
      </c>
      <c r="AA494" s="99" t="str">
        <f t="shared" ca="1" si="11"/>
        <v>#REF!</v>
      </c>
      <c r="AB494" s="234" t="str">
        <f t="shared" ca="1" si="12"/>
        <v>#REF!</v>
      </c>
      <c r="AC494" s="257" t="str">
        <f t="shared" ca="1" si="13"/>
        <v>#REF!</v>
      </c>
      <c r="AD494" s="234" t="str">
        <f t="shared" ca="1" si="14"/>
        <v>#REF!</v>
      </c>
      <c r="AE494" s="100" t="str">
        <f t="shared" ca="1" si="15"/>
        <v>#REF!</v>
      </c>
      <c r="AF494" s="101" t="str">
        <f t="shared" ca="1" si="16"/>
        <v>#REF!</v>
      </c>
      <c r="AG494" s="102" t="str">
        <f t="shared" ref="AG494:AH494" ca="1" si="512">AE494/V494</f>
        <v>#REF!</v>
      </c>
      <c r="AH494" s="102" t="str">
        <f t="shared" ca="1" si="512"/>
        <v>#REF!</v>
      </c>
    </row>
    <row r="495" spans="1:34" ht="13.2">
      <c r="A495" s="251"/>
      <c r="B495" s="251"/>
      <c r="C495" s="252"/>
      <c r="D495" s="252"/>
      <c r="E495" s="114"/>
      <c r="F495" s="252"/>
      <c r="G495" s="125" t="s">
        <v>145</v>
      </c>
      <c r="I495" s="172"/>
      <c r="J495" s="82" t="str">
        <f t="shared" ca="1" si="0"/>
        <v>#REF!</v>
      </c>
      <c r="K495" s="82" t="str">
        <f t="shared" ca="1" si="1"/>
        <v>#REF!</v>
      </c>
      <c r="L495" s="82" t="str">
        <f t="shared" ca="1" si="44"/>
        <v>#REF!</v>
      </c>
      <c r="M495" s="93"/>
      <c r="N495" s="93"/>
      <c r="O495" s="95">
        <f t="shared" si="2"/>
        <v>0</v>
      </c>
      <c r="P495" s="96">
        <f t="shared" si="3"/>
        <v>0</v>
      </c>
      <c r="Q495" s="97">
        <f t="shared" si="4"/>
        <v>0</v>
      </c>
      <c r="R495" s="97" t="str">
        <f ca="1">ROUNDUP(HLOOKUP(IF(CEILING(L495,0.5)&lt;1,0.5,CEILING(L495,0.5)),'배송비 조회'!A$44:AO$56,7,0)*B$3,-2)</f>
        <v>#REF!</v>
      </c>
      <c r="S495" s="97">
        <v>0</v>
      </c>
      <c r="T495" s="97" t="str">
        <f t="shared" ca="1" si="42"/>
        <v>#REF!</v>
      </c>
      <c r="U495" s="97" t="str">
        <f t="shared" ca="1" si="29"/>
        <v>#REF!</v>
      </c>
      <c r="V495" s="97" t="str">
        <f t="shared" ca="1" si="7"/>
        <v>#REF!</v>
      </c>
      <c r="W495" s="97" t="str">
        <f t="shared" ca="1" si="8"/>
        <v>#REF!</v>
      </c>
      <c r="X495" s="121">
        <v>0</v>
      </c>
      <c r="Y495" s="121" t="str">
        <f t="shared" ca="1" si="9"/>
        <v>#REF!</v>
      </c>
      <c r="Z495" s="121" t="str">
        <f t="shared" ca="1" si="10"/>
        <v>#REF!</v>
      </c>
      <c r="AA495" s="99" t="str">
        <f t="shared" ca="1" si="11"/>
        <v>#REF!</v>
      </c>
      <c r="AB495" s="234" t="str">
        <f t="shared" ca="1" si="12"/>
        <v>#REF!</v>
      </c>
      <c r="AC495" s="257" t="str">
        <f t="shared" ca="1" si="13"/>
        <v>#REF!</v>
      </c>
      <c r="AD495" s="234" t="str">
        <f t="shared" ca="1" si="14"/>
        <v>#REF!</v>
      </c>
      <c r="AE495" s="100" t="str">
        <f t="shared" ca="1" si="15"/>
        <v>#REF!</v>
      </c>
      <c r="AF495" s="101" t="str">
        <f t="shared" ca="1" si="16"/>
        <v>#REF!</v>
      </c>
      <c r="AG495" s="102" t="str">
        <f t="shared" ref="AG495:AH495" ca="1" si="513">AE495/V495</f>
        <v>#REF!</v>
      </c>
      <c r="AH495" s="102" t="str">
        <f t="shared" ca="1" si="513"/>
        <v>#REF!</v>
      </c>
    </row>
    <row r="496" spans="1:34" ht="13.2">
      <c r="A496" s="251"/>
      <c r="B496" s="251"/>
      <c r="C496" s="252"/>
      <c r="D496" s="252"/>
      <c r="E496" s="114"/>
      <c r="F496" s="252"/>
      <c r="G496" s="125" t="s">
        <v>145</v>
      </c>
      <c r="I496" s="172"/>
      <c r="J496" s="82" t="str">
        <f t="shared" ca="1" si="0"/>
        <v>#REF!</v>
      </c>
      <c r="K496" s="82" t="str">
        <f t="shared" ca="1" si="1"/>
        <v>#REF!</v>
      </c>
      <c r="L496" s="82" t="str">
        <f t="shared" ca="1" si="44"/>
        <v>#REF!</v>
      </c>
      <c r="M496" s="93"/>
      <c r="N496" s="93"/>
      <c r="O496" s="95">
        <f t="shared" si="2"/>
        <v>0</v>
      </c>
      <c r="P496" s="96">
        <f t="shared" si="3"/>
        <v>0</v>
      </c>
      <c r="Q496" s="97">
        <f t="shared" si="4"/>
        <v>0</v>
      </c>
      <c r="R496" s="97" t="str">
        <f ca="1">ROUNDUP(HLOOKUP(IF(CEILING(L496,0.5)&lt;1,0.5,CEILING(L496,0.5)),'배송비 조회'!A$44:AO$56,7,0)*B$3,-2)</f>
        <v>#REF!</v>
      </c>
      <c r="S496" s="97">
        <v>0</v>
      </c>
      <c r="T496" s="97" t="str">
        <f t="shared" ca="1" si="42"/>
        <v>#REF!</v>
      </c>
      <c r="U496" s="97" t="str">
        <f t="shared" ca="1" si="29"/>
        <v>#REF!</v>
      </c>
      <c r="V496" s="97" t="str">
        <f t="shared" ca="1" si="7"/>
        <v>#REF!</v>
      </c>
      <c r="W496" s="97" t="str">
        <f t="shared" ca="1" si="8"/>
        <v>#REF!</v>
      </c>
      <c r="X496" s="121">
        <v>0</v>
      </c>
      <c r="Y496" s="121" t="str">
        <f t="shared" ca="1" si="9"/>
        <v>#REF!</v>
      </c>
      <c r="Z496" s="121" t="str">
        <f t="shared" ca="1" si="10"/>
        <v>#REF!</v>
      </c>
      <c r="AA496" s="99" t="str">
        <f t="shared" ca="1" si="11"/>
        <v>#REF!</v>
      </c>
      <c r="AB496" s="234" t="str">
        <f t="shared" ca="1" si="12"/>
        <v>#REF!</v>
      </c>
      <c r="AC496" s="257" t="str">
        <f t="shared" ca="1" si="13"/>
        <v>#REF!</v>
      </c>
      <c r="AD496" s="234" t="str">
        <f t="shared" ca="1" si="14"/>
        <v>#REF!</v>
      </c>
      <c r="AE496" s="100" t="str">
        <f t="shared" ca="1" si="15"/>
        <v>#REF!</v>
      </c>
      <c r="AF496" s="101" t="str">
        <f t="shared" ca="1" si="16"/>
        <v>#REF!</v>
      </c>
      <c r="AG496" s="102" t="str">
        <f t="shared" ref="AG496:AH496" ca="1" si="514">AE496/V496</f>
        <v>#REF!</v>
      </c>
      <c r="AH496" s="102" t="str">
        <f t="shared" ca="1" si="514"/>
        <v>#REF!</v>
      </c>
    </row>
    <row r="497" spans="1:34" ht="13.2">
      <c r="A497" s="251"/>
      <c r="B497" s="251"/>
      <c r="C497" s="252"/>
      <c r="D497" s="252"/>
      <c r="E497" s="114"/>
      <c r="F497" s="252"/>
      <c r="G497" s="125" t="s">
        <v>145</v>
      </c>
      <c r="I497" s="172"/>
      <c r="J497" s="82" t="str">
        <f t="shared" ca="1" si="0"/>
        <v>#REF!</v>
      </c>
      <c r="K497" s="82" t="str">
        <f t="shared" ca="1" si="1"/>
        <v>#REF!</v>
      </c>
      <c r="L497" s="82" t="str">
        <f t="shared" ca="1" si="44"/>
        <v>#REF!</v>
      </c>
      <c r="M497" s="93"/>
      <c r="N497" s="93"/>
      <c r="O497" s="95">
        <f t="shared" si="2"/>
        <v>0</v>
      </c>
      <c r="P497" s="96">
        <f t="shared" si="3"/>
        <v>0</v>
      </c>
      <c r="Q497" s="97">
        <f t="shared" si="4"/>
        <v>0</v>
      </c>
      <c r="R497" s="97" t="str">
        <f ca="1">ROUNDUP(HLOOKUP(IF(CEILING(L497,0.5)&lt;1,0.5,CEILING(L497,0.5)),'배송비 조회'!A$44:AO$56,7,0)*B$3,-2)</f>
        <v>#REF!</v>
      </c>
      <c r="S497" s="97">
        <v>0</v>
      </c>
      <c r="T497" s="97" t="str">
        <f t="shared" ca="1" si="42"/>
        <v>#REF!</v>
      </c>
      <c r="U497" s="97" t="str">
        <f t="shared" ca="1" si="29"/>
        <v>#REF!</v>
      </c>
      <c r="V497" s="97" t="str">
        <f t="shared" ca="1" si="7"/>
        <v>#REF!</v>
      </c>
      <c r="W497" s="97" t="str">
        <f t="shared" ca="1" si="8"/>
        <v>#REF!</v>
      </c>
      <c r="X497" s="121">
        <v>0</v>
      </c>
      <c r="Y497" s="121" t="str">
        <f t="shared" ca="1" si="9"/>
        <v>#REF!</v>
      </c>
      <c r="Z497" s="121" t="str">
        <f t="shared" ca="1" si="10"/>
        <v>#REF!</v>
      </c>
      <c r="AA497" s="99" t="str">
        <f t="shared" ca="1" si="11"/>
        <v>#REF!</v>
      </c>
      <c r="AB497" s="234" t="str">
        <f t="shared" ca="1" si="12"/>
        <v>#REF!</v>
      </c>
      <c r="AC497" s="257" t="str">
        <f t="shared" ca="1" si="13"/>
        <v>#REF!</v>
      </c>
      <c r="AD497" s="234" t="str">
        <f t="shared" ca="1" si="14"/>
        <v>#REF!</v>
      </c>
      <c r="AE497" s="100" t="str">
        <f t="shared" ca="1" si="15"/>
        <v>#REF!</v>
      </c>
      <c r="AF497" s="101" t="str">
        <f t="shared" ca="1" si="16"/>
        <v>#REF!</v>
      </c>
      <c r="AG497" s="102" t="str">
        <f t="shared" ref="AG497:AH497" ca="1" si="515">AE497/V497</f>
        <v>#REF!</v>
      </c>
      <c r="AH497" s="102" t="str">
        <f t="shared" ca="1" si="515"/>
        <v>#REF!</v>
      </c>
    </row>
    <row r="498" spans="1:34" ht="13.2">
      <c r="A498" s="251"/>
      <c r="B498" s="251"/>
      <c r="C498" s="252"/>
      <c r="D498" s="252"/>
      <c r="E498" s="114"/>
      <c r="F498" s="252"/>
      <c r="G498" s="125" t="s">
        <v>145</v>
      </c>
      <c r="I498" s="172"/>
      <c r="J498" s="82" t="str">
        <f t="shared" ca="1" si="0"/>
        <v>#REF!</v>
      </c>
      <c r="K498" s="82" t="str">
        <f t="shared" ca="1" si="1"/>
        <v>#REF!</v>
      </c>
      <c r="L498" s="82" t="str">
        <f t="shared" ca="1" si="44"/>
        <v>#REF!</v>
      </c>
      <c r="M498" s="93"/>
      <c r="N498" s="93"/>
      <c r="O498" s="95">
        <f t="shared" si="2"/>
        <v>0</v>
      </c>
      <c r="P498" s="96">
        <f t="shared" si="3"/>
        <v>0</v>
      </c>
      <c r="Q498" s="97">
        <f t="shared" si="4"/>
        <v>0</v>
      </c>
      <c r="R498" s="97" t="str">
        <f ca="1">ROUNDUP(HLOOKUP(IF(CEILING(L498,0.5)&lt;1,0.5,CEILING(L498,0.5)),'배송비 조회'!A$44:AO$56,7,0)*B$3,-2)</f>
        <v>#REF!</v>
      </c>
      <c r="S498" s="97">
        <v>0</v>
      </c>
      <c r="T498" s="97" t="str">
        <f t="shared" ca="1" si="42"/>
        <v>#REF!</v>
      </c>
      <c r="U498" s="97" t="str">
        <f t="shared" ca="1" si="29"/>
        <v>#REF!</v>
      </c>
      <c r="V498" s="97" t="str">
        <f t="shared" ca="1" si="7"/>
        <v>#REF!</v>
      </c>
      <c r="W498" s="97" t="str">
        <f t="shared" ca="1" si="8"/>
        <v>#REF!</v>
      </c>
      <c r="X498" s="121">
        <v>0</v>
      </c>
      <c r="Y498" s="121" t="str">
        <f t="shared" ca="1" si="9"/>
        <v>#REF!</v>
      </c>
      <c r="Z498" s="121" t="str">
        <f t="shared" ca="1" si="10"/>
        <v>#REF!</v>
      </c>
      <c r="AA498" s="99" t="str">
        <f t="shared" ca="1" si="11"/>
        <v>#REF!</v>
      </c>
      <c r="AB498" s="234" t="str">
        <f t="shared" ca="1" si="12"/>
        <v>#REF!</v>
      </c>
      <c r="AC498" s="257" t="str">
        <f t="shared" ca="1" si="13"/>
        <v>#REF!</v>
      </c>
      <c r="AD498" s="234" t="str">
        <f t="shared" ca="1" si="14"/>
        <v>#REF!</v>
      </c>
      <c r="AE498" s="100" t="str">
        <f t="shared" ca="1" si="15"/>
        <v>#REF!</v>
      </c>
      <c r="AF498" s="101" t="str">
        <f t="shared" ca="1" si="16"/>
        <v>#REF!</v>
      </c>
      <c r="AG498" s="102" t="str">
        <f t="shared" ref="AG498:AH498" ca="1" si="516">AE498/V498</f>
        <v>#REF!</v>
      </c>
      <c r="AH498" s="102" t="str">
        <f t="shared" ca="1" si="516"/>
        <v>#REF!</v>
      </c>
    </row>
    <row r="499" spans="1:34" ht="13.2">
      <c r="A499" s="251"/>
      <c r="B499" s="251"/>
      <c r="C499" s="252"/>
      <c r="D499" s="252"/>
      <c r="E499" s="114"/>
      <c r="F499" s="252"/>
      <c r="G499" s="125" t="s">
        <v>145</v>
      </c>
      <c r="I499" s="172"/>
      <c r="J499" s="82" t="str">
        <f t="shared" ca="1" si="0"/>
        <v>#REF!</v>
      </c>
      <c r="K499" s="82" t="str">
        <f t="shared" ca="1" si="1"/>
        <v>#REF!</v>
      </c>
      <c r="L499" s="82" t="str">
        <f t="shared" ca="1" si="44"/>
        <v>#REF!</v>
      </c>
      <c r="M499" s="93"/>
      <c r="N499" s="93"/>
      <c r="O499" s="95">
        <f t="shared" si="2"/>
        <v>0</v>
      </c>
      <c r="P499" s="96">
        <f t="shared" si="3"/>
        <v>0</v>
      </c>
      <c r="Q499" s="97">
        <f t="shared" si="4"/>
        <v>0</v>
      </c>
      <c r="R499" s="97" t="str">
        <f ca="1">ROUNDUP(HLOOKUP(IF(CEILING(L499,0.5)&lt;1,0.5,CEILING(L499,0.5)),'배송비 조회'!A$44:AO$56,7,0)*B$3,-2)</f>
        <v>#REF!</v>
      </c>
      <c r="S499" s="97">
        <v>0</v>
      </c>
      <c r="T499" s="97" t="str">
        <f t="shared" ca="1" si="42"/>
        <v>#REF!</v>
      </c>
      <c r="U499" s="97" t="str">
        <f t="shared" ca="1" si="29"/>
        <v>#REF!</v>
      </c>
      <c r="V499" s="97" t="str">
        <f t="shared" ca="1" si="7"/>
        <v>#REF!</v>
      </c>
      <c r="W499" s="97" t="str">
        <f t="shared" ca="1" si="8"/>
        <v>#REF!</v>
      </c>
      <c r="X499" s="121">
        <v>0</v>
      </c>
      <c r="Y499" s="121" t="str">
        <f t="shared" ca="1" si="9"/>
        <v>#REF!</v>
      </c>
      <c r="Z499" s="121" t="str">
        <f t="shared" ca="1" si="10"/>
        <v>#REF!</v>
      </c>
      <c r="AA499" s="99" t="str">
        <f t="shared" ca="1" si="11"/>
        <v>#REF!</v>
      </c>
      <c r="AB499" s="234" t="str">
        <f t="shared" ca="1" si="12"/>
        <v>#REF!</v>
      </c>
      <c r="AC499" s="257" t="str">
        <f t="shared" ca="1" si="13"/>
        <v>#REF!</v>
      </c>
      <c r="AD499" s="234" t="str">
        <f t="shared" ca="1" si="14"/>
        <v>#REF!</v>
      </c>
      <c r="AE499" s="100" t="str">
        <f t="shared" ca="1" si="15"/>
        <v>#REF!</v>
      </c>
      <c r="AF499" s="101" t="str">
        <f t="shared" ca="1" si="16"/>
        <v>#REF!</v>
      </c>
      <c r="AG499" s="102" t="str">
        <f t="shared" ref="AG499:AH499" ca="1" si="517">AE499/V499</f>
        <v>#REF!</v>
      </c>
      <c r="AH499" s="102" t="str">
        <f t="shared" ca="1" si="517"/>
        <v>#REF!</v>
      </c>
    </row>
    <row r="500" spans="1:34" ht="13.2">
      <c r="A500" s="251"/>
      <c r="B500" s="251"/>
      <c r="C500" s="252"/>
      <c r="D500" s="252"/>
      <c r="E500" s="114"/>
      <c r="F500" s="252"/>
      <c r="G500" s="125" t="s">
        <v>145</v>
      </c>
      <c r="I500" s="172"/>
      <c r="J500" s="82" t="str">
        <f t="shared" ca="1" si="0"/>
        <v>#REF!</v>
      </c>
      <c r="K500" s="82" t="str">
        <f t="shared" ca="1" si="1"/>
        <v>#REF!</v>
      </c>
      <c r="L500" s="82" t="str">
        <f t="shared" ca="1" si="44"/>
        <v>#REF!</v>
      </c>
      <c r="M500" s="93"/>
      <c r="N500" s="93"/>
      <c r="O500" s="95">
        <f t="shared" si="2"/>
        <v>0</v>
      </c>
      <c r="P500" s="96">
        <f t="shared" si="3"/>
        <v>0</v>
      </c>
      <c r="Q500" s="97">
        <f t="shared" si="4"/>
        <v>0</v>
      </c>
      <c r="R500" s="97" t="str">
        <f ca="1">ROUNDUP(HLOOKUP(IF(CEILING(L500,0.5)&lt;1,0.5,CEILING(L500,0.5)),'배송비 조회'!A$44:AO$56,7,0)*B$3,-2)</f>
        <v>#REF!</v>
      </c>
      <c r="S500" s="97">
        <v>0</v>
      </c>
      <c r="T500" s="97" t="str">
        <f t="shared" ca="1" si="42"/>
        <v>#REF!</v>
      </c>
      <c r="U500" s="97" t="str">
        <f t="shared" ca="1" si="29"/>
        <v>#REF!</v>
      </c>
      <c r="V500" s="97" t="str">
        <f t="shared" ca="1" si="7"/>
        <v>#REF!</v>
      </c>
      <c r="W500" s="97" t="str">
        <f t="shared" ca="1" si="8"/>
        <v>#REF!</v>
      </c>
      <c r="X500" s="121">
        <v>0</v>
      </c>
      <c r="Y500" s="121" t="str">
        <f t="shared" ca="1" si="9"/>
        <v>#REF!</v>
      </c>
      <c r="Z500" s="121" t="str">
        <f t="shared" ca="1" si="10"/>
        <v>#REF!</v>
      </c>
      <c r="AA500" s="99" t="str">
        <f t="shared" ca="1" si="11"/>
        <v>#REF!</v>
      </c>
      <c r="AB500" s="234" t="str">
        <f t="shared" ca="1" si="12"/>
        <v>#REF!</v>
      </c>
      <c r="AC500" s="257" t="str">
        <f t="shared" ca="1" si="13"/>
        <v>#REF!</v>
      </c>
      <c r="AD500" s="234" t="str">
        <f t="shared" ca="1" si="14"/>
        <v>#REF!</v>
      </c>
      <c r="AE500" s="100" t="str">
        <f t="shared" ca="1" si="15"/>
        <v>#REF!</v>
      </c>
      <c r="AF500" s="101" t="str">
        <f t="shared" ca="1" si="16"/>
        <v>#REF!</v>
      </c>
      <c r="AG500" s="102" t="str">
        <f t="shared" ref="AG500:AH500" ca="1" si="518">AE500/V500</f>
        <v>#REF!</v>
      </c>
      <c r="AH500" s="102" t="str">
        <f t="shared" ca="1" si="518"/>
        <v>#REF!</v>
      </c>
    </row>
    <row r="501" spans="1:34" ht="13.2">
      <c r="A501" s="251"/>
      <c r="B501" s="251"/>
      <c r="C501" s="252"/>
      <c r="D501" s="252"/>
      <c r="E501" s="114"/>
      <c r="F501" s="252"/>
      <c r="G501" s="125" t="s">
        <v>145</v>
      </c>
      <c r="I501" s="172"/>
      <c r="J501" s="82" t="str">
        <f t="shared" ca="1" si="0"/>
        <v>#REF!</v>
      </c>
      <c r="K501" s="82" t="str">
        <f t="shared" ca="1" si="1"/>
        <v>#REF!</v>
      </c>
      <c r="L501" s="82" t="str">
        <f t="shared" ca="1" si="44"/>
        <v>#REF!</v>
      </c>
      <c r="M501" s="93"/>
      <c r="N501" s="93"/>
      <c r="O501" s="95">
        <f t="shared" si="2"/>
        <v>0</v>
      </c>
      <c r="P501" s="96">
        <f t="shared" si="3"/>
        <v>0</v>
      </c>
      <c r="Q501" s="97">
        <f t="shared" si="4"/>
        <v>0</v>
      </c>
      <c r="R501" s="97" t="str">
        <f ca="1">ROUNDUP(HLOOKUP(IF(CEILING(L501,0.5)&lt;1,0.5,CEILING(L501,0.5)),'배송비 조회'!A$44:AO$56,7,0)*B$3,-2)</f>
        <v>#REF!</v>
      </c>
      <c r="S501" s="97">
        <v>0</v>
      </c>
      <c r="T501" s="97" t="str">
        <f t="shared" ca="1" si="42"/>
        <v>#REF!</v>
      </c>
      <c r="U501" s="97" t="str">
        <f t="shared" ca="1" si="29"/>
        <v>#REF!</v>
      </c>
      <c r="V501" s="97" t="str">
        <f t="shared" ca="1" si="7"/>
        <v>#REF!</v>
      </c>
      <c r="W501" s="97" t="str">
        <f t="shared" ca="1" si="8"/>
        <v>#REF!</v>
      </c>
      <c r="X501" s="121">
        <v>0</v>
      </c>
      <c r="Y501" s="121" t="str">
        <f t="shared" ca="1" si="9"/>
        <v>#REF!</v>
      </c>
      <c r="Z501" s="121" t="str">
        <f t="shared" ca="1" si="10"/>
        <v>#REF!</v>
      </c>
      <c r="AA501" s="99" t="str">
        <f t="shared" ca="1" si="11"/>
        <v>#REF!</v>
      </c>
      <c r="AB501" s="234" t="str">
        <f t="shared" ca="1" si="12"/>
        <v>#REF!</v>
      </c>
      <c r="AC501" s="257" t="str">
        <f t="shared" ca="1" si="13"/>
        <v>#REF!</v>
      </c>
      <c r="AD501" s="234" t="str">
        <f t="shared" ca="1" si="14"/>
        <v>#REF!</v>
      </c>
      <c r="AE501" s="100" t="str">
        <f t="shared" ca="1" si="15"/>
        <v>#REF!</v>
      </c>
      <c r="AF501" s="101" t="str">
        <f t="shared" ca="1" si="16"/>
        <v>#REF!</v>
      </c>
      <c r="AG501" s="102" t="str">
        <f t="shared" ref="AG501:AH501" ca="1" si="519">AE501/V501</f>
        <v>#REF!</v>
      </c>
      <c r="AH501" s="102" t="str">
        <f t="shared" ca="1" si="519"/>
        <v>#REF!</v>
      </c>
    </row>
    <row r="502" spans="1:34" ht="13.2">
      <c r="A502" s="251"/>
      <c r="B502" s="251"/>
      <c r="C502" s="252"/>
      <c r="D502" s="252"/>
      <c r="E502" s="114"/>
      <c r="F502" s="252"/>
      <c r="G502" s="125" t="s">
        <v>145</v>
      </c>
      <c r="I502" s="172"/>
      <c r="J502" s="82" t="str">
        <f t="shared" ca="1" si="0"/>
        <v>#REF!</v>
      </c>
      <c r="K502" s="82" t="str">
        <f t="shared" ca="1" si="1"/>
        <v>#REF!</v>
      </c>
      <c r="L502" s="82" t="str">
        <f t="shared" ca="1" si="44"/>
        <v>#REF!</v>
      </c>
      <c r="M502" s="93"/>
      <c r="N502" s="93"/>
      <c r="O502" s="95">
        <f t="shared" si="2"/>
        <v>0</v>
      </c>
      <c r="P502" s="96">
        <f t="shared" si="3"/>
        <v>0</v>
      </c>
      <c r="Q502" s="97">
        <f t="shared" si="4"/>
        <v>0</v>
      </c>
      <c r="R502" s="97" t="str">
        <f ca="1">ROUNDUP(HLOOKUP(IF(CEILING(L502,0.5)&lt;1,0.5,CEILING(L502,0.5)),'배송비 조회'!A$44:AO$56,7,0)*B$3,-2)</f>
        <v>#REF!</v>
      </c>
      <c r="S502" s="97">
        <v>0</v>
      </c>
      <c r="T502" s="97" t="str">
        <f t="shared" ca="1" si="42"/>
        <v>#REF!</v>
      </c>
      <c r="U502" s="97" t="str">
        <f t="shared" ca="1" si="29"/>
        <v>#REF!</v>
      </c>
      <c r="V502" s="97" t="str">
        <f t="shared" ca="1" si="7"/>
        <v>#REF!</v>
      </c>
      <c r="W502" s="97" t="str">
        <f t="shared" ca="1" si="8"/>
        <v>#REF!</v>
      </c>
      <c r="X502" s="121">
        <v>0</v>
      </c>
      <c r="Y502" s="121" t="str">
        <f t="shared" ca="1" si="9"/>
        <v>#REF!</v>
      </c>
      <c r="Z502" s="121" t="str">
        <f t="shared" ca="1" si="10"/>
        <v>#REF!</v>
      </c>
      <c r="AA502" s="99" t="str">
        <f t="shared" ca="1" si="11"/>
        <v>#REF!</v>
      </c>
      <c r="AB502" s="234" t="str">
        <f t="shared" ca="1" si="12"/>
        <v>#REF!</v>
      </c>
      <c r="AC502" s="257" t="str">
        <f t="shared" ca="1" si="13"/>
        <v>#REF!</v>
      </c>
      <c r="AD502" s="234" t="str">
        <f t="shared" ca="1" si="14"/>
        <v>#REF!</v>
      </c>
      <c r="AE502" s="100" t="str">
        <f t="shared" ca="1" si="15"/>
        <v>#REF!</v>
      </c>
      <c r="AF502" s="101" t="str">
        <f t="shared" ca="1" si="16"/>
        <v>#REF!</v>
      </c>
      <c r="AG502" s="102" t="str">
        <f t="shared" ref="AG502:AH502" ca="1" si="520">AE502/V502</f>
        <v>#REF!</v>
      </c>
      <c r="AH502" s="102" t="str">
        <f t="shared" ca="1" si="520"/>
        <v>#REF!</v>
      </c>
    </row>
    <row r="503" spans="1:34" ht="13.2">
      <c r="A503" s="251"/>
      <c r="B503" s="251"/>
      <c r="C503" s="252"/>
      <c r="D503" s="252"/>
      <c r="E503" s="114"/>
      <c r="F503" s="252"/>
      <c r="G503" s="125" t="s">
        <v>145</v>
      </c>
      <c r="I503" s="172"/>
      <c r="J503" s="82" t="str">
        <f t="shared" ca="1" si="0"/>
        <v>#REF!</v>
      </c>
      <c r="K503" s="82" t="str">
        <f t="shared" ca="1" si="1"/>
        <v>#REF!</v>
      </c>
      <c r="L503" s="82" t="str">
        <f t="shared" ca="1" si="44"/>
        <v>#REF!</v>
      </c>
      <c r="M503" s="93"/>
      <c r="N503" s="93"/>
      <c r="O503" s="95">
        <f t="shared" si="2"/>
        <v>0</v>
      </c>
      <c r="P503" s="96">
        <f t="shared" si="3"/>
        <v>0</v>
      </c>
      <c r="Q503" s="97">
        <f t="shared" si="4"/>
        <v>0</v>
      </c>
      <c r="R503" s="97" t="str">
        <f ca="1">ROUNDUP(HLOOKUP(IF(CEILING(L503,0.5)&lt;1,0.5,CEILING(L503,0.5)),'배송비 조회'!A$44:AO$56,7,0)*B$3,-2)</f>
        <v>#REF!</v>
      </c>
      <c r="S503" s="97">
        <v>0</v>
      </c>
      <c r="T503" s="97" t="str">
        <f t="shared" ca="1" si="42"/>
        <v>#REF!</v>
      </c>
      <c r="U503" s="97" t="str">
        <f t="shared" ca="1" si="29"/>
        <v>#REF!</v>
      </c>
      <c r="V503" s="97" t="str">
        <f t="shared" ca="1" si="7"/>
        <v>#REF!</v>
      </c>
      <c r="W503" s="97" t="str">
        <f t="shared" ca="1" si="8"/>
        <v>#REF!</v>
      </c>
      <c r="X503" s="121">
        <v>0</v>
      </c>
      <c r="Y503" s="121" t="str">
        <f t="shared" ca="1" si="9"/>
        <v>#REF!</v>
      </c>
      <c r="Z503" s="121" t="str">
        <f t="shared" ca="1" si="10"/>
        <v>#REF!</v>
      </c>
      <c r="AA503" s="99" t="str">
        <f t="shared" ca="1" si="11"/>
        <v>#REF!</v>
      </c>
      <c r="AB503" s="234" t="str">
        <f t="shared" ca="1" si="12"/>
        <v>#REF!</v>
      </c>
      <c r="AC503" s="257" t="str">
        <f t="shared" ca="1" si="13"/>
        <v>#REF!</v>
      </c>
      <c r="AD503" s="234" t="str">
        <f t="shared" ca="1" si="14"/>
        <v>#REF!</v>
      </c>
      <c r="AE503" s="100" t="str">
        <f t="shared" ca="1" si="15"/>
        <v>#REF!</v>
      </c>
      <c r="AF503" s="101" t="str">
        <f t="shared" ca="1" si="16"/>
        <v>#REF!</v>
      </c>
      <c r="AG503" s="102" t="str">
        <f t="shared" ref="AG503:AH503" ca="1" si="521">AE503/V503</f>
        <v>#REF!</v>
      </c>
      <c r="AH503" s="102" t="str">
        <f t="shared" ca="1" si="521"/>
        <v>#REF!</v>
      </c>
    </row>
    <row r="504" spans="1:34" ht="13.2">
      <c r="A504" s="251"/>
      <c r="B504" s="251"/>
      <c r="C504" s="252"/>
      <c r="D504" s="252"/>
      <c r="E504" s="114"/>
      <c r="F504" s="252"/>
      <c r="G504" s="125" t="s">
        <v>145</v>
      </c>
      <c r="I504" s="172"/>
      <c r="J504" s="82" t="str">
        <f t="shared" ca="1" si="0"/>
        <v>#REF!</v>
      </c>
      <c r="K504" s="82" t="str">
        <f t="shared" ca="1" si="1"/>
        <v>#REF!</v>
      </c>
      <c r="L504" s="82" t="str">
        <f t="shared" ca="1" si="44"/>
        <v>#REF!</v>
      </c>
      <c r="M504" s="93"/>
      <c r="N504" s="93"/>
      <c r="O504" s="95">
        <f t="shared" si="2"/>
        <v>0</v>
      </c>
      <c r="P504" s="96">
        <f t="shared" si="3"/>
        <v>0</v>
      </c>
      <c r="Q504" s="97">
        <f t="shared" si="4"/>
        <v>0</v>
      </c>
      <c r="R504" s="97" t="str">
        <f ca="1">ROUNDUP(HLOOKUP(IF(CEILING(L504,0.5)&lt;1,0.5,CEILING(L504,0.5)),'배송비 조회'!A$44:AO$56,7,0)*B$3,-2)</f>
        <v>#REF!</v>
      </c>
      <c r="S504" s="97">
        <v>0</v>
      </c>
      <c r="T504" s="97" t="str">
        <f t="shared" ca="1" si="42"/>
        <v>#REF!</v>
      </c>
      <c r="U504" s="97" t="str">
        <f t="shared" ca="1" si="29"/>
        <v>#REF!</v>
      </c>
      <c r="V504" s="97" t="str">
        <f t="shared" ca="1" si="7"/>
        <v>#REF!</v>
      </c>
      <c r="W504" s="97" t="str">
        <f t="shared" ca="1" si="8"/>
        <v>#REF!</v>
      </c>
      <c r="X504" s="121">
        <v>0</v>
      </c>
      <c r="Y504" s="121" t="str">
        <f t="shared" ca="1" si="9"/>
        <v>#REF!</v>
      </c>
      <c r="Z504" s="121" t="str">
        <f t="shared" ca="1" si="10"/>
        <v>#REF!</v>
      </c>
      <c r="AA504" s="99" t="str">
        <f t="shared" ca="1" si="11"/>
        <v>#REF!</v>
      </c>
      <c r="AB504" s="234" t="str">
        <f t="shared" ca="1" si="12"/>
        <v>#REF!</v>
      </c>
      <c r="AC504" s="257" t="str">
        <f t="shared" ca="1" si="13"/>
        <v>#REF!</v>
      </c>
      <c r="AD504" s="234" t="str">
        <f t="shared" ca="1" si="14"/>
        <v>#REF!</v>
      </c>
      <c r="AE504" s="100" t="str">
        <f t="shared" ca="1" si="15"/>
        <v>#REF!</v>
      </c>
      <c r="AF504" s="101" t="str">
        <f t="shared" ca="1" si="16"/>
        <v>#REF!</v>
      </c>
      <c r="AG504" s="102" t="str">
        <f t="shared" ref="AG504:AH504" ca="1" si="522">AE504/V504</f>
        <v>#REF!</v>
      </c>
      <c r="AH504" s="102" t="str">
        <f t="shared" ca="1" si="522"/>
        <v>#REF!</v>
      </c>
    </row>
    <row r="505" spans="1:34" ht="13.2">
      <c r="A505" s="251"/>
      <c r="B505" s="251"/>
      <c r="C505" s="252"/>
      <c r="D505" s="252"/>
      <c r="E505" s="114"/>
      <c r="F505" s="252"/>
      <c r="G505" s="125" t="s">
        <v>145</v>
      </c>
      <c r="I505" s="172"/>
      <c r="J505" s="82" t="str">
        <f t="shared" ca="1" si="0"/>
        <v>#REF!</v>
      </c>
      <c r="K505" s="82" t="str">
        <f t="shared" ca="1" si="1"/>
        <v>#REF!</v>
      </c>
      <c r="L505" s="82" t="str">
        <f t="shared" ca="1" si="44"/>
        <v>#REF!</v>
      </c>
      <c r="M505" s="93"/>
      <c r="N505" s="93"/>
      <c r="O505" s="95">
        <f t="shared" si="2"/>
        <v>0</v>
      </c>
      <c r="P505" s="96">
        <f t="shared" si="3"/>
        <v>0</v>
      </c>
      <c r="Q505" s="97">
        <f t="shared" si="4"/>
        <v>0</v>
      </c>
      <c r="R505" s="97" t="str">
        <f ca="1">ROUNDUP(HLOOKUP(IF(CEILING(L505,0.5)&lt;1,0.5,CEILING(L505,0.5)),'배송비 조회'!A$44:AO$56,7,0)*B$3,-2)</f>
        <v>#REF!</v>
      </c>
      <c r="S505" s="97">
        <v>0</v>
      </c>
      <c r="T505" s="97" t="str">
        <f t="shared" ca="1" si="42"/>
        <v>#REF!</v>
      </c>
      <c r="U505" s="97" t="str">
        <f t="shared" ca="1" si="29"/>
        <v>#REF!</v>
      </c>
      <c r="V505" s="97" t="str">
        <f t="shared" ca="1" si="7"/>
        <v>#REF!</v>
      </c>
      <c r="W505" s="97" t="str">
        <f t="shared" ca="1" si="8"/>
        <v>#REF!</v>
      </c>
      <c r="X505" s="121">
        <v>0</v>
      </c>
      <c r="Y505" s="121" t="str">
        <f t="shared" ca="1" si="9"/>
        <v>#REF!</v>
      </c>
      <c r="Z505" s="121" t="str">
        <f t="shared" ca="1" si="10"/>
        <v>#REF!</v>
      </c>
      <c r="AA505" s="99" t="str">
        <f t="shared" ca="1" si="11"/>
        <v>#REF!</v>
      </c>
      <c r="AB505" s="234" t="str">
        <f t="shared" ca="1" si="12"/>
        <v>#REF!</v>
      </c>
      <c r="AC505" s="257" t="str">
        <f t="shared" ca="1" si="13"/>
        <v>#REF!</v>
      </c>
      <c r="AD505" s="234" t="str">
        <f t="shared" ca="1" si="14"/>
        <v>#REF!</v>
      </c>
      <c r="AE505" s="100" t="str">
        <f t="shared" ca="1" si="15"/>
        <v>#REF!</v>
      </c>
      <c r="AF505" s="101" t="str">
        <f t="shared" ca="1" si="16"/>
        <v>#REF!</v>
      </c>
      <c r="AG505" s="102" t="str">
        <f t="shared" ref="AG505:AH505" ca="1" si="523">AE505/V505</f>
        <v>#REF!</v>
      </c>
      <c r="AH505" s="102" t="str">
        <f t="shared" ca="1" si="523"/>
        <v>#REF!</v>
      </c>
    </row>
    <row r="506" spans="1:34" ht="13.2">
      <c r="A506" s="251"/>
      <c r="B506" s="251"/>
      <c r="C506" s="252"/>
      <c r="D506" s="252"/>
      <c r="E506" s="114"/>
      <c r="F506" s="252"/>
      <c r="G506" s="125" t="s">
        <v>145</v>
      </c>
      <c r="I506" s="172"/>
      <c r="J506" s="82" t="str">
        <f t="shared" ca="1" si="0"/>
        <v>#REF!</v>
      </c>
      <c r="K506" s="82" t="str">
        <f t="shared" ca="1" si="1"/>
        <v>#REF!</v>
      </c>
      <c r="L506" s="82" t="str">
        <f t="shared" ca="1" si="44"/>
        <v>#REF!</v>
      </c>
      <c r="M506" s="93"/>
      <c r="N506" s="93"/>
      <c r="O506" s="95">
        <f t="shared" si="2"/>
        <v>0</v>
      </c>
      <c r="P506" s="96">
        <f t="shared" si="3"/>
        <v>0</v>
      </c>
      <c r="Q506" s="97">
        <f t="shared" si="4"/>
        <v>0</v>
      </c>
      <c r="R506" s="97" t="str">
        <f ca="1">ROUNDUP(HLOOKUP(IF(CEILING(L506,0.5)&lt;1,0.5,CEILING(L506,0.5)),'배송비 조회'!A$44:AO$56,7,0)*B$3,-2)</f>
        <v>#REF!</v>
      </c>
      <c r="S506" s="97">
        <v>0</v>
      </c>
      <c r="T506" s="97" t="str">
        <f t="shared" ca="1" si="42"/>
        <v>#REF!</v>
      </c>
      <c r="U506" s="97" t="str">
        <f t="shared" ca="1" si="29"/>
        <v>#REF!</v>
      </c>
      <c r="V506" s="97" t="str">
        <f t="shared" ca="1" si="7"/>
        <v>#REF!</v>
      </c>
      <c r="W506" s="97" t="str">
        <f t="shared" ca="1" si="8"/>
        <v>#REF!</v>
      </c>
      <c r="X506" s="121">
        <v>0</v>
      </c>
      <c r="Y506" s="121" t="str">
        <f t="shared" ca="1" si="9"/>
        <v>#REF!</v>
      </c>
      <c r="Z506" s="121" t="str">
        <f t="shared" ca="1" si="10"/>
        <v>#REF!</v>
      </c>
      <c r="AA506" s="99" t="str">
        <f t="shared" ca="1" si="11"/>
        <v>#REF!</v>
      </c>
      <c r="AB506" s="234" t="str">
        <f t="shared" ca="1" si="12"/>
        <v>#REF!</v>
      </c>
      <c r="AC506" s="257" t="str">
        <f t="shared" ca="1" si="13"/>
        <v>#REF!</v>
      </c>
      <c r="AD506" s="234" t="str">
        <f t="shared" ca="1" si="14"/>
        <v>#REF!</v>
      </c>
      <c r="AE506" s="100" t="str">
        <f t="shared" ca="1" si="15"/>
        <v>#REF!</v>
      </c>
      <c r="AF506" s="101" t="str">
        <f t="shared" ca="1" si="16"/>
        <v>#REF!</v>
      </c>
      <c r="AG506" s="102" t="str">
        <f t="shared" ref="AG506:AH506" ca="1" si="524">AE506/V506</f>
        <v>#REF!</v>
      </c>
      <c r="AH506" s="102" t="str">
        <f t="shared" ca="1" si="524"/>
        <v>#REF!</v>
      </c>
    </row>
    <row r="507" spans="1:34" ht="13.2">
      <c r="A507" s="251"/>
      <c r="B507" s="251"/>
      <c r="C507" s="252"/>
      <c r="D507" s="252"/>
      <c r="E507" s="114"/>
      <c r="F507" s="252"/>
      <c r="G507" s="125" t="s">
        <v>145</v>
      </c>
      <c r="I507" s="172"/>
      <c r="J507" s="82" t="str">
        <f t="shared" ca="1" si="0"/>
        <v>#REF!</v>
      </c>
      <c r="K507" s="82" t="str">
        <f t="shared" ca="1" si="1"/>
        <v>#REF!</v>
      </c>
      <c r="L507" s="82" t="str">
        <f t="shared" ca="1" si="44"/>
        <v>#REF!</v>
      </c>
      <c r="M507" s="93"/>
      <c r="N507" s="93"/>
      <c r="O507" s="95">
        <f t="shared" si="2"/>
        <v>0</v>
      </c>
      <c r="P507" s="96">
        <f t="shared" si="3"/>
        <v>0</v>
      </c>
      <c r="Q507" s="97">
        <f t="shared" si="4"/>
        <v>0</v>
      </c>
      <c r="R507" s="97" t="str">
        <f ca="1">ROUNDUP(HLOOKUP(IF(CEILING(L507,0.5)&lt;1,0.5,CEILING(L507,0.5)),'배송비 조회'!A$44:AO$56,7,0)*B$3,-2)</f>
        <v>#REF!</v>
      </c>
      <c r="S507" s="97">
        <v>0</v>
      </c>
      <c r="T507" s="97" t="str">
        <f t="shared" ca="1" si="42"/>
        <v>#REF!</v>
      </c>
      <c r="U507" s="97" t="str">
        <f t="shared" ca="1" si="29"/>
        <v>#REF!</v>
      </c>
      <c r="V507" s="97" t="str">
        <f t="shared" ca="1" si="7"/>
        <v>#REF!</v>
      </c>
      <c r="W507" s="97" t="str">
        <f t="shared" ca="1" si="8"/>
        <v>#REF!</v>
      </c>
      <c r="X507" s="121">
        <v>0</v>
      </c>
      <c r="Y507" s="121" t="str">
        <f t="shared" ca="1" si="9"/>
        <v>#REF!</v>
      </c>
      <c r="Z507" s="121" t="str">
        <f t="shared" ca="1" si="10"/>
        <v>#REF!</v>
      </c>
      <c r="AA507" s="99" t="str">
        <f t="shared" ca="1" si="11"/>
        <v>#REF!</v>
      </c>
      <c r="AB507" s="234" t="str">
        <f t="shared" ca="1" si="12"/>
        <v>#REF!</v>
      </c>
      <c r="AC507" s="257" t="str">
        <f t="shared" ca="1" si="13"/>
        <v>#REF!</v>
      </c>
      <c r="AD507" s="234" t="str">
        <f t="shared" ca="1" si="14"/>
        <v>#REF!</v>
      </c>
      <c r="AE507" s="100" t="str">
        <f t="shared" ca="1" si="15"/>
        <v>#REF!</v>
      </c>
      <c r="AF507" s="101" t="str">
        <f t="shared" ca="1" si="16"/>
        <v>#REF!</v>
      </c>
      <c r="AG507" s="102" t="str">
        <f t="shared" ref="AG507:AH507" ca="1" si="525">AE507/V507</f>
        <v>#REF!</v>
      </c>
      <c r="AH507" s="102" t="str">
        <f t="shared" ca="1" si="525"/>
        <v>#REF!</v>
      </c>
    </row>
    <row r="508" spans="1:34" ht="13.2">
      <c r="A508" s="251"/>
      <c r="B508" s="251"/>
      <c r="C508" s="252"/>
      <c r="D508" s="252"/>
      <c r="E508" s="114"/>
      <c r="F508" s="252"/>
      <c r="G508" s="125" t="s">
        <v>145</v>
      </c>
      <c r="I508" s="172"/>
      <c r="J508" s="82" t="str">
        <f t="shared" ca="1" si="0"/>
        <v>#REF!</v>
      </c>
      <c r="K508" s="82" t="str">
        <f t="shared" ca="1" si="1"/>
        <v>#REF!</v>
      </c>
      <c r="L508" s="82" t="str">
        <f t="shared" ca="1" si="44"/>
        <v>#REF!</v>
      </c>
      <c r="M508" s="93"/>
      <c r="N508" s="93"/>
      <c r="O508" s="95">
        <f t="shared" si="2"/>
        <v>0</v>
      </c>
      <c r="P508" s="96">
        <f t="shared" si="3"/>
        <v>0</v>
      </c>
      <c r="Q508" s="97">
        <f t="shared" si="4"/>
        <v>0</v>
      </c>
      <c r="R508" s="97" t="str">
        <f ca="1">ROUNDUP(HLOOKUP(IF(CEILING(L508,0.5)&lt;1,0.5,CEILING(L508,0.5)),'배송비 조회'!A$44:AO$56,7,0)*B$3,-2)</f>
        <v>#REF!</v>
      </c>
      <c r="S508" s="97">
        <v>0</v>
      </c>
      <c r="T508" s="97" t="str">
        <f t="shared" ca="1" si="42"/>
        <v>#REF!</v>
      </c>
      <c r="U508" s="97" t="str">
        <f t="shared" ca="1" si="29"/>
        <v>#REF!</v>
      </c>
      <c r="V508" s="97" t="str">
        <f t="shared" ca="1" si="7"/>
        <v>#REF!</v>
      </c>
      <c r="W508" s="97" t="str">
        <f t="shared" ca="1" si="8"/>
        <v>#REF!</v>
      </c>
      <c r="X508" s="121">
        <v>0</v>
      </c>
      <c r="Y508" s="121" t="str">
        <f t="shared" ca="1" si="9"/>
        <v>#REF!</v>
      </c>
      <c r="Z508" s="121" t="str">
        <f t="shared" ca="1" si="10"/>
        <v>#REF!</v>
      </c>
      <c r="AA508" s="99" t="str">
        <f t="shared" ca="1" si="11"/>
        <v>#REF!</v>
      </c>
      <c r="AB508" s="234" t="str">
        <f t="shared" ca="1" si="12"/>
        <v>#REF!</v>
      </c>
      <c r="AC508" s="257" t="str">
        <f t="shared" ca="1" si="13"/>
        <v>#REF!</v>
      </c>
      <c r="AD508" s="234" t="str">
        <f t="shared" ca="1" si="14"/>
        <v>#REF!</v>
      </c>
      <c r="AE508" s="100" t="str">
        <f t="shared" ca="1" si="15"/>
        <v>#REF!</v>
      </c>
      <c r="AF508" s="101" t="str">
        <f t="shared" ca="1" si="16"/>
        <v>#REF!</v>
      </c>
      <c r="AG508" s="102" t="str">
        <f t="shared" ref="AG508:AH508" ca="1" si="526">AE508/V508</f>
        <v>#REF!</v>
      </c>
      <c r="AH508" s="102" t="str">
        <f t="shared" ca="1" si="526"/>
        <v>#REF!</v>
      </c>
    </row>
    <row r="509" spans="1:34" ht="13.2">
      <c r="A509" s="251"/>
      <c r="B509" s="251"/>
      <c r="C509" s="252"/>
      <c r="D509" s="252"/>
      <c r="E509" s="114"/>
      <c r="F509" s="252"/>
      <c r="G509" s="125" t="s">
        <v>145</v>
      </c>
      <c r="I509" s="172"/>
      <c r="J509" s="82" t="str">
        <f t="shared" ca="1" si="0"/>
        <v>#REF!</v>
      </c>
      <c r="K509" s="82" t="str">
        <f t="shared" ca="1" si="1"/>
        <v>#REF!</v>
      </c>
      <c r="L509" s="82" t="str">
        <f t="shared" ca="1" si="44"/>
        <v>#REF!</v>
      </c>
      <c r="M509" s="93"/>
      <c r="N509" s="93"/>
      <c r="O509" s="95">
        <f t="shared" si="2"/>
        <v>0</v>
      </c>
      <c r="P509" s="96">
        <f t="shared" si="3"/>
        <v>0</v>
      </c>
      <c r="Q509" s="97">
        <f t="shared" si="4"/>
        <v>0</v>
      </c>
      <c r="R509" s="97" t="str">
        <f ca="1">ROUNDUP(HLOOKUP(IF(CEILING(L509,0.5)&lt;1,0.5,CEILING(L509,0.5)),'배송비 조회'!A$44:AO$56,7,0)*B$3,-2)</f>
        <v>#REF!</v>
      </c>
      <c r="S509" s="97">
        <v>0</v>
      </c>
      <c r="T509" s="97" t="str">
        <f t="shared" ca="1" si="42"/>
        <v>#REF!</v>
      </c>
      <c r="U509" s="97" t="str">
        <f t="shared" ca="1" si="29"/>
        <v>#REF!</v>
      </c>
      <c r="V509" s="97" t="str">
        <f t="shared" ca="1" si="7"/>
        <v>#REF!</v>
      </c>
      <c r="W509" s="97" t="str">
        <f t="shared" ca="1" si="8"/>
        <v>#REF!</v>
      </c>
      <c r="X509" s="121">
        <v>0</v>
      </c>
      <c r="Y509" s="121" t="str">
        <f t="shared" ca="1" si="9"/>
        <v>#REF!</v>
      </c>
      <c r="Z509" s="121" t="str">
        <f t="shared" ca="1" si="10"/>
        <v>#REF!</v>
      </c>
      <c r="AA509" s="99" t="str">
        <f t="shared" ca="1" si="11"/>
        <v>#REF!</v>
      </c>
      <c r="AB509" s="234" t="str">
        <f t="shared" ca="1" si="12"/>
        <v>#REF!</v>
      </c>
      <c r="AC509" s="257" t="str">
        <f t="shared" ca="1" si="13"/>
        <v>#REF!</v>
      </c>
      <c r="AD509" s="234" t="str">
        <f t="shared" ca="1" si="14"/>
        <v>#REF!</v>
      </c>
      <c r="AE509" s="100" t="str">
        <f t="shared" ca="1" si="15"/>
        <v>#REF!</v>
      </c>
      <c r="AF509" s="101" t="str">
        <f t="shared" ca="1" si="16"/>
        <v>#REF!</v>
      </c>
      <c r="AG509" s="102" t="str">
        <f t="shared" ref="AG509:AH509" ca="1" si="527">AE509/V509</f>
        <v>#REF!</v>
      </c>
      <c r="AH509" s="102" t="str">
        <f t="shared" ca="1" si="527"/>
        <v>#REF!</v>
      </c>
    </row>
    <row r="510" spans="1:34" ht="13.2">
      <c r="A510" s="251"/>
      <c r="B510" s="251"/>
      <c r="C510" s="252"/>
      <c r="D510" s="252"/>
      <c r="E510" s="114"/>
      <c r="F510" s="252"/>
      <c r="G510" s="125" t="s">
        <v>145</v>
      </c>
      <c r="I510" s="172"/>
      <c r="J510" s="82" t="str">
        <f t="shared" ca="1" si="0"/>
        <v>#REF!</v>
      </c>
      <c r="K510" s="82" t="str">
        <f t="shared" ca="1" si="1"/>
        <v>#REF!</v>
      </c>
      <c r="L510" s="82" t="str">
        <f t="shared" ca="1" si="44"/>
        <v>#REF!</v>
      </c>
      <c r="M510" s="93"/>
      <c r="N510" s="93"/>
      <c r="O510" s="95">
        <f t="shared" si="2"/>
        <v>0</v>
      </c>
      <c r="P510" s="96">
        <f t="shared" si="3"/>
        <v>0</v>
      </c>
      <c r="Q510" s="97">
        <f t="shared" si="4"/>
        <v>0</v>
      </c>
      <c r="R510" s="97" t="str">
        <f ca="1">ROUNDUP(HLOOKUP(IF(CEILING(L510,0.5)&lt;1,0.5,CEILING(L510,0.5)),'배송비 조회'!A$44:AO$56,7,0)*B$3,-2)</f>
        <v>#REF!</v>
      </c>
      <c r="S510" s="97">
        <v>0</v>
      </c>
      <c r="T510" s="97" t="str">
        <f t="shared" ca="1" si="42"/>
        <v>#REF!</v>
      </c>
      <c r="U510" s="97" t="str">
        <f t="shared" ca="1" si="29"/>
        <v>#REF!</v>
      </c>
      <c r="V510" s="97" t="str">
        <f t="shared" ca="1" si="7"/>
        <v>#REF!</v>
      </c>
      <c r="W510" s="97" t="str">
        <f t="shared" ca="1" si="8"/>
        <v>#REF!</v>
      </c>
      <c r="X510" s="121">
        <v>0</v>
      </c>
      <c r="Y510" s="121" t="str">
        <f t="shared" ca="1" si="9"/>
        <v>#REF!</v>
      </c>
      <c r="Z510" s="121" t="str">
        <f t="shared" ca="1" si="10"/>
        <v>#REF!</v>
      </c>
      <c r="AA510" s="99" t="str">
        <f t="shared" ca="1" si="11"/>
        <v>#REF!</v>
      </c>
      <c r="AB510" s="234" t="str">
        <f t="shared" ca="1" si="12"/>
        <v>#REF!</v>
      </c>
      <c r="AC510" s="257" t="str">
        <f t="shared" ca="1" si="13"/>
        <v>#REF!</v>
      </c>
      <c r="AD510" s="234" t="str">
        <f t="shared" ca="1" si="14"/>
        <v>#REF!</v>
      </c>
      <c r="AE510" s="100" t="str">
        <f t="shared" ca="1" si="15"/>
        <v>#REF!</v>
      </c>
      <c r="AF510" s="101" t="str">
        <f t="shared" ca="1" si="16"/>
        <v>#REF!</v>
      </c>
      <c r="AG510" s="102" t="str">
        <f t="shared" ref="AG510:AH510" ca="1" si="528">AE510/V510</f>
        <v>#REF!</v>
      </c>
      <c r="AH510" s="102" t="str">
        <f t="shared" ca="1" si="528"/>
        <v>#REF!</v>
      </c>
    </row>
    <row r="511" spans="1:34" ht="13.2">
      <c r="A511" s="251"/>
      <c r="B511" s="251"/>
      <c r="C511" s="252"/>
      <c r="D511" s="252"/>
      <c r="E511" s="114"/>
      <c r="F511" s="252"/>
      <c r="G511" s="125" t="s">
        <v>145</v>
      </c>
      <c r="I511" s="172"/>
      <c r="J511" s="82" t="str">
        <f t="shared" ca="1" si="0"/>
        <v>#REF!</v>
      </c>
      <c r="K511" s="82" t="str">
        <f t="shared" ca="1" si="1"/>
        <v>#REF!</v>
      </c>
      <c r="L511" s="82" t="str">
        <f t="shared" ca="1" si="44"/>
        <v>#REF!</v>
      </c>
      <c r="M511" s="93"/>
      <c r="N511" s="93"/>
      <c r="O511" s="95">
        <f t="shared" si="2"/>
        <v>0</v>
      </c>
      <c r="P511" s="96">
        <f t="shared" si="3"/>
        <v>0</v>
      </c>
      <c r="Q511" s="97">
        <f t="shared" si="4"/>
        <v>0</v>
      </c>
      <c r="R511" s="97" t="str">
        <f ca="1">ROUNDUP(HLOOKUP(IF(CEILING(L511,0.5)&lt;1,0.5,CEILING(L511,0.5)),'배송비 조회'!A$44:AO$56,7,0)*B$3,-2)</f>
        <v>#REF!</v>
      </c>
      <c r="S511" s="97">
        <v>0</v>
      </c>
      <c r="T511" s="97" t="str">
        <f t="shared" ca="1" si="42"/>
        <v>#REF!</v>
      </c>
      <c r="U511" s="97" t="str">
        <f t="shared" ca="1" si="29"/>
        <v>#REF!</v>
      </c>
      <c r="V511" s="97" t="str">
        <f t="shared" ca="1" si="7"/>
        <v>#REF!</v>
      </c>
      <c r="W511" s="97" t="str">
        <f t="shared" ca="1" si="8"/>
        <v>#REF!</v>
      </c>
      <c r="X511" s="121">
        <v>0</v>
      </c>
      <c r="Y511" s="121" t="str">
        <f t="shared" ca="1" si="9"/>
        <v>#REF!</v>
      </c>
      <c r="Z511" s="121" t="str">
        <f t="shared" ca="1" si="10"/>
        <v>#REF!</v>
      </c>
      <c r="AA511" s="99" t="str">
        <f t="shared" ca="1" si="11"/>
        <v>#REF!</v>
      </c>
      <c r="AB511" s="234" t="str">
        <f t="shared" ca="1" si="12"/>
        <v>#REF!</v>
      </c>
      <c r="AC511" s="257" t="str">
        <f t="shared" ca="1" si="13"/>
        <v>#REF!</v>
      </c>
      <c r="AD511" s="234" t="str">
        <f t="shared" ca="1" si="14"/>
        <v>#REF!</v>
      </c>
      <c r="AE511" s="100" t="str">
        <f t="shared" ca="1" si="15"/>
        <v>#REF!</v>
      </c>
      <c r="AF511" s="101" t="str">
        <f t="shared" ca="1" si="16"/>
        <v>#REF!</v>
      </c>
      <c r="AG511" s="102" t="str">
        <f t="shared" ref="AG511:AH511" ca="1" si="529">AE511/V511</f>
        <v>#REF!</v>
      </c>
      <c r="AH511" s="102" t="str">
        <f t="shared" ca="1" si="529"/>
        <v>#REF!</v>
      </c>
    </row>
    <row r="512" spans="1:34" ht="13.2">
      <c r="A512" s="251"/>
      <c r="B512" s="251"/>
      <c r="C512" s="252"/>
      <c r="D512" s="252"/>
      <c r="E512" s="114"/>
      <c r="F512" s="252"/>
      <c r="G512" s="125" t="s">
        <v>145</v>
      </c>
      <c r="I512" s="172"/>
      <c r="J512" s="82" t="str">
        <f t="shared" ca="1" si="0"/>
        <v>#REF!</v>
      </c>
      <c r="K512" s="82" t="str">
        <f t="shared" ca="1" si="1"/>
        <v>#REF!</v>
      </c>
      <c r="L512" s="82" t="str">
        <f t="shared" ca="1" si="44"/>
        <v>#REF!</v>
      </c>
      <c r="M512" s="93"/>
      <c r="N512" s="93"/>
      <c r="O512" s="95">
        <f t="shared" si="2"/>
        <v>0</v>
      </c>
      <c r="P512" s="96">
        <f t="shared" si="3"/>
        <v>0</v>
      </c>
      <c r="Q512" s="97">
        <f t="shared" si="4"/>
        <v>0</v>
      </c>
      <c r="R512" s="97" t="str">
        <f ca="1">ROUNDUP(HLOOKUP(IF(CEILING(L512,0.5)&lt;1,0.5,CEILING(L512,0.5)),'배송비 조회'!A$44:AO$56,7,0)*B$3,-2)</f>
        <v>#REF!</v>
      </c>
      <c r="S512" s="97">
        <v>0</v>
      </c>
      <c r="T512" s="97" t="str">
        <f t="shared" ca="1" si="42"/>
        <v>#REF!</v>
      </c>
      <c r="U512" s="97" t="str">
        <f t="shared" ca="1" si="29"/>
        <v>#REF!</v>
      </c>
      <c r="V512" s="97" t="str">
        <f t="shared" ca="1" si="7"/>
        <v>#REF!</v>
      </c>
      <c r="W512" s="97" t="str">
        <f t="shared" ca="1" si="8"/>
        <v>#REF!</v>
      </c>
      <c r="X512" s="121">
        <v>0</v>
      </c>
      <c r="Y512" s="121" t="str">
        <f t="shared" ca="1" si="9"/>
        <v>#REF!</v>
      </c>
      <c r="Z512" s="121" t="str">
        <f t="shared" ca="1" si="10"/>
        <v>#REF!</v>
      </c>
      <c r="AA512" s="99" t="str">
        <f t="shared" ca="1" si="11"/>
        <v>#REF!</v>
      </c>
      <c r="AB512" s="234" t="str">
        <f t="shared" ca="1" si="12"/>
        <v>#REF!</v>
      </c>
      <c r="AC512" s="257" t="str">
        <f t="shared" ca="1" si="13"/>
        <v>#REF!</v>
      </c>
      <c r="AD512" s="234" t="str">
        <f t="shared" ca="1" si="14"/>
        <v>#REF!</v>
      </c>
      <c r="AE512" s="100" t="str">
        <f t="shared" ca="1" si="15"/>
        <v>#REF!</v>
      </c>
      <c r="AF512" s="101" t="str">
        <f t="shared" ca="1" si="16"/>
        <v>#REF!</v>
      </c>
      <c r="AG512" s="102" t="str">
        <f t="shared" ref="AG512:AH512" ca="1" si="530">AE512/V512</f>
        <v>#REF!</v>
      </c>
      <c r="AH512" s="102" t="str">
        <f t="shared" ca="1" si="530"/>
        <v>#REF!</v>
      </c>
    </row>
    <row r="513" spans="1:34" ht="13.2">
      <c r="A513" s="251"/>
      <c r="B513" s="251"/>
      <c r="C513" s="252"/>
      <c r="D513" s="252"/>
      <c r="E513" s="114"/>
      <c r="F513" s="252"/>
      <c r="G513" s="125" t="s">
        <v>145</v>
      </c>
      <c r="I513" s="172"/>
      <c r="J513" s="82" t="str">
        <f t="shared" ca="1" si="0"/>
        <v>#REF!</v>
      </c>
      <c r="K513" s="82" t="str">
        <f t="shared" ca="1" si="1"/>
        <v>#REF!</v>
      </c>
      <c r="L513" s="82" t="str">
        <f t="shared" ca="1" si="44"/>
        <v>#REF!</v>
      </c>
      <c r="M513" s="93"/>
      <c r="N513" s="93"/>
      <c r="O513" s="95">
        <f t="shared" si="2"/>
        <v>0</v>
      </c>
      <c r="P513" s="96">
        <f t="shared" si="3"/>
        <v>0</v>
      </c>
      <c r="Q513" s="97">
        <f t="shared" si="4"/>
        <v>0</v>
      </c>
      <c r="R513" s="97" t="str">
        <f ca="1">ROUNDUP(HLOOKUP(IF(CEILING(L513,0.5)&lt;1,0.5,CEILING(L513,0.5)),'배송비 조회'!A$44:AO$56,7,0)*B$3,-2)</f>
        <v>#REF!</v>
      </c>
      <c r="S513" s="97">
        <v>0</v>
      </c>
      <c r="T513" s="97" t="str">
        <f t="shared" ca="1" si="42"/>
        <v>#REF!</v>
      </c>
      <c r="U513" s="97" t="str">
        <f t="shared" ca="1" si="29"/>
        <v>#REF!</v>
      </c>
      <c r="V513" s="97" t="str">
        <f t="shared" ca="1" si="7"/>
        <v>#REF!</v>
      </c>
      <c r="W513" s="97" t="str">
        <f t="shared" ca="1" si="8"/>
        <v>#REF!</v>
      </c>
      <c r="X513" s="121">
        <v>0</v>
      </c>
      <c r="Y513" s="121" t="str">
        <f t="shared" ca="1" si="9"/>
        <v>#REF!</v>
      </c>
      <c r="Z513" s="121" t="str">
        <f t="shared" ca="1" si="10"/>
        <v>#REF!</v>
      </c>
      <c r="AA513" s="99" t="str">
        <f t="shared" ca="1" si="11"/>
        <v>#REF!</v>
      </c>
      <c r="AB513" s="234" t="str">
        <f t="shared" ca="1" si="12"/>
        <v>#REF!</v>
      </c>
      <c r="AC513" s="257" t="str">
        <f t="shared" ca="1" si="13"/>
        <v>#REF!</v>
      </c>
      <c r="AD513" s="234" t="str">
        <f t="shared" ca="1" si="14"/>
        <v>#REF!</v>
      </c>
      <c r="AE513" s="100" t="str">
        <f t="shared" ca="1" si="15"/>
        <v>#REF!</v>
      </c>
      <c r="AF513" s="101" t="str">
        <f t="shared" ca="1" si="16"/>
        <v>#REF!</v>
      </c>
      <c r="AG513" s="102" t="str">
        <f t="shared" ref="AG513:AH513" ca="1" si="531">AE513/V513</f>
        <v>#REF!</v>
      </c>
      <c r="AH513" s="102" t="str">
        <f t="shared" ca="1" si="531"/>
        <v>#REF!</v>
      </c>
    </row>
    <row r="514" spans="1:34" ht="13.2">
      <c r="A514" s="251"/>
      <c r="B514" s="251"/>
      <c r="C514" s="252"/>
      <c r="D514" s="252"/>
      <c r="E514" s="114"/>
      <c r="F514" s="252"/>
      <c r="G514" s="125" t="s">
        <v>145</v>
      </c>
      <c r="I514" s="172"/>
      <c r="J514" s="82" t="str">
        <f t="shared" ca="1" si="0"/>
        <v>#REF!</v>
      </c>
      <c r="K514" s="82" t="str">
        <f t="shared" ca="1" si="1"/>
        <v>#REF!</v>
      </c>
      <c r="L514" s="82" t="str">
        <f t="shared" ca="1" si="44"/>
        <v>#REF!</v>
      </c>
      <c r="M514" s="93"/>
      <c r="N514" s="93"/>
      <c r="O514" s="95">
        <f t="shared" si="2"/>
        <v>0</v>
      </c>
      <c r="P514" s="96">
        <f t="shared" si="3"/>
        <v>0</v>
      </c>
      <c r="Q514" s="97">
        <f t="shared" si="4"/>
        <v>0</v>
      </c>
      <c r="R514" s="97" t="str">
        <f ca="1">ROUNDUP(HLOOKUP(IF(CEILING(L514,0.5)&lt;1,0.5,CEILING(L514,0.5)),'배송비 조회'!A$44:AO$56,7,0)*B$3,-2)</f>
        <v>#REF!</v>
      </c>
      <c r="S514" s="97">
        <v>0</v>
      </c>
      <c r="T514" s="97" t="str">
        <f t="shared" ca="1" si="42"/>
        <v>#REF!</v>
      </c>
      <c r="U514" s="97" t="str">
        <f t="shared" ca="1" si="29"/>
        <v>#REF!</v>
      </c>
      <c r="V514" s="97" t="str">
        <f t="shared" ca="1" si="7"/>
        <v>#REF!</v>
      </c>
      <c r="W514" s="97" t="str">
        <f t="shared" ca="1" si="8"/>
        <v>#REF!</v>
      </c>
      <c r="X514" s="121">
        <v>0</v>
      </c>
      <c r="Y514" s="121" t="str">
        <f t="shared" ca="1" si="9"/>
        <v>#REF!</v>
      </c>
      <c r="Z514" s="121" t="str">
        <f t="shared" ca="1" si="10"/>
        <v>#REF!</v>
      </c>
      <c r="AA514" s="99" t="str">
        <f t="shared" ca="1" si="11"/>
        <v>#REF!</v>
      </c>
      <c r="AB514" s="234" t="str">
        <f t="shared" ca="1" si="12"/>
        <v>#REF!</v>
      </c>
      <c r="AC514" s="257" t="str">
        <f t="shared" ca="1" si="13"/>
        <v>#REF!</v>
      </c>
      <c r="AD514" s="234" t="str">
        <f t="shared" ca="1" si="14"/>
        <v>#REF!</v>
      </c>
      <c r="AE514" s="100" t="str">
        <f t="shared" ca="1" si="15"/>
        <v>#REF!</v>
      </c>
      <c r="AF514" s="101" t="str">
        <f t="shared" ca="1" si="16"/>
        <v>#REF!</v>
      </c>
      <c r="AG514" s="102" t="str">
        <f t="shared" ref="AG514:AH514" ca="1" si="532">AE514/V514</f>
        <v>#REF!</v>
      </c>
      <c r="AH514" s="102" t="str">
        <f t="shared" ca="1" si="532"/>
        <v>#REF!</v>
      </c>
    </row>
    <row r="515" spans="1:34" ht="13.2">
      <c r="A515" s="251"/>
      <c r="B515" s="251"/>
      <c r="C515" s="252"/>
      <c r="D515" s="252"/>
      <c r="E515" s="114"/>
      <c r="F515" s="252"/>
      <c r="G515" s="125" t="s">
        <v>145</v>
      </c>
      <c r="I515" s="172"/>
      <c r="J515" s="82" t="str">
        <f t="shared" ca="1" si="0"/>
        <v>#REF!</v>
      </c>
      <c r="K515" s="82" t="str">
        <f t="shared" ca="1" si="1"/>
        <v>#REF!</v>
      </c>
      <c r="L515" s="82" t="str">
        <f t="shared" ca="1" si="44"/>
        <v>#REF!</v>
      </c>
      <c r="M515" s="93"/>
      <c r="N515" s="93"/>
      <c r="O515" s="95">
        <f t="shared" si="2"/>
        <v>0</v>
      </c>
      <c r="P515" s="96">
        <f t="shared" si="3"/>
        <v>0</v>
      </c>
      <c r="Q515" s="97">
        <f t="shared" si="4"/>
        <v>0</v>
      </c>
      <c r="R515" s="97" t="str">
        <f ca="1">ROUNDUP(HLOOKUP(IF(CEILING(L515,0.5)&lt;1,0.5,CEILING(L515,0.5)),'배송비 조회'!A$44:AO$56,7,0)*B$3,-2)</f>
        <v>#REF!</v>
      </c>
      <c r="S515" s="97">
        <v>0</v>
      </c>
      <c r="T515" s="97" t="str">
        <f t="shared" ca="1" si="42"/>
        <v>#REF!</v>
      </c>
      <c r="U515" s="97" t="str">
        <f t="shared" ca="1" si="29"/>
        <v>#REF!</v>
      </c>
      <c r="V515" s="97" t="str">
        <f t="shared" ca="1" si="7"/>
        <v>#REF!</v>
      </c>
      <c r="W515" s="97" t="str">
        <f t="shared" ca="1" si="8"/>
        <v>#REF!</v>
      </c>
      <c r="X515" s="121">
        <v>0</v>
      </c>
      <c r="Y515" s="121" t="str">
        <f t="shared" ca="1" si="9"/>
        <v>#REF!</v>
      </c>
      <c r="Z515" s="121" t="str">
        <f t="shared" ca="1" si="10"/>
        <v>#REF!</v>
      </c>
      <c r="AA515" s="99" t="str">
        <f t="shared" ca="1" si="11"/>
        <v>#REF!</v>
      </c>
      <c r="AB515" s="234" t="str">
        <f t="shared" ca="1" si="12"/>
        <v>#REF!</v>
      </c>
      <c r="AC515" s="257" t="str">
        <f t="shared" ca="1" si="13"/>
        <v>#REF!</v>
      </c>
      <c r="AD515" s="234" t="str">
        <f t="shared" ca="1" si="14"/>
        <v>#REF!</v>
      </c>
      <c r="AE515" s="100" t="str">
        <f t="shared" ca="1" si="15"/>
        <v>#REF!</v>
      </c>
      <c r="AF515" s="101" t="str">
        <f t="shared" ca="1" si="16"/>
        <v>#REF!</v>
      </c>
      <c r="AG515" s="102" t="str">
        <f t="shared" ref="AG515:AH515" ca="1" si="533">AE515/V515</f>
        <v>#REF!</v>
      </c>
      <c r="AH515" s="102" t="str">
        <f t="shared" ca="1" si="533"/>
        <v>#REF!</v>
      </c>
    </row>
    <row r="516" spans="1:34" ht="13.2">
      <c r="A516" s="251"/>
      <c r="B516" s="251"/>
      <c r="C516" s="252"/>
      <c r="D516" s="252"/>
      <c r="E516" s="114"/>
      <c r="F516" s="252"/>
      <c r="G516" s="125" t="s">
        <v>145</v>
      </c>
      <c r="I516" s="172"/>
      <c r="J516" s="82" t="str">
        <f t="shared" ca="1" si="0"/>
        <v>#REF!</v>
      </c>
      <c r="K516" s="82" t="str">
        <f t="shared" ca="1" si="1"/>
        <v>#REF!</v>
      </c>
      <c r="L516" s="82" t="str">
        <f t="shared" ca="1" si="44"/>
        <v>#REF!</v>
      </c>
      <c r="M516" s="93"/>
      <c r="N516" s="93"/>
      <c r="O516" s="95">
        <f t="shared" si="2"/>
        <v>0</v>
      </c>
      <c r="P516" s="96">
        <f t="shared" si="3"/>
        <v>0</v>
      </c>
      <c r="Q516" s="97">
        <f t="shared" si="4"/>
        <v>0</v>
      </c>
      <c r="R516" s="97" t="str">
        <f ca="1">ROUNDUP(HLOOKUP(IF(CEILING(L516,0.5)&lt;1,0.5,CEILING(L516,0.5)),'배송비 조회'!A$44:AO$56,7,0)*B$3,-2)</f>
        <v>#REF!</v>
      </c>
      <c r="S516" s="97">
        <v>0</v>
      </c>
      <c r="T516" s="97" t="str">
        <f t="shared" ca="1" si="42"/>
        <v>#REF!</v>
      </c>
      <c r="U516" s="97" t="str">
        <f t="shared" ca="1" si="29"/>
        <v>#REF!</v>
      </c>
      <c r="V516" s="97" t="str">
        <f t="shared" ca="1" si="7"/>
        <v>#REF!</v>
      </c>
      <c r="W516" s="97" t="str">
        <f t="shared" ca="1" si="8"/>
        <v>#REF!</v>
      </c>
      <c r="X516" s="121">
        <v>0</v>
      </c>
      <c r="Y516" s="121" t="str">
        <f t="shared" ca="1" si="9"/>
        <v>#REF!</v>
      </c>
      <c r="Z516" s="121" t="str">
        <f t="shared" ca="1" si="10"/>
        <v>#REF!</v>
      </c>
      <c r="AA516" s="99" t="str">
        <f t="shared" ca="1" si="11"/>
        <v>#REF!</v>
      </c>
      <c r="AB516" s="234" t="str">
        <f t="shared" ca="1" si="12"/>
        <v>#REF!</v>
      </c>
      <c r="AC516" s="257" t="str">
        <f t="shared" ca="1" si="13"/>
        <v>#REF!</v>
      </c>
      <c r="AD516" s="234" t="str">
        <f t="shared" ca="1" si="14"/>
        <v>#REF!</v>
      </c>
      <c r="AE516" s="100" t="str">
        <f t="shared" ca="1" si="15"/>
        <v>#REF!</v>
      </c>
      <c r="AF516" s="101" t="str">
        <f t="shared" ca="1" si="16"/>
        <v>#REF!</v>
      </c>
      <c r="AG516" s="102" t="str">
        <f t="shared" ref="AG516:AH516" ca="1" si="534">AE516/V516</f>
        <v>#REF!</v>
      </c>
      <c r="AH516" s="102" t="str">
        <f t="shared" ca="1" si="534"/>
        <v>#REF!</v>
      </c>
    </row>
    <row r="517" spans="1:34" ht="13.2">
      <c r="A517" s="251"/>
      <c r="B517" s="251"/>
      <c r="C517" s="252"/>
      <c r="D517" s="252"/>
      <c r="E517" s="114"/>
      <c r="F517" s="252"/>
      <c r="G517" s="125" t="s">
        <v>145</v>
      </c>
      <c r="I517" s="172"/>
      <c r="J517" s="82" t="str">
        <f t="shared" ca="1" si="0"/>
        <v>#REF!</v>
      </c>
      <c r="K517" s="82" t="str">
        <f t="shared" ca="1" si="1"/>
        <v>#REF!</v>
      </c>
      <c r="L517" s="82" t="str">
        <f t="shared" ca="1" si="44"/>
        <v>#REF!</v>
      </c>
      <c r="M517" s="93"/>
      <c r="N517" s="93"/>
      <c r="O517" s="95">
        <f t="shared" si="2"/>
        <v>0</v>
      </c>
      <c r="P517" s="96">
        <f t="shared" si="3"/>
        <v>0</v>
      </c>
      <c r="Q517" s="97">
        <f t="shared" si="4"/>
        <v>0</v>
      </c>
      <c r="R517" s="97" t="str">
        <f ca="1">ROUNDUP(HLOOKUP(IF(CEILING(L517,0.5)&lt;1,0.5,CEILING(L517,0.5)),'배송비 조회'!A$44:AO$56,7,0)*B$3,-2)</f>
        <v>#REF!</v>
      </c>
      <c r="S517" s="97">
        <v>0</v>
      </c>
      <c r="T517" s="97" t="str">
        <f t="shared" ca="1" si="42"/>
        <v>#REF!</v>
      </c>
      <c r="U517" s="97" t="str">
        <f t="shared" ca="1" si="29"/>
        <v>#REF!</v>
      </c>
      <c r="V517" s="97" t="str">
        <f t="shared" ca="1" si="7"/>
        <v>#REF!</v>
      </c>
      <c r="W517" s="97" t="str">
        <f t="shared" ca="1" si="8"/>
        <v>#REF!</v>
      </c>
      <c r="X517" s="121">
        <v>0</v>
      </c>
      <c r="Y517" s="121" t="str">
        <f t="shared" ca="1" si="9"/>
        <v>#REF!</v>
      </c>
      <c r="Z517" s="121" t="str">
        <f t="shared" ca="1" si="10"/>
        <v>#REF!</v>
      </c>
      <c r="AA517" s="99" t="str">
        <f t="shared" ca="1" si="11"/>
        <v>#REF!</v>
      </c>
      <c r="AB517" s="234" t="str">
        <f t="shared" ca="1" si="12"/>
        <v>#REF!</v>
      </c>
      <c r="AC517" s="257" t="str">
        <f t="shared" ca="1" si="13"/>
        <v>#REF!</v>
      </c>
      <c r="AD517" s="234" t="str">
        <f t="shared" ca="1" si="14"/>
        <v>#REF!</v>
      </c>
      <c r="AE517" s="100" t="str">
        <f t="shared" ca="1" si="15"/>
        <v>#REF!</v>
      </c>
      <c r="AF517" s="101" t="str">
        <f t="shared" ca="1" si="16"/>
        <v>#REF!</v>
      </c>
      <c r="AG517" s="102" t="str">
        <f t="shared" ref="AG517:AH517" ca="1" si="535">AE517/V517</f>
        <v>#REF!</v>
      </c>
      <c r="AH517" s="102" t="str">
        <f t="shared" ca="1" si="535"/>
        <v>#REF!</v>
      </c>
    </row>
    <row r="518" spans="1:34" ht="13.2">
      <c r="A518" s="251"/>
      <c r="B518" s="251"/>
      <c r="C518" s="252"/>
      <c r="D518" s="252"/>
      <c r="E518" s="114"/>
      <c r="F518" s="252"/>
      <c r="G518" s="125" t="s">
        <v>145</v>
      </c>
      <c r="I518" s="172"/>
      <c r="J518" s="82" t="str">
        <f t="shared" ca="1" si="0"/>
        <v>#REF!</v>
      </c>
      <c r="K518" s="82" t="str">
        <f t="shared" ca="1" si="1"/>
        <v>#REF!</v>
      </c>
      <c r="L518" s="82" t="str">
        <f t="shared" ca="1" si="44"/>
        <v>#REF!</v>
      </c>
      <c r="M518" s="93"/>
      <c r="N518" s="93"/>
      <c r="O518" s="95">
        <f t="shared" si="2"/>
        <v>0</v>
      </c>
      <c r="P518" s="96">
        <f t="shared" si="3"/>
        <v>0</v>
      </c>
      <c r="Q518" s="97">
        <f t="shared" si="4"/>
        <v>0</v>
      </c>
      <c r="R518" s="97" t="str">
        <f ca="1">ROUNDUP(HLOOKUP(IF(CEILING(L518,0.5)&lt;1,0.5,CEILING(L518,0.5)),'배송비 조회'!A$44:AO$56,7,0)*B$3,-2)</f>
        <v>#REF!</v>
      </c>
      <c r="S518" s="97">
        <v>0</v>
      </c>
      <c r="T518" s="97" t="str">
        <f t="shared" ca="1" si="42"/>
        <v>#REF!</v>
      </c>
      <c r="U518" s="97" t="str">
        <f t="shared" ca="1" si="29"/>
        <v>#REF!</v>
      </c>
      <c r="V518" s="97" t="str">
        <f t="shared" ca="1" si="7"/>
        <v>#REF!</v>
      </c>
      <c r="W518" s="97" t="str">
        <f t="shared" ca="1" si="8"/>
        <v>#REF!</v>
      </c>
      <c r="X518" s="121">
        <v>0</v>
      </c>
      <c r="Y518" s="121" t="str">
        <f t="shared" ca="1" si="9"/>
        <v>#REF!</v>
      </c>
      <c r="Z518" s="121" t="str">
        <f t="shared" ca="1" si="10"/>
        <v>#REF!</v>
      </c>
      <c r="AA518" s="99" t="str">
        <f t="shared" ca="1" si="11"/>
        <v>#REF!</v>
      </c>
      <c r="AB518" s="234" t="str">
        <f t="shared" ca="1" si="12"/>
        <v>#REF!</v>
      </c>
      <c r="AC518" s="257" t="str">
        <f t="shared" ca="1" si="13"/>
        <v>#REF!</v>
      </c>
      <c r="AD518" s="234" t="str">
        <f t="shared" ca="1" si="14"/>
        <v>#REF!</v>
      </c>
      <c r="AE518" s="100" t="str">
        <f t="shared" ca="1" si="15"/>
        <v>#REF!</v>
      </c>
      <c r="AF518" s="101" t="str">
        <f t="shared" ca="1" si="16"/>
        <v>#REF!</v>
      </c>
      <c r="AG518" s="102" t="str">
        <f t="shared" ref="AG518:AH518" ca="1" si="536">AE518/V518</f>
        <v>#REF!</v>
      </c>
      <c r="AH518" s="102" t="str">
        <f t="shared" ca="1" si="536"/>
        <v>#REF!</v>
      </c>
    </row>
    <row r="519" spans="1:34" ht="13.2">
      <c r="A519" s="251"/>
      <c r="B519" s="251"/>
      <c r="C519" s="252"/>
      <c r="D519" s="252"/>
      <c r="E519" s="114"/>
      <c r="F519" s="252"/>
      <c r="G519" s="125" t="s">
        <v>145</v>
      </c>
      <c r="I519" s="172"/>
      <c r="J519" s="82" t="str">
        <f t="shared" ca="1" si="0"/>
        <v>#REF!</v>
      </c>
      <c r="K519" s="82" t="str">
        <f t="shared" ca="1" si="1"/>
        <v>#REF!</v>
      </c>
      <c r="L519" s="82" t="str">
        <f t="shared" ca="1" si="44"/>
        <v>#REF!</v>
      </c>
      <c r="M519" s="93"/>
      <c r="N519" s="93"/>
      <c r="O519" s="95">
        <f t="shared" si="2"/>
        <v>0</v>
      </c>
      <c r="P519" s="96">
        <f t="shared" si="3"/>
        <v>0</v>
      </c>
      <c r="Q519" s="97">
        <f t="shared" si="4"/>
        <v>0</v>
      </c>
      <c r="R519" s="97" t="str">
        <f ca="1">ROUNDUP(HLOOKUP(IF(CEILING(L519,0.5)&lt;1,0.5,CEILING(L519,0.5)),'배송비 조회'!A$44:AO$56,7,0)*B$3,-2)</f>
        <v>#REF!</v>
      </c>
      <c r="S519" s="97">
        <v>0</v>
      </c>
      <c r="T519" s="97" t="str">
        <f t="shared" ca="1" si="42"/>
        <v>#REF!</v>
      </c>
      <c r="U519" s="97" t="str">
        <f t="shared" ca="1" si="29"/>
        <v>#REF!</v>
      </c>
      <c r="V519" s="97" t="str">
        <f t="shared" ca="1" si="7"/>
        <v>#REF!</v>
      </c>
      <c r="W519" s="97" t="str">
        <f t="shared" ca="1" si="8"/>
        <v>#REF!</v>
      </c>
      <c r="X519" s="121">
        <v>0</v>
      </c>
      <c r="Y519" s="121" t="str">
        <f t="shared" ca="1" si="9"/>
        <v>#REF!</v>
      </c>
      <c r="Z519" s="121" t="str">
        <f t="shared" ca="1" si="10"/>
        <v>#REF!</v>
      </c>
      <c r="AA519" s="99" t="str">
        <f t="shared" ca="1" si="11"/>
        <v>#REF!</v>
      </c>
      <c r="AB519" s="234" t="str">
        <f t="shared" ca="1" si="12"/>
        <v>#REF!</v>
      </c>
      <c r="AC519" s="257" t="str">
        <f t="shared" ca="1" si="13"/>
        <v>#REF!</v>
      </c>
      <c r="AD519" s="234" t="str">
        <f t="shared" ca="1" si="14"/>
        <v>#REF!</v>
      </c>
      <c r="AE519" s="100" t="str">
        <f t="shared" ca="1" si="15"/>
        <v>#REF!</v>
      </c>
      <c r="AF519" s="101" t="str">
        <f t="shared" ca="1" si="16"/>
        <v>#REF!</v>
      </c>
      <c r="AG519" s="102" t="str">
        <f t="shared" ref="AG519:AH519" ca="1" si="537">AE519/V519</f>
        <v>#REF!</v>
      </c>
      <c r="AH519" s="102" t="str">
        <f t="shared" ca="1" si="537"/>
        <v>#REF!</v>
      </c>
    </row>
    <row r="520" spans="1:34" ht="13.2">
      <c r="A520" s="251"/>
      <c r="B520" s="251"/>
      <c r="C520" s="252"/>
      <c r="D520" s="252"/>
      <c r="E520" s="114"/>
      <c r="F520" s="252"/>
      <c r="G520" s="125" t="s">
        <v>145</v>
      </c>
      <c r="I520" s="172"/>
      <c r="J520" s="82" t="str">
        <f t="shared" ca="1" si="0"/>
        <v>#REF!</v>
      </c>
      <c r="K520" s="82" t="str">
        <f t="shared" ca="1" si="1"/>
        <v>#REF!</v>
      </c>
      <c r="L520" s="82" t="str">
        <f t="shared" ca="1" si="44"/>
        <v>#REF!</v>
      </c>
      <c r="M520" s="93"/>
      <c r="N520" s="93"/>
      <c r="O520" s="95">
        <f t="shared" si="2"/>
        <v>0</v>
      </c>
      <c r="P520" s="96">
        <f t="shared" si="3"/>
        <v>0</v>
      </c>
      <c r="Q520" s="97">
        <f t="shared" si="4"/>
        <v>0</v>
      </c>
      <c r="R520" s="97" t="str">
        <f ca="1">ROUNDUP(HLOOKUP(IF(CEILING(L520,0.5)&lt;1,0.5,CEILING(L520,0.5)),'배송비 조회'!A$44:AO$56,7,0)*B$3,-2)</f>
        <v>#REF!</v>
      </c>
      <c r="S520" s="97">
        <v>0</v>
      </c>
      <c r="T520" s="97" t="str">
        <f t="shared" ca="1" si="42"/>
        <v>#REF!</v>
      </c>
      <c r="U520" s="97" t="str">
        <f t="shared" ca="1" si="29"/>
        <v>#REF!</v>
      </c>
      <c r="V520" s="97" t="str">
        <f t="shared" ca="1" si="7"/>
        <v>#REF!</v>
      </c>
      <c r="W520" s="97" t="str">
        <f t="shared" ca="1" si="8"/>
        <v>#REF!</v>
      </c>
      <c r="X520" s="121">
        <v>0</v>
      </c>
      <c r="Y520" s="121" t="str">
        <f t="shared" ca="1" si="9"/>
        <v>#REF!</v>
      </c>
      <c r="Z520" s="121" t="str">
        <f t="shared" ca="1" si="10"/>
        <v>#REF!</v>
      </c>
      <c r="AA520" s="99" t="str">
        <f t="shared" ca="1" si="11"/>
        <v>#REF!</v>
      </c>
      <c r="AB520" s="234" t="str">
        <f t="shared" ca="1" si="12"/>
        <v>#REF!</v>
      </c>
      <c r="AC520" s="257" t="str">
        <f t="shared" ca="1" si="13"/>
        <v>#REF!</v>
      </c>
      <c r="AD520" s="234" t="str">
        <f t="shared" ca="1" si="14"/>
        <v>#REF!</v>
      </c>
      <c r="AE520" s="100" t="str">
        <f t="shared" ca="1" si="15"/>
        <v>#REF!</v>
      </c>
      <c r="AF520" s="101" t="str">
        <f t="shared" ca="1" si="16"/>
        <v>#REF!</v>
      </c>
      <c r="AG520" s="102" t="str">
        <f t="shared" ref="AG520:AH520" ca="1" si="538">AE520/V520</f>
        <v>#REF!</v>
      </c>
      <c r="AH520" s="102" t="str">
        <f t="shared" ca="1" si="538"/>
        <v>#REF!</v>
      </c>
    </row>
    <row r="521" spans="1:34" ht="13.2">
      <c r="A521" s="251"/>
      <c r="B521" s="251"/>
      <c r="C521" s="252"/>
      <c r="D521" s="252"/>
      <c r="E521" s="114"/>
      <c r="F521" s="252"/>
      <c r="G521" s="125" t="s">
        <v>145</v>
      </c>
      <c r="I521" s="172"/>
      <c r="J521" s="82" t="str">
        <f t="shared" ca="1" si="0"/>
        <v>#REF!</v>
      </c>
      <c r="K521" s="82" t="str">
        <f t="shared" ca="1" si="1"/>
        <v>#REF!</v>
      </c>
      <c r="L521" s="82" t="str">
        <f t="shared" ca="1" si="44"/>
        <v>#REF!</v>
      </c>
      <c r="M521" s="93"/>
      <c r="N521" s="93"/>
      <c r="O521" s="95">
        <f t="shared" si="2"/>
        <v>0</v>
      </c>
      <c r="P521" s="96">
        <f t="shared" si="3"/>
        <v>0</v>
      </c>
      <c r="Q521" s="97">
        <f t="shared" si="4"/>
        <v>0</v>
      </c>
      <c r="R521" s="97" t="str">
        <f ca="1">ROUNDUP(HLOOKUP(IF(CEILING(L521,0.5)&lt;1,0.5,CEILING(L521,0.5)),'배송비 조회'!A$44:AO$56,7,0)*B$3,-2)</f>
        <v>#REF!</v>
      </c>
      <c r="S521" s="97">
        <v>0</v>
      </c>
      <c r="T521" s="97" t="str">
        <f t="shared" ca="1" si="42"/>
        <v>#REF!</v>
      </c>
      <c r="U521" s="97" t="str">
        <f t="shared" ca="1" si="29"/>
        <v>#REF!</v>
      </c>
      <c r="V521" s="97" t="str">
        <f t="shared" ca="1" si="7"/>
        <v>#REF!</v>
      </c>
      <c r="W521" s="97" t="str">
        <f t="shared" ca="1" si="8"/>
        <v>#REF!</v>
      </c>
      <c r="X521" s="121">
        <v>0</v>
      </c>
      <c r="Y521" s="121" t="str">
        <f t="shared" ca="1" si="9"/>
        <v>#REF!</v>
      </c>
      <c r="Z521" s="121" t="str">
        <f t="shared" ca="1" si="10"/>
        <v>#REF!</v>
      </c>
      <c r="AA521" s="99" t="str">
        <f t="shared" ca="1" si="11"/>
        <v>#REF!</v>
      </c>
      <c r="AB521" s="234" t="str">
        <f t="shared" ca="1" si="12"/>
        <v>#REF!</v>
      </c>
      <c r="AC521" s="257" t="str">
        <f t="shared" ca="1" si="13"/>
        <v>#REF!</v>
      </c>
      <c r="AD521" s="234" t="str">
        <f t="shared" ca="1" si="14"/>
        <v>#REF!</v>
      </c>
      <c r="AE521" s="100" t="str">
        <f t="shared" ca="1" si="15"/>
        <v>#REF!</v>
      </c>
      <c r="AF521" s="101" t="str">
        <f t="shared" ca="1" si="16"/>
        <v>#REF!</v>
      </c>
      <c r="AG521" s="102" t="str">
        <f t="shared" ref="AG521:AH521" ca="1" si="539">AE521/V521</f>
        <v>#REF!</v>
      </c>
      <c r="AH521" s="102" t="str">
        <f t="shared" ca="1" si="539"/>
        <v>#REF!</v>
      </c>
    </row>
    <row r="522" spans="1:34" ht="13.2">
      <c r="A522" s="251"/>
      <c r="B522" s="251"/>
      <c r="C522" s="252"/>
      <c r="D522" s="252"/>
      <c r="E522" s="114"/>
      <c r="F522" s="252"/>
      <c r="G522" s="125" t="s">
        <v>145</v>
      </c>
      <c r="I522" s="172"/>
      <c r="J522" s="82" t="str">
        <f t="shared" ca="1" si="0"/>
        <v>#REF!</v>
      </c>
      <c r="K522" s="82" t="str">
        <f t="shared" ca="1" si="1"/>
        <v>#REF!</v>
      </c>
      <c r="L522" s="82" t="str">
        <f t="shared" ca="1" si="44"/>
        <v>#REF!</v>
      </c>
      <c r="M522" s="93"/>
      <c r="N522" s="93"/>
      <c r="O522" s="95">
        <f t="shared" si="2"/>
        <v>0</v>
      </c>
      <c r="P522" s="96">
        <f t="shared" si="3"/>
        <v>0</v>
      </c>
      <c r="Q522" s="97">
        <f t="shared" si="4"/>
        <v>0</v>
      </c>
      <c r="R522" s="97" t="str">
        <f ca="1">ROUNDUP(HLOOKUP(IF(CEILING(L522,0.5)&lt;1,0.5,CEILING(L522,0.5)),'배송비 조회'!A$44:AO$56,7,0)*B$3,-2)</f>
        <v>#REF!</v>
      </c>
      <c r="S522" s="97">
        <v>0</v>
      </c>
      <c r="T522" s="97" t="str">
        <f t="shared" ca="1" si="42"/>
        <v>#REF!</v>
      </c>
      <c r="U522" s="97" t="str">
        <f t="shared" ca="1" si="29"/>
        <v>#REF!</v>
      </c>
      <c r="V522" s="97" t="str">
        <f t="shared" ca="1" si="7"/>
        <v>#REF!</v>
      </c>
      <c r="W522" s="97" t="str">
        <f t="shared" ca="1" si="8"/>
        <v>#REF!</v>
      </c>
      <c r="X522" s="121">
        <v>0</v>
      </c>
      <c r="Y522" s="121" t="str">
        <f t="shared" ca="1" si="9"/>
        <v>#REF!</v>
      </c>
      <c r="Z522" s="121" t="str">
        <f t="shared" ca="1" si="10"/>
        <v>#REF!</v>
      </c>
      <c r="AA522" s="99" t="str">
        <f t="shared" ca="1" si="11"/>
        <v>#REF!</v>
      </c>
      <c r="AB522" s="234" t="str">
        <f t="shared" ca="1" si="12"/>
        <v>#REF!</v>
      </c>
      <c r="AC522" s="257" t="str">
        <f t="shared" ca="1" si="13"/>
        <v>#REF!</v>
      </c>
      <c r="AD522" s="234" t="str">
        <f t="shared" ca="1" si="14"/>
        <v>#REF!</v>
      </c>
      <c r="AE522" s="100" t="str">
        <f t="shared" ca="1" si="15"/>
        <v>#REF!</v>
      </c>
      <c r="AF522" s="101" t="str">
        <f t="shared" ca="1" si="16"/>
        <v>#REF!</v>
      </c>
      <c r="AG522" s="102" t="str">
        <f t="shared" ref="AG522:AH522" ca="1" si="540">AE522/V522</f>
        <v>#REF!</v>
      </c>
      <c r="AH522" s="102" t="str">
        <f t="shared" ca="1" si="540"/>
        <v>#REF!</v>
      </c>
    </row>
    <row r="523" spans="1:34" ht="13.2">
      <c r="A523" s="251"/>
      <c r="B523" s="251"/>
      <c r="C523" s="252"/>
      <c r="D523" s="252"/>
      <c r="E523" s="114"/>
      <c r="F523" s="252"/>
      <c r="G523" s="125" t="s">
        <v>145</v>
      </c>
      <c r="I523" s="172"/>
      <c r="J523" s="82" t="str">
        <f t="shared" ca="1" si="0"/>
        <v>#REF!</v>
      </c>
      <c r="K523" s="82" t="str">
        <f t="shared" ca="1" si="1"/>
        <v>#REF!</v>
      </c>
      <c r="L523" s="82" t="str">
        <f t="shared" ca="1" si="44"/>
        <v>#REF!</v>
      </c>
      <c r="M523" s="93"/>
      <c r="N523" s="93"/>
      <c r="O523" s="95">
        <f t="shared" si="2"/>
        <v>0</v>
      </c>
      <c r="P523" s="96">
        <f t="shared" si="3"/>
        <v>0</v>
      </c>
      <c r="Q523" s="97">
        <f t="shared" si="4"/>
        <v>0</v>
      </c>
      <c r="R523" s="97" t="str">
        <f ca="1">ROUNDUP(HLOOKUP(IF(CEILING(L523,0.5)&lt;1,0.5,CEILING(L523,0.5)),'배송비 조회'!A$44:AO$56,7,0)*B$3,-2)</f>
        <v>#REF!</v>
      </c>
      <c r="S523" s="97">
        <v>0</v>
      </c>
      <c r="T523" s="97" t="str">
        <f t="shared" ca="1" si="42"/>
        <v>#REF!</v>
      </c>
      <c r="U523" s="97" t="str">
        <f t="shared" ca="1" si="29"/>
        <v>#REF!</v>
      </c>
      <c r="V523" s="97" t="str">
        <f t="shared" ca="1" si="7"/>
        <v>#REF!</v>
      </c>
      <c r="W523" s="97" t="str">
        <f t="shared" ca="1" si="8"/>
        <v>#REF!</v>
      </c>
      <c r="X523" s="121">
        <v>0</v>
      </c>
      <c r="Y523" s="121" t="str">
        <f t="shared" ca="1" si="9"/>
        <v>#REF!</v>
      </c>
      <c r="Z523" s="121" t="str">
        <f t="shared" ca="1" si="10"/>
        <v>#REF!</v>
      </c>
      <c r="AA523" s="99" t="str">
        <f t="shared" ca="1" si="11"/>
        <v>#REF!</v>
      </c>
      <c r="AB523" s="234" t="str">
        <f t="shared" ca="1" si="12"/>
        <v>#REF!</v>
      </c>
      <c r="AC523" s="257" t="str">
        <f t="shared" ca="1" si="13"/>
        <v>#REF!</v>
      </c>
      <c r="AD523" s="234" t="str">
        <f t="shared" ca="1" si="14"/>
        <v>#REF!</v>
      </c>
      <c r="AE523" s="100" t="str">
        <f t="shared" ca="1" si="15"/>
        <v>#REF!</v>
      </c>
      <c r="AF523" s="101" t="str">
        <f t="shared" ca="1" si="16"/>
        <v>#REF!</v>
      </c>
      <c r="AG523" s="102" t="str">
        <f t="shared" ref="AG523:AH523" ca="1" si="541">AE523/V523</f>
        <v>#REF!</v>
      </c>
      <c r="AH523" s="102" t="str">
        <f t="shared" ca="1" si="541"/>
        <v>#REF!</v>
      </c>
    </row>
    <row r="524" spans="1:34" ht="13.2">
      <c r="A524" s="251"/>
      <c r="B524" s="251"/>
      <c r="C524" s="252"/>
      <c r="D524" s="252"/>
      <c r="E524" s="114"/>
      <c r="F524" s="252"/>
      <c r="G524" s="125" t="s">
        <v>145</v>
      </c>
      <c r="I524" s="172"/>
      <c r="J524" s="82" t="str">
        <f t="shared" ca="1" si="0"/>
        <v>#REF!</v>
      </c>
      <c r="K524" s="82" t="str">
        <f t="shared" ca="1" si="1"/>
        <v>#REF!</v>
      </c>
      <c r="L524" s="82" t="str">
        <f t="shared" ca="1" si="44"/>
        <v>#REF!</v>
      </c>
      <c r="M524" s="93"/>
      <c r="N524" s="93"/>
      <c r="O524" s="95">
        <f t="shared" si="2"/>
        <v>0</v>
      </c>
      <c r="P524" s="96">
        <f t="shared" si="3"/>
        <v>0</v>
      </c>
      <c r="Q524" s="97">
        <f t="shared" si="4"/>
        <v>0</v>
      </c>
      <c r="R524" s="97" t="str">
        <f ca="1">ROUNDUP(HLOOKUP(IF(CEILING(L524,0.5)&lt;1,0.5,CEILING(L524,0.5)),'배송비 조회'!A$44:AO$56,7,0)*B$3,-2)</f>
        <v>#REF!</v>
      </c>
      <c r="S524" s="97">
        <v>0</v>
      </c>
      <c r="T524" s="97" t="str">
        <f t="shared" ca="1" si="42"/>
        <v>#REF!</v>
      </c>
      <c r="U524" s="97" t="str">
        <f t="shared" ca="1" si="29"/>
        <v>#REF!</v>
      </c>
      <c r="V524" s="97" t="str">
        <f t="shared" ca="1" si="7"/>
        <v>#REF!</v>
      </c>
      <c r="W524" s="97" t="str">
        <f t="shared" ca="1" si="8"/>
        <v>#REF!</v>
      </c>
      <c r="X524" s="121">
        <v>0</v>
      </c>
      <c r="Y524" s="121" t="str">
        <f t="shared" ca="1" si="9"/>
        <v>#REF!</v>
      </c>
      <c r="Z524" s="121" t="str">
        <f t="shared" ca="1" si="10"/>
        <v>#REF!</v>
      </c>
      <c r="AA524" s="99" t="str">
        <f t="shared" ca="1" si="11"/>
        <v>#REF!</v>
      </c>
      <c r="AB524" s="234" t="str">
        <f t="shared" ca="1" si="12"/>
        <v>#REF!</v>
      </c>
      <c r="AC524" s="257" t="str">
        <f t="shared" ca="1" si="13"/>
        <v>#REF!</v>
      </c>
      <c r="AD524" s="234" t="str">
        <f t="shared" ca="1" si="14"/>
        <v>#REF!</v>
      </c>
      <c r="AE524" s="100" t="str">
        <f t="shared" ca="1" si="15"/>
        <v>#REF!</v>
      </c>
      <c r="AF524" s="101" t="str">
        <f t="shared" ca="1" si="16"/>
        <v>#REF!</v>
      </c>
      <c r="AG524" s="102" t="str">
        <f t="shared" ref="AG524:AH524" ca="1" si="542">AE524/V524</f>
        <v>#REF!</v>
      </c>
      <c r="AH524" s="102" t="str">
        <f t="shared" ca="1" si="542"/>
        <v>#REF!</v>
      </c>
    </row>
    <row r="525" spans="1:34" ht="13.2">
      <c r="A525" s="251"/>
      <c r="B525" s="251"/>
      <c r="C525" s="252"/>
      <c r="D525" s="252"/>
      <c r="E525" s="114"/>
      <c r="F525" s="252"/>
      <c r="G525" s="125" t="s">
        <v>145</v>
      </c>
      <c r="I525" s="172"/>
      <c r="J525" s="82" t="str">
        <f t="shared" ca="1" si="0"/>
        <v>#REF!</v>
      </c>
      <c r="K525" s="82" t="str">
        <f t="shared" ca="1" si="1"/>
        <v>#REF!</v>
      </c>
      <c r="L525" s="82" t="str">
        <f t="shared" ca="1" si="44"/>
        <v>#REF!</v>
      </c>
      <c r="M525" s="93"/>
      <c r="N525" s="93"/>
      <c r="O525" s="95">
        <f t="shared" si="2"/>
        <v>0</v>
      </c>
      <c r="P525" s="96">
        <f t="shared" si="3"/>
        <v>0</v>
      </c>
      <c r="Q525" s="97">
        <f t="shared" si="4"/>
        <v>0</v>
      </c>
      <c r="R525" s="97" t="str">
        <f ca="1">ROUNDUP(HLOOKUP(IF(CEILING(L525,0.5)&lt;1,0.5,CEILING(L525,0.5)),'배송비 조회'!A$44:AO$56,7,0)*B$3,-2)</f>
        <v>#REF!</v>
      </c>
      <c r="S525" s="97">
        <v>0</v>
      </c>
      <c r="T525" s="97" t="str">
        <f t="shared" ca="1" si="42"/>
        <v>#REF!</v>
      </c>
      <c r="U525" s="97" t="str">
        <f t="shared" ca="1" si="29"/>
        <v>#REF!</v>
      </c>
      <c r="V525" s="97" t="str">
        <f t="shared" ca="1" si="7"/>
        <v>#REF!</v>
      </c>
      <c r="W525" s="97" t="str">
        <f t="shared" ca="1" si="8"/>
        <v>#REF!</v>
      </c>
      <c r="X525" s="121">
        <v>0</v>
      </c>
      <c r="Y525" s="121" t="str">
        <f t="shared" ca="1" si="9"/>
        <v>#REF!</v>
      </c>
      <c r="Z525" s="121" t="str">
        <f t="shared" ca="1" si="10"/>
        <v>#REF!</v>
      </c>
      <c r="AA525" s="99" t="str">
        <f t="shared" ca="1" si="11"/>
        <v>#REF!</v>
      </c>
      <c r="AB525" s="234" t="str">
        <f t="shared" ca="1" si="12"/>
        <v>#REF!</v>
      </c>
      <c r="AC525" s="257" t="str">
        <f t="shared" ca="1" si="13"/>
        <v>#REF!</v>
      </c>
      <c r="AD525" s="234" t="str">
        <f t="shared" ca="1" si="14"/>
        <v>#REF!</v>
      </c>
      <c r="AE525" s="100" t="str">
        <f t="shared" ca="1" si="15"/>
        <v>#REF!</v>
      </c>
      <c r="AF525" s="101" t="str">
        <f t="shared" ca="1" si="16"/>
        <v>#REF!</v>
      </c>
      <c r="AG525" s="102" t="str">
        <f t="shared" ref="AG525:AH525" ca="1" si="543">AE525/V525</f>
        <v>#REF!</v>
      </c>
      <c r="AH525" s="102" t="str">
        <f t="shared" ca="1" si="543"/>
        <v>#REF!</v>
      </c>
    </row>
    <row r="526" spans="1:34" ht="13.2">
      <c r="A526" s="251"/>
      <c r="B526" s="251"/>
      <c r="C526" s="252"/>
      <c r="D526" s="252"/>
      <c r="E526" s="114"/>
      <c r="F526" s="252"/>
      <c r="G526" s="125" t="s">
        <v>145</v>
      </c>
      <c r="I526" s="172"/>
      <c r="J526" s="82" t="str">
        <f t="shared" ca="1" si="0"/>
        <v>#REF!</v>
      </c>
      <c r="K526" s="82" t="str">
        <f t="shared" ca="1" si="1"/>
        <v>#REF!</v>
      </c>
      <c r="L526" s="82" t="str">
        <f t="shared" ca="1" si="44"/>
        <v>#REF!</v>
      </c>
      <c r="M526" s="93"/>
      <c r="N526" s="93"/>
      <c r="O526" s="95">
        <f t="shared" si="2"/>
        <v>0</v>
      </c>
      <c r="P526" s="96">
        <f t="shared" si="3"/>
        <v>0</v>
      </c>
      <c r="Q526" s="97">
        <f t="shared" si="4"/>
        <v>0</v>
      </c>
      <c r="R526" s="97" t="str">
        <f ca="1">ROUNDUP(HLOOKUP(IF(CEILING(L526,0.5)&lt;1,0.5,CEILING(L526,0.5)),'배송비 조회'!A$44:AO$56,7,0)*B$3,-2)</f>
        <v>#REF!</v>
      </c>
      <c r="S526" s="97">
        <v>0</v>
      </c>
      <c r="T526" s="97" t="str">
        <f t="shared" ca="1" si="42"/>
        <v>#REF!</v>
      </c>
      <c r="U526" s="97" t="str">
        <f t="shared" ca="1" si="29"/>
        <v>#REF!</v>
      </c>
      <c r="V526" s="97" t="str">
        <f t="shared" ca="1" si="7"/>
        <v>#REF!</v>
      </c>
      <c r="W526" s="97" t="str">
        <f t="shared" ca="1" si="8"/>
        <v>#REF!</v>
      </c>
      <c r="X526" s="121">
        <v>0</v>
      </c>
      <c r="Y526" s="121" t="str">
        <f t="shared" ca="1" si="9"/>
        <v>#REF!</v>
      </c>
      <c r="Z526" s="121" t="str">
        <f t="shared" ca="1" si="10"/>
        <v>#REF!</v>
      </c>
      <c r="AA526" s="99" t="str">
        <f t="shared" ca="1" si="11"/>
        <v>#REF!</v>
      </c>
      <c r="AB526" s="234" t="str">
        <f t="shared" ca="1" si="12"/>
        <v>#REF!</v>
      </c>
      <c r="AC526" s="257" t="str">
        <f t="shared" ca="1" si="13"/>
        <v>#REF!</v>
      </c>
      <c r="AD526" s="234" t="str">
        <f t="shared" ca="1" si="14"/>
        <v>#REF!</v>
      </c>
      <c r="AE526" s="100" t="str">
        <f t="shared" ca="1" si="15"/>
        <v>#REF!</v>
      </c>
      <c r="AF526" s="101" t="str">
        <f t="shared" ca="1" si="16"/>
        <v>#REF!</v>
      </c>
      <c r="AG526" s="102" t="str">
        <f t="shared" ref="AG526:AH526" ca="1" si="544">AE526/V526</f>
        <v>#REF!</v>
      </c>
      <c r="AH526" s="102" t="str">
        <f t="shared" ca="1" si="544"/>
        <v>#REF!</v>
      </c>
    </row>
    <row r="527" spans="1:34" ht="13.2">
      <c r="A527" s="251"/>
      <c r="B527" s="251"/>
      <c r="C527" s="252"/>
      <c r="D527" s="252"/>
      <c r="E527" s="114"/>
      <c r="F527" s="252"/>
      <c r="G527" s="125" t="s">
        <v>145</v>
      </c>
      <c r="I527" s="172"/>
      <c r="J527" s="82" t="str">
        <f t="shared" ca="1" si="0"/>
        <v>#REF!</v>
      </c>
      <c r="K527" s="82" t="str">
        <f t="shared" ca="1" si="1"/>
        <v>#REF!</v>
      </c>
      <c r="L527" s="82" t="str">
        <f t="shared" ca="1" si="44"/>
        <v>#REF!</v>
      </c>
      <c r="M527" s="93"/>
      <c r="N527" s="93"/>
      <c r="O527" s="95">
        <f t="shared" si="2"/>
        <v>0</v>
      </c>
      <c r="P527" s="96">
        <f t="shared" si="3"/>
        <v>0</v>
      </c>
      <c r="Q527" s="97">
        <f t="shared" si="4"/>
        <v>0</v>
      </c>
      <c r="R527" s="97" t="str">
        <f ca="1">ROUNDUP(HLOOKUP(IF(CEILING(L527,0.5)&lt;1,0.5,CEILING(L527,0.5)),'배송비 조회'!A$44:AO$56,7,0)*B$3,-2)</f>
        <v>#REF!</v>
      </c>
      <c r="S527" s="97">
        <v>0</v>
      </c>
      <c r="T527" s="97" t="str">
        <f t="shared" ca="1" si="42"/>
        <v>#REF!</v>
      </c>
      <c r="U527" s="97" t="str">
        <f t="shared" ca="1" si="29"/>
        <v>#REF!</v>
      </c>
      <c r="V527" s="97" t="str">
        <f t="shared" ca="1" si="7"/>
        <v>#REF!</v>
      </c>
      <c r="W527" s="97" t="str">
        <f t="shared" ca="1" si="8"/>
        <v>#REF!</v>
      </c>
      <c r="X527" s="121">
        <v>0</v>
      </c>
      <c r="Y527" s="121" t="str">
        <f t="shared" ca="1" si="9"/>
        <v>#REF!</v>
      </c>
      <c r="Z527" s="121" t="str">
        <f t="shared" ca="1" si="10"/>
        <v>#REF!</v>
      </c>
      <c r="AA527" s="99" t="str">
        <f t="shared" ca="1" si="11"/>
        <v>#REF!</v>
      </c>
      <c r="AB527" s="234" t="str">
        <f t="shared" ca="1" si="12"/>
        <v>#REF!</v>
      </c>
      <c r="AC527" s="257" t="str">
        <f t="shared" ca="1" si="13"/>
        <v>#REF!</v>
      </c>
      <c r="AD527" s="234" t="str">
        <f t="shared" ca="1" si="14"/>
        <v>#REF!</v>
      </c>
      <c r="AE527" s="100" t="str">
        <f t="shared" ca="1" si="15"/>
        <v>#REF!</v>
      </c>
      <c r="AF527" s="101" t="str">
        <f t="shared" ca="1" si="16"/>
        <v>#REF!</v>
      </c>
      <c r="AG527" s="102" t="str">
        <f t="shared" ref="AG527:AH527" ca="1" si="545">AE527/V527</f>
        <v>#REF!</v>
      </c>
      <c r="AH527" s="102" t="str">
        <f t="shared" ca="1" si="545"/>
        <v>#REF!</v>
      </c>
    </row>
    <row r="528" spans="1:34" ht="13.2">
      <c r="A528" s="251"/>
      <c r="B528" s="251"/>
      <c r="C528" s="252"/>
      <c r="D528" s="252"/>
      <c r="E528" s="114"/>
      <c r="F528" s="252"/>
      <c r="G528" s="125" t="s">
        <v>145</v>
      </c>
      <c r="I528" s="172"/>
      <c r="J528" s="82" t="str">
        <f t="shared" ca="1" si="0"/>
        <v>#REF!</v>
      </c>
      <c r="K528" s="82" t="str">
        <f t="shared" ca="1" si="1"/>
        <v>#REF!</v>
      </c>
      <c r="L528" s="82" t="str">
        <f t="shared" ca="1" si="44"/>
        <v>#REF!</v>
      </c>
      <c r="M528" s="93"/>
      <c r="N528" s="93"/>
      <c r="O528" s="95">
        <f t="shared" si="2"/>
        <v>0</v>
      </c>
      <c r="P528" s="96">
        <f t="shared" si="3"/>
        <v>0</v>
      </c>
      <c r="Q528" s="97">
        <f t="shared" si="4"/>
        <v>0</v>
      </c>
      <c r="R528" s="97" t="str">
        <f ca="1">ROUNDUP(HLOOKUP(IF(CEILING(L528,0.5)&lt;1,0.5,CEILING(L528,0.5)),'배송비 조회'!A$44:AO$56,7,0)*B$3,-2)</f>
        <v>#REF!</v>
      </c>
      <c r="S528" s="97">
        <v>0</v>
      </c>
      <c r="T528" s="97" t="str">
        <f t="shared" ca="1" si="42"/>
        <v>#REF!</v>
      </c>
      <c r="U528" s="97" t="str">
        <f t="shared" ca="1" si="29"/>
        <v>#REF!</v>
      </c>
      <c r="V528" s="97" t="str">
        <f t="shared" ca="1" si="7"/>
        <v>#REF!</v>
      </c>
      <c r="W528" s="97" t="str">
        <f t="shared" ca="1" si="8"/>
        <v>#REF!</v>
      </c>
      <c r="X528" s="121">
        <v>0</v>
      </c>
      <c r="Y528" s="121" t="str">
        <f t="shared" ca="1" si="9"/>
        <v>#REF!</v>
      </c>
      <c r="Z528" s="121" t="str">
        <f t="shared" ca="1" si="10"/>
        <v>#REF!</v>
      </c>
      <c r="AA528" s="99" t="str">
        <f t="shared" ca="1" si="11"/>
        <v>#REF!</v>
      </c>
      <c r="AB528" s="234" t="str">
        <f t="shared" ca="1" si="12"/>
        <v>#REF!</v>
      </c>
      <c r="AC528" s="257" t="str">
        <f t="shared" ca="1" si="13"/>
        <v>#REF!</v>
      </c>
      <c r="AD528" s="234" t="str">
        <f t="shared" ca="1" si="14"/>
        <v>#REF!</v>
      </c>
      <c r="AE528" s="100" t="str">
        <f t="shared" ca="1" si="15"/>
        <v>#REF!</v>
      </c>
      <c r="AF528" s="101" t="str">
        <f t="shared" ca="1" si="16"/>
        <v>#REF!</v>
      </c>
      <c r="AG528" s="102" t="str">
        <f t="shared" ref="AG528:AH528" ca="1" si="546">AE528/V528</f>
        <v>#REF!</v>
      </c>
      <c r="AH528" s="102" t="str">
        <f t="shared" ca="1" si="546"/>
        <v>#REF!</v>
      </c>
    </row>
    <row r="529" spans="1:34" ht="13.2">
      <c r="A529" s="251"/>
      <c r="B529" s="251"/>
      <c r="C529" s="252"/>
      <c r="D529" s="252"/>
      <c r="E529" s="114"/>
      <c r="F529" s="252"/>
      <c r="G529" s="125" t="s">
        <v>145</v>
      </c>
      <c r="I529" s="172"/>
      <c r="J529" s="82" t="str">
        <f t="shared" ca="1" si="0"/>
        <v>#REF!</v>
      </c>
      <c r="K529" s="82" t="str">
        <f t="shared" ca="1" si="1"/>
        <v>#REF!</v>
      </c>
      <c r="L529" s="82" t="str">
        <f t="shared" ca="1" si="44"/>
        <v>#REF!</v>
      </c>
      <c r="M529" s="93"/>
      <c r="N529" s="93"/>
      <c r="O529" s="95">
        <f t="shared" si="2"/>
        <v>0</v>
      </c>
      <c r="P529" s="96">
        <f t="shared" si="3"/>
        <v>0</v>
      </c>
      <c r="Q529" s="97">
        <f t="shared" si="4"/>
        <v>0</v>
      </c>
      <c r="R529" s="97" t="str">
        <f ca="1">ROUNDUP(HLOOKUP(IF(CEILING(L529,0.5)&lt;1,0.5,CEILING(L529,0.5)),'배송비 조회'!A$44:AO$56,7,0)*B$3,-2)</f>
        <v>#REF!</v>
      </c>
      <c r="S529" s="97">
        <v>0</v>
      </c>
      <c r="T529" s="97" t="str">
        <f t="shared" ca="1" si="42"/>
        <v>#REF!</v>
      </c>
      <c r="U529" s="97" t="str">
        <f t="shared" ca="1" si="29"/>
        <v>#REF!</v>
      </c>
      <c r="V529" s="97" t="str">
        <f t="shared" ca="1" si="7"/>
        <v>#REF!</v>
      </c>
      <c r="W529" s="97" t="str">
        <f t="shared" ca="1" si="8"/>
        <v>#REF!</v>
      </c>
      <c r="X529" s="121">
        <v>0</v>
      </c>
      <c r="Y529" s="121" t="str">
        <f t="shared" ca="1" si="9"/>
        <v>#REF!</v>
      </c>
      <c r="Z529" s="121" t="str">
        <f t="shared" ca="1" si="10"/>
        <v>#REF!</v>
      </c>
      <c r="AA529" s="99" t="str">
        <f t="shared" ca="1" si="11"/>
        <v>#REF!</v>
      </c>
      <c r="AB529" s="234" t="str">
        <f t="shared" ca="1" si="12"/>
        <v>#REF!</v>
      </c>
      <c r="AC529" s="257" t="str">
        <f t="shared" ca="1" si="13"/>
        <v>#REF!</v>
      </c>
      <c r="AD529" s="234" t="str">
        <f t="shared" ca="1" si="14"/>
        <v>#REF!</v>
      </c>
      <c r="AE529" s="100" t="str">
        <f t="shared" ca="1" si="15"/>
        <v>#REF!</v>
      </c>
      <c r="AF529" s="101" t="str">
        <f t="shared" ca="1" si="16"/>
        <v>#REF!</v>
      </c>
      <c r="AG529" s="102" t="str">
        <f t="shared" ref="AG529:AH529" ca="1" si="547">AE529/V529</f>
        <v>#REF!</v>
      </c>
      <c r="AH529" s="102" t="str">
        <f t="shared" ca="1" si="547"/>
        <v>#REF!</v>
      </c>
    </row>
    <row r="530" spans="1:34" ht="13.2">
      <c r="A530" s="251"/>
      <c r="B530" s="251"/>
      <c r="C530" s="252"/>
      <c r="D530" s="252"/>
      <c r="E530" s="114"/>
      <c r="F530" s="252"/>
      <c r="G530" s="125" t="s">
        <v>145</v>
      </c>
      <c r="I530" s="172"/>
      <c r="J530" s="82" t="str">
        <f t="shared" ca="1" si="0"/>
        <v>#REF!</v>
      </c>
      <c r="K530" s="82" t="str">
        <f t="shared" ca="1" si="1"/>
        <v>#REF!</v>
      </c>
      <c r="L530" s="82" t="str">
        <f t="shared" ca="1" si="44"/>
        <v>#REF!</v>
      </c>
      <c r="M530" s="93"/>
      <c r="N530" s="93"/>
      <c r="O530" s="95">
        <f t="shared" si="2"/>
        <v>0</v>
      </c>
      <c r="P530" s="96">
        <f t="shared" si="3"/>
        <v>0</v>
      </c>
      <c r="Q530" s="97">
        <f t="shared" si="4"/>
        <v>0</v>
      </c>
      <c r="R530" s="97" t="str">
        <f ca="1">ROUNDUP(HLOOKUP(IF(CEILING(L530,0.5)&lt;1,0.5,CEILING(L530,0.5)),'배송비 조회'!A$44:AO$56,7,0)*B$3,-2)</f>
        <v>#REF!</v>
      </c>
      <c r="S530" s="97">
        <v>0</v>
      </c>
      <c r="T530" s="97" t="str">
        <f t="shared" ca="1" si="42"/>
        <v>#REF!</v>
      </c>
      <c r="U530" s="97" t="str">
        <f t="shared" ca="1" si="29"/>
        <v>#REF!</v>
      </c>
      <c r="V530" s="97" t="str">
        <f t="shared" ca="1" si="7"/>
        <v>#REF!</v>
      </c>
      <c r="W530" s="97" t="str">
        <f t="shared" ca="1" si="8"/>
        <v>#REF!</v>
      </c>
      <c r="X530" s="121">
        <v>0</v>
      </c>
      <c r="Y530" s="121" t="str">
        <f t="shared" ca="1" si="9"/>
        <v>#REF!</v>
      </c>
      <c r="Z530" s="121" t="str">
        <f t="shared" ca="1" si="10"/>
        <v>#REF!</v>
      </c>
      <c r="AA530" s="99" t="str">
        <f t="shared" ca="1" si="11"/>
        <v>#REF!</v>
      </c>
      <c r="AB530" s="234" t="str">
        <f t="shared" ca="1" si="12"/>
        <v>#REF!</v>
      </c>
      <c r="AC530" s="257" t="str">
        <f t="shared" ca="1" si="13"/>
        <v>#REF!</v>
      </c>
      <c r="AD530" s="234" t="str">
        <f t="shared" ca="1" si="14"/>
        <v>#REF!</v>
      </c>
      <c r="AE530" s="100" t="str">
        <f t="shared" ca="1" si="15"/>
        <v>#REF!</v>
      </c>
      <c r="AF530" s="101" t="str">
        <f t="shared" ca="1" si="16"/>
        <v>#REF!</v>
      </c>
      <c r="AG530" s="102" t="str">
        <f t="shared" ref="AG530:AH530" ca="1" si="548">AE530/V530</f>
        <v>#REF!</v>
      </c>
      <c r="AH530" s="102" t="str">
        <f t="shared" ca="1" si="548"/>
        <v>#REF!</v>
      </c>
    </row>
    <row r="531" spans="1:34" ht="13.2">
      <c r="A531" s="251"/>
      <c r="B531" s="251"/>
      <c r="C531" s="252"/>
      <c r="D531" s="252"/>
      <c r="E531" s="114"/>
      <c r="F531" s="252"/>
      <c r="G531" s="125" t="s">
        <v>145</v>
      </c>
      <c r="I531" s="172"/>
      <c r="J531" s="82" t="str">
        <f t="shared" ca="1" si="0"/>
        <v>#REF!</v>
      </c>
      <c r="K531" s="82" t="str">
        <f t="shared" ca="1" si="1"/>
        <v>#REF!</v>
      </c>
      <c r="L531" s="82" t="str">
        <f t="shared" ca="1" si="44"/>
        <v>#REF!</v>
      </c>
      <c r="M531" s="93"/>
      <c r="N531" s="93"/>
      <c r="O531" s="95">
        <f t="shared" si="2"/>
        <v>0</v>
      </c>
      <c r="P531" s="96">
        <f t="shared" si="3"/>
        <v>0</v>
      </c>
      <c r="Q531" s="97">
        <f t="shared" si="4"/>
        <v>0</v>
      </c>
      <c r="R531" s="97" t="str">
        <f ca="1">ROUNDUP(HLOOKUP(IF(CEILING(L531,0.5)&lt;1,0.5,CEILING(L531,0.5)),'배송비 조회'!A$44:AO$56,7,0)*B$3,-2)</f>
        <v>#REF!</v>
      </c>
      <c r="S531" s="97">
        <v>0</v>
      </c>
      <c r="T531" s="97" t="str">
        <f t="shared" ca="1" si="42"/>
        <v>#REF!</v>
      </c>
      <c r="U531" s="97" t="str">
        <f t="shared" ca="1" si="29"/>
        <v>#REF!</v>
      </c>
      <c r="V531" s="97" t="str">
        <f t="shared" ca="1" si="7"/>
        <v>#REF!</v>
      </c>
      <c r="W531" s="97" t="str">
        <f t="shared" ca="1" si="8"/>
        <v>#REF!</v>
      </c>
      <c r="X531" s="121">
        <v>0</v>
      </c>
      <c r="Y531" s="121" t="str">
        <f t="shared" ca="1" si="9"/>
        <v>#REF!</v>
      </c>
      <c r="Z531" s="121" t="str">
        <f t="shared" ca="1" si="10"/>
        <v>#REF!</v>
      </c>
      <c r="AA531" s="99" t="str">
        <f t="shared" ca="1" si="11"/>
        <v>#REF!</v>
      </c>
      <c r="AB531" s="234" t="str">
        <f t="shared" ca="1" si="12"/>
        <v>#REF!</v>
      </c>
      <c r="AC531" s="257" t="str">
        <f t="shared" ca="1" si="13"/>
        <v>#REF!</v>
      </c>
      <c r="AD531" s="234" t="str">
        <f t="shared" ca="1" si="14"/>
        <v>#REF!</v>
      </c>
      <c r="AE531" s="100" t="str">
        <f t="shared" ca="1" si="15"/>
        <v>#REF!</v>
      </c>
      <c r="AF531" s="101" t="str">
        <f t="shared" ca="1" si="16"/>
        <v>#REF!</v>
      </c>
      <c r="AG531" s="102" t="str">
        <f t="shared" ref="AG531:AH531" ca="1" si="549">AE531/V531</f>
        <v>#REF!</v>
      </c>
      <c r="AH531" s="102" t="str">
        <f t="shared" ca="1" si="549"/>
        <v>#REF!</v>
      </c>
    </row>
    <row r="532" spans="1:34" ht="13.2">
      <c r="A532" s="251"/>
      <c r="B532" s="251"/>
      <c r="C532" s="252"/>
      <c r="D532" s="252"/>
      <c r="E532" s="114"/>
      <c r="F532" s="252"/>
      <c r="G532" s="125" t="s">
        <v>145</v>
      </c>
      <c r="I532" s="172"/>
      <c r="J532" s="82" t="str">
        <f t="shared" ca="1" si="0"/>
        <v>#REF!</v>
      </c>
      <c r="K532" s="82" t="str">
        <f t="shared" ca="1" si="1"/>
        <v>#REF!</v>
      </c>
      <c r="L532" s="82" t="str">
        <f t="shared" ca="1" si="44"/>
        <v>#REF!</v>
      </c>
      <c r="M532" s="93"/>
      <c r="N532" s="93"/>
      <c r="O532" s="95">
        <f t="shared" si="2"/>
        <v>0</v>
      </c>
      <c r="P532" s="96">
        <f t="shared" si="3"/>
        <v>0</v>
      </c>
      <c r="Q532" s="97">
        <f t="shared" si="4"/>
        <v>0</v>
      </c>
      <c r="R532" s="97" t="str">
        <f ca="1">ROUNDUP(HLOOKUP(IF(CEILING(L532,0.5)&lt;1,0.5,CEILING(L532,0.5)),'배송비 조회'!A$44:AO$56,7,0)*B$3,-2)</f>
        <v>#REF!</v>
      </c>
      <c r="S532" s="97">
        <v>0</v>
      </c>
      <c r="T532" s="97" t="str">
        <f t="shared" ca="1" si="42"/>
        <v>#REF!</v>
      </c>
      <c r="U532" s="97" t="str">
        <f t="shared" ca="1" si="29"/>
        <v>#REF!</v>
      </c>
      <c r="V532" s="97" t="str">
        <f t="shared" ca="1" si="7"/>
        <v>#REF!</v>
      </c>
      <c r="W532" s="97" t="str">
        <f t="shared" ca="1" si="8"/>
        <v>#REF!</v>
      </c>
      <c r="X532" s="121">
        <v>0</v>
      </c>
      <c r="Y532" s="121" t="str">
        <f t="shared" ca="1" si="9"/>
        <v>#REF!</v>
      </c>
      <c r="Z532" s="121" t="str">
        <f t="shared" ca="1" si="10"/>
        <v>#REF!</v>
      </c>
      <c r="AA532" s="99" t="str">
        <f t="shared" ca="1" si="11"/>
        <v>#REF!</v>
      </c>
      <c r="AB532" s="234" t="str">
        <f t="shared" ca="1" si="12"/>
        <v>#REF!</v>
      </c>
      <c r="AC532" s="257" t="str">
        <f t="shared" ca="1" si="13"/>
        <v>#REF!</v>
      </c>
      <c r="AD532" s="234" t="str">
        <f t="shared" ca="1" si="14"/>
        <v>#REF!</v>
      </c>
      <c r="AE532" s="100" t="str">
        <f t="shared" ca="1" si="15"/>
        <v>#REF!</v>
      </c>
      <c r="AF532" s="101" t="str">
        <f t="shared" ca="1" si="16"/>
        <v>#REF!</v>
      </c>
      <c r="AG532" s="102" t="str">
        <f t="shared" ref="AG532:AH532" ca="1" si="550">AE532/V532</f>
        <v>#REF!</v>
      </c>
      <c r="AH532" s="102" t="str">
        <f t="shared" ca="1" si="550"/>
        <v>#REF!</v>
      </c>
    </row>
    <row r="533" spans="1:34" ht="13.2">
      <c r="A533" s="251"/>
      <c r="B533" s="251"/>
      <c r="C533" s="252"/>
      <c r="D533" s="252"/>
      <c r="E533" s="114"/>
      <c r="F533" s="252"/>
      <c r="G533" s="125" t="s">
        <v>145</v>
      </c>
      <c r="I533" s="172"/>
      <c r="J533" s="82" t="str">
        <f t="shared" ca="1" si="0"/>
        <v>#REF!</v>
      </c>
      <c r="K533" s="82" t="str">
        <f t="shared" ca="1" si="1"/>
        <v>#REF!</v>
      </c>
      <c r="L533" s="82" t="str">
        <f t="shared" ca="1" si="44"/>
        <v>#REF!</v>
      </c>
      <c r="M533" s="93"/>
      <c r="N533" s="93"/>
      <c r="O533" s="95">
        <f t="shared" si="2"/>
        <v>0</v>
      </c>
      <c r="P533" s="96">
        <f t="shared" si="3"/>
        <v>0</v>
      </c>
      <c r="Q533" s="97">
        <f t="shared" si="4"/>
        <v>0</v>
      </c>
      <c r="R533" s="97" t="str">
        <f ca="1">ROUNDUP(HLOOKUP(IF(CEILING(L533,0.5)&lt;1,0.5,CEILING(L533,0.5)),'배송비 조회'!A$44:AO$56,7,0)*B$3,-2)</f>
        <v>#REF!</v>
      </c>
      <c r="S533" s="97">
        <v>0</v>
      </c>
      <c r="T533" s="97" t="str">
        <f t="shared" ca="1" si="42"/>
        <v>#REF!</v>
      </c>
      <c r="U533" s="97" t="str">
        <f t="shared" ca="1" si="29"/>
        <v>#REF!</v>
      </c>
      <c r="V533" s="97" t="str">
        <f t="shared" ca="1" si="7"/>
        <v>#REF!</v>
      </c>
      <c r="W533" s="97" t="str">
        <f t="shared" ca="1" si="8"/>
        <v>#REF!</v>
      </c>
      <c r="X533" s="121">
        <v>0</v>
      </c>
      <c r="Y533" s="121" t="str">
        <f t="shared" ca="1" si="9"/>
        <v>#REF!</v>
      </c>
      <c r="Z533" s="121" t="str">
        <f t="shared" ca="1" si="10"/>
        <v>#REF!</v>
      </c>
      <c r="AA533" s="99" t="str">
        <f t="shared" ca="1" si="11"/>
        <v>#REF!</v>
      </c>
      <c r="AB533" s="234" t="str">
        <f t="shared" ca="1" si="12"/>
        <v>#REF!</v>
      </c>
      <c r="AC533" s="257" t="str">
        <f t="shared" ca="1" si="13"/>
        <v>#REF!</v>
      </c>
      <c r="AD533" s="234" t="str">
        <f t="shared" ca="1" si="14"/>
        <v>#REF!</v>
      </c>
      <c r="AE533" s="100" t="str">
        <f t="shared" ca="1" si="15"/>
        <v>#REF!</v>
      </c>
      <c r="AF533" s="101" t="str">
        <f t="shared" ca="1" si="16"/>
        <v>#REF!</v>
      </c>
      <c r="AG533" s="102" t="str">
        <f t="shared" ref="AG533:AH533" ca="1" si="551">AE533/V533</f>
        <v>#REF!</v>
      </c>
      <c r="AH533" s="102" t="str">
        <f t="shared" ca="1" si="551"/>
        <v>#REF!</v>
      </c>
    </row>
    <row r="534" spans="1:34" ht="13.2">
      <c r="A534" s="251"/>
      <c r="B534" s="251"/>
      <c r="C534" s="252"/>
      <c r="D534" s="252"/>
      <c r="E534" s="114"/>
      <c r="F534" s="252"/>
      <c r="G534" s="125" t="s">
        <v>145</v>
      </c>
      <c r="I534" s="172"/>
      <c r="J534" s="82" t="str">
        <f t="shared" ca="1" si="0"/>
        <v>#REF!</v>
      </c>
      <c r="K534" s="82" t="str">
        <f t="shared" ca="1" si="1"/>
        <v>#REF!</v>
      </c>
      <c r="L534" s="82" t="str">
        <f t="shared" ca="1" si="44"/>
        <v>#REF!</v>
      </c>
      <c r="M534" s="93"/>
      <c r="N534" s="93"/>
      <c r="O534" s="95">
        <f t="shared" si="2"/>
        <v>0</v>
      </c>
      <c r="P534" s="96">
        <f t="shared" si="3"/>
        <v>0</v>
      </c>
      <c r="Q534" s="97">
        <f t="shared" si="4"/>
        <v>0</v>
      </c>
      <c r="R534" s="97" t="str">
        <f ca="1">ROUNDUP(HLOOKUP(IF(CEILING(L534,0.5)&lt;1,0.5,CEILING(L534,0.5)),'배송비 조회'!A$44:AO$56,7,0)*B$3,-2)</f>
        <v>#REF!</v>
      </c>
      <c r="S534" s="97">
        <v>0</v>
      </c>
      <c r="T534" s="97" t="str">
        <f t="shared" ca="1" si="42"/>
        <v>#REF!</v>
      </c>
      <c r="U534" s="97" t="str">
        <f t="shared" ca="1" si="29"/>
        <v>#REF!</v>
      </c>
      <c r="V534" s="97" t="str">
        <f t="shared" ca="1" si="7"/>
        <v>#REF!</v>
      </c>
      <c r="W534" s="97" t="str">
        <f t="shared" ca="1" si="8"/>
        <v>#REF!</v>
      </c>
      <c r="X534" s="121">
        <v>0</v>
      </c>
      <c r="Y534" s="121" t="str">
        <f t="shared" ca="1" si="9"/>
        <v>#REF!</v>
      </c>
      <c r="Z534" s="121" t="str">
        <f t="shared" ca="1" si="10"/>
        <v>#REF!</v>
      </c>
      <c r="AA534" s="99" t="str">
        <f t="shared" ca="1" si="11"/>
        <v>#REF!</v>
      </c>
      <c r="AB534" s="234" t="str">
        <f t="shared" ca="1" si="12"/>
        <v>#REF!</v>
      </c>
      <c r="AC534" s="257" t="str">
        <f t="shared" ca="1" si="13"/>
        <v>#REF!</v>
      </c>
      <c r="AD534" s="234" t="str">
        <f t="shared" ca="1" si="14"/>
        <v>#REF!</v>
      </c>
      <c r="AE534" s="100" t="str">
        <f t="shared" ca="1" si="15"/>
        <v>#REF!</v>
      </c>
      <c r="AF534" s="101" t="str">
        <f t="shared" ca="1" si="16"/>
        <v>#REF!</v>
      </c>
      <c r="AG534" s="102" t="str">
        <f t="shared" ref="AG534:AH534" ca="1" si="552">AE534/V534</f>
        <v>#REF!</v>
      </c>
      <c r="AH534" s="102" t="str">
        <f t="shared" ca="1" si="552"/>
        <v>#REF!</v>
      </c>
    </row>
    <row r="535" spans="1:34" ht="13.2">
      <c r="A535" s="251"/>
      <c r="B535" s="251"/>
      <c r="C535" s="252"/>
      <c r="D535" s="252"/>
      <c r="E535" s="114"/>
      <c r="F535" s="252"/>
      <c r="G535" s="125" t="s">
        <v>145</v>
      </c>
      <c r="I535" s="172"/>
      <c r="J535" s="82" t="str">
        <f t="shared" ca="1" si="0"/>
        <v>#REF!</v>
      </c>
      <c r="K535" s="82" t="str">
        <f t="shared" ca="1" si="1"/>
        <v>#REF!</v>
      </c>
      <c r="L535" s="82" t="str">
        <f t="shared" ca="1" si="44"/>
        <v>#REF!</v>
      </c>
      <c r="M535" s="93"/>
      <c r="N535" s="93"/>
      <c r="O535" s="95">
        <f t="shared" si="2"/>
        <v>0</v>
      </c>
      <c r="P535" s="96">
        <f t="shared" si="3"/>
        <v>0</v>
      </c>
      <c r="Q535" s="97">
        <f t="shared" si="4"/>
        <v>0</v>
      </c>
      <c r="R535" s="97" t="str">
        <f ca="1">ROUNDUP(HLOOKUP(IF(CEILING(L535,0.5)&lt;1,0.5,CEILING(L535,0.5)),'배송비 조회'!A$44:AO$56,7,0)*B$3,-2)</f>
        <v>#REF!</v>
      </c>
      <c r="S535" s="97">
        <v>0</v>
      </c>
      <c r="T535" s="97" t="str">
        <f t="shared" ca="1" si="42"/>
        <v>#REF!</v>
      </c>
      <c r="U535" s="97" t="str">
        <f t="shared" ca="1" si="29"/>
        <v>#REF!</v>
      </c>
      <c r="V535" s="97" t="str">
        <f t="shared" ca="1" si="7"/>
        <v>#REF!</v>
      </c>
      <c r="W535" s="97" t="str">
        <f t="shared" ca="1" si="8"/>
        <v>#REF!</v>
      </c>
      <c r="X535" s="121">
        <v>0</v>
      </c>
      <c r="Y535" s="121" t="str">
        <f t="shared" ca="1" si="9"/>
        <v>#REF!</v>
      </c>
      <c r="Z535" s="121" t="str">
        <f t="shared" ca="1" si="10"/>
        <v>#REF!</v>
      </c>
      <c r="AA535" s="99" t="str">
        <f t="shared" ca="1" si="11"/>
        <v>#REF!</v>
      </c>
      <c r="AB535" s="234" t="str">
        <f t="shared" ca="1" si="12"/>
        <v>#REF!</v>
      </c>
      <c r="AC535" s="257" t="str">
        <f t="shared" ca="1" si="13"/>
        <v>#REF!</v>
      </c>
      <c r="AD535" s="234" t="str">
        <f t="shared" ca="1" si="14"/>
        <v>#REF!</v>
      </c>
      <c r="AE535" s="100" t="str">
        <f t="shared" ca="1" si="15"/>
        <v>#REF!</v>
      </c>
      <c r="AF535" s="101" t="str">
        <f t="shared" ca="1" si="16"/>
        <v>#REF!</v>
      </c>
      <c r="AG535" s="102" t="str">
        <f t="shared" ref="AG535:AH535" ca="1" si="553">AE535/V535</f>
        <v>#REF!</v>
      </c>
      <c r="AH535" s="102" t="str">
        <f t="shared" ca="1" si="553"/>
        <v>#REF!</v>
      </c>
    </row>
    <row r="536" spans="1:34" ht="13.2">
      <c r="A536" s="251"/>
      <c r="B536" s="251"/>
      <c r="C536" s="252"/>
      <c r="D536" s="252"/>
      <c r="E536" s="114"/>
      <c r="F536" s="252"/>
      <c r="G536" s="125" t="s">
        <v>145</v>
      </c>
      <c r="I536" s="172"/>
      <c r="J536" s="82" t="str">
        <f t="shared" ca="1" si="0"/>
        <v>#REF!</v>
      </c>
      <c r="K536" s="82" t="str">
        <f t="shared" ca="1" si="1"/>
        <v>#REF!</v>
      </c>
      <c r="L536" s="82" t="str">
        <f t="shared" ca="1" si="44"/>
        <v>#REF!</v>
      </c>
      <c r="M536" s="93"/>
      <c r="N536" s="93"/>
      <c r="O536" s="95">
        <f t="shared" si="2"/>
        <v>0</v>
      </c>
      <c r="P536" s="96">
        <f t="shared" si="3"/>
        <v>0</v>
      </c>
      <c r="Q536" s="97">
        <f t="shared" si="4"/>
        <v>0</v>
      </c>
      <c r="R536" s="97" t="str">
        <f ca="1">ROUNDUP(HLOOKUP(IF(CEILING(L536,0.5)&lt;1,0.5,CEILING(L536,0.5)),'배송비 조회'!A$44:AO$56,7,0)*B$3,-2)</f>
        <v>#REF!</v>
      </c>
      <c r="S536" s="97">
        <v>0</v>
      </c>
      <c r="T536" s="97" t="str">
        <f t="shared" ca="1" si="42"/>
        <v>#REF!</v>
      </c>
      <c r="U536" s="97" t="str">
        <f t="shared" ca="1" si="29"/>
        <v>#REF!</v>
      </c>
      <c r="V536" s="97" t="str">
        <f t="shared" ca="1" si="7"/>
        <v>#REF!</v>
      </c>
      <c r="W536" s="97" t="str">
        <f t="shared" ca="1" si="8"/>
        <v>#REF!</v>
      </c>
      <c r="X536" s="121">
        <v>0</v>
      </c>
      <c r="Y536" s="121" t="str">
        <f t="shared" ca="1" si="9"/>
        <v>#REF!</v>
      </c>
      <c r="Z536" s="121" t="str">
        <f t="shared" ca="1" si="10"/>
        <v>#REF!</v>
      </c>
      <c r="AA536" s="99" t="str">
        <f t="shared" ca="1" si="11"/>
        <v>#REF!</v>
      </c>
      <c r="AB536" s="234" t="str">
        <f t="shared" ca="1" si="12"/>
        <v>#REF!</v>
      </c>
      <c r="AC536" s="257" t="str">
        <f t="shared" ca="1" si="13"/>
        <v>#REF!</v>
      </c>
      <c r="AD536" s="234" t="str">
        <f t="shared" ca="1" si="14"/>
        <v>#REF!</v>
      </c>
      <c r="AE536" s="100" t="str">
        <f t="shared" ca="1" si="15"/>
        <v>#REF!</v>
      </c>
      <c r="AF536" s="101" t="str">
        <f t="shared" ca="1" si="16"/>
        <v>#REF!</v>
      </c>
      <c r="AG536" s="102" t="str">
        <f t="shared" ref="AG536:AH536" ca="1" si="554">AE536/V536</f>
        <v>#REF!</v>
      </c>
      <c r="AH536" s="102" t="str">
        <f t="shared" ca="1" si="554"/>
        <v>#REF!</v>
      </c>
    </row>
    <row r="537" spans="1:34" ht="13.2">
      <c r="A537" s="251"/>
      <c r="B537" s="251"/>
      <c r="C537" s="252"/>
      <c r="D537" s="252"/>
      <c r="E537" s="114"/>
      <c r="F537" s="252"/>
      <c r="G537" s="125" t="s">
        <v>145</v>
      </c>
      <c r="I537" s="172"/>
      <c r="J537" s="82" t="str">
        <f t="shared" ca="1" si="0"/>
        <v>#REF!</v>
      </c>
      <c r="K537" s="82" t="str">
        <f t="shared" ca="1" si="1"/>
        <v>#REF!</v>
      </c>
      <c r="L537" s="82" t="str">
        <f t="shared" ca="1" si="44"/>
        <v>#REF!</v>
      </c>
      <c r="M537" s="93"/>
      <c r="N537" s="93"/>
      <c r="O537" s="95">
        <f t="shared" si="2"/>
        <v>0</v>
      </c>
      <c r="P537" s="96">
        <f t="shared" si="3"/>
        <v>0</v>
      </c>
      <c r="Q537" s="97">
        <f t="shared" si="4"/>
        <v>0</v>
      </c>
      <c r="R537" s="97" t="str">
        <f ca="1">ROUNDUP(HLOOKUP(IF(CEILING(L537,0.5)&lt;1,0.5,CEILING(L537,0.5)),'배송비 조회'!A$44:AO$56,7,0)*B$3,-2)</f>
        <v>#REF!</v>
      </c>
      <c r="S537" s="97">
        <v>0</v>
      </c>
      <c r="T537" s="97" t="str">
        <f t="shared" ca="1" si="42"/>
        <v>#REF!</v>
      </c>
      <c r="U537" s="97" t="str">
        <f t="shared" ca="1" si="29"/>
        <v>#REF!</v>
      </c>
      <c r="V537" s="97" t="str">
        <f t="shared" ca="1" si="7"/>
        <v>#REF!</v>
      </c>
      <c r="W537" s="97" t="str">
        <f t="shared" ca="1" si="8"/>
        <v>#REF!</v>
      </c>
      <c r="X537" s="121">
        <v>0</v>
      </c>
      <c r="Y537" s="121" t="str">
        <f t="shared" ca="1" si="9"/>
        <v>#REF!</v>
      </c>
      <c r="Z537" s="121" t="str">
        <f t="shared" ca="1" si="10"/>
        <v>#REF!</v>
      </c>
      <c r="AA537" s="99" t="str">
        <f t="shared" ca="1" si="11"/>
        <v>#REF!</v>
      </c>
      <c r="AB537" s="234" t="str">
        <f t="shared" ca="1" si="12"/>
        <v>#REF!</v>
      </c>
      <c r="AC537" s="257" t="str">
        <f t="shared" ca="1" si="13"/>
        <v>#REF!</v>
      </c>
      <c r="AD537" s="234" t="str">
        <f t="shared" ca="1" si="14"/>
        <v>#REF!</v>
      </c>
      <c r="AE537" s="100" t="str">
        <f t="shared" ca="1" si="15"/>
        <v>#REF!</v>
      </c>
      <c r="AF537" s="101" t="str">
        <f t="shared" ca="1" si="16"/>
        <v>#REF!</v>
      </c>
      <c r="AG537" s="102" t="str">
        <f t="shared" ref="AG537:AH537" ca="1" si="555">AE537/V537</f>
        <v>#REF!</v>
      </c>
      <c r="AH537" s="102" t="str">
        <f t="shared" ca="1" si="555"/>
        <v>#REF!</v>
      </c>
    </row>
    <row r="538" spans="1:34" ht="13.2">
      <c r="A538" s="251"/>
      <c r="B538" s="251"/>
      <c r="C538" s="252"/>
      <c r="D538" s="252"/>
      <c r="E538" s="114"/>
      <c r="F538" s="252"/>
      <c r="G538" s="125" t="s">
        <v>145</v>
      </c>
      <c r="I538" s="172"/>
      <c r="J538" s="82" t="str">
        <f t="shared" ca="1" si="0"/>
        <v>#REF!</v>
      </c>
      <c r="K538" s="82" t="str">
        <f t="shared" ca="1" si="1"/>
        <v>#REF!</v>
      </c>
      <c r="L538" s="82" t="str">
        <f t="shared" ca="1" si="44"/>
        <v>#REF!</v>
      </c>
      <c r="M538" s="93"/>
      <c r="N538" s="93"/>
      <c r="O538" s="95">
        <f t="shared" si="2"/>
        <v>0</v>
      </c>
      <c r="P538" s="96">
        <f t="shared" si="3"/>
        <v>0</v>
      </c>
      <c r="Q538" s="97">
        <f t="shared" si="4"/>
        <v>0</v>
      </c>
      <c r="R538" s="97" t="str">
        <f ca="1">ROUNDUP(HLOOKUP(IF(CEILING(L538,0.5)&lt;1,0.5,CEILING(L538,0.5)),'배송비 조회'!A$44:AO$56,7,0)*B$3,-2)</f>
        <v>#REF!</v>
      </c>
      <c r="S538" s="97">
        <v>0</v>
      </c>
      <c r="T538" s="97" t="str">
        <f t="shared" ca="1" si="42"/>
        <v>#REF!</v>
      </c>
      <c r="U538" s="97" t="str">
        <f t="shared" ca="1" si="29"/>
        <v>#REF!</v>
      </c>
      <c r="V538" s="97" t="str">
        <f t="shared" ca="1" si="7"/>
        <v>#REF!</v>
      </c>
      <c r="W538" s="97" t="str">
        <f t="shared" ca="1" si="8"/>
        <v>#REF!</v>
      </c>
      <c r="X538" s="121">
        <v>0</v>
      </c>
      <c r="Y538" s="121" t="str">
        <f t="shared" ca="1" si="9"/>
        <v>#REF!</v>
      </c>
      <c r="Z538" s="121" t="str">
        <f t="shared" ca="1" si="10"/>
        <v>#REF!</v>
      </c>
      <c r="AA538" s="99" t="str">
        <f t="shared" ca="1" si="11"/>
        <v>#REF!</v>
      </c>
      <c r="AB538" s="234" t="str">
        <f t="shared" ca="1" si="12"/>
        <v>#REF!</v>
      </c>
      <c r="AC538" s="257" t="str">
        <f t="shared" ca="1" si="13"/>
        <v>#REF!</v>
      </c>
      <c r="AD538" s="234" t="str">
        <f t="shared" ca="1" si="14"/>
        <v>#REF!</v>
      </c>
      <c r="AE538" s="100" t="str">
        <f t="shared" ca="1" si="15"/>
        <v>#REF!</v>
      </c>
      <c r="AF538" s="101" t="str">
        <f t="shared" ca="1" si="16"/>
        <v>#REF!</v>
      </c>
      <c r="AG538" s="102" t="str">
        <f t="shared" ref="AG538:AH538" ca="1" si="556">AE538/V538</f>
        <v>#REF!</v>
      </c>
      <c r="AH538" s="102" t="str">
        <f t="shared" ca="1" si="556"/>
        <v>#REF!</v>
      </c>
    </row>
    <row r="539" spans="1:34" ht="13.2">
      <c r="A539" s="251"/>
      <c r="B539" s="251"/>
      <c r="C539" s="252"/>
      <c r="D539" s="252"/>
      <c r="E539" s="114"/>
      <c r="F539" s="252"/>
      <c r="G539" s="125" t="s">
        <v>145</v>
      </c>
      <c r="I539" s="172"/>
      <c r="J539" s="82" t="str">
        <f t="shared" ca="1" si="0"/>
        <v>#REF!</v>
      </c>
      <c r="K539" s="82" t="str">
        <f t="shared" ca="1" si="1"/>
        <v>#REF!</v>
      </c>
      <c r="L539" s="82" t="str">
        <f t="shared" ca="1" si="44"/>
        <v>#REF!</v>
      </c>
      <c r="M539" s="93"/>
      <c r="N539" s="93"/>
      <c r="O539" s="95">
        <f t="shared" si="2"/>
        <v>0</v>
      </c>
      <c r="P539" s="96">
        <f t="shared" si="3"/>
        <v>0</v>
      </c>
      <c r="Q539" s="97">
        <f t="shared" si="4"/>
        <v>0</v>
      </c>
      <c r="R539" s="97" t="str">
        <f ca="1">ROUNDUP(HLOOKUP(IF(CEILING(L539,0.5)&lt;1,0.5,CEILING(L539,0.5)),'배송비 조회'!A$44:AO$56,7,0)*B$3,-2)</f>
        <v>#REF!</v>
      </c>
      <c r="S539" s="97">
        <v>0</v>
      </c>
      <c r="T539" s="97" t="str">
        <f t="shared" ca="1" si="42"/>
        <v>#REF!</v>
      </c>
      <c r="U539" s="97" t="str">
        <f t="shared" ca="1" si="29"/>
        <v>#REF!</v>
      </c>
      <c r="V539" s="97" t="str">
        <f t="shared" ca="1" si="7"/>
        <v>#REF!</v>
      </c>
      <c r="W539" s="97" t="str">
        <f t="shared" ca="1" si="8"/>
        <v>#REF!</v>
      </c>
      <c r="X539" s="121">
        <v>0</v>
      </c>
      <c r="Y539" s="121" t="str">
        <f t="shared" ca="1" si="9"/>
        <v>#REF!</v>
      </c>
      <c r="Z539" s="121" t="str">
        <f t="shared" ca="1" si="10"/>
        <v>#REF!</v>
      </c>
      <c r="AA539" s="99" t="str">
        <f t="shared" ca="1" si="11"/>
        <v>#REF!</v>
      </c>
      <c r="AB539" s="234" t="str">
        <f t="shared" ca="1" si="12"/>
        <v>#REF!</v>
      </c>
      <c r="AC539" s="257" t="str">
        <f t="shared" ca="1" si="13"/>
        <v>#REF!</v>
      </c>
      <c r="AD539" s="234" t="str">
        <f t="shared" ca="1" si="14"/>
        <v>#REF!</v>
      </c>
      <c r="AE539" s="100" t="str">
        <f t="shared" ca="1" si="15"/>
        <v>#REF!</v>
      </c>
      <c r="AF539" s="101" t="str">
        <f t="shared" ca="1" si="16"/>
        <v>#REF!</v>
      </c>
      <c r="AG539" s="102" t="str">
        <f t="shared" ref="AG539:AH539" ca="1" si="557">AE539/V539</f>
        <v>#REF!</v>
      </c>
      <c r="AH539" s="102" t="str">
        <f t="shared" ca="1" si="557"/>
        <v>#REF!</v>
      </c>
    </row>
    <row r="540" spans="1:34" ht="13.2">
      <c r="A540" s="251"/>
      <c r="B540" s="251"/>
      <c r="C540" s="252"/>
      <c r="D540" s="252"/>
      <c r="E540" s="114"/>
      <c r="F540" s="252"/>
      <c r="G540" s="125" t="s">
        <v>145</v>
      </c>
      <c r="I540" s="172"/>
      <c r="J540" s="82" t="str">
        <f t="shared" ca="1" si="0"/>
        <v>#REF!</v>
      </c>
      <c r="K540" s="82" t="str">
        <f t="shared" ca="1" si="1"/>
        <v>#REF!</v>
      </c>
      <c r="L540" s="82" t="str">
        <f t="shared" ca="1" si="44"/>
        <v>#REF!</v>
      </c>
      <c r="M540" s="93"/>
      <c r="N540" s="93"/>
      <c r="O540" s="95">
        <f t="shared" si="2"/>
        <v>0</v>
      </c>
      <c r="P540" s="96">
        <f t="shared" si="3"/>
        <v>0</v>
      </c>
      <c r="Q540" s="97">
        <f t="shared" si="4"/>
        <v>0</v>
      </c>
      <c r="R540" s="97" t="str">
        <f ca="1">ROUNDUP(HLOOKUP(IF(CEILING(L540,0.5)&lt;1,0.5,CEILING(L540,0.5)),'배송비 조회'!A$44:AO$56,7,0)*B$3,-2)</f>
        <v>#REF!</v>
      </c>
      <c r="S540" s="97">
        <v>0</v>
      </c>
      <c r="T540" s="97" t="str">
        <f t="shared" ca="1" si="42"/>
        <v>#REF!</v>
      </c>
      <c r="U540" s="97" t="str">
        <f t="shared" ca="1" si="29"/>
        <v>#REF!</v>
      </c>
      <c r="V540" s="97" t="str">
        <f t="shared" ca="1" si="7"/>
        <v>#REF!</v>
      </c>
      <c r="W540" s="97" t="str">
        <f t="shared" ca="1" si="8"/>
        <v>#REF!</v>
      </c>
      <c r="X540" s="121">
        <v>0</v>
      </c>
      <c r="Y540" s="121" t="str">
        <f t="shared" ca="1" si="9"/>
        <v>#REF!</v>
      </c>
      <c r="Z540" s="121" t="str">
        <f t="shared" ca="1" si="10"/>
        <v>#REF!</v>
      </c>
      <c r="AA540" s="99" t="str">
        <f t="shared" ca="1" si="11"/>
        <v>#REF!</v>
      </c>
      <c r="AB540" s="234" t="str">
        <f t="shared" ca="1" si="12"/>
        <v>#REF!</v>
      </c>
      <c r="AC540" s="257" t="str">
        <f t="shared" ca="1" si="13"/>
        <v>#REF!</v>
      </c>
      <c r="AD540" s="234" t="str">
        <f t="shared" ca="1" si="14"/>
        <v>#REF!</v>
      </c>
      <c r="AE540" s="100" t="str">
        <f t="shared" ca="1" si="15"/>
        <v>#REF!</v>
      </c>
      <c r="AF540" s="101" t="str">
        <f t="shared" ca="1" si="16"/>
        <v>#REF!</v>
      </c>
      <c r="AG540" s="102" t="str">
        <f t="shared" ref="AG540:AH540" ca="1" si="558">AE540/V540</f>
        <v>#REF!</v>
      </c>
      <c r="AH540" s="102" t="str">
        <f t="shared" ca="1" si="558"/>
        <v>#REF!</v>
      </c>
    </row>
    <row r="541" spans="1:34" ht="13.2">
      <c r="A541" s="251"/>
      <c r="B541" s="251"/>
      <c r="C541" s="252"/>
      <c r="D541" s="252"/>
      <c r="E541" s="114"/>
      <c r="F541" s="252"/>
      <c r="G541" s="125" t="s">
        <v>145</v>
      </c>
      <c r="I541" s="172"/>
      <c r="J541" s="82" t="str">
        <f t="shared" ca="1" si="0"/>
        <v>#REF!</v>
      </c>
      <c r="K541" s="82" t="str">
        <f t="shared" ca="1" si="1"/>
        <v>#REF!</v>
      </c>
      <c r="L541" s="82" t="str">
        <f t="shared" ca="1" si="44"/>
        <v>#REF!</v>
      </c>
      <c r="M541" s="93"/>
      <c r="N541" s="93"/>
      <c r="O541" s="95">
        <f t="shared" si="2"/>
        <v>0</v>
      </c>
      <c r="P541" s="96">
        <f t="shared" si="3"/>
        <v>0</v>
      </c>
      <c r="Q541" s="97">
        <f t="shared" si="4"/>
        <v>0</v>
      </c>
      <c r="R541" s="97" t="str">
        <f ca="1">ROUNDUP(HLOOKUP(IF(CEILING(L541,0.5)&lt;1,0.5,CEILING(L541,0.5)),'배송비 조회'!A$44:AO$56,7,0)*B$3,-2)</f>
        <v>#REF!</v>
      </c>
      <c r="S541" s="97">
        <v>0</v>
      </c>
      <c r="T541" s="97" t="str">
        <f t="shared" ca="1" si="42"/>
        <v>#REF!</v>
      </c>
      <c r="U541" s="97" t="str">
        <f t="shared" ca="1" si="29"/>
        <v>#REF!</v>
      </c>
      <c r="V541" s="97" t="str">
        <f t="shared" ca="1" si="7"/>
        <v>#REF!</v>
      </c>
      <c r="W541" s="97" t="str">
        <f t="shared" ca="1" si="8"/>
        <v>#REF!</v>
      </c>
      <c r="X541" s="121">
        <v>0</v>
      </c>
      <c r="Y541" s="121" t="str">
        <f t="shared" ca="1" si="9"/>
        <v>#REF!</v>
      </c>
      <c r="Z541" s="121" t="str">
        <f t="shared" ca="1" si="10"/>
        <v>#REF!</v>
      </c>
      <c r="AA541" s="99" t="str">
        <f t="shared" ca="1" si="11"/>
        <v>#REF!</v>
      </c>
      <c r="AB541" s="234" t="str">
        <f t="shared" ca="1" si="12"/>
        <v>#REF!</v>
      </c>
      <c r="AC541" s="257" t="str">
        <f t="shared" ca="1" si="13"/>
        <v>#REF!</v>
      </c>
      <c r="AD541" s="234" t="str">
        <f t="shared" ca="1" si="14"/>
        <v>#REF!</v>
      </c>
      <c r="AE541" s="100" t="str">
        <f t="shared" ca="1" si="15"/>
        <v>#REF!</v>
      </c>
      <c r="AF541" s="101" t="str">
        <f t="shared" ca="1" si="16"/>
        <v>#REF!</v>
      </c>
      <c r="AG541" s="102" t="str">
        <f t="shared" ref="AG541:AH541" ca="1" si="559">AE541/V541</f>
        <v>#REF!</v>
      </c>
      <c r="AH541" s="102" t="str">
        <f t="shared" ca="1" si="559"/>
        <v>#REF!</v>
      </c>
    </row>
    <row r="542" spans="1:34" ht="13.2">
      <c r="A542" s="251"/>
      <c r="B542" s="251"/>
      <c r="C542" s="252"/>
      <c r="D542" s="252"/>
      <c r="E542" s="114"/>
      <c r="F542" s="252"/>
      <c r="G542" s="125" t="s">
        <v>145</v>
      </c>
      <c r="I542" s="172"/>
      <c r="J542" s="82" t="str">
        <f t="shared" ca="1" si="0"/>
        <v>#REF!</v>
      </c>
      <c r="K542" s="82" t="str">
        <f t="shared" ca="1" si="1"/>
        <v>#REF!</v>
      </c>
      <c r="L542" s="82" t="str">
        <f t="shared" ca="1" si="44"/>
        <v>#REF!</v>
      </c>
      <c r="M542" s="93"/>
      <c r="N542" s="93"/>
      <c r="O542" s="95">
        <f t="shared" si="2"/>
        <v>0</v>
      </c>
      <c r="P542" s="96">
        <f t="shared" si="3"/>
        <v>0</v>
      </c>
      <c r="Q542" s="97">
        <f t="shared" si="4"/>
        <v>0</v>
      </c>
      <c r="R542" s="97" t="str">
        <f ca="1">ROUNDUP(HLOOKUP(IF(CEILING(L542,0.5)&lt;1,0.5,CEILING(L542,0.5)),'배송비 조회'!A$44:AO$56,7,0)*B$3,-2)</f>
        <v>#REF!</v>
      </c>
      <c r="S542" s="97">
        <v>0</v>
      </c>
      <c r="T542" s="97" t="str">
        <f t="shared" ca="1" si="42"/>
        <v>#REF!</v>
      </c>
      <c r="U542" s="97" t="str">
        <f t="shared" ca="1" si="29"/>
        <v>#REF!</v>
      </c>
      <c r="V542" s="97" t="str">
        <f t="shared" ca="1" si="7"/>
        <v>#REF!</v>
      </c>
      <c r="W542" s="97" t="str">
        <f t="shared" ca="1" si="8"/>
        <v>#REF!</v>
      </c>
      <c r="X542" s="121">
        <v>0</v>
      </c>
      <c r="Y542" s="121" t="str">
        <f t="shared" ca="1" si="9"/>
        <v>#REF!</v>
      </c>
      <c r="Z542" s="121" t="str">
        <f t="shared" ca="1" si="10"/>
        <v>#REF!</v>
      </c>
      <c r="AA542" s="99" t="str">
        <f t="shared" ca="1" si="11"/>
        <v>#REF!</v>
      </c>
      <c r="AB542" s="234" t="str">
        <f t="shared" ca="1" si="12"/>
        <v>#REF!</v>
      </c>
      <c r="AC542" s="257" t="str">
        <f t="shared" ca="1" si="13"/>
        <v>#REF!</v>
      </c>
      <c r="AD542" s="234" t="str">
        <f t="shared" ca="1" si="14"/>
        <v>#REF!</v>
      </c>
      <c r="AE542" s="100" t="str">
        <f t="shared" ca="1" si="15"/>
        <v>#REF!</v>
      </c>
      <c r="AF542" s="101" t="str">
        <f t="shared" ca="1" si="16"/>
        <v>#REF!</v>
      </c>
      <c r="AG542" s="102" t="str">
        <f t="shared" ref="AG542:AH542" ca="1" si="560">AE542/V542</f>
        <v>#REF!</v>
      </c>
      <c r="AH542" s="102" t="str">
        <f t="shared" ca="1" si="560"/>
        <v>#REF!</v>
      </c>
    </row>
    <row r="543" spans="1:34" ht="13.2">
      <c r="A543" s="251"/>
      <c r="B543" s="251"/>
      <c r="C543" s="252"/>
      <c r="D543" s="252"/>
      <c r="E543" s="114"/>
      <c r="F543" s="252"/>
      <c r="G543" s="125" t="s">
        <v>145</v>
      </c>
      <c r="I543" s="172"/>
      <c r="J543" s="82" t="str">
        <f t="shared" ca="1" si="0"/>
        <v>#REF!</v>
      </c>
      <c r="K543" s="82" t="str">
        <f t="shared" ca="1" si="1"/>
        <v>#REF!</v>
      </c>
      <c r="L543" s="82" t="str">
        <f t="shared" ca="1" si="44"/>
        <v>#REF!</v>
      </c>
      <c r="M543" s="93"/>
      <c r="N543" s="93"/>
      <c r="O543" s="95">
        <f t="shared" si="2"/>
        <v>0</v>
      </c>
      <c r="P543" s="96">
        <f t="shared" si="3"/>
        <v>0</v>
      </c>
      <c r="Q543" s="97">
        <f t="shared" si="4"/>
        <v>0</v>
      </c>
      <c r="R543" s="97" t="str">
        <f ca="1">ROUNDUP(HLOOKUP(IF(CEILING(L543,0.5)&lt;1,0.5,CEILING(L543,0.5)),'배송비 조회'!A$44:AO$56,7,0)*B$3,-2)</f>
        <v>#REF!</v>
      </c>
      <c r="S543" s="97">
        <v>0</v>
      </c>
      <c r="T543" s="97" t="str">
        <f t="shared" ca="1" si="42"/>
        <v>#REF!</v>
      </c>
      <c r="U543" s="97" t="str">
        <f t="shared" ca="1" si="29"/>
        <v>#REF!</v>
      </c>
      <c r="V543" s="97" t="str">
        <f t="shared" ca="1" si="7"/>
        <v>#REF!</v>
      </c>
      <c r="W543" s="97" t="str">
        <f t="shared" ca="1" si="8"/>
        <v>#REF!</v>
      </c>
      <c r="X543" s="121">
        <v>0</v>
      </c>
      <c r="Y543" s="121" t="str">
        <f t="shared" ca="1" si="9"/>
        <v>#REF!</v>
      </c>
      <c r="Z543" s="121" t="str">
        <f t="shared" ca="1" si="10"/>
        <v>#REF!</v>
      </c>
      <c r="AA543" s="99" t="str">
        <f t="shared" ca="1" si="11"/>
        <v>#REF!</v>
      </c>
      <c r="AB543" s="234" t="str">
        <f t="shared" ca="1" si="12"/>
        <v>#REF!</v>
      </c>
      <c r="AC543" s="257" t="str">
        <f t="shared" ca="1" si="13"/>
        <v>#REF!</v>
      </c>
      <c r="AD543" s="234" t="str">
        <f t="shared" ca="1" si="14"/>
        <v>#REF!</v>
      </c>
      <c r="AE543" s="100" t="str">
        <f t="shared" ca="1" si="15"/>
        <v>#REF!</v>
      </c>
      <c r="AF543" s="101" t="str">
        <f t="shared" ca="1" si="16"/>
        <v>#REF!</v>
      </c>
      <c r="AG543" s="102" t="str">
        <f t="shared" ref="AG543:AH543" ca="1" si="561">AE543/V543</f>
        <v>#REF!</v>
      </c>
      <c r="AH543" s="102" t="str">
        <f t="shared" ca="1" si="561"/>
        <v>#REF!</v>
      </c>
    </row>
    <row r="544" spans="1:34" ht="13.2">
      <c r="A544" s="251"/>
      <c r="B544" s="251"/>
      <c r="C544" s="252"/>
      <c r="D544" s="252"/>
      <c r="E544" s="114"/>
      <c r="F544" s="252"/>
      <c r="G544" s="125" t="s">
        <v>145</v>
      </c>
      <c r="I544" s="172"/>
      <c r="J544" s="82" t="str">
        <f t="shared" ca="1" si="0"/>
        <v>#REF!</v>
      </c>
      <c r="K544" s="82" t="str">
        <f t="shared" ca="1" si="1"/>
        <v>#REF!</v>
      </c>
      <c r="L544" s="82" t="str">
        <f t="shared" ca="1" si="44"/>
        <v>#REF!</v>
      </c>
      <c r="M544" s="93"/>
      <c r="N544" s="93"/>
      <c r="O544" s="95">
        <f t="shared" si="2"/>
        <v>0</v>
      </c>
      <c r="P544" s="96">
        <f t="shared" si="3"/>
        <v>0</v>
      </c>
      <c r="Q544" s="97">
        <f t="shared" si="4"/>
        <v>0</v>
      </c>
      <c r="R544" s="97" t="str">
        <f ca="1">ROUNDUP(HLOOKUP(IF(CEILING(L544,0.5)&lt;1,0.5,CEILING(L544,0.5)),'배송비 조회'!A$44:AO$56,7,0)*B$3,-2)</f>
        <v>#REF!</v>
      </c>
      <c r="S544" s="97">
        <v>0</v>
      </c>
      <c r="T544" s="97" t="str">
        <f t="shared" ca="1" si="42"/>
        <v>#REF!</v>
      </c>
      <c r="U544" s="97" t="str">
        <f t="shared" ca="1" si="29"/>
        <v>#REF!</v>
      </c>
      <c r="V544" s="97" t="str">
        <f t="shared" ca="1" si="7"/>
        <v>#REF!</v>
      </c>
      <c r="W544" s="97" t="str">
        <f t="shared" ca="1" si="8"/>
        <v>#REF!</v>
      </c>
      <c r="X544" s="121">
        <v>0</v>
      </c>
      <c r="Y544" s="121" t="str">
        <f t="shared" ca="1" si="9"/>
        <v>#REF!</v>
      </c>
      <c r="Z544" s="121" t="str">
        <f t="shared" ca="1" si="10"/>
        <v>#REF!</v>
      </c>
      <c r="AA544" s="99" t="str">
        <f t="shared" ca="1" si="11"/>
        <v>#REF!</v>
      </c>
      <c r="AB544" s="234" t="str">
        <f t="shared" ca="1" si="12"/>
        <v>#REF!</v>
      </c>
      <c r="AC544" s="257" t="str">
        <f t="shared" ca="1" si="13"/>
        <v>#REF!</v>
      </c>
      <c r="AD544" s="234" t="str">
        <f t="shared" ca="1" si="14"/>
        <v>#REF!</v>
      </c>
      <c r="AE544" s="100" t="str">
        <f t="shared" ca="1" si="15"/>
        <v>#REF!</v>
      </c>
      <c r="AF544" s="101" t="str">
        <f t="shared" ca="1" si="16"/>
        <v>#REF!</v>
      </c>
      <c r="AG544" s="102" t="str">
        <f t="shared" ref="AG544:AH544" ca="1" si="562">AE544/V544</f>
        <v>#REF!</v>
      </c>
      <c r="AH544" s="102" t="str">
        <f t="shared" ca="1" si="562"/>
        <v>#REF!</v>
      </c>
    </row>
    <row r="545" spans="1:34" ht="13.2">
      <c r="A545" s="251"/>
      <c r="B545" s="251"/>
      <c r="C545" s="252"/>
      <c r="D545" s="252"/>
      <c r="E545" s="114"/>
      <c r="F545" s="252"/>
      <c r="G545" s="125" t="s">
        <v>145</v>
      </c>
      <c r="I545" s="172"/>
      <c r="J545" s="82" t="str">
        <f t="shared" ca="1" si="0"/>
        <v>#REF!</v>
      </c>
      <c r="K545" s="82" t="str">
        <f t="shared" ca="1" si="1"/>
        <v>#REF!</v>
      </c>
      <c r="L545" s="82" t="str">
        <f t="shared" ca="1" si="44"/>
        <v>#REF!</v>
      </c>
      <c r="M545" s="93"/>
      <c r="N545" s="93"/>
      <c r="O545" s="95">
        <f t="shared" si="2"/>
        <v>0</v>
      </c>
      <c r="P545" s="96">
        <f t="shared" si="3"/>
        <v>0</v>
      </c>
      <c r="Q545" s="97">
        <f t="shared" si="4"/>
        <v>0</v>
      </c>
      <c r="R545" s="97" t="str">
        <f ca="1">ROUNDUP(HLOOKUP(IF(CEILING(L545,0.5)&lt;1,0.5,CEILING(L545,0.5)),'배송비 조회'!A$44:AO$56,7,0)*B$3,-2)</f>
        <v>#REF!</v>
      </c>
      <c r="S545" s="97">
        <v>0</v>
      </c>
      <c r="T545" s="97" t="str">
        <f t="shared" ca="1" si="42"/>
        <v>#REF!</v>
      </c>
      <c r="U545" s="97" t="str">
        <f t="shared" ca="1" si="29"/>
        <v>#REF!</v>
      </c>
      <c r="V545" s="97" t="str">
        <f t="shared" ca="1" si="7"/>
        <v>#REF!</v>
      </c>
      <c r="W545" s="97" t="str">
        <f t="shared" ca="1" si="8"/>
        <v>#REF!</v>
      </c>
      <c r="X545" s="121">
        <v>0</v>
      </c>
      <c r="Y545" s="121" t="str">
        <f t="shared" ca="1" si="9"/>
        <v>#REF!</v>
      </c>
      <c r="Z545" s="121" t="str">
        <f t="shared" ca="1" si="10"/>
        <v>#REF!</v>
      </c>
      <c r="AA545" s="99" t="str">
        <f t="shared" ca="1" si="11"/>
        <v>#REF!</v>
      </c>
      <c r="AB545" s="234" t="str">
        <f t="shared" ca="1" si="12"/>
        <v>#REF!</v>
      </c>
      <c r="AC545" s="257" t="str">
        <f t="shared" ca="1" si="13"/>
        <v>#REF!</v>
      </c>
      <c r="AD545" s="234" t="str">
        <f t="shared" ca="1" si="14"/>
        <v>#REF!</v>
      </c>
      <c r="AE545" s="100" t="str">
        <f t="shared" ca="1" si="15"/>
        <v>#REF!</v>
      </c>
      <c r="AF545" s="101" t="str">
        <f t="shared" ca="1" si="16"/>
        <v>#REF!</v>
      </c>
      <c r="AG545" s="102" t="str">
        <f t="shared" ref="AG545:AH545" ca="1" si="563">AE545/V545</f>
        <v>#REF!</v>
      </c>
      <c r="AH545" s="102" t="str">
        <f t="shared" ca="1" si="563"/>
        <v>#REF!</v>
      </c>
    </row>
    <row r="546" spans="1:34" ht="13.2">
      <c r="A546" s="251"/>
      <c r="B546" s="251"/>
      <c r="C546" s="252"/>
      <c r="D546" s="252"/>
      <c r="E546" s="114"/>
      <c r="F546" s="252"/>
      <c r="G546" s="125" t="s">
        <v>145</v>
      </c>
      <c r="I546" s="172"/>
      <c r="J546" s="82" t="str">
        <f t="shared" ca="1" si="0"/>
        <v>#REF!</v>
      </c>
      <c r="K546" s="82" t="str">
        <f t="shared" ca="1" si="1"/>
        <v>#REF!</v>
      </c>
      <c r="L546" s="82" t="str">
        <f t="shared" ca="1" si="44"/>
        <v>#REF!</v>
      </c>
      <c r="M546" s="93"/>
      <c r="N546" s="93"/>
      <c r="O546" s="95">
        <f t="shared" si="2"/>
        <v>0</v>
      </c>
      <c r="P546" s="96">
        <f t="shared" si="3"/>
        <v>0</v>
      </c>
      <c r="Q546" s="97">
        <f t="shared" si="4"/>
        <v>0</v>
      </c>
      <c r="R546" s="97" t="str">
        <f ca="1">ROUNDUP(HLOOKUP(IF(CEILING(L546,0.5)&lt;1,0.5,CEILING(L546,0.5)),'배송비 조회'!A$44:AO$56,7,0)*B$3,-2)</f>
        <v>#REF!</v>
      </c>
      <c r="S546" s="97">
        <v>0</v>
      </c>
      <c r="T546" s="97" t="str">
        <f t="shared" ca="1" si="42"/>
        <v>#REF!</v>
      </c>
      <c r="U546" s="97" t="str">
        <f t="shared" ca="1" si="29"/>
        <v>#REF!</v>
      </c>
      <c r="V546" s="97" t="str">
        <f t="shared" ca="1" si="7"/>
        <v>#REF!</v>
      </c>
      <c r="W546" s="97" t="str">
        <f t="shared" ca="1" si="8"/>
        <v>#REF!</v>
      </c>
      <c r="X546" s="121">
        <v>0</v>
      </c>
      <c r="Y546" s="121" t="str">
        <f t="shared" ca="1" si="9"/>
        <v>#REF!</v>
      </c>
      <c r="Z546" s="121" t="str">
        <f t="shared" ca="1" si="10"/>
        <v>#REF!</v>
      </c>
      <c r="AA546" s="99" t="str">
        <f t="shared" ca="1" si="11"/>
        <v>#REF!</v>
      </c>
      <c r="AB546" s="234" t="str">
        <f t="shared" ca="1" si="12"/>
        <v>#REF!</v>
      </c>
      <c r="AC546" s="257" t="str">
        <f t="shared" ca="1" si="13"/>
        <v>#REF!</v>
      </c>
      <c r="AD546" s="234" t="str">
        <f t="shared" ca="1" si="14"/>
        <v>#REF!</v>
      </c>
      <c r="AE546" s="100" t="str">
        <f t="shared" ca="1" si="15"/>
        <v>#REF!</v>
      </c>
      <c r="AF546" s="101" t="str">
        <f t="shared" ca="1" si="16"/>
        <v>#REF!</v>
      </c>
      <c r="AG546" s="102" t="str">
        <f t="shared" ref="AG546:AH546" ca="1" si="564">AE546/V546</f>
        <v>#REF!</v>
      </c>
      <c r="AH546" s="102" t="str">
        <f t="shared" ca="1" si="564"/>
        <v>#REF!</v>
      </c>
    </row>
    <row r="547" spans="1:34" ht="13.2">
      <c r="A547" s="251"/>
      <c r="B547" s="251"/>
      <c r="C547" s="252"/>
      <c r="D547" s="252"/>
      <c r="E547" s="114"/>
      <c r="F547" s="252"/>
      <c r="G547" s="125" t="s">
        <v>145</v>
      </c>
      <c r="I547" s="172"/>
      <c r="J547" s="82" t="str">
        <f t="shared" ca="1" si="0"/>
        <v>#REF!</v>
      </c>
      <c r="K547" s="82" t="str">
        <f t="shared" ca="1" si="1"/>
        <v>#REF!</v>
      </c>
      <c r="L547" s="82" t="str">
        <f t="shared" ca="1" si="44"/>
        <v>#REF!</v>
      </c>
      <c r="M547" s="93"/>
      <c r="N547" s="93"/>
      <c r="O547" s="95">
        <f t="shared" si="2"/>
        <v>0</v>
      </c>
      <c r="P547" s="96">
        <f t="shared" si="3"/>
        <v>0</v>
      </c>
      <c r="Q547" s="97">
        <f t="shared" si="4"/>
        <v>0</v>
      </c>
      <c r="R547" s="97" t="str">
        <f ca="1">ROUNDUP(HLOOKUP(IF(CEILING(L547,0.5)&lt;1,0.5,CEILING(L547,0.5)),'배송비 조회'!A$44:AO$56,7,0)*B$3,-2)</f>
        <v>#REF!</v>
      </c>
      <c r="S547" s="97">
        <v>0</v>
      </c>
      <c r="T547" s="97" t="str">
        <f t="shared" ca="1" si="42"/>
        <v>#REF!</v>
      </c>
      <c r="U547" s="97" t="str">
        <f t="shared" ca="1" si="29"/>
        <v>#REF!</v>
      </c>
      <c r="V547" s="97" t="str">
        <f t="shared" ca="1" si="7"/>
        <v>#REF!</v>
      </c>
      <c r="W547" s="97" t="str">
        <f t="shared" ca="1" si="8"/>
        <v>#REF!</v>
      </c>
      <c r="X547" s="121">
        <v>0</v>
      </c>
      <c r="Y547" s="121" t="str">
        <f t="shared" ca="1" si="9"/>
        <v>#REF!</v>
      </c>
      <c r="Z547" s="121" t="str">
        <f t="shared" ca="1" si="10"/>
        <v>#REF!</v>
      </c>
      <c r="AA547" s="99" t="str">
        <f t="shared" ca="1" si="11"/>
        <v>#REF!</v>
      </c>
      <c r="AB547" s="234" t="str">
        <f t="shared" ca="1" si="12"/>
        <v>#REF!</v>
      </c>
      <c r="AC547" s="257" t="str">
        <f t="shared" ca="1" si="13"/>
        <v>#REF!</v>
      </c>
      <c r="AD547" s="234" t="str">
        <f t="shared" ca="1" si="14"/>
        <v>#REF!</v>
      </c>
      <c r="AE547" s="100" t="str">
        <f t="shared" ca="1" si="15"/>
        <v>#REF!</v>
      </c>
      <c r="AF547" s="101" t="str">
        <f t="shared" ca="1" si="16"/>
        <v>#REF!</v>
      </c>
      <c r="AG547" s="102" t="str">
        <f t="shared" ref="AG547:AH547" ca="1" si="565">AE547/V547</f>
        <v>#REF!</v>
      </c>
      <c r="AH547" s="102" t="str">
        <f t="shared" ca="1" si="565"/>
        <v>#REF!</v>
      </c>
    </row>
    <row r="548" spans="1:34" ht="13.2">
      <c r="A548" s="251"/>
      <c r="B548" s="251"/>
      <c r="C548" s="252"/>
      <c r="D548" s="252"/>
      <c r="E548" s="114"/>
      <c r="F548" s="252"/>
      <c r="G548" s="125" t="s">
        <v>145</v>
      </c>
      <c r="I548" s="172"/>
      <c r="J548" s="82" t="str">
        <f t="shared" ca="1" si="0"/>
        <v>#REF!</v>
      </c>
      <c r="K548" s="82" t="str">
        <f t="shared" ca="1" si="1"/>
        <v>#REF!</v>
      </c>
      <c r="L548" s="82" t="str">
        <f t="shared" ca="1" si="44"/>
        <v>#REF!</v>
      </c>
      <c r="M548" s="93"/>
      <c r="N548" s="93"/>
      <c r="O548" s="95">
        <f t="shared" si="2"/>
        <v>0</v>
      </c>
      <c r="P548" s="96">
        <f t="shared" si="3"/>
        <v>0</v>
      </c>
      <c r="Q548" s="97">
        <f t="shared" si="4"/>
        <v>0</v>
      </c>
      <c r="R548" s="97" t="str">
        <f ca="1">ROUNDUP(HLOOKUP(IF(CEILING(L548,0.5)&lt;1,0.5,CEILING(L548,0.5)),'배송비 조회'!A$44:AO$56,7,0)*B$3,-2)</f>
        <v>#REF!</v>
      </c>
      <c r="S548" s="97">
        <v>0</v>
      </c>
      <c r="T548" s="97" t="str">
        <f t="shared" ca="1" si="42"/>
        <v>#REF!</v>
      </c>
      <c r="U548" s="97" t="str">
        <f t="shared" ca="1" si="29"/>
        <v>#REF!</v>
      </c>
      <c r="V548" s="97" t="str">
        <f t="shared" ca="1" si="7"/>
        <v>#REF!</v>
      </c>
      <c r="W548" s="97" t="str">
        <f t="shared" ca="1" si="8"/>
        <v>#REF!</v>
      </c>
      <c r="X548" s="121">
        <v>0</v>
      </c>
      <c r="Y548" s="121" t="str">
        <f t="shared" ca="1" si="9"/>
        <v>#REF!</v>
      </c>
      <c r="Z548" s="121" t="str">
        <f t="shared" ca="1" si="10"/>
        <v>#REF!</v>
      </c>
      <c r="AA548" s="99" t="str">
        <f t="shared" ca="1" si="11"/>
        <v>#REF!</v>
      </c>
      <c r="AB548" s="234" t="str">
        <f t="shared" ca="1" si="12"/>
        <v>#REF!</v>
      </c>
      <c r="AC548" s="257" t="str">
        <f t="shared" ca="1" si="13"/>
        <v>#REF!</v>
      </c>
      <c r="AD548" s="234" t="str">
        <f t="shared" ca="1" si="14"/>
        <v>#REF!</v>
      </c>
      <c r="AE548" s="100" t="str">
        <f t="shared" ca="1" si="15"/>
        <v>#REF!</v>
      </c>
      <c r="AF548" s="101" t="str">
        <f t="shared" ca="1" si="16"/>
        <v>#REF!</v>
      </c>
      <c r="AG548" s="102" t="str">
        <f t="shared" ref="AG548:AH548" ca="1" si="566">AE548/V548</f>
        <v>#REF!</v>
      </c>
      <c r="AH548" s="102" t="str">
        <f t="shared" ca="1" si="566"/>
        <v>#REF!</v>
      </c>
    </row>
    <row r="549" spans="1:34" ht="13.2">
      <c r="A549" s="251"/>
      <c r="B549" s="251"/>
      <c r="C549" s="252"/>
      <c r="D549" s="252"/>
      <c r="E549" s="114"/>
      <c r="F549" s="252"/>
      <c r="G549" s="125" t="s">
        <v>145</v>
      </c>
      <c r="I549" s="172"/>
      <c r="J549" s="82" t="str">
        <f t="shared" ca="1" si="0"/>
        <v>#REF!</v>
      </c>
      <c r="K549" s="82" t="str">
        <f t="shared" ca="1" si="1"/>
        <v>#REF!</v>
      </c>
      <c r="L549" s="82" t="str">
        <f t="shared" ca="1" si="44"/>
        <v>#REF!</v>
      </c>
      <c r="M549" s="93"/>
      <c r="N549" s="93"/>
      <c r="O549" s="95">
        <f t="shared" si="2"/>
        <v>0</v>
      </c>
      <c r="P549" s="96">
        <f t="shared" si="3"/>
        <v>0</v>
      </c>
      <c r="Q549" s="97">
        <f t="shared" si="4"/>
        <v>0</v>
      </c>
      <c r="R549" s="97" t="str">
        <f ca="1">ROUNDUP(HLOOKUP(IF(CEILING(L549,0.5)&lt;1,0.5,CEILING(L549,0.5)),'배송비 조회'!A$44:AO$56,7,0)*B$3,-2)</f>
        <v>#REF!</v>
      </c>
      <c r="S549" s="97">
        <v>0</v>
      </c>
      <c r="T549" s="97" t="str">
        <f t="shared" ca="1" si="42"/>
        <v>#REF!</v>
      </c>
      <c r="U549" s="97" t="str">
        <f t="shared" ca="1" si="29"/>
        <v>#REF!</v>
      </c>
      <c r="V549" s="97" t="str">
        <f t="shared" ca="1" si="7"/>
        <v>#REF!</v>
      </c>
      <c r="W549" s="97" t="str">
        <f t="shared" ca="1" si="8"/>
        <v>#REF!</v>
      </c>
      <c r="X549" s="121">
        <v>0</v>
      </c>
      <c r="Y549" s="121" t="str">
        <f t="shared" ca="1" si="9"/>
        <v>#REF!</v>
      </c>
      <c r="Z549" s="121" t="str">
        <f t="shared" ca="1" si="10"/>
        <v>#REF!</v>
      </c>
      <c r="AA549" s="99" t="str">
        <f t="shared" ca="1" si="11"/>
        <v>#REF!</v>
      </c>
      <c r="AB549" s="234" t="str">
        <f t="shared" ca="1" si="12"/>
        <v>#REF!</v>
      </c>
      <c r="AC549" s="257" t="str">
        <f t="shared" ca="1" si="13"/>
        <v>#REF!</v>
      </c>
      <c r="AD549" s="234" t="str">
        <f t="shared" ca="1" si="14"/>
        <v>#REF!</v>
      </c>
      <c r="AE549" s="100" t="str">
        <f t="shared" ca="1" si="15"/>
        <v>#REF!</v>
      </c>
      <c r="AF549" s="101" t="str">
        <f t="shared" ca="1" si="16"/>
        <v>#REF!</v>
      </c>
      <c r="AG549" s="102" t="str">
        <f t="shared" ref="AG549:AH549" ca="1" si="567">AE549/V549</f>
        <v>#REF!</v>
      </c>
      <c r="AH549" s="102" t="str">
        <f t="shared" ca="1" si="567"/>
        <v>#REF!</v>
      </c>
    </row>
    <row r="550" spans="1:34" ht="13.2">
      <c r="A550" s="251"/>
      <c r="B550" s="251"/>
      <c r="C550" s="252"/>
      <c r="D550" s="252"/>
      <c r="E550" s="114"/>
      <c r="F550" s="252"/>
      <c r="G550" s="125" t="s">
        <v>145</v>
      </c>
      <c r="I550" s="172"/>
      <c r="J550" s="82" t="str">
        <f t="shared" ca="1" si="0"/>
        <v>#REF!</v>
      </c>
      <c r="K550" s="82" t="str">
        <f t="shared" ca="1" si="1"/>
        <v>#REF!</v>
      </c>
      <c r="L550" s="82" t="str">
        <f t="shared" ca="1" si="44"/>
        <v>#REF!</v>
      </c>
      <c r="M550" s="93"/>
      <c r="N550" s="93"/>
      <c r="O550" s="95">
        <f t="shared" si="2"/>
        <v>0</v>
      </c>
      <c r="P550" s="96">
        <f t="shared" si="3"/>
        <v>0</v>
      </c>
      <c r="Q550" s="97">
        <f t="shared" si="4"/>
        <v>0</v>
      </c>
      <c r="R550" s="97" t="str">
        <f ca="1">ROUNDUP(HLOOKUP(IF(CEILING(L550,0.5)&lt;1,0.5,CEILING(L550,0.5)),'배송비 조회'!A$44:AO$56,7,0)*B$3,-2)</f>
        <v>#REF!</v>
      </c>
      <c r="S550" s="97">
        <v>0</v>
      </c>
      <c r="T550" s="97" t="str">
        <f t="shared" ca="1" si="42"/>
        <v>#REF!</v>
      </c>
      <c r="U550" s="97" t="str">
        <f t="shared" ca="1" si="29"/>
        <v>#REF!</v>
      </c>
      <c r="V550" s="97" t="str">
        <f t="shared" ca="1" si="7"/>
        <v>#REF!</v>
      </c>
      <c r="W550" s="97" t="str">
        <f t="shared" ca="1" si="8"/>
        <v>#REF!</v>
      </c>
      <c r="X550" s="121">
        <v>0</v>
      </c>
      <c r="Y550" s="121" t="str">
        <f t="shared" ca="1" si="9"/>
        <v>#REF!</v>
      </c>
      <c r="Z550" s="121" t="str">
        <f t="shared" ca="1" si="10"/>
        <v>#REF!</v>
      </c>
      <c r="AA550" s="99" t="str">
        <f t="shared" ca="1" si="11"/>
        <v>#REF!</v>
      </c>
      <c r="AB550" s="234" t="str">
        <f t="shared" ca="1" si="12"/>
        <v>#REF!</v>
      </c>
      <c r="AC550" s="257" t="str">
        <f t="shared" ca="1" si="13"/>
        <v>#REF!</v>
      </c>
      <c r="AD550" s="234" t="str">
        <f t="shared" ca="1" si="14"/>
        <v>#REF!</v>
      </c>
      <c r="AE550" s="100" t="str">
        <f t="shared" ca="1" si="15"/>
        <v>#REF!</v>
      </c>
      <c r="AF550" s="101" t="str">
        <f t="shared" ca="1" si="16"/>
        <v>#REF!</v>
      </c>
      <c r="AG550" s="102" t="str">
        <f t="shared" ref="AG550:AH550" ca="1" si="568">AE550/V550</f>
        <v>#REF!</v>
      </c>
      <c r="AH550" s="102" t="str">
        <f t="shared" ca="1" si="568"/>
        <v>#REF!</v>
      </c>
    </row>
    <row r="551" spans="1:34" ht="13.2">
      <c r="A551" s="251"/>
      <c r="B551" s="251"/>
      <c r="C551" s="252"/>
      <c r="D551" s="252"/>
      <c r="E551" s="114"/>
      <c r="F551" s="252"/>
      <c r="G551" s="125" t="s">
        <v>145</v>
      </c>
      <c r="I551" s="172"/>
      <c r="J551" s="82" t="str">
        <f t="shared" ca="1" si="0"/>
        <v>#REF!</v>
      </c>
      <c r="K551" s="82" t="str">
        <f t="shared" ca="1" si="1"/>
        <v>#REF!</v>
      </c>
      <c r="L551" s="82" t="str">
        <f t="shared" ca="1" si="44"/>
        <v>#REF!</v>
      </c>
      <c r="M551" s="93"/>
      <c r="N551" s="93"/>
      <c r="O551" s="95">
        <f t="shared" si="2"/>
        <v>0</v>
      </c>
      <c r="P551" s="96">
        <f t="shared" si="3"/>
        <v>0</v>
      </c>
      <c r="Q551" s="97">
        <f t="shared" si="4"/>
        <v>0</v>
      </c>
      <c r="R551" s="97" t="str">
        <f ca="1">ROUNDUP(HLOOKUP(IF(CEILING(L551,0.5)&lt;1,0.5,CEILING(L551,0.5)),'배송비 조회'!A$44:AO$56,7,0)*B$3,-2)</f>
        <v>#REF!</v>
      </c>
      <c r="S551" s="97">
        <v>0</v>
      </c>
      <c r="T551" s="97" t="str">
        <f t="shared" ca="1" si="42"/>
        <v>#REF!</v>
      </c>
      <c r="U551" s="97" t="str">
        <f t="shared" ca="1" si="29"/>
        <v>#REF!</v>
      </c>
      <c r="V551" s="97" t="str">
        <f t="shared" ca="1" si="7"/>
        <v>#REF!</v>
      </c>
      <c r="W551" s="97" t="str">
        <f t="shared" ca="1" si="8"/>
        <v>#REF!</v>
      </c>
      <c r="X551" s="121">
        <v>0</v>
      </c>
      <c r="Y551" s="121" t="str">
        <f t="shared" ca="1" si="9"/>
        <v>#REF!</v>
      </c>
      <c r="Z551" s="121" t="str">
        <f t="shared" ca="1" si="10"/>
        <v>#REF!</v>
      </c>
      <c r="AA551" s="99" t="str">
        <f t="shared" ca="1" si="11"/>
        <v>#REF!</v>
      </c>
      <c r="AB551" s="234" t="str">
        <f t="shared" ca="1" si="12"/>
        <v>#REF!</v>
      </c>
      <c r="AC551" s="257" t="str">
        <f t="shared" ca="1" si="13"/>
        <v>#REF!</v>
      </c>
      <c r="AD551" s="234" t="str">
        <f t="shared" ca="1" si="14"/>
        <v>#REF!</v>
      </c>
      <c r="AE551" s="100" t="str">
        <f t="shared" ca="1" si="15"/>
        <v>#REF!</v>
      </c>
      <c r="AF551" s="101" t="str">
        <f t="shared" ca="1" si="16"/>
        <v>#REF!</v>
      </c>
      <c r="AG551" s="102" t="str">
        <f t="shared" ref="AG551:AH551" ca="1" si="569">AE551/V551</f>
        <v>#REF!</v>
      </c>
      <c r="AH551" s="102" t="str">
        <f t="shared" ca="1" si="569"/>
        <v>#REF!</v>
      </c>
    </row>
    <row r="552" spans="1:34" ht="13.2">
      <c r="A552" s="251"/>
      <c r="B552" s="251"/>
      <c r="C552" s="252"/>
      <c r="D552" s="252"/>
      <c r="E552" s="114"/>
      <c r="F552" s="252"/>
      <c r="G552" s="125" t="s">
        <v>145</v>
      </c>
      <c r="I552" s="172"/>
      <c r="J552" s="82" t="str">
        <f t="shared" ca="1" si="0"/>
        <v>#REF!</v>
      </c>
      <c r="K552" s="82" t="str">
        <f t="shared" ca="1" si="1"/>
        <v>#REF!</v>
      </c>
      <c r="L552" s="82" t="str">
        <f t="shared" ca="1" si="44"/>
        <v>#REF!</v>
      </c>
      <c r="M552" s="93"/>
      <c r="N552" s="93"/>
      <c r="O552" s="95">
        <f t="shared" si="2"/>
        <v>0</v>
      </c>
      <c r="P552" s="96">
        <f t="shared" si="3"/>
        <v>0</v>
      </c>
      <c r="Q552" s="97">
        <f t="shared" si="4"/>
        <v>0</v>
      </c>
      <c r="R552" s="97" t="str">
        <f ca="1">ROUNDUP(HLOOKUP(IF(CEILING(L552,0.5)&lt;1,0.5,CEILING(L552,0.5)),'배송비 조회'!A$44:AO$56,7,0)*B$3,-2)</f>
        <v>#REF!</v>
      </c>
      <c r="S552" s="97">
        <v>0</v>
      </c>
      <c r="T552" s="97" t="str">
        <f t="shared" ca="1" si="42"/>
        <v>#REF!</v>
      </c>
      <c r="U552" s="97" t="str">
        <f t="shared" ca="1" si="29"/>
        <v>#REF!</v>
      </c>
      <c r="V552" s="97" t="str">
        <f t="shared" ca="1" si="7"/>
        <v>#REF!</v>
      </c>
      <c r="W552" s="97" t="str">
        <f t="shared" ca="1" si="8"/>
        <v>#REF!</v>
      </c>
      <c r="X552" s="121">
        <v>0</v>
      </c>
      <c r="Y552" s="121" t="str">
        <f t="shared" ca="1" si="9"/>
        <v>#REF!</v>
      </c>
      <c r="Z552" s="121" t="str">
        <f t="shared" ca="1" si="10"/>
        <v>#REF!</v>
      </c>
      <c r="AA552" s="99" t="str">
        <f t="shared" ca="1" si="11"/>
        <v>#REF!</v>
      </c>
      <c r="AB552" s="234" t="str">
        <f t="shared" ca="1" si="12"/>
        <v>#REF!</v>
      </c>
      <c r="AC552" s="257" t="str">
        <f t="shared" ca="1" si="13"/>
        <v>#REF!</v>
      </c>
      <c r="AD552" s="234" t="str">
        <f t="shared" ca="1" si="14"/>
        <v>#REF!</v>
      </c>
      <c r="AE552" s="100" t="str">
        <f t="shared" ca="1" si="15"/>
        <v>#REF!</v>
      </c>
      <c r="AF552" s="101" t="str">
        <f t="shared" ca="1" si="16"/>
        <v>#REF!</v>
      </c>
      <c r="AG552" s="102" t="str">
        <f t="shared" ref="AG552:AH552" ca="1" si="570">AE552/V552</f>
        <v>#REF!</v>
      </c>
      <c r="AH552" s="102" t="str">
        <f t="shared" ca="1" si="570"/>
        <v>#REF!</v>
      </c>
    </row>
    <row r="553" spans="1:34" ht="13.2">
      <c r="A553" s="251"/>
      <c r="B553" s="251"/>
      <c r="C553" s="252"/>
      <c r="D553" s="252"/>
      <c r="E553" s="114"/>
      <c r="F553" s="252"/>
      <c r="G553" s="125" t="s">
        <v>145</v>
      </c>
      <c r="I553" s="172"/>
      <c r="J553" s="82" t="str">
        <f t="shared" ca="1" si="0"/>
        <v>#REF!</v>
      </c>
      <c r="K553" s="82" t="str">
        <f t="shared" ca="1" si="1"/>
        <v>#REF!</v>
      </c>
      <c r="L553" s="82" t="str">
        <f t="shared" ca="1" si="44"/>
        <v>#REF!</v>
      </c>
      <c r="M553" s="93"/>
      <c r="N553" s="93"/>
      <c r="O553" s="95">
        <f t="shared" si="2"/>
        <v>0</v>
      </c>
      <c r="P553" s="96">
        <f t="shared" si="3"/>
        <v>0</v>
      </c>
      <c r="Q553" s="97">
        <f t="shared" si="4"/>
        <v>0</v>
      </c>
      <c r="R553" s="97" t="str">
        <f ca="1">ROUNDUP(HLOOKUP(IF(CEILING(L553,0.5)&lt;1,0.5,CEILING(L553,0.5)),'배송비 조회'!A$44:AO$56,7,0)*B$3,-2)</f>
        <v>#REF!</v>
      </c>
      <c r="S553" s="97">
        <v>0</v>
      </c>
      <c r="T553" s="97" t="str">
        <f t="shared" ca="1" si="42"/>
        <v>#REF!</v>
      </c>
      <c r="U553" s="97" t="str">
        <f t="shared" ca="1" si="29"/>
        <v>#REF!</v>
      </c>
      <c r="V553" s="97" t="str">
        <f t="shared" ca="1" si="7"/>
        <v>#REF!</v>
      </c>
      <c r="W553" s="97" t="str">
        <f t="shared" ca="1" si="8"/>
        <v>#REF!</v>
      </c>
      <c r="X553" s="121">
        <v>0</v>
      </c>
      <c r="Y553" s="121" t="str">
        <f t="shared" ca="1" si="9"/>
        <v>#REF!</v>
      </c>
      <c r="Z553" s="121" t="str">
        <f t="shared" ca="1" si="10"/>
        <v>#REF!</v>
      </c>
      <c r="AA553" s="99" t="str">
        <f t="shared" ca="1" si="11"/>
        <v>#REF!</v>
      </c>
      <c r="AB553" s="234" t="str">
        <f t="shared" ca="1" si="12"/>
        <v>#REF!</v>
      </c>
      <c r="AC553" s="257" t="str">
        <f t="shared" ca="1" si="13"/>
        <v>#REF!</v>
      </c>
      <c r="AD553" s="234" t="str">
        <f t="shared" ca="1" si="14"/>
        <v>#REF!</v>
      </c>
      <c r="AE553" s="100" t="str">
        <f t="shared" ca="1" si="15"/>
        <v>#REF!</v>
      </c>
      <c r="AF553" s="101" t="str">
        <f t="shared" ca="1" si="16"/>
        <v>#REF!</v>
      </c>
      <c r="AG553" s="102" t="str">
        <f t="shared" ref="AG553:AH553" ca="1" si="571">AE553/V553</f>
        <v>#REF!</v>
      </c>
      <c r="AH553" s="102" t="str">
        <f t="shared" ca="1" si="571"/>
        <v>#REF!</v>
      </c>
    </row>
    <row r="554" spans="1:34" ht="13.2">
      <c r="A554" s="251"/>
      <c r="B554" s="251"/>
      <c r="C554" s="252"/>
      <c r="D554" s="252"/>
      <c r="E554" s="114"/>
      <c r="F554" s="252"/>
      <c r="G554" s="125" t="s">
        <v>145</v>
      </c>
      <c r="I554" s="172"/>
      <c r="J554" s="82" t="str">
        <f t="shared" ca="1" si="0"/>
        <v>#REF!</v>
      </c>
      <c r="K554" s="82" t="str">
        <f t="shared" ca="1" si="1"/>
        <v>#REF!</v>
      </c>
      <c r="L554" s="82" t="str">
        <f t="shared" ca="1" si="44"/>
        <v>#REF!</v>
      </c>
      <c r="M554" s="93"/>
      <c r="N554" s="93"/>
      <c r="O554" s="95">
        <f t="shared" si="2"/>
        <v>0</v>
      </c>
      <c r="P554" s="96">
        <f t="shared" si="3"/>
        <v>0</v>
      </c>
      <c r="Q554" s="97">
        <f t="shared" si="4"/>
        <v>0</v>
      </c>
      <c r="R554" s="97" t="str">
        <f ca="1">ROUNDUP(HLOOKUP(IF(CEILING(L554,0.5)&lt;1,0.5,CEILING(L554,0.5)),'배송비 조회'!A$44:AO$56,7,0)*B$3,-2)</f>
        <v>#REF!</v>
      </c>
      <c r="S554" s="97">
        <v>0</v>
      </c>
      <c r="T554" s="97" t="str">
        <f t="shared" ca="1" si="42"/>
        <v>#REF!</v>
      </c>
      <c r="U554" s="97" t="str">
        <f t="shared" ca="1" si="29"/>
        <v>#REF!</v>
      </c>
      <c r="V554" s="97" t="str">
        <f t="shared" ca="1" si="7"/>
        <v>#REF!</v>
      </c>
      <c r="W554" s="97" t="str">
        <f t="shared" ca="1" si="8"/>
        <v>#REF!</v>
      </c>
      <c r="X554" s="121">
        <v>0</v>
      </c>
      <c r="Y554" s="121" t="str">
        <f t="shared" ca="1" si="9"/>
        <v>#REF!</v>
      </c>
      <c r="Z554" s="121" t="str">
        <f t="shared" ca="1" si="10"/>
        <v>#REF!</v>
      </c>
      <c r="AA554" s="99" t="str">
        <f t="shared" ca="1" si="11"/>
        <v>#REF!</v>
      </c>
      <c r="AB554" s="234" t="str">
        <f t="shared" ca="1" si="12"/>
        <v>#REF!</v>
      </c>
      <c r="AC554" s="257" t="str">
        <f t="shared" ca="1" si="13"/>
        <v>#REF!</v>
      </c>
      <c r="AD554" s="234" t="str">
        <f t="shared" ca="1" si="14"/>
        <v>#REF!</v>
      </c>
      <c r="AE554" s="100" t="str">
        <f t="shared" ca="1" si="15"/>
        <v>#REF!</v>
      </c>
      <c r="AF554" s="101" t="str">
        <f t="shared" ca="1" si="16"/>
        <v>#REF!</v>
      </c>
      <c r="AG554" s="102" t="str">
        <f t="shared" ref="AG554:AH554" ca="1" si="572">AE554/V554</f>
        <v>#REF!</v>
      </c>
      <c r="AH554" s="102" t="str">
        <f t="shared" ca="1" si="572"/>
        <v>#REF!</v>
      </c>
    </row>
    <row r="555" spans="1:34" ht="13.2">
      <c r="A555" s="251"/>
      <c r="B555" s="251"/>
      <c r="C555" s="252"/>
      <c r="D555" s="252"/>
      <c r="E555" s="114"/>
      <c r="F555" s="252"/>
      <c r="G555" s="125" t="s">
        <v>145</v>
      </c>
      <c r="I555" s="172"/>
      <c r="J555" s="82" t="str">
        <f t="shared" ca="1" si="0"/>
        <v>#REF!</v>
      </c>
      <c r="K555" s="82" t="str">
        <f t="shared" ca="1" si="1"/>
        <v>#REF!</v>
      </c>
      <c r="L555" s="82" t="str">
        <f t="shared" ca="1" si="44"/>
        <v>#REF!</v>
      </c>
      <c r="M555" s="93"/>
      <c r="N555" s="93"/>
      <c r="O555" s="95">
        <f t="shared" si="2"/>
        <v>0</v>
      </c>
      <c r="P555" s="96">
        <f t="shared" si="3"/>
        <v>0</v>
      </c>
      <c r="Q555" s="97">
        <f t="shared" si="4"/>
        <v>0</v>
      </c>
      <c r="R555" s="97" t="str">
        <f ca="1">ROUNDUP(HLOOKUP(IF(CEILING(L555,0.5)&lt;1,0.5,CEILING(L555,0.5)),'배송비 조회'!A$44:AO$56,7,0)*B$3,-2)</f>
        <v>#REF!</v>
      </c>
      <c r="S555" s="97">
        <v>0</v>
      </c>
      <c r="T555" s="97" t="str">
        <f t="shared" ca="1" si="42"/>
        <v>#REF!</v>
      </c>
      <c r="U555" s="97" t="str">
        <f t="shared" ca="1" si="29"/>
        <v>#REF!</v>
      </c>
      <c r="V555" s="97" t="str">
        <f t="shared" ca="1" si="7"/>
        <v>#REF!</v>
      </c>
      <c r="W555" s="97" t="str">
        <f t="shared" ca="1" si="8"/>
        <v>#REF!</v>
      </c>
      <c r="X555" s="121">
        <v>0</v>
      </c>
      <c r="Y555" s="121" t="str">
        <f t="shared" ca="1" si="9"/>
        <v>#REF!</v>
      </c>
      <c r="Z555" s="121" t="str">
        <f t="shared" ca="1" si="10"/>
        <v>#REF!</v>
      </c>
      <c r="AA555" s="99" t="str">
        <f t="shared" ca="1" si="11"/>
        <v>#REF!</v>
      </c>
      <c r="AB555" s="234" t="str">
        <f t="shared" ca="1" si="12"/>
        <v>#REF!</v>
      </c>
      <c r="AC555" s="257" t="str">
        <f t="shared" ca="1" si="13"/>
        <v>#REF!</v>
      </c>
      <c r="AD555" s="234" t="str">
        <f t="shared" ca="1" si="14"/>
        <v>#REF!</v>
      </c>
      <c r="AE555" s="100" t="str">
        <f t="shared" ca="1" si="15"/>
        <v>#REF!</v>
      </c>
      <c r="AF555" s="101" t="str">
        <f t="shared" ca="1" si="16"/>
        <v>#REF!</v>
      </c>
      <c r="AG555" s="102" t="str">
        <f t="shared" ref="AG555:AH555" ca="1" si="573">AE555/V555</f>
        <v>#REF!</v>
      </c>
      <c r="AH555" s="102" t="str">
        <f t="shared" ca="1" si="573"/>
        <v>#REF!</v>
      </c>
    </row>
    <row r="556" spans="1:34" ht="13.2">
      <c r="A556" s="251"/>
      <c r="B556" s="251"/>
      <c r="C556" s="252"/>
      <c r="D556" s="252"/>
      <c r="E556" s="114"/>
      <c r="F556" s="252"/>
      <c r="G556" s="125" t="s">
        <v>145</v>
      </c>
      <c r="I556" s="172"/>
      <c r="J556" s="82" t="str">
        <f t="shared" ca="1" si="0"/>
        <v>#REF!</v>
      </c>
      <c r="K556" s="82" t="str">
        <f t="shared" ca="1" si="1"/>
        <v>#REF!</v>
      </c>
      <c r="L556" s="82" t="str">
        <f t="shared" ca="1" si="44"/>
        <v>#REF!</v>
      </c>
      <c r="M556" s="93"/>
      <c r="N556" s="93"/>
      <c r="O556" s="95">
        <f t="shared" si="2"/>
        <v>0</v>
      </c>
      <c r="P556" s="96">
        <f t="shared" si="3"/>
        <v>0</v>
      </c>
      <c r="Q556" s="97">
        <f t="shared" si="4"/>
        <v>0</v>
      </c>
      <c r="R556" s="97" t="str">
        <f ca="1">ROUNDUP(HLOOKUP(IF(CEILING(L556,0.5)&lt;1,0.5,CEILING(L556,0.5)),'배송비 조회'!A$44:AO$56,7,0)*B$3,-2)</f>
        <v>#REF!</v>
      </c>
      <c r="S556" s="97">
        <v>0</v>
      </c>
      <c r="T556" s="97" t="str">
        <f t="shared" ca="1" si="42"/>
        <v>#REF!</v>
      </c>
      <c r="U556" s="97" t="str">
        <f t="shared" ca="1" si="29"/>
        <v>#REF!</v>
      </c>
      <c r="V556" s="97" t="str">
        <f t="shared" ca="1" si="7"/>
        <v>#REF!</v>
      </c>
      <c r="W556" s="97" t="str">
        <f t="shared" ca="1" si="8"/>
        <v>#REF!</v>
      </c>
      <c r="X556" s="121">
        <v>0</v>
      </c>
      <c r="Y556" s="121" t="str">
        <f t="shared" ca="1" si="9"/>
        <v>#REF!</v>
      </c>
      <c r="Z556" s="121" t="str">
        <f t="shared" ca="1" si="10"/>
        <v>#REF!</v>
      </c>
      <c r="AA556" s="99" t="str">
        <f t="shared" ca="1" si="11"/>
        <v>#REF!</v>
      </c>
      <c r="AB556" s="234" t="str">
        <f t="shared" ca="1" si="12"/>
        <v>#REF!</v>
      </c>
      <c r="AC556" s="257" t="str">
        <f t="shared" ca="1" si="13"/>
        <v>#REF!</v>
      </c>
      <c r="AD556" s="234" t="str">
        <f t="shared" ca="1" si="14"/>
        <v>#REF!</v>
      </c>
      <c r="AE556" s="100" t="str">
        <f t="shared" ca="1" si="15"/>
        <v>#REF!</v>
      </c>
      <c r="AF556" s="101" t="str">
        <f t="shared" ca="1" si="16"/>
        <v>#REF!</v>
      </c>
      <c r="AG556" s="102" t="str">
        <f t="shared" ref="AG556:AH556" ca="1" si="574">AE556/V556</f>
        <v>#REF!</v>
      </c>
      <c r="AH556" s="102" t="str">
        <f t="shared" ca="1" si="574"/>
        <v>#REF!</v>
      </c>
    </row>
    <row r="557" spans="1:34" ht="13.2">
      <c r="A557" s="251"/>
      <c r="B557" s="251"/>
      <c r="C557" s="252"/>
      <c r="D557" s="252"/>
      <c r="E557" s="114"/>
      <c r="F557" s="252"/>
      <c r="G557" s="125" t="s">
        <v>145</v>
      </c>
      <c r="I557" s="172"/>
      <c r="J557" s="82" t="str">
        <f t="shared" ca="1" si="0"/>
        <v>#REF!</v>
      </c>
      <c r="K557" s="82" t="str">
        <f t="shared" ca="1" si="1"/>
        <v>#REF!</v>
      </c>
      <c r="L557" s="82" t="str">
        <f t="shared" ca="1" si="44"/>
        <v>#REF!</v>
      </c>
      <c r="M557" s="93"/>
      <c r="N557" s="93"/>
      <c r="O557" s="95">
        <f t="shared" si="2"/>
        <v>0</v>
      </c>
      <c r="P557" s="96">
        <f t="shared" si="3"/>
        <v>0</v>
      </c>
      <c r="Q557" s="97">
        <f t="shared" si="4"/>
        <v>0</v>
      </c>
      <c r="R557" s="97" t="str">
        <f ca="1">ROUNDUP(HLOOKUP(IF(CEILING(L557,0.5)&lt;1,0.5,CEILING(L557,0.5)),'배송비 조회'!A$44:AO$56,7,0)*B$3,-2)</f>
        <v>#REF!</v>
      </c>
      <c r="S557" s="97">
        <v>0</v>
      </c>
      <c r="T557" s="97" t="str">
        <f t="shared" ca="1" si="42"/>
        <v>#REF!</v>
      </c>
      <c r="U557" s="97" t="str">
        <f t="shared" ca="1" si="29"/>
        <v>#REF!</v>
      </c>
      <c r="V557" s="97" t="str">
        <f t="shared" ca="1" si="7"/>
        <v>#REF!</v>
      </c>
      <c r="W557" s="97" t="str">
        <f t="shared" ca="1" si="8"/>
        <v>#REF!</v>
      </c>
      <c r="X557" s="121">
        <v>0</v>
      </c>
      <c r="Y557" s="121" t="str">
        <f t="shared" ca="1" si="9"/>
        <v>#REF!</v>
      </c>
      <c r="Z557" s="121" t="str">
        <f t="shared" ca="1" si="10"/>
        <v>#REF!</v>
      </c>
      <c r="AA557" s="99" t="str">
        <f t="shared" ca="1" si="11"/>
        <v>#REF!</v>
      </c>
      <c r="AB557" s="234" t="str">
        <f t="shared" ca="1" si="12"/>
        <v>#REF!</v>
      </c>
      <c r="AC557" s="257" t="str">
        <f t="shared" ca="1" si="13"/>
        <v>#REF!</v>
      </c>
      <c r="AD557" s="234" t="str">
        <f t="shared" ca="1" si="14"/>
        <v>#REF!</v>
      </c>
      <c r="AE557" s="100" t="str">
        <f t="shared" ca="1" si="15"/>
        <v>#REF!</v>
      </c>
      <c r="AF557" s="101" t="str">
        <f t="shared" ca="1" si="16"/>
        <v>#REF!</v>
      </c>
      <c r="AG557" s="102" t="str">
        <f t="shared" ref="AG557:AH557" ca="1" si="575">AE557/V557</f>
        <v>#REF!</v>
      </c>
      <c r="AH557" s="102" t="str">
        <f t="shared" ca="1" si="575"/>
        <v>#REF!</v>
      </c>
    </row>
    <row r="558" spans="1:34" ht="13.2">
      <c r="A558" s="251"/>
      <c r="B558" s="251"/>
      <c r="C558" s="252"/>
      <c r="D558" s="252"/>
      <c r="E558" s="114"/>
      <c r="F558" s="252"/>
      <c r="G558" s="125" t="s">
        <v>145</v>
      </c>
      <c r="I558" s="172"/>
      <c r="J558" s="82" t="str">
        <f t="shared" ca="1" si="0"/>
        <v>#REF!</v>
      </c>
      <c r="K558" s="82" t="str">
        <f t="shared" ca="1" si="1"/>
        <v>#REF!</v>
      </c>
      <c r="L558" s="82" t="str">
        <f t="shared" ca="1" si="44"/>
        <v>#REF!</v>
      </c>
      <c r="M558" s="93"/>
      <c r="N558" s="93"/>
      <c r="O558" s="95">
        <f t="shared" si="2"/>
        <v>0</v>
      </c>
      <c r="P558" s="96">
        <f t="shared" si="3"/>
        <v>0</v>
      </c>
      <c r="Q558" s="97">
        <f t="shared" si="4"/>
        <v>0</v>
      </c>
      <c r="R558" s="97" t="str">
        <f ca="1">ROUNDUP(HLOOKUP(IF(CEILING(L558,0.5)&lt;1,0.5,CEILING(L558,0.5)),'배송비 조회'!A$44:AO$56,7,0)*B$3,-2)</f>
        <v>#REF!</v>
      </c>
      <c r="S558" s="97">
        <v>0</v>
      </c>
      <c r="T558" s="97" t="str">
        <f t="shared" ca="1" si="42"/>
        <v>#REF!</v>
      </c>
      <c r="U558" s="97" t="str">
        <f t="shared" ca="1" si="29"/>
        <v>#REF!</v>
      </c>
      <c r="V558" s="97" t="str">
        <f t="shared" ca="1" si="7"/>
        <v>#REF!</v>
      </c>
      <c r="W558" s="97" t="str">
        <f t="shared" ca="1" si="8"/>
        <v>#REF!</v>
      </c>
      <c r="X558" s="121">
        <v>0</v>
      </c>
      <c r="Y558" s="121" t="str">
        <f t="shared" ca="1" si="9"/>
        <v>#REF!</v>
      </c>
      <c r="Z558" s="121" t="str">
        <f t="shared" ca="1" si="10"/>
        <v>#REF!</v>
      </c>
      <c r="AA558" s="99" t="str">
        <f t="shared" ca="1" si="11"/>
        <v>#REF!</v>
      </c>
      <c r="AB558" s="234" t="str">
        <f t="shared" ca="1" si="12"/>
        <v>#REF!</v>
      </c>
      <c r="AC558" s="257" t="str">
        <f t="shared" ca="1" si="13"/>
        <v>#REF!</v>
      </c>
      <c r="AD558" s="234" t="str">
        <f t="shared" ca="1" si="14"/>
        <v>#REF!</v>
      </c>
      <c r="AE558" s="100" t="str">
        <f t="shared" ca="1" si="15"/>
        <v>#REF!</v>
      </c>
      <c r="AF558" s="101" t="str">
        <f t="shared" ca="1" si="16"/>
        <v>#REF!</v>
      </c>
      <c r="AG558" s="102" t="str">
        <f t="shared" ref="AG558:AH558" ca="1" si="576">AE558/V558</f>
        <v>#REF!</v>
      </c>
      <c r="AH558" s="102" t="str">
        <f t="shared" ca="1" si="576"/>
        <v>#REF!</v>
      </c>
    </row>
    <row r="559" spans="1:34" ht="13.2">
      <c r="A559" s="251"/>
      <c r="B559" s="251"/>
      <c r="C559" s="252"/>
      <c r="D559" s="252"/>
      <c r="E559" s="114"/>
      <c r="F559" s="252"/>
      <c r="G559" s="125" t="s">
        <v>145</v>
      </c>
      <c r="I559" s="172"/>
      <c r="J559" s="82" t="str">
        <f t="shared" ca="1" si="0"/>
        <v>#REF!</v>
      </c>
      <c r="K559" s="82" t="str">
        <f t="shared" ca="1" si="1"/>
        <v>#REF!</v>
      </c>
      <c r="L559" s="82" t="str">
        <f t="shared" ca="1" si="44"/>
        <v>#REF!</v>
      </c>
      <c r="M559" s="93"/>
      <c r="N559" s="93"/>
      <c r="O559" s="95">
        <f t="shared" si="2"/>
        <v>0</v>
      </c>
      <c r="P559" s="96">
        <f t="shared" si="3"/>
        <v>0</v>
      </c>
      <c r="Q559" s="97">
        <f t="shared" si="4"/>
        <v>0</v>
      </c>
      <c r="R559" s="97" t="str">
        <f ca="1">ROUNDUP(HLOOKUP(IF(CEILING(L559,0.5)&lt;1,0.5,CEILING(L559,0.5)),'배송비 조회'!A$44:AO$56,7,0)*B$3,-2)</f>
        <v>#REF!</v>
      </c>
      <c r="S559" s="97">
        <v>0</v>
      </c>
      <c r="T559" s="97" t="str">
        <f t="shared" ca="1" si="42"/>
        <v>#REF!</v>
      </c>
      <c r="U559" s="97" t="str">
        <f t="shared" ca="1" si="29"/>
        <v>#REF!</v>
      </c>
      <c r="V559" s="97" t="str">
        <f t="shared" ca="1" si="7"/>
        <v>#REF!</v>
      </c>
      <c r="W559" s="97" t="str">
        <f t="shared" ca="1" si="8"/>
        <v>#REF!</v>
      </c>
      <c r="X559" s="121">
        <v>0</v>
      </c>
      <c r="Y559" s="121" t="str">
        <f t="shared" ca="1" si="9"/>
        <v>#REF!</v>
      </c>
      <c r="Z559" s="121" t="str">
        <f t="shared" ca="1" si="10"/>
        <v>#REF!</v>
      </c>
      <c r="AA559" s="99" t="str">
        <f t="shared" ca="1" si="11"/>
        <v>#REF!</v>
      </c>
      <c r="AB559" s="234" t="str">
        <f t="shared" ca="1" si="12"/>
        <v>#REF!</v>
      </c>
      <c r="AC559" s="257" t="str">
        <f t="shared" ca="1" si="13"/>
        <v>#REF!</v>
      </c>
      <c r="AD559" s="234" t="str">
        <f t="shared" ca="1" si="14"/>
        <v>#REF!</v>
      </c>
      <c r="AE559" s="100" t="str">
        <f t="shared" ca="1" si="15"/>
        <v>#REF!</v>
      </c>
      <c r="AF559" s="101" t="str">
        <f t="shared" ca="1" si="16"/>
        <v>#REF!</v>
      </c>
      <c r="AG559" s="102" t="str">
        <f t="shared" ref="AG559:AH559" ca="1" si="577">AE559/V559</f>
        <v>#REF!</v>
      </c>
      <c r="AH559" s="102" t="str">
        <f t="shared" ca="1" si="577"/>
        <v>#REF!</v>
      </c>
    </row>
    <row r="560" spans="1:34" ht="13.2">
      <c r="A560" s="251"/>
      <c r="B560" s="251"/>
      <c r="C560" s="252"/>
      <c r="D560" s="252"/>
      <c r="E560" s="114"/>
      <c r="F560" s="252"/>
      <c r="G560" s="125" t="s">
        <v>145</v>
      </c>
      <c r="I560" s="172"/>
      <c r="J560" s="82" t="str">
        <f t="shared" ca="1" si="0"/>
        <v>#REF!</v>
      </c>
      <c r="K560" s="82" t="str">
        <f t="shared" ca="1" si="1"/>
        <v>#REF!</v>
      </c>
      <c r="L560" s="82" t="str">
        <f t="shared" ca="1" si="44"/>
        <v>#REF!</v>
      </c>
      <c r="M560" s="93"/>
      <c r="N560" s="93"/>
      <c r="O560" s="95">
        <f t="shared" si="2"/>
        <v>0</v>
      </c>
      <c r="P560" s="96">
        <f t="shared" si="3"/>
        <v>0</v>
      </c>
      <c r="Q560" s="97">
        <f t="shared" si="4"/>
        <v>0</v>
      </c>
      <c r="R560" s="97" t="str">
        <f ca="1">ROUNDUP(HLOOKUP(IF(CEILING(L560,0.5)&lt;1,0.5,CEILING(L560,0.5)),'배송비 조회'!A$44:AO$56,7,0)*B$3,-2)</f>
        <v>#REF!</v>
      </c>
      <c r="S560" s="97">
        <v>0</v>
      </c>
      <c r="T560" s="97" t="str">
        <f t="shared" ca="1" si="42"/>
        <v>#REF!</v>
      </c>
      <c r="U560" s="97" t="str">
        <f t="shared" ca="1" si="29"/>
        <v>#REF!</v>
      </c>
      <c r="V560" s="97" t="str">
        <f t="shared" ca="1" si="7"/>
        <v>#REF!</v>
      </c>
      <c r="W560" s="97" t="str">
        <f t="shared" ca="1" si="8"/>
        <v>#REF!</v>
      </c>
      <c r="X560" s="121">
        <v>0</v>
      </c>
      <c r="Y560" s="121" t="str">
        <f t="shared" ca="1" si="9"/>
        <v>#REF!</v>
      </c>
      <c r="Z560" s="121" t="str">
        <f t="shared" ca="1" si="10"/>
        <v>#REF!</v>
      </c>
      <c r="AA560" s="99" t="str">
        <f t="shared" ca="1" si="11"/>
        <v>#REF!</v>
      </c>
      <c r="AB560" s="234" t="str">
        <f t="shared" ca="1" si="12"/>
        <v>#REF!</v>
      </c>
      <c r="AC560" s="257" t="str">
        <f t="shared" ca="1" si="13"/>
        <v>#REF!</v>
      </c>
      <c r="AD560" s="234" t="str">
        <f t="shared" ca="1" si="14"/>
        <v>#REF!</v>
      </c>
      <c r="AE560" s="100" t="str">
        <f t="shared" ca="1" si="15"/>
        <v>#REF!</v>
      </c>
      <c r="AF560" s="101" t="str">
        <f t="shared" ca="1" si="16"/>
        <v>#REF!</v>
      </c>
      <c r="AG560" s="102" t="str">
        <f t="shared" ref="AG560:AH560" ca="1" si="578">AE560/V560</f>
        <v>#REF!</v>
      </c>
      <c r="AH560" s="102" t="str">
        <f t="shared" ca="1" si="578"/>
        <v>#REF!</v>
      </c>
    </row>
    <row r="561" spans="1:34" ht="13.2">
      <c r="A561" s="251"/>
      <c r="B561" s="251"/>
      <c r="C561" s="252"/>
      <c r="D561" s="252"/>
      <c r="E561" s="114"/>
      <c r="F561" s="252"/>
      <c r="G561" s="125" t="s">
        <v>145</v>
      </c>
      <c r="I561" s="172"/>
      <c r="J561" s="82" t="str">
        <f t="shared" ca="1" si="0"/>
        <v>#REF!</v>
      </c>
      <c r="K561" s="82" t="str">
        <f t="shared" ca="1" si="1"/>
        <v>#REF!</v>
      </c>
      <c r="L561" s="82" t="str">
        <f t="shared" ca="1" si="44"/>
        <v>#REF!</v>
      </c>
      <c r="M561" s="93"/>
      <c r="N561" s="93"/>
      <c r="O561" s="95">
        <f t="shared" si="2"/>
        <v>0</v>
      </c>
      <c r="P561" s="96">
        <f t="shared" si="3"/>
        <v>0</v>
      </c>
      <c r="Q561" s="97">
        <f t="shared" si="4"/>
        <v>0</v>
      </c>
      <c r="R561" s="97" t="str">
        <f ca="1">ROUNDUP(HLOOKUP(IF(CEILING(L561,0.5)&lt;1,0.5,CEILING(L561,0.5)),'배송비 조회'!A$44:AO$56,7,0)*B$3,-2)</f>
        <v>#REF!</v>
      </c>
      <c r="S561" s="97">
        <v>0</v>
      </c>
      <c r="T561" s="97" t="str">
        <f t="shared" ca="1" si="42"/>
        <v>#REF!</v>
      </c>
      <c r="U561" s="97" t="str">
        <f t="shared" ca="1" si="29"/>
        <v>#REF!</v>
      </c>
      <c r="V561" s="97" t="str">
        <f t="shared" ca="1" si="7"/>
        <v>#REF!</v>
      </c>
      <c r="W561" s="97" t="str">
        <f t="shared" ca="1" si="8"/>
        <v>#REF!</v>
      </c>
      <c r="X561" s="121">
        <v>0</v>
      </c>
      <c r="Y561" s="121" t="str">
        <f t="shared" ca="1" si="9"/>
        <v>#REF!</v>
      </c>
      <c r="Z561" s="121" t="str">
        <f t="shared" ca="1" si="10"/>
        <v>#REF!</v>
      </c>
      <c r="AA561" s="99" t="str">
        <f t="shared" ca="1" si="11"/>
        <v>#REF!</v>
      </c>
      <c r="AB561" s="234" t="str">
        <f t="shared" ca="1" si="12"/>
        <v>#REF!</v>
      </c>
      <c r="AC561" s="257" t="str">
        <f t="shared" ca="1" si="13"/>
        <v>#REF!</v>
      </c>
      <c r="AD561" s="234" t="str">
        <f t="shared" ca="1" si="14"/>
        <v>#REF!</v>
      </c>
      <c r="AE561" s="100" t="str">
        <f t="shared" ca="1" si="15"/>
        <v>#REF!</v>
      </c>
      <c r="AF561" s="101" t="str">
        <f t="shared" ca="1" si="16"/>
        <v>#REF!</v>
      </c>
      <c r="AG561" s="102" t="str">
        <f t="shared" ref="AG561:AH561" ca="1" si="579">AE561/V561</f>
        <v>#REF!</v>
      </c>
      <c r="AH561" s="102" t="str">
        <f t="shared" ca="1" si="579"/>
        <v>#REF!</v>
      </c>
    </row>
    <row r="562" spans="1:34" ht="13.2">
      <c r="A562" s="251"/>
      <c r="B562" s="251"/>
      <c r="C562" s="252"/>
      <c r="D562" s="252"/>
      <c r="E562" s="114"/>
      <c r="F562" s="252"/>
      <c r="G562" s="125" t="s">
        <v>145</v>
      </c>
      <c r="I562" s="172"/>
      <c r="J562" s="82" t="str">
        <f t="shared" ca="1" si="0"/>
        <v>#REF!</v>
      </c>
      <c r="K562" s="82" t="str">
        <f t="shared" ca="1" si="1"/>
        <v>#REF!</v>
      </c>
      <c r="L562" s="82" t="str">
        <f t="shared" ca="1" si="44"/>
        <v>#REF!</v>
      </c>
      <c r="M562" s="93"/>
      <c r="N562" s="93"/>
      <c r="O562" s="95">
        <f t="shared" si="2"/>
        <v>0</v>
      </c>
      <c r="P562" s="96">
        <f t="shared" si="3"/>
        <v>0</v>
      </c>
      <c r="Q562" s="97">
        <f t="shared" si="4"/>
        <v>0</v>
      </c>
      <c r="R562" s="97" t="str">
        <f ca="1">ROUNDUP(HLOOKUP(IF(CEILING(L562,0.5)&lt;1,0.5,CEILING(L562,0.5)),'배송비 조회'!A$44:AO$56,7,0)*B$3,-2)</f>
        <v>#REF!</v>
      </c>
      <c r="S562" s="97">
        <v>0</v>
      </c>
      <c r="T562" s="97" t="str">
        <f t="shared" ca="1" si="42"/>
        <v>#REF!</v>
      </c>
      <c r="U562" s="97" t="str">
        <f t="shared" ca="1" si="29"/>
        <v>#REF!</v>
      </c>
      <c r="V562" s="97" t="str">
        <f t="shared" ca="1" si="7"/>
        <v>#REF!</v>
      </c>
      <c r="W562" s="97" t="str">
        <f t="shared" ca="1" si="8"/>
        <v>#REF!</v>
      </c>
      <c r="X562" s="121">
        <v>0</v>
      </c>
      <c r="Y562" s="121" t="str">
        <f t="shared" ca="1" si="9"/>
        <v>#REF!</v>
      </c>
      <c r="Z562" s="121" t="str">
        <f t="shared" ca="1" si="10"/>
        <v>#REF!</v>
      </c>
      <c r="AA562" s="99" t="str">
        <f t="shared" ca="1" si="11"/>
        <v>#REF!</v>
      </c>
      <c r="AB562" s="234" t="str">
        <f t="shared" ca="1" si="12"/>
        <v>#REF!</v>
      </c>
      <c r="AC562" s="257" t="str">
        <f t="shared" ca="1" si="13"/>
        <v>#REF!</v>
      </c>
      <c r="AD562" s="234" t="str">
        <f t="shared" ca="1" si="14"/>
        <v>#REF!</v>
      </c>
      <c r="AE562" s="100" t="str">
        <f t="shared" ca="1" si="15"/>
        <v>#REF!</v>
      </c>
      <c r="AF562" s="101" t="str">
        <f t="shared" ca="1" si="16"/>
        <v>#REF!</v>
      </c>
      <c r="AG562" s="102" t="str">
        <f t="shared" ref="AG562:AH562" ca="1" si="580">AE562/V562</f>
        <v>#REF!</v>
      </c>
      <c r="AH562" s="102" t="str">
        <f t="shared" ca="1" si="580"/>
        <v>#REF!</v>
      </c>
    </row>
    <row r="563" spans="1:34" ht="13.2">
      <c r="A563" s="251"/>
      <c r="B563" s="251"/>
      <c r="C563" s="252"/>
      <c r="D563" s="252"/>
      <c r="E563" s="114"/>
      <c r="F563" s="252"/>
      <c r="G563" s="125" t="s">
        <v>145</v>
      </c>
      <c r="I563" s="172"/>
      <c r="J563" s="82" t="str">
        <f t="shared" ca="1" si="0"/>
        <v>#REF!</v>
      </c>
      <c r="K563" s="82" t="str">
        <f t="shared" ca="1" si="1"/>
        <v>#REF!</v>
      </c>
      <c r="L563" s="82" t="str">
        <f t="shared" ca="1" si="44"/>
        <v>#REF!</v>
      </c>
      <c r="M563" s="93"/>
      <c r="N563" s="93"/>
      <c r="O563" s="95">
        <f t="shared" si="2"/>
        <v>0</v>
      </c>
      <c r="P563" s="96">
        <f t="shared" si="3"/>
        <v>0</v>
      </c>
      <c r="Q563" s="97">
        <f t="shared" si="4"/>
        <v>0</v>
      </c>
      <c r="R563" s="97" t="str">
        <f ca="1">ROUNDUP(HLOOKUP(IF(CEILING(L563,0.5)&lt;1,0.5,CEILING(L563,0.5)),'배송비 조회'!A$44:AO$56,7,0)*B$3,-2)</f>
        <v>#REF!</v>
      </c>
      <c r="S563" s="97">
        <v>0</v>
      </c>
      <c r="T563" s="97" t="str">
        <f t="shared" ca="1" si="42"/>
        <v>#REF!</v>
      </c>
      <c r="U563" s="97" t="str">
        <f t="shared" ca="1" si="29"/>
        <v>#REF!</v>
      </c>
      <c r="V563" s="97" t="str">
        <f t="shared" ca="1" si="7"/>
        <v>#REF!</v>
      </c>
      <c r="W563" s="97" t="str">
        <f t="shared" ca="1" si="8"/>
        <v>#REF!</v>
      </c>
      <c r="X563" s="121">
        <v>0</v>
      </c>
      <c r="Y563" s="121" t="str">
        <f t="shared" ca="1" si="9"/>
        <v>#REF!</v>
      </c>
      <c r="Z563" s="121" t="str">
        <f t="shared" ca="1" si="10"/>
        <v>#REF!</v>
      </c>
      <c r="AA563" s="99" t="str">
        <f t="shared" ca="1" si="11"/>
        <v>#REF!</v>
      </c>
      <c r="AB563" s="234" t="str">
        <f t="shared" ca="1" si="12"/>
        <v>#REF!</v>
      </c>
      <c r="AC563" s="257" t="str">
        <f t="shared" ca="1" si="13"/>
        <v>#REF!</v>
      </c>
      <c r="AD563" s="234" t="str">
        <f t="shared" ca="1" si="14"/>
        <v>#REF!</v>
      </c>
      <c r="AE563" s="100" t="str">
        <f t="shared" ca="1" si="15"/>
        <v>#REF!</v>
      </c>
      <c r="AF563" s="101" t="str">
        <f t="shared" ca="1" si="16"/>
        <v>#REF!</v>
      </c>
      <c r="AG563" s="102" t="str">
        <f t="shared" ref="AG563:AH563" ca="1" si="581">AE563/V563</f>
        <v>#REF!</v>
      </c>
      <c r="AH563" s="102" t="str">
        <f t="shared" ca="1" si="581"/>
        <v>#REF!</v>
      </c>
    </row>
    <row r="564" spans="1:34" ht="13.2">
      <c r="A564" s="251"/>
      <c r="B564" s="251"/>
      <c r="C564" s="252"/>
      <c r="D564" s="252"/>
      <c r="E564" s="114"/>
      <c r="F564" s="252"/>
      <c r="G564" s="125" t="s">
        <v>145</v>
      </c>
      <c r="I564" s="172"/>
      <c r="J564" s="82" t="str">
        <f t="shared" ca="1" si="0"/>
        <v>#REF!</v>
      </c>
      <c r="K564" s="82" t="str">
        <f t="shared" ca="1" si="1"/>
        <v>#REF!</v>
      </c>
      <c r="L564" s="82" t="str">
        <f t="shared" ca="1" si="44"/>
        <v>#REF!</v>
      </c>
      <c r="M564" s="93"/>
      <c r="N564" s="93"/>
      <c r="O564" s="95">
        <f t="shared" si="2"/>
        <v>0</v>
      </c>
      <c r="P564" s="96">
        <f t="shared" si="3"/>
        <v>0</v>
      </c>
      <c r="Q564" s="97">
        <f t="shared" si="4"/>
        <v>0</v>
      </c>
      <c r="R564" s="97" t="str">
        <f ca="1">ROUNDUP(HLOOKUP(IF(CEILING(L564,0.5)&lt;1,0.5,CEILING(L564,0.5)),'배송비 조회'!A$44:AO$56,7,0)*B$3,-2)</f>
        <v>#REF!</v>
      </c>
      <c r="S564" s="97">
        <v>0</v>
      </c>
      <c r="T564" s="97" t="str">
        <f t="shared" ca="1" si="42"/>
        <v>#REF!</v>
      </c>
      <c r="U564" s="97" t="str">
        <f t="shared" ca="1" si="29"/>
        <v>#REF!</v>
      </c>
      <c r="V564" s="97" t="str">
        <f t="shared" ca="1" si="7"/>
        <v>#REF!</v>
      </c>
      <c r="W564" s="97" t="str">
        <f t="shared" ca="1" si="8"/>
        <v>#REF!</v>
      </c>
      <c r="X564" s="121">
        <v>0</v>
      </c>
      <c r="Y564" s="121" t="str">
        <f t="shared" ca="1" si="9"/>
        <v>#REF!</v>
      </c>
      <c r="Z564" s="121" t="str">
        <f t="shared" ca="1" si="10"/>
        <v>#REF!</v>
      </c>
      <c r="AA564" s="99" t="str">
        <f t="shared" ca="1" si="11"/>
        <v>#REF!</v>
      </c>
      <c r="AB564" s="234" t="str">
        <f t="shared" ca="1" si="12"/>
        <v>#REF!</v>
      </c>
      <c r="AC564" s="257" t="str">
        <f t="shared" ca="1" si="13"/>
        <v>#REF!</v>
      </c>
      <c r="AD564" s="234" t="str">
        <f t="shared" ca="1" si="14"/>
        <v>#REF!</v>
      </c>
      <c r="AE564" s="100" t="str">
        <f t="shared" ca="1" si="15"/>
        <v>#REF!</v>
      </c>
      <c r="AF564" s="101" t="str">
        <f t="shared" ca="1" si="16"/>
        <v>#REF!</v>
      </c>
      <c r="AG564" s="102" t="str">
        <f t="shared" ref="AG564:AH564" ca="1" si="582">AE564/V564</f>
        <v>#REF!</v>
      </c>
      <c r="AH564" s="102" t="str">
        <f t="shared" ca="1" si="582"/>
        <v>#REF!</v>
      </c>
    </row>
    <row r="565" spans="1:34" ht="13.2">
      <c r="A565" s="251"/>
      <c r="B565" s="251"/>
      <c r="C565" s="252"/>
      <c r="D565" s="252"/>
      <c r="E565" s="114"/>
      <c r="F565" s="252"/>
      <c r="G565" s="125" t="s">
        <v>145</v>
      </c>
      <c r="I565" s="172"/>
      <c r="J565" s="82" t="str">
        <f t="shared" ca="1" si="0"/>
        <v>#REF!</v>
      </c>
      <c r="K565" s="82" t="str">
        <f t="shared" ca="1" si="1"/>
        <v>#REF!</v>
      </c>
      <c r="L565" s="82" t="str">
        <f t="shared" ca="1" si="44"/>
        <v>#REF!</v>
      </c>
      <c r="M565" s="93"/>
      <c r="N565" s="93"/>
      <c r="O565" s="95">
        <f t="shared" si="2"/>
        <v>0</v>
      </c>
      <c r="P565" s="96">
        <f t="shared" si="3"/>
        <v>0</v>
      </c>
      <c r="Q565" s="97">
        <f t="shared" si="4"/>
        <v>0</v>
      </c>
      <c r="R565" s="97" t="str">
        <f ca="1">ROUNDUP(HLOOKUP(IF(CEILING(L565,0.5)&lt;1,0.5,CEILING(L565,0.5)),'배송비 조회'!A$44:AO$56,7,0)*B$3,-2)</f>
        <v>#REF!</v>
      </c>
      <c r="S565" s="97">
        <v>0</v>
      </c>
      <c r="T565" s="97" t="str">
        <f t="shared" ca="1" si="42"/>
        <v>#REF!</v>
      </c>
      <c r="U565" s="97" t="str">
        <f t="shared" ca="1" si="29"/>
        <v>#REF!</v>
      </c>
      <c r="V565" s="97" t="str">
        <f t="shared" ca="1" si="7"/>
        <v>#REF!</v>
      </c>
      <c r="W565" s="97" t="str">
        <f t="shared" ca="1" si="8"/>
        <v>#REF!</v>
      </c>
      <c r="X565" s="121">
        <v>0</v>
      </c>
      <c r="Y565" s="121" t="str">
        <f t="shared" ca="1" si="9"/>
        <v>#REF!</v>
      </c>
      <c r="Z565" s="121" t="str">
        <f t="shared" ca="1" si="10"/>
        <v>#REF!</v>
      </c>
      <c r="AA565" s="99" t="str">
        <f t="shared" ca="1" si="11"/>
        <v>#REF!</v>
      </c>
      <c r="AB565" s="234" t="str">
        <f t="shared" ca="1" si="12"/>
        <v>#REF!</v>
      </c>
      <c r="AC565" s="257" t="str">
        <f t="shared" ca="1" si="13"/>
        <v>#REF!</v>
      </c>
      <c r="AD565" s="234" t="str">
        <f t="shared" ca="1" si="14"/>
        <v>#REF!</v>
      </c>
      <c r="AE565" s="100" t="str">
        <f t="shared" ca="1" si="15"/>
        <v>#REF!</v>
      </c>
      <c r="AF565" s="101" t="str">
        <f t="shared" ca="1" si="16"/>
        <v>#REF!</v>
      </c>
      <c r="AG565" s="102" t="str">
        <f t="shared" ref="AG565:AH565" ca="1" si="583">AE565/V565</f>
        <v>#REF!</v>
      </c>
      <c r="AH565" s="102" t="str">
        <f t="shared" ca="1" si="583"/>
        <v>#REF!</v>
      </c>
    </row>
    <row r="566" spans="1:34" ht="13.2">
      <c r="A566" s="251"/>
      <c r="B566" s="251"/>
      <c r="C566" s="252"/>
      <c r="D566" s="252"/>
      <c r="E566" s="114"/>
      <c r="F566" s="252"/>
      <c r="G566" s="125" t="s">
        <v>145</v>
      </c>
      <c r="I566" s="172"/>
      <c r="J566" s="82" t="str">
        <f t="shared" ca="1" si="0"/>
        <v>#REF!</v>
      </c>
      <c r="K566" s="82" t="str">
        <f t="shared" ca="1" si="1"/>
        <v>#REF!</v>
      </c>
      <c r="L566" s="82" t="str">
        <f t="shared" ca="1" si="44"/>
        <v>#REF!</v>
      </c>
      <c r="M566" s="93"/>
      <c r="N566" s="93"/>
      <c r="O566" s="95">
        <f t="shared" si="2"/>
        <v>0</v>
      </c>
      <c r="P566" s="96">
        <f t="shared" si="3"/>
        <v>0</v>
      </c>
      <c r="Q566" s="97">
        <f t="shared" si="4"/>
        <v>0</v>
      </c>
      <c r="R566" s="97" t="str">
        <f ca="1">ROUNDUP(HLOOKUP(IF(CEILING(L566,0.5)&lt;1,0.5,CEILING(L566,0.5)),'배송비 조회'!A$44:AO$56,7,0)*B$3,-2)</f>
        <v>#REF!</v>
      </c>
      <c r="S566" s="97">
        <v>0</v>
      </c>
      <c r="T566" s="97" t="str">
        <f t="shared" ca="1" si="42"/>
        <v>#REF!</v>
      </c>
      <c r="U566" s="97" t="str">
        <f t="shared" ca="1" si="29"/>
        <v>#REF!</v>
      </c>
      <c r="V566" s="97" t="str">
        <f t="shared" ca="1" si="7"/>
        <v>#REF!</v>
      </c>
      <c r="W566" s="97" t="str">
        <f t="shared" ca="1" si="8"/>
        <v>#REF!</v>
      </c>
      <c r="X566" s="121">
        <v>0</v>
      </c>
      <c r="Y566" s="121" t="str">
        <f t="shared" ca="1" si="9"/>
        <v>#REF!</v>
      </c>
      <c r="Z566" s="121" t="str">
        <f t="shared" ca="1" si="10"/>
        <v>#REF!</v>
      </c>
      <c r="AA566" s="99" t="str">
        <f t="shared" ca="1" si="11"/>
        <v>#REF!</v>
      </c>
      <c r="AB566" s="234" t="str">
        <f t="shared" ca="1" si="12"/>
        <v>#REF!</v>
      </c>
      <c r="AC566" s="257" t="str">
        <f t="shared" ca="1" si="13"/>
        <v>#REF!</v>
      </c>
      <c r="AD566" s="234" t="str">
        <f t="shared" ca="1" si="14"/>
        <v>#REF!</v>
      </c>
      <c r="AE566" s="100" t="str">
        <f t="shared" ca="1" si="15"/>
        <v>#REF!</v>
      </c>
      <c r="AF566" s="101" t="str">
        <f t="shared" ca="1" si="16"/>
        <v>#REF!</v>
      </c>
      <c r="AG566" s="102" t="str">
        <f t="shared" ref="AG566:AH566" ca="1" si="584">AE566/V566</f>
        <v>#REF!</v>
      </c>
      <c r="AH566" s="102" t="str">
        <f t="shared" ca="1" si="584"/>
        <v>#REF!</v>
      </c>
    </row>
    <row r="567" spans="1:34" ht="13.2">
      <c r="A567" s="251"/>
      <c r="B567" s="251"/>
      <c r="C567" s="252"/>
      <c r="D567" s="252"/>
      <c r="E567" s="114"/>
      <c r="F567" s="252"/>
      <c r="G567" s="125" t="s">
        <v>145</v>
      </c>
      <c r="I567" s="172"/>
      <c r="J567" s="82" t="str">
        <f t="shared" ca="1" si="0"/>
        <v>#REF!</v>
      </c>
      <c r="K567" s="82" t="str">
        <f t="shared" ca="1" si="1"/>
        <v>#REF!</v>
      </c>
      <c r="L567" s="82" t="str">
        <f t="shared" ca="1" si="44"/>
        <v>#REF!</v>
      </c>
      <c r="M567" s="93"/>
      <c r="N567" s="93"/>
      <c r="O567" s="95">
        <f t="shared" si="2"/>
        <v>0</v>
      </c>
      <c r="P567" s="96">
        <f t="shared" si="3"/>
        <v>0</v>
      </c>
      <c r="Q567" s="97">
        <f t="shared" si="4"/>
        <v>0</v>
      </c>
      <c r="R567" s="97" t="str">
        <f ca="1">ROUNDUP(HLOOKUP(IF(CEILING(L567,0.5)&lt;1,0.5,CEILING(L567,0.5)),'배송비 조회'!A$44:AO$56,7,0)*B$3,-2)</f>
        <v>#REF!</v>
      </c>
      <c r="S567" s="97">
        <v>0</v>
      </c>
      <c r="T567" s="97" t="str">
        <f t="shared" ca="1" si="42"/>
        <v>#REF!</v>
      </c>
      <c r="U567" s="97" t="str">
        <f t="shared" ca="1" si="29"/>
        <v>#REF!</v>
      </c>
      <c r="V567" s="97" t="str">
        <f t="shared" ca="1" si="7"/>
        <v>#REF!</v>
      </c>
      <c r="W567" s="97" t="str">
        <f t="shared" ca="1" si="8"/>
        <v>#REF!</v>
      </c>
      <c r="X567" s="121">
        <v>0</v>
      </c>
      <c r="Y567" s="121" t="str">
        <f t="shared" ca="1" si="9"/>
        <v>#REF!</v>
      </c>
      <c r="Z567" s="121" t="str">
        <f t="shared" ca="1" si="10"/>
        <v>#REF!</v>
      </c>
      <c r="AA567" s="99" t="str">
        <f t="shared" ca="1" si="11"/>
        <v>#REF!</v>
      </c>
      <c r="AB567" s="234" t="str">
        <f t="shared" ca="1" si="12"/>
        <v>#REF!</v>
      </c>
      <c r="AC567" s="257" t="str">
        <f t="shared" ca="1" si="13"/>
        <v>#REF!</v>
      </c>
      <c r="AD567" s="234" t="str">
        <f t="shared" ca="1" si="14"/>
        <v>#REF!</v>
      </c>
      <c r="AE567" s="100" t="str">
        <f t="shared" ca="1" si="15"/>
        <v>#REF!</v>
      </c>
      <c r="AF567" s="101" t="str">
        <f t="shared" ca="1" si="16"/>
        <v>#REF!</v>
      </c>
      <c r="AG567" s="102" t="str">
        <f t="shared" ref="AG567:AH567" ca="1" si="585">AE567/V567</f>
        <v>#REF!</v>
      </c>
      <c r="AH567" s="102" t="str">
        <f t="shared" ca="1" si="585"/>
        <v>#REF!</v>
      </c>
    </row>
    <row r="568" spans="1:34" ht="13.2">
      <c r="A568" s="251"/>
      <c r="B568" s="251"/>
      <c r="C568" s="252"/>
      <c r="D568" s="252"/>
      <c r="E568" s="114"/>
      <c r="F568" s="252"/>
      <c r="G568" s="125" t="s">
        <v>145</v>
      </c>
      <c r="I568" s="172"/>
      <c r="J568" s="82" t="str">
        <f t="shared" ca="1" si="0"/>
        <v>#REF!</v>
      </c>
      <c r="K568" s="82" t="str">
        <f t="shared" ca="1" si="1"/>
        <v>#REF!</v>
      </c>
      <c r="L568" s="82" t="str">
        <f t="shared" ca="1" si="44"/>
        <v>#REF!</v>
      </c>
      <c r="M568" s="93"/>
      <c r="N568" s="93"/>
      <c r="O568" s="95">
        <f t="shared" si="2"/>
        <v>0</v>
      </c>
      <c r="P568" s="96">
        <f t="shared" si="3"/>
        <v>0</v>
      </c>
      <c r="Q568" s="97">
        <f t="shared" si="4"/>
        <v>0</v>
      </c>
      <c r="R568" s="97" t="str">
        <f ca="1">ROUNDUP(HLOOKUP(IF(CEILING(L568,0.5)&lt;1,0.5,CEILING(L568,0.5)),'배송비 조회'!A$44:AO$56,7,0)*B$3,-2)</f>
        <v>#REF!</v>
      </c>
      <c r="S568" s="97">
        <v>0</v>
      </c>
      <c r="T568" s="97" t="str">
        <f t="shared" ca="1" si="42"/>
        <v>#REF!</v>
      </c>
      <c r="U568" s="97" t="str">
        <f t="shared" ca="1" si="29"/>
        <v>#REF!</v>
      </c>
      <c r="V568" s="97" t="str">
        <f t="shared" ca="1" si="7"/>
        <v>#REF!</v>
      </c>
      <c r="W568" s="97" t="str">
        <f t="shared" ca="1" si="8"/>
        <v>#REF!</v>
      </c>
      <c r="X568" s="121">
        <v>0</v>
      </c>
      <c r="Y568" s="121" t="str">
        <f t="shared" ca="1" si="9"/>
        <v>#REF!</v>
      </c>
      <c r="Z568" s="121" t="str">
        <f t="shared" ca="1" si="10"/>
        <v>#REF!</v>
      </c>
      <c r="AA568" s="99" t="str">
        <f t="shared" ca="1" si="11"/>
        <v>#REF!</v>
      </c>
      <c r="AB568" s="234" t="str">
        <f t="shared" ca="1" si="12"/>
        <v>#REF!</v>
      </c>
      <c r="AC568" s="257" t="str">
        <f t="shared" ca="1" si="13"/>
        <v>#REF!</v>
      </c>
      <c r="AD568" s="234" t="str">
        <f t="shared" ca="1" si="14"/>
        <v>#REF!</v>
      </c>
      <c r="AE568" s="100" t="str">
        <f t="shared" ca="1" si="15"/>
        <v>#REF!</v>
      </c>
      <c r="AF568" s="101" t="str">
        <f t="shared" ca="1" si="16"/>
        <v>#REF!</v>
      </c>
      <c r="AG568" s="102" t="str">
        <f t="shared" ref="AG568:AH568" ca="1" si="586">AE568/V568</f>
        <v>#REF!</v>
      </c>
      <c r="AH568" s="102" t="str">
        <f t="shared" ca="1" si="586"/>
        <v>#REF!</v>
      </c>
    </row>
    <row r="569" spans="1:34" ht="13.2">
      <c r="A569" s="251"/>
      <c r="B569" s="251"/>
      <c r="C569" s="252"/>
      <c r="D569" s="252"/>
      <c r="E569" s="114"/>
      <c r="F569" s="252"/>
      <c r="G569" s="125" t="s">
        <v>145</v>
      </c>
      <c r="I569" s="172"/>
      <c r="J569" s="82" t="str">
        <f t="shared" ca="1" si="0"/>
        <v>#REF!</v>
      </c>
      <c r="K569" s="82" t="str">
        <f t="shared" ca="1" si="1"/>
        <v>#REF!</v>
      </c>
      <c r="L569" s="82" t="str">
        <f t="shared" ca="1" si="44"/>
        <v>#REF!</v>
      </c>
      <c r="M569" s="93"/>
      <c r="N569" s="93"/>
      <c r="O569" s="95">
        <f t="shared" si="2"/>
        <v>0</v>
      </c>
      <c r="P569" s="96">
        <f t="shared" si="3"/>
        <v>0</v>
      </c>
      <c r="Q569" s="97">
        <f t="shared" si="4"/>
        <v>0</v>
      </c>
      <c r="R569" s="97" t="str">
        <f ca="1">ROUNDUP(HLOOKUP(IF(CEILING(L569,0.5)&lt;1,0.5,CEILING(L569,0.5)),'배송비 조회'!A$44:AO$56,7,0)*B$3,-2)</f>
        <v>#REF!</v>
      </c>
      <c r="S569" s="97">
        <v>0</v>
      </c>
      <c r="T569" s="97" t="str">
        <f t="shared" ca="1" si="42"/>
        <v>#REF!</v>
      </c>
      <c r="U569" s="97" t="str">
        <f t="shared" ca="1" si="29"/>
        <v>#REF!</v>
      </c>
      <c r="V569" s="97" t="str">
        <f t="shared" ca="1" si="7"/>
        <v>#REF!</v>
      </c>
      <c r="W569" s="97" t="str">
        <f t="shared" ca="1" si="8"/>
        <v>#REF!</v>
      </c>
      <c r="X569" s="121">
        <v>0</v>
      </c>
      <c r="Y569" s="121" t="str">
        <f t="shared" ca="1" si="9"/>
        <v>#REF!</v>
      </c>
      <c r="Z569" s="121" t="str">
        <f t="shared" ca="1" si="10"/>
        <v>#REF!</v>
      </c>
      <c r="AA569" s="99" t="str">
        <f t="shared" ca="1" si="11"/>
        <v>#REF!</v>
      </c>
      <c r="AB569" s="234" t="str">
        <f t="shared" ca="1" si="12"/>
        <v>#REF!</v>
      </c>
      <c r="AC569" s="257" t="str">
        <f t="shared" ca="1" si="13"/>
        <v>#REF!</v>
      </c>
      <c r="AD569" s="234" t="str">
        <f t="shared" ca="1" si="14"/>
        <v>#REF!</v>
      </c>
      <c r="AE569" s="100" t="str">
        <f t="shared" ca="1" si="15"/>
        <v>#REF!</v>
      </c>
      <c r="AF569" s="101" t="str">
        <f t="shared" ca="1" si="16"/>
        <v>#REF!</v>
      </c>
      <c r="AG569" s="102" t="str">
        <f t="shared" ref="AG569:AH569" ca="1" si="587">AE569/V569</f>
        <v>#REF!</v>
      </c>
      <c r="AH569" s="102" t="str">
        <f t="shared" ca="1" si="587"/>
        <v>#REF!</v>
      </c>
    </row>
    <row r="570" spans="1:34" ht="13.2">
      <c r="A570" s="251"/>
      <c r="B570" s="251"/>
      <c r="C570" s="252"/>
      <c r="D570" s="252"/>
      <c r="E570" s="114"/>
      <c r="F570" s="252"/>
      <c r="G570" s="125" t="s">
        <v>145</v>
      </c>
      <c r="I570" s="172"/>
      <c r="J570" s="82" t="str">
        <f t="shared" ca="1" si="0"/>
        <v>#REF!</v>
      </c>
      <c r="K570" s="82" t="str">
        <f t="shared" ca="1" si="1"/>
        <v>#REF!</v>
      </c>
      <c r="L570" s="82" t="str">
        <f t="shared" ca="1" si="44"/>
        <v>#REF!</v>
      </c>
      <c r="M570" s="93"/>
      <c r="N570" s="93"/>
      <c r="O570" s="95">
        <f t="shared" si="2"/>
        <v>0</v>
      </c>
      <c r="P570" s="96">
        <f t="shared" si="3"/>
        <v>0</v>
      </c>
      <c r="Q570" s="97">
        <f t="shared" si="4"/>
        <v>0</v>
      </c>
      <c r="R570" s="97" t="str">
        <f ca="1">ROUNDUP(HLOOKUP(IF(CEILING(L570,0.5)&lt;1,0.5,CEILING(L570,0.5)),'배송비 조회'!A$44:AO$56,7,0)*B$3,-2)</f>
        <v>#REF!</v>
      </c>
      <c r="S570" s="97">
        <v>0</v>
      </c>
      <c r="T570" s="97" t="str">
        <f t="shared" ca="1" si="42"/>
        <v>#REF!</v>
      </c>
      <c r="U570" s="97" t="str">
        <f t="shared" ca="1" si="29"/>
        <v>#REF!</v>
      </c>
      <c r="V570" s="97" t="str">
        <f t="shared" ca="1" si="7"/>
        <v>#REF!</v>
      </c>
      <c r="W570" s="97" t="str">
        <f t="shared" ca="1" si="8"/>
        <v>#REF!</v>
      </c>
      <c r="X570" s="121">
        <v>0</v>
      </c>
      <c r="Y570" s="121" t="str">
        <f t="shared" ca="1" si="9"/>
        <v>#REF!</v>
      </c>
      <c r="Z570" s="121" t="str">
        <f t="shared" ca="1" si="10"/>
        <v>#REF!</v>
      </c>
      <c r="AA570" s="99" t="str">
        <f t="shared" ca="1" si="11"/>
        <v>#REF!</v>
      </c>
      <c r="AB570" s="234" t="str">
        <f t="shared" ca="1" si="12"/>
        <v>#REF!</v>
      </c>
      <c r="AC570" s="257" t="str">
        <f t="shared" ca="1" si="13"/>
        <v>#REF!</v>
      </c>
      <c r="AD570" s="234" t="str">
        <f t="shared" ca="1" si="14"/>
        <v>#REF!</v>
      </c>
      <c r="AE570" s="100" t="str">
        <f t="shared" ca="1" si="15"/>
        <v>#REF!</v>
      </c>
      <c r="AF570" s="101" t="str">
        <f t="shared" ca="1" si="16"/>
        <v>#REF!</v>
      </c>
      <c r="AG570" s="102" t="str">
        <f t="shared" ref="AG570:AH570" ca="1" si="588">AE570/V570</f>
        <v>#REF!</v>
      </c>
      <c r="AH570" s="102" t="str">
        <f t="shared" ca="1" si="588"/>
        <v>#REF!</v>
      </c>
    </row>
    <row r="571" spans="1:34" ht="13.2">
      <c r="A571" s="251"/>
      <c r="B571" s="251"/>
      <c r="C571" s="252"/>
      <c r="D571" s="252"/>
      <c r="E571" s="114"/>
      <c r="F571" s="252"/>
      <c r="G571" s="125" t="s">
        <v>145</v>
      </c>
      <c r="I571" s="172"/>
      <c r="J571" s="82" t="str">
        <f t="shared" ca="1" si="0"/>
        <v>#REF!</v>
      </c>
      <c r="K571" s="82" t="str">
        <f t="shared" ca="1" si="1"/>
        <v>#REF!</v>
      </c>
      <c r="L571" s="82" t="str">
        <f t="shared" ca="1" si="44"/>
        <v>#REF!</v>
      </c>
      <c r="M571" s="93"/>
      <c r="N571" s="93"/>
      <c r="O571" s="95">
        <f t="shared" si="2"/>
        <v>0</v>
      </c>
      <c r="P571" s="96">
        <f t="shared" si="3"/>
        <v>0</v>
      </c>
      <c r="Q571" s="97">
        <f t="shared" si="4"/>
        <v>0</v>
      </c>
      <c r="R571" s="97" t="str">
        <f ca="1">ROUNDUP(HLOOKUP(IF(CEILING(L571,0.5)&lt;1,0.5,CEILING(L571,0.5)),'배송비 조회'!A$44:AO$56,7,0)*B$3,-2)</f>
        <v>#REF!</v>
      </c>
      <c r="S571" s="97">
        <v>0</v>
      </c>
      <c r="T571" s="97" t="str">
        <f t="shared" ca="1" si="42"/>
        <v>#REF!</v>
      </c>
      <c r="U571" s="97" t="str">
        <f t="shared" ca="1" si="29"/>
        <v>#REF!</v>
      </c>
      <c r="V571" s="97" t="str">
        <f t="shared" ca="1" si="7"/>
        <v>#REF!</v>
      </c>
      <c r="W571" s="97" t="str">
        <f t="shared" ca="1" si="8"/>
        <v>#REF!</v>
      </c>
      <c r="X571" s="121">
        <v>0</v>
      </c>
      <c r="Y571" s="121" t="str">
        <f t="shared" ca="1" si="9"/>
        <v>#REF!</v>
      </c>
      <c r="Z571" s="121" t="str">
        <f t="shared" ca="1" si="10"/>
        <v>#REF!</v>
      </c>
      <c r="AA571" s="99" t="str">
        <f t="shared" ca="1" si="11"/>
        <v>#REF!</v>
      </c>
      <c r="AB571" s="234" t="str">
        <f t="shared" ca="1" si="12"/>
        <v>#REF!</v>
      </c>
      <c r="AC571" s="257" t="str">
        <f t="shared" ca="1" si="13"/>
        <v>#REF!</v>
      </c>
      <c r="AD571" s="234" t="str">
        <f t="shared" ca="1" si="14"/>
        <v>#REF!</v>
      </c>
      <c r="AE571" s="100" t="str">
        <f t="shared" ca="1" si="15"/>
        <v>#REF!</v>
      </c>
      <c r="AF571" s="101" t="str">
        <f t="shared" ca="1" si="16"/>
        <v>#REF!</v>
      </c>
      <c r="AG571" s="102" t="str">
        <f t="shared" ref="AG571:AH571" ca="1" si="589">AE571/V571</f>
        <v>#REF!</v>
      </c>
      <c r="AH571" s="102" t="str">
        <f t="shared" ca="1" si="589"/>
        <v>#REF!</v>
      </c>
    </row>
    <row r="572" spans="1:34" ht="13.2">
      <c r="A572" s="251"/>
      <c r="B572" s="251"/>
      <c r="C572" s="252"/>
      <c r="D572" s="252"/>
      <c r="E572" s="114"/>
      <c r="F572" s="252"/>
      <c r="G572" s="125" t="s">
        <v>145</v>
      </c>
      <c r="I572" s="172"/>
      <c r="J572" s="82" t="str">
        <f t="shared" ca="1" si="0"/>
        <v>#REF!</v>
      </c>
      <c r="K572" s="82" t="str">
        <f t="shared" ca="1" si="1"/>
        <v>#REF!</v>
      </c>
      <c r="L572" s="82" t="str">
        <f t="shared" ca="1" si="44"/>
        <v>#REF!</v>
      </c>
      <c r="M572" s="93"/>
      <c r="N572" s="93"/>
      <c r="O572" s="95">
        <f t="shared" si="2"/>
        <v>0</v>
      </c>
      <c r="P572" s="96">
        <f t="shared" si="3"/>
        <v>0</v>
      </c>
      <c r="Q572" s="97">
        <f t="shared" si="4"/>
        <v>0</v>
      </c>
      <c r="R572" s="97" t="str">
        <f ca="1">ROUNDUP(HLOOKUP(IF(CEILING(L572,0.5)&lt;1,0.5,CEILING(L572,0.5)),'배송비 조회'!A$44:AO$56,7,0)*B$3,-2)</f>
        <v>#REF!</v>
      </c>
      <c r="S572" s="97">
        <v>0</v>
      </c>
      <c r="T572" s="97" t="str">
        <f t="shared" ca="1" si="42"/>
        <v>#REF!</v>
      </c>
      <c r="U572" s="97" t="str">
        <f t="shared" ca="1" si="29"/>
        <v>#REF!</v>
      </c>
      <c r="V572" s="97" t="str">
        <f t="shared" ca="1" si="7"/>
        <v>#REF!</v>
      </c>
      <c r="W572" s="97" t="str">
        <f t="shared" ca="1" si="8"/>
        <v>#REF!</v>
      </c>
      <c r="X572" s="121">
        <v>0</v>
      </c>
      <c r="Y572" s="121" t="str">
        <f t="shared" ca="1" si="9"/>
        <v>#REF!</v>
      </c>
      <c r="Z572" s="121" t="str">
        <f t="shared" ca="1" si="10"/>
        <v>#REF!</v>
      </c>
      <c r="AA572" s="99" t="str">
        <f t="shared" ca="1" si="11"/>
        <v>#REF!</v>
      </c>
      <c r="AB572" s="234" t="str">
        <f t="shared" ca="1" si="12"/>
        <v>#REF!</v>
      </c>
      <c r="AC572" s="257" t="str">
        <f t="shared" ca="1" si="13"/>
        <v>#REF!</v>
      </c>
      <c r="AD572" s="234" t="str">
        <f t="shared" ca="1" si="14"/>
        <v>#REF!</v>
      </c>
      <c r="AE572" s="100" t="str">
        <f t="shared" ca="1" si="15"/>
        <v>#REF!</v>
      </c>
      <c r="AF572" s="101" t="str">
        <f t="shared" ca="1" si="16"/>
        <v>#REF!</v>
      </c>
      <c r="AG572" s="102" t="str">
        <f t="shared" ref="AG572:AH572" ca="1" si="590">AE572/V572</f>
        <v>#REF!</v>
      </c>
      <c r="AH572" s="102" t="str">
        <f t="shared" ca="1" si="590"/>
        <v>#REF!</v>
      </c>
    </row>
    <row r="573" spans="1:34" ht="13.2">
      <c r="A573" s="251"/>
      <c r="B573" s="251"/>
      <c r="C573" s="252"/>
      <c r="D573" s="252"/>
      <c r="E573" s="114"/>
      <c r="F573" s="252"/>
      <c r="G573" s="125" t="s">
        <v>145</v>
      </c>
      <c r="I573" s="172"/>
      <c r="J573" s="82" t="str">
        <f t="shared" ca="1" si="0"/>
        <v>#REF!</v>
      </c>
      <c r="K573" s="82" t="str">
        <f t="shared" ca="1" si="1"/>
        <v>#REF!</v>
      </c>
      <c r="L573" s="82" t="str">
        <f t="shared" ca="1" si="44"/>
        <v>#REF!</v>
      </c>
      <c r="M573" s="93"/>
      <c r="N573" s="93"/>
      <c r="O573" s="95">
        <f t="shared" si="2"/>
        <v>0</v>
      </c>
      <c r="P573" s="96">
        <f t="shared" si="3"/>
        <v>0</v>
      </c>
      <c r="Q573" s="97">
        <f t="shared" si="4"/>
        <v>0</v>
      </c>
      <c r="R573" s="97" t="str">
        <f ca="1">ROUNDUP(HLOOKUP(IF(CEILING(L573,0.5)&lt;1,0.5,CEILING(L573,0.5)),'배송비 조회'!A$44:AO$56,7,0)*B$3,-2)</f>
        <v>#REF!</v>
      </c>
      <c r="S573" s="97">
        <v>0</v>
      </c>
      <c r="T573" s="97" t="str">
        <f t="shared" ca="1" si="42"/>
        <v>#REF!</v>
      </c>
      <c r="U573" s="97" t="str">
        <f t="shared" ca="1" si="29"/>
        <v>#REF!</v>
      </c>
      <c r="V573" s="97" t="str">
        <f t="shared" ca="1" si="7"/>
        <v>#REF!</v>
      </c>
      <c r="W573" s="97" t="str">
        <f t="shared" ca="1" si="8"/>
        <v>#REF!</v>
      </c>
      <c r="X573" s="121">
        <v>0</v>
      </c>
      <c r="Y573" s="121" t="str">
        <f t="shared" ca="1" si="9"/>
        <v>#REF!</v>
      </c>
      <c r="Z573" s="121" t="str">
        <f t="shared" ca="1" si="10"/>
        <v>#REF!</v>
      </c>
      <c r="AA573" s="99" t="str">
        <f t="shared" ca="1" si="11"/>
        <v>#REF!</v>
      </c>
      <c r="AB573" s="234" t="str">
        <f t="shared" ca="1" si="12"/>
        <v>#REF!</v>
      </c>
      <c r="AC573" s="257" t="str">
        <f t="shared" ca="1" si="13"/>
        <v>#REF!</v>
      </c>
      <c r="AD573" s="234" t="str">
        <f t="shared" ca="1" si="14"/>
        <v>#REF!</v>
      </c>
      <c r="AE573" s="100" t="str">
        <f t="shared" ca="1" si="15"/>
        <v>#REF!</v>
      </c>
      <c r="AF573" s="101" t="str">
        <f t="shared" ca="1" si="16"/>
        <v>#REF!</v>
      </c>
      <c r="AG573" s="102" t="str">
        <f t="shared" ref="AG573:AH573" ca="1" si="591">AE573/V573</f>
        <v>#REF!</v>
      </c>
      <c r="AH573" s="102" t="str">
        <f t="shared" ca="1" si="591"/>
        <v>#REF!</v>
      </c>
    </row>
    <row r="574" spans="1:34" ht="13.2">
      <c r="A574" s="251"/>
      <c r="B574" s="251"/>
      <c r="C574" s="252"/>
      <c r="D574" s="252"/>
      <c r="E574" s="114"/>
      <c r="F574" s="252"/>
      <c r="G574" s="125" t="s">
        <v>145</v>
      </c>
      <c r="I574" s="172"/>
      <c r="J574" s="82" t="str">
        <f t="shared" ca="1" si="0"/>
        <v>#REF!</v>
      </c>
      <c r="K574" s="82" t="str">
        <f t="shared" ca="1" si="1"/>
        <v>#REF!</v>
      </c>
      <c r="L574" s="82" t="str">
        <f t="shared" ca="1" si="44"/>
        <v>#REF!</v>
      </c>
      <c r="M574" s="93"/>
      <c r="N574" s="93"/>
      <c r="O574" s="95">
        <f t="shared" si="2"/>
        <v>0</v>
      </c>
      <c r="P574" s="96">
        <f t="shared" si="3"/>
        <v>0</v>
      </c>
      <c r="Q574" s="97">
        <f t="shared" si="4"/>
        <v>0</v>
      </c>
      <c r="R574" s="97" t="str">
        <f ca="1">ROUNDUP(HLOOKUP(IF(CEILING(L574,0.5)&lt;1,0.5,CEILING(L574,0.5)),'배송비 조회'!A$44:AO$56,7,0)*B$3,-2)</f>
        <v>#REF!</v>
      </c>
      <c r="S574" s="97">
        <v>0</v>
      </c>
      <c r="T574" s="97" t="str">
        <f t="shared" ca="1" si="42"/>
        <v>#REF!</v>
      </c>
      <c r="U574" s="97" t="str">
        <f t="shared" ca="1" si="29"/>
        <v>#REF!</v>
      </c>
      <c r="V574" s="97" t="str">
        <f t="shared" ca="1" si="7"/>
        <v>#REF!</v>
      </c>
      <c r="W574" s="97" t="str">
        <f t="shared" ca="1" si="8"/>
        <v>#REF!</v>
      </c>
      <c r="X574" s="121">
        <v>0</v>
      </c>
      <c r="Y574" s="121" t="str">
        <f t="shared" ca="1" si="9"/>
        <v>#REF!</v>
      </c>
      <c r="Z574" s="121" t="str">
        <f t="shared" ca="1" si="10"/>
        <v>#REF!</v>
      </c>
      <c r="AA574" s="99" t="str">
        <f t="shared" ca="1" si="11"/>
        <v>#REF!</v>
      </c>
      <c r="AB574" s="234" t="str">
        <f t="shared" ca="1" si="12"/>
        <v>#REF!</v>
      </c>
      <c r="AC574" s="257" t="str">
        <f t="shared" ca="1" si="13"/>
        <v>#REF!</v>
      </c>
      <c r="AD574" s="234" t="str">
        <f t="shared" ca="1" si="14"/>
        <v>#REF!</v>
      </c>
      <c r="AE574" s="100" t="str">
        <f t="shared" ca="1" si="15"/>
        <v>#REF!</v>
      </c>
      <c r="AF574" s="101" t="str">
        <f t="shared" ca="1" si="16"/>
        <v>#REF!</v>
      </c>
      <c r="AG574" s="102" t="str">
        <f t="shared" ref="AG574:AH574" ca="1" si="592">AE574/V574</f>
        <v>#REF!</v>
      </c>
      <c r="AH574" s="102" t="str">
        <f t="shared" ca="1" si="592"/>
        <v>#REF!</v>
      </c>
    </row>
    <row r="575" spans="1:34" ht="13.2">
      <c r="A575" s="251"/>
      <c r="B575" s="251"/>
      <c r="C575" s="252"/>
      <c r="D575" s="252"/>
      <c r="E575" s="114"/>
      <c r="F575" s="252"/>
      <c r="G575" s="125" t="s">
        <v>145</v>
      </c>
      <c r="I575" s="172"/>
      <c r="J575" s="82" t="str">
        <f t="shared" ca="1" si="0"/>
        <v>#REF!</v>
      </c>
      <c r="K575" s="82" t="str">
        <f t="shared" ca="1" si="1"/>
        <v>#REF!</v>
      </c>
      <c r="L575" s="82" t="str">
        <f t="shared" ca="1" si="44"/>
        <v>#REF!</v>
      </c>
      <c r="M575" s="93"/>
      <c r="N575" s="93"/>
      <c r="O575" s="95">
        <f t="shared" si="2"/>
        <v>0</v>
      </c>
      <c r="P575" s="96">
        <f t="shared" si="3"/>
        <v>0</v>
      </c>
      <c r="Q575" s="97">
        <f t="shared" si="4"/>
        <v>0</v>
      </c>
      <c r="R575" s="97" t="str">
        <f ca="1">ROUNDUP(HLOOKUP(IF(CEILING(L575,0.5)&lt;1,0.5,CEILING(L575,0.5)),'배송비 조회'!A$44:AO$56,7,0)*B$3,-2)</f>
        <v>#REF!</v>
      </c>
      <c r="S575" s="97">
        <v>0</v>
      </c>
      <c r="T575" s="97" t="str">
        <f t="shared" ca="1" si="42"/>
        <v>#REF!</v>
      </c>
      <c r="U575" s="97" t="str">
        <f t="shared" ca="1" si="29"/>
        <v>#REF!</v>
      </c>
      <c r="V575" s="97" t="str">
        <f t="shared" ca="1" si="7"/>
        <v>#REF!</v>
      </c>
      <c r="W575" s="97" t="str">
        <f t="shared" ca="1" si="8"/>
        <v>#REF!</v>
      </c>
      <c r="X575" s="121">
        <v>0</v>
      </c>
      <c r="Y575" s="121" t="str">
        <f t="shared" ca="1" si="9"/>
        <v>#REF!</v>
      </c>
      <c r="Z575" s="121" t="str">
        <f t="shared" ca="1" si="10"/>
        <v>#REF!</v>
      </c>
      <c r="AA575" s="99" t="str">
        <f t="shared" ca="1" si="11"/>
        <v>#REF!</v>
      </c>
      <c r="AB575" s="234" t="str">
        <f t="shared" ca="1" si="12"/>
        <v>#REF!</v>
      </c>
      <c r="AC575" s="257" t="str">
        <f t="shared" ca="1" si="13"/>
        <v>#REF!</v>
      </c>
      <c r="AD575" s="234" t="str">
        <f t="shared" ca="1" si="14"/>
        <v>#REF!</v>
      </c>
      <c r="AE575" s="100" t="str">
        <f t="shared" ca="1" si="15"/>
        <v>#REF!</v>
      </c>
      <c r="AF575" s="101" t="str">
        <f t="shared" ca="1" si="16"/>
        <v>#REF!</v>
      </c>
      <c r="AG575" s="102" t="str">
        <f t="shared" ref="AG575:AH575" ca="1" si="593">AE575/V575</f>
        <v>#REF!</v>
      </c>
      <c r="AH575" s="102" t="str">
        <f t="shared" ca="1" si="593"/>
        <v>#REF!</v>
      </c>
    </row>
    <row r="576" spans="1:34" ht="13.2">
      <c r="A576" s="251"/>
      <c r="B576" s="251"/>
      <c r="C576" s="252"/>
      <c r="D576" s="252"/>
      <c r="E576" s="114"/>
      <c r="F576" s="252"/>
      <c r="G576" s="125" t="s">
        <v>145</v>
      </c>
      <c r="I576" s="172"/>
      <c r="J576" s="82" t="str">
        <f t="shared" ca="1" si="0"/>
        <v>#REF!</v>
      </c>
      <c r="K576" s="82" t="str">
        <f t="shared" ca="1" si="1"/>
        <v>#REF!</v>
      </c>
      <c r="L576" s="82" t="str">
        <f t="shared" ca="1" si="44"/>
        <v>#REF!</v>
      </c>
      <c r="M576" s="93"/>
      <c r="N576" s="93"/>
      <c r="O576" s="95">
        <f t="shared" si="2"/>
        <v>0</v>
      </c>
      <c r="P576" s="96">
        <f t="shared" si="3"/>
        <v>0</v>
      </c>
      <c r="Q576" s="97">
        <f t="shared" si="4"/>
        <v>0</v>
      </c>
      <c r="R576" s="97" t="str">
        <f ca="1">ROUNDUP(HLOOKUP(IF(CEILING(L576,0.5)&lt;1,0.5,CEILING(L576,0.5)),'배송비 조회'!A$44:AO$56,7,0)*B$3,-2)</f>
        <v>#REF!</v>
      </c>
      <c r="S576" s="97">
        <v>0</v>
      </c>
      <c r="T576" s="97" t="str">
        <f t="shared" ca="1" si="42"/>
        <v>#REF!</v>
      </c>
      <c r="U576" s="97" t="str">
        <f t="shared" ca="1" si="29"/>
        <v>#REF!</v>
      </c>
      <c r="V576" s="97" t="str">
        <f t="shared" ca="1" si="7"/>
        <v>#REF!</v>
      </c>
      <c r="W576" s="97" t="str">
        <f t="shared" ca="1" si="8"/>
        <v>#REF!</v>
      </c>
      <c r="X576" s="121">
        <v>0</v>
      </c>
      <c r="Y576" s="121" t="str">
        <f t="shared" ca="1" si="9"/>
        <v>#REF!</v>
      </c>
      <c r="Z576" s="121" t="str">
        <f t="shared" ca="1" si="10"/>
        <v>#REF!</v>
      </c>
      <c r="AA576" s="99" t="str">
        <f t="shared" ca="1" si="11"/>
        <v>#REF!</v>
      </c>
      <c r="AB576" s="234" t="str">
        <f t="shared" ca="1" si="12"/>
        <v>#REF!</v>
      </c>
      <c r="AC576" s="257" t="str">
        <f t="shared" ca="1" si="13"/>
        <v>#REF!</v>
      </c>
      <c r="AD576" s="234" t="str">
        <f t="shared" ca="1" si="14"/>
        <v>#REF!</v>
      </c>
      <c r="AE576" s="100" t="str">
        <f t="shared" ca="1" si="15"/>
        <v>#REF!</v>
      </c>
      <c r="AF576" s="101" t="str">
        <f t="shared" ca="1" si="16"/>
        <v>#REF!</v>
      </c>
      <c r="AG576" s="102" t="str">
        <f t="shared" ref="AG576:AH576" ca="1" si="594">AE576/V576</f>
        <v>#REF!</v>
      </c>
      <c r="AH576" s="102" t="str">
        <f t="shared" ca="1" si="594"/>
        <v>#REF!</v>
      </c>
    </row>
    <row r="577" spans="1:34" ht="13.2">
      <c r="A577" s="251"/>
      <c r="B577" s="251"/>
      <c r="C577" s="252"/>
      <c r="D577" s="252"/>
      <c r="E577" s="114"/>
      <c r="F577" s="252"/>
      <c r="G577" s="125" t="s">
        <v>145</v>
      </c>
      <c r="I577" s="172"/>
      <c r="J577" s="82" t="str">
        <f t="shared" ca="1" si="0"/>
        <v>#REF!</v>
      </c>
      <c r="K577" s="82" t="str">
        <f t="shared" ca="1" si="1"/>
        <v>#REF!</v>
      </c>
      <c r="L577" s="82" t="str">
        <f t="shared" ca="1" si="44"/>
        <v>#REF!</v>
      </c>
      <c r="M577" s="93"/>
      <c r="N577" s="93"/>
      <c r="O577" s="95">
        <f t="shared" si="2"/>
        <v>0</v>
      </c>
      <c r="P577" s="96">
        <f t="shared" si="3"/>
        <v>0</v>
      </c>
      <c r="Q577" s="97">
        <f t="shared" si="4"/>
        <v>0</v>
      </c>
      <c r="R577" s="97" t="str">
        <f ca="1">ROUNDUP(HLOOKUP(IF(CEILING(L577,0.5)&lt;1,0.5,CEILING(L577,0.5)),'배송비 조회'!A$44:AO$56,7,0)*B$3,-2)</f>
        <v>#REF!</v>
      </c>
      <c r="S577" s="97">
        <v>0</v>
      </c>
      <c r="T577" s="97" t="str">
        <f t="shared" ca="1" si="42"/>
        <v>#REF!</v>
      </c>
      <c r="U577" s="97" t="str">
        <f t="shared" ca="1" si="29"/>
        <v>#REF!</v>
      </c>
      <c r="V577" s="97" t="str">
        <f t="shared" ca="1" si="7"/>
        <v>#REF!</v>
      </c>
      <c r="W577" s="97" t="str">
        <f t="shared" ca="1" si="8"/>
        <v>#REF!</v>
      </c>
      <c r="X577" s="121">
        <v>0</v>
      </c>
      <c r="Y577" s="121" t="str">
        <f t="shared" ca="1" si="9"/>
        <v>#REF!</v>
      </c>
      <c r="Z577" s="121" t="str">
        <f t="shared" ca="1" si="10"/>
        <v>#REF!</v>
      </c>
      <c r="AA577" s="99" t="str">
        <f t="shared" ca="1" si="11"/>
        <v>#REF!</v>
      </c>
      <c r="AB577" s="234" t="str">
        <f t="shared" ca="1" si="12"/>
        <v>#REF!</v>
      </c>
      <c r="AC577" s="257" t="str">
        <f t="shared" ca="1" si="13"/>
        <v>#REF!</v>
      </c>
      <c r="AD577" s="234" t="str">
        <f t="shared" ca="1" si="14"/>
        <v>#REF!</v>
      </c>
      <c r="AE577" s="100" t="str">
        <f t="shared" ca="1" si="15"/>
        <v>#REF!</v>
      </c>
      <c r="AF577" s="101" t="str">
        <f t="shared" ca="1" si="16"/>
        <v>#REF!</v>
      </c>
      <c r="AG577" s="102" t="str">
        <f t="shared" ref="AG577:AH577" ca="1" si="595">AE577/V577</f>
        <v>#REF!</v>
      </c>
      <c r="AH577" s="102" t="str">
        <f t="shared" ca="1" si="595"/>
        <v>#REF!</v>
      </c>
    </row>
    <row r="578" spans="1:34" ht="13.2">
      <c r="A578" s="251"/>
      <c r="B578" s="251"/>
      <c r="C578" s="252"/>
      <c r="D578" s="252"/>
      <c r="E578" s="114"/>
      <c r="F578" s="252"/>
      <c r="G578" s="125" t="s">
        <v>145</v>
      </c>
      <c r="I578" s="172"/>
      <c r="J578" s="82" t="str">
        <f t="shared" ca="1" si="0"/>
        <v>#REF!</v>
      </c>
      <c r="K578" s="82" t="str">
        <f t="shared" ca="1" si="1"/>
        <v>#REF!</v>
      </c>
      <c r="L578" s="82" t="str">
        <f t="shared" ca="1" si="44"/>
        <v>#REF!</v>
      </c>
      <c r="M578" s="93"/>
      <c r="N578" s="93"/>
      <c r="O578" s="95">
        <f t="shared" si="2"/>
        <v>0</v>
      </c>
      <c r="P578" s="96">
        <f t="shared" si="3"/>
        <v>0</v>
      </c>
      <c r="Q578" s="97">
        <f t="shared" si="4"/>
        <v>0</v>
      </c>
      <c r="R578" s="97" t="str">
        <f ca="1">ROUNDUP(HLOOKUP(IF(CEILING(L578,0.5)&lt;1,0.5,CEILING(L578,0.5)),'배송비 조회'!A$44:AO$56,7,0)*B$3,-2)</f>
        <v>#REF!</v>
      </c>
      <c r="S578" s="97">
        <v>0</v>
      </c>
      <c r="T578" s="97" t="str">
        <f t="shared" ca="1" si="42"/>
        <v>#REF!</v>
      </c>
      <c r="U578" s="97" t="str">
        <f t="shared" ca="1" si="29"/>
        <v>#REF!</v>
      </c>
      <c r="V578" s="97" t="str">
        <f t="shared" ca="1" si="7"/>
        <v>#REF!</v>
      </c>
      <c r="W578" s="97" t="str">
        <f t="shared" ca="1" si="8"/>
        <v>#REF!</v>
      </c>
      <c r="X578" s="121">
        <v>0</v>
      </c>
      <c r="Y578" s="121" t="str">
        <f t="shared" ca="1" si="9"/>
        <v>#REF!</v>
      </c>
      <c r="Z578" s="121" t="str">
        <f t="shared" ca="1" si="10"/>
        <v>#REF!</v>
      </c>
      <c r="AA578" s="99" t="str">
        <f t="shared" ca="1" si="11"/>
        <v>#REF!</v>
      </c>
      <c r="AB578" s="234" t="str">
        <f t="shared" ca="1" si="12"/>
        <v>#REF!</v>
      </c>
      <c r="AC578" s="257" t="str">
        <f t="shared" ca="1" si="13"/>
        <v>#REF!</v>
      </c>
      <c r="AD578" s="234" t="str">
        <f t="shared" ca="1" si="14"/>
        <v>#REF!</v>
      </c>
      <c r="AE578" s="100" t="str">
        <f t="shared" ca="1" si="15"/>
        <v>#REF!</v>
      </c>
      <c r="AF578" s="101" t="str">
        <f t="shared" ca="1" si="16"/>
        <v>#REF!</v>
      </c>
      <c r="AG578" s="102" t="str">
        <f t="shared" ref="AG578:AH578" ca="1" si="596">AE578/V578</f>
        <v>#REF!</v>
      </c>
      <c r="AH578" s="102" t="str">
        <f t="shared" ca="1" si="596"/>
        <v>#REF!</v>
      </c>
    </row>
    <row r="579" spans="1:34" ht="13.2">
      <c r="A579" s="251"/>
      <c r="B579" s="251"/>
      <c r="C579" s="252"/>
      <c r="D579" s="252"/>
      <c r="E579" s="114"/>
      <c r="F579" s="252"/>
      <c r="G579" s="125" t="s">
        <v>145</v>
      </c>
      <c r="I579" s="172"/>
      <c r="J579" s="82" t="str">
        <f t="shared" ca="1" si="0"/>
        <v>#REF!</v>
      </c>
      <c r="K579" s="82" t="str">
        <f t="shared" ca="1" si="1"/>
        <v>#REF!</v>
      </c>
      <c r="L579" s="82" t="str">
        <f t="shared" ca="1" si="44"/>
        <v>#REF!</v>
      </c>
      <c r="M579" s="93"/>
      <c r="N579" s="93"/>
      <c r="O579" s="95">
        <f t="shared" si="2"/>
        <v>0</v>
      </c>
      <c r="P579" s="96">
        <f t="shared" si="3"/>
        <v>0</v>
      </c>
      <c r="Q579" s="97">
        <f t="shared" si="4"/>
        <v>0</v>
      </c>
      <c r="R579" s="97" t="str">
        <f ca="1">ROUNDUP(HLOOKUP(IF(CEILING(L579,0.5)&lt;1,0.5,CEILING(L579,0.5)),'배송비 조회'!A$44:AO$56,7,0)*B$3,-2)</f>
        <v>#REF!</v>
      </c>
      <c r="S579" s="97">
        <v>0</v>
      </c>
      <c r="T579" s="97" t="str">
        <f t="shared" ca="1" si="42"/>
        <v>#REF!</v>
      </c>
      <c r="U579" s="97" t="str">
        <f t="shared" ca="1" si="29"/>
        <v>#REF!</v>
      </c>
      <c r="V579" s="97" t="str">
        <f t="shared" ca="1" si="7"/>
        <v>#REF!</v>
      </c>
      <c r="W579" s="97" t="str">
        <f t="shared" ca="1" si="8"/>
        <v>#REF!</v>
      </c>
      <c r="X579" s="121">
        <v>0</v>
      </c>
      <c r="Y579" s="121" t="str">
        <f t="shared" ca="1" si="9"/>
        <v>#REF!</v>
      </c>
      <c r="Z579" s="121" t="str">
        <f t="shared" ca="1" si="10"/>
        <v>#REF!</v>
      </c>
      <c r="AA579" s="99" t="str">
        <f t="shared" ca="1" si="11"/>
        <v>#REF!</v>
      </c>
      <c r="AB579" s="234" t="str">
        <f t="shared" ca="1" si="12"/>
        <v>#REF!</v>
      </c>
      <c r="AC579" s="257" t="str">
        <f t="shared" ca="1" si="13"/>
        <v>#REF!</v>
      </c>
      <c r="AD579" s="234" t="str">
        <f t="shared" ca="1" si="14"/>
        <v>#REF!</v>
      </c>
      <c r="AE579" s="100" t="str">
        <f t="shared" ca="1" si="15"/>
        <v>#REF!</v>
      </c>
      <c r="AF579" s="101" t="str">
        <f t="shared" ca="1" si="16"/>
        <v>#REF!</v>
      </c>
      <c r="AG579" s="102" t="str">
        <f t="shared" ref="AG579:AH579" ca="1" si="597">AE579/V579</f>
        <v>#REF!</v>
      </c>
      <c r="AH579" s="102" t="str">
        <f t="shared" ca="1" si="597"/>
        <v>#REF!</v>
      </c>
    </row>
    <row r="580" spans="1:34" ht="13.2">
      <c r="A580" s="251"/>
      <c r="B580" s="251"/>
      <c r="C580" s="252"/>
      <c r="D580" s="252"/>
      <c r="E580" s="114"/>
      <c r="F580" s="252"/>
      <c r="G580" s="125" t="s">
        <v>145</v>
      </c>
      <c r="I580" s="172"/>
      <c r="J580" s="82" t="str">
        <f t="shared" ca="1" si="0"/>
        <v>#REF!</v>
      </c>
      <c r="K580" s="82" t="str">
        <f t="shared" ca="1" si="1"/>
        <v>#REF!</v>
      </c>
      <c r="L580" s="82" t="str">
        <f t="shared" ca="1" si="44"/>
        <v>#REF!</v>
      </c>
      <c r="M580" s="93"/>
      <c r="N580" s="93"/>
      <c r="O580" s="95">
        <f t="shared" si="2"/>
        <v>0</v>
      </c>
      <c r="P580" s="96">
        <f t="shared" si="3"/>
        <v>0</v>
      </c>
      <c r="Q580" s="97">
        <f t="shared" si="4"/>
        <v>0</v>
      </c>
      <c r="R580" s="97" t="str">
        <f ca="1">ROUNDUP(HLOOKUP(IF(CEILING(L580,0.5)&lt;1,0.5,CEILING(L580,0.5)),'배송비 조회'!A$44:AO$56,7,0)*B$3,-2)</f>
        <v>#REF!</v>
      </c>
      <c r="S580" s="97">
        <v>0</v>
      </c>
      <c r="T580" s="97" t="str">
        <f t="shared" ca="1" si="42"/>
        <v>#REF!</v>
      </c>
      <c r="U580" s="97" t="str">
        <f t="shared" ca="1" si="29"/>
        <v>#REF!</v>
      </c>
      <c r="V580" s="97" t="str">
        <f t="shared" ca="1" si="7"/>
        <v>#REF!</v>
      </c>
      <c r="W580" s="97" t="str">
        <f t="shared" ca="1" si="8"/>
        <v>#REF!</v>
      </c>
      <c r="X580" s="121">
        <v>0</v>
      </c>
      <c r="Y580" s="121" t="str">
        <f t="shared" ca="1" si="9"/>
        <v>#REF!</v>
      </c>
      <c r="Z580" s="121" t="str">
        <f t="shared" ca="1" si="10"/>
        <v>#REF!</v>
      </c>
      <c r="AA580" s="99" t="str">
        <f t="shared" ca="1" si="11"/>
        <v>#REF!</v>
      </c>
      <c r="AB580" s="234" t="str">
        <f t="shared" ca="1" si="12"/>
        <v>#REF!</v>
      </c>
      <c r="AC580" s="257" t="str">
        <f t="shared" ca="1" si="13"/>
        <v>#REF!</v>
      </c>
      <c r="AD580" s="234" t="str">
        <f t="shared" ca="1" si="14"/>
        <v>#REF!</v>
      </c>
      <c r="AE580" s="100" t="str">
        <f t="shared" ca="1" si="15"/>
        <v>#REF!</v>
      </c>
      <c r="AF580" s="101" t="str">
        <f t="shared" ca="1" si="16"/>
        <v>#REF!</v>
      </c>
      <c r="AG580" s="102" t="str">
        <f t="shared" ref="AG580:AH580" ca="1" si="598">AE580/V580</f>
        <v>#REF!</v>
      </c>
      <c r="AH580" s="102" t="str">
        <f t="shared" ca="1" si="598"/>
        <v>#REF!</v>
      </c>
    </row>
    <row r="581" spans="1:34" ht="13.2">
      <c r="A581" s="251"/>
      <c r="B581" s="251"/>
      <c r="C581" s="252"/>
      <c r="D581" s="252"/>
      <c r="E581" s="114"/>
      <c r="F581" s="252"/>
      <c r="G581" s="125" t="s">
        <v>145</v>
      </c>
      <c r="I581" s="172"/>
      <c r="J581" s="82" t="str">
        <f t="shared" ca="1" si="0"/>
        <v>#REF!</v>
      </c>
      <c r="K581" s="82" t="str">
        <f t="shared" ca="1" si="1"/>
        <v>#REF!</v>
      </c>
      <c r="L581" s="82" t="str">
        <f t="shared" ca="1" si="44"/>
        <v>#REF!</v>
      </c>
      <c r="M581" s="93"/>
      <c r="N581" s="93"/>
      <c r="O581" s="95">
        <f t="shared" si="2"/>
        <v>0</v>
      </c>
      <c r="P581" s="96">
        <f t="shared" si="3"/>
        <v>0</v>
      </c>
      <c r="Q581" s="97">
        <f t="shared" si="4"/>
        <v>0</v>
      </c>
      <c r="R581" s="97" t="str">
        <f ca="1">ROUNDUP(HLOOKUP(IF(CEILING(L581,0.5)&lt;1,0.5,CEILING(L581,0.5)),'배송비 조회'!A$44:AO$56,7,0)*B$3,-2)</f>
        <v>#REF!</v>
      </c>
      <c r="S581" s="97">
        <v>0</v>
      </c>
      <c r="T581" s="97" t="str">
        <f t="shared" ca="1" si="42"/>
        <v>#REF!</v>
      </c>
      <c r="U581" s="97" t="str">
        <f t="shared" ca="1" si="29"/>
        <v>#REF!</v>
      </c>
      <c r="V581" s="97" t="str">
        <f t="shared" ca="1" si="7"/>
        <v>#REF!</v>
      </c>
      <c r="W581" s="97" t="str">
        <f t="shared" ca="1" si="8"/>
        <v>#REF!</v>
      </c>
      <c r="X581" s="121">
        <v>0</v>
      </c>
      <c r="Y581" s="121" t="str">
        <f t="shared" ca="1" si="9"/>
        <v>#REF!</v>
      </c>
      <c r="Z581" s="121" t="str">
        <f t="shared" ca="1" si="10"/>
        <v>#REF!</v>
      </c>
      <c r="AA581" s="99" t="str">
        <f t="shared" ca="1" si="11"/>
        <v>#REF!</v>
      </c>
      <c r="AB581" s="234" t="str">
        <f t="shared" ca="1" si="12"/>
        <v>#REF!</v>
      </c>
      <c r="AC581" s="257" t="str">
        <f t="shared" ca="1" si="13"/>
        <v>#REF!</v>
      </c>
      <c r="AD581" s="234" t="str">
        <f t="shared" ca="1" si="14"/>
        <v>#REF!</v>
      </c>
      <c r="AE581" s="100" t="str">
        <f t="shared" ca="1" si="15"/>
        <v>#REF!</v>
      </c>
      <c r="AF581" s="101" t="str">
        <f t="shared" ca="1" si="16"/>
        <v>#REF!</v>
      </c>
      <c r="AG581" s="102" t="str">
        <f t="shared" ref="AG581:AH581" ca="1" si="599">AE581/V581</f>
        <v>#REF!</v>
      </c>
      <c r="AH581" s="102" t="str">
        <f t="shared" ca="1" si="599"/>
        <v>#REF!</v>
      </c>
    </row>
    <row r="582" spans="1:34" ht="13.2">
      <c r="A582" s="251"/>
      <c r="B582" s="251"/>
      <c r="C582" s="252"/>
      <c r="D582" s="252"/>
      <c r="E582" s="114"/>
      <c r="F582" s="252"/>
      <c r="G582" s="125" t="s">
        <v>145</v>
      </c>
      <c r="I582" s="172"/>
      <c r="J582" s="82" t="str">
        <f t="shared" ca="1" si="0"/>
        <v>#REF!</v>
      </c>
      <c r="K582" s="82" t="str">
        <f t="shared" ca="1" si="1"/>
        <v>#REF!</v>
      </c>
      <c r="L582" s="82" t="str">
        <f t="shared" ca="1" si="44"/>
        <v>#REF!</v>
      </c>
      <c r="M582" s="93"/>
      <c r="N582" s="93"/>
      <c r="O582" s="95">
        <f t="shared" si="2"/>
        <v>0</v>
      </c>
      <c r="P582" s="96">
        <f t="shared" si="3"/>
        <v>0</v>
      </c>
      <c r="Q582" s="97">
        <f t="shared" si="4"/>
        <v>0</v>
      </c>
      <c r="R582" s="97" t="str">
        <f ca="1">ROUNDUP(HLOOKUP(IF(CEILING(L582,0.5)&lt;1,0.5,CEILING(L582,0.5)),'배송비 조회'!A$44:AO$56,7,0)*B$3,-2)</f>
        <v>#REF!</v>
      </c>
      <c r="S582" s="97">
        <v>0</v>
      </c>
      <c r="T582" s="97" t="str">
        <f t="shared" ca="1" si="42"/>
        <v>#REF!</v>
      </c>
      <c r="U582" s="97" t="str">
        <f t="shared" ca="1" si="29"/>
        <v>#REF!</v>
      </c>
      <c r="V582" s="97" t="str">
        <f t="shared" ca="1" si="7"/>
        <v>#REF!</v>
      </c>
      <c r="W582" s="97" t="str">
        <f t="shared" ca="1" si="8"/>
        <v>#REF!</v>
      </c>
      <c r="X582" s="121">
        <v>0</v>
      </c>
      <c r="Y582" s="121" t="str">
        <f t="shared" ca="1" si="9"/>
        <v>#REF!</v>
      </c>
      <c r="Z582" s="121" t="str">
        <f t="shared" ca="1" si="10"/>
        <v>#REF!</v>
      </c>
      <c r="AA582" s="99" t="str">
        <f t="shared" ca="1" si="11"/>
        <v>#REF!</v>
      </c>
      <c r="AB582" s="234" t="str">
        <f t="shared" ca="1" si="12"/>
        <v>#REF!</v>
      </c>
      <c r="AC582" s="257" t="str">
        <f t="shared" ca="1" si="13"/>
        <v>#REF!</v>
      </c>
      <c r="AD582" s="234" t="str">
        <f t="shared" ca="1" si="14"/>
        <v>#REF!</v>
      </c>
      <c r="AE582" s="100" t="str">
        <f t="shared" ca="1" si="15"/>
        <v>#REF!</v>
      </c>
      <c r="AF582" s="101" t="str">
        <f t="shared" ca="1" si="16"/>
        <v>#REF!</v>
      </c>
      <c r="AG582" s="102" t="str">
        <f t="shared" ref="AG582:AH582" ca="1" si="600">AE582/V582</f>
        <v>#REF!</v>
      </c>
      <c r="AH582" s="102" t="str">
        <f t="shared" ca="1" si="600"/>
        <v>#REF!</v>
      </c>
    </row>
    <row r="583" spans="1:34" ht="13.2">
      <c r="A583" s="251"/>
      <c r="B583" s="251"/>
      <c r="C583" s="252"/>
      <c r="D583" s="252"/>
      <c r="E583" s="114"/>
      <c r="F583" s="252"/>
      <c r="G583" s="125" t="s">
        <v>145</v>
      </c>
      <c r="I583" s="172"/>
      <c r="J583" s="82" t="str">
        <f t="shared" ca="1" si="0"/>
        <v>#REF!</v>
      </c>
      <c r="K583" s="82" t="str">
        <f t="shared" ca="1" si="1"/>
        <v>#REF!</v>
      </c>
      <c r="L583" s="82" t="str">
        <f t="shared" ca="1" si="44"/>
        <v>#REF!</v>
      </c>
      <c r="M583" s="93"/>
      <c r="N583" s="93"/>
      <c r="O583" s="95">
        <f t="shared" si="2"/>
        <v>0</v>
      </c>
      <c r="P583" s="96">
        <f t="shared" si="3"/>
        <v>0</v>
      </c>
      <c r="Q583" s="97">
        <f t="shared" si="4"/>
        <v>0</v>
      </c>
      <c r="R583" s="97" t="str">
        <f ca="1">ROUNDUP(HLOOKUP(IF(CEILING(L583,0.5)&lt;1,0.5,CEILING(L583,0.5)),'배송비 조회'!A$44:AO$56,7,0)*B$3,-2)</f>
        <v>#REF!</v>
      </c>
      <c r="S583" s="97">
        <v>0</v>
      </c>
      <c r="T583" s="97" t="str">
        <f t="shared" ca="1" si="42"/>
        <v>#REF!</v>
      </c>
      <c r="U583" s="97" t="str">
        <f t="shared" ca="1" si="29"/>
        <v>#REF!</v>
      </c>
      <c r="V583" s="97" t="str">
        <f t="shared" ca="1" si="7"/>
        <v>#REF!</v>
      </c>
      <c r="W583" s="97" t="str">
        <f t="shared" ca="1" si="8"/>
        <v>#REF!</v>
      </c>
      <c r="X583" s="121">
        <v>0</v>
      </c>
      <c r="Y583" s="121" t="str">
        <f t="shared" ca="1" si="9"/>
        <v>#REF!</v>
      </c>
      <c r="Z583" s="121" t="str">
        <f t="shared" ca="1" si="10"/>
        <v>#REF!</v>
      </c>
      <c r="AA583" s="99" t="str">
        <f t="shared" ca="1" si="11"/>
        <v>#REF!</v>
      </c>
      <c r="AB583" s="234" t="str">
        <f t="shared" ca="1" si="12"/>
        <v>#REF!</v>
      </c>
      <c r="AC583" s="257" t="str">
        <f t="shared" ca="1" si="13"/>
        <v>#REF!</v>
      </c>
      <c r="AD583" s="234" t="str">
        <f t="shared" ca="1" si="14"/>
        <v>#REF!</v>
      </c>
      <c r="AE583" s="100" t="str">
        <f t="shared" ca="1" si="15"/>
        <v>#REF!</v>
      </c>
      <c r="AF583" s="101" t="str">
        <f t="shared" ca="1" si="16"/>
        <v>#REF!</v>
      </c>
      <c r="AG583" s="102" t="str">
        <f t="shared" ref="AG583:AH583" ca="1" si="601">AE583/V583</f>
        <v>#REF!</v>
      </c>
      <c r="AH583" s="102" t="str">
        <f t="shared" ca="1" si="601"/>
        <v>#REF!</v>
      </c>
    </row>
    <row r="584" spans="1:34" ht="13.2">
      <c r="A584" s="251"/>
      <c r="B584" s="251"/>
      <c r="C584" s="252"/>
      <c r="D584" s="252"/>
      <c r="E584" s="114"/>
      <c r="F584" s="252"/>
      <c r="G584" s="125" t="s">
        <v>145</v>
      </c>
      <c r="I584" s="172"/>
      <c r="J584" s="82" t="str">
        <f t="shared" ca="1" si="0"/>
        <v>#REF!</v>
      </c>
      <c r="K584" s="82" t="str">
        <f t="shared" ca="1" si="1"/>
        <v>#REF!</v>
      </c>
      <c r="L584" s="82" t="str">
        <f t="shared" ca="1" si="44"/>
        <v>#REF!</v>
      </c>
      <c r="M584" s="93"/>
      <c r="N584" s="93"/>
      <c r="O584" s="95">
        <f t="shared" si="2"/>
        <v>0</v>
      </c>
      <c r="P584" s="96">
        <f t="shared" si="3"/>
        <v>0</v>
      </c>
      <c r="Q584" s="97">
        <f t="shared" si="4"/>
        <v>0</v>
      </c>
      <c r="R584" s="97" t="str">
        <f ca="1">ROUNDUP(HLOOKUP(IF(CEILING(L584,0.5)&lt;1,0.5,CEILING(L584,0.5)),'배송비 조회'!A$44:AO$56,7,0)*B$3,-2)</f>
        <v>#REF!</v>
      </c>
      <c r="S584" s="97">
        <v>0</v>
      </c>
      <c r="T584" s="97" t="str">
        <f t="shared" ca="1" si="42"/>
        <v>#REF!</v>
      </c>
      <c r="U584" s="97" t="str">
        <f t="shared" ca="1" si="29"/>
        <v>#REF!</v>
      </c>
      <c r="V584" s="97" t="str">
        <f t="shared" ca="1" si="7"/>
        <v>#REF!</v>
      </c>
      <c r="W584" s="97" t="str">
        <f t="shared" ca="1" si="8"/>
        <v>#REF!</v>
      </c>
      <c r="X584" s="121">
        <v>0</v>
      </c>
      <c r="Y584" s="121" t="str">
        <f t="shared" ca="1" si="9"/>
        <v>#REF!</v>
      </c>
      <c r="Z584" s="121" t="str">
        <f t="shared" ca="1" si="10"/>
        <v>#REF!</v>
      </c>
      <c r="AA584" s="99" t="str">
        <f t="shared" ca="1" si="11"/>
        <v>#REF!</v>
      </c>
      <c r="AB584" s="234" t="str">
        <f t="shared" ca="1" si="12"/>
        <v>#REF!</v>
      </c>
      <c r="AC584" s="257" t="str">
        <f t="shared" ca="1" si="13"/>
        <v>#REF!</v>
      </c>
      <c r="AD584" s="234" t="str">
        <f t="shared" ca="1" si="14"/>
        <v>#REF!</v>
      </c>
      <c r="AE584" s="100" t="str">
        <f t="shared" ca="1" si="15"/>
        <v>#REF!</v>
      </c>
      <c r="AF584" s="101" t="str">
        <f t="shared" ca="1" si="16"/>
        <v>#REF!</v>
      </c>
      <c r="AG584" s="102" t="str">
        <f t="shared" ref="AG584:AH584" ca="1" si="602">AE584/V584</f>
        <v>#REF!</v>
      </c>
      <c r="AH584" s="102" t="str">
        <f t="shared" ca="1" si="602"/>
        <v>#REF!</v>
      </c>
    </row>
    <row r="585" spans="1:34" ht="13.2">
      <c r="A585" s="251"/>
      <c r="B585" s="251"/>
      <c r="C585" s="252"/>
      <c r="D585" s="252"/>
      <c r="E585" s="114"/>
      <c r="F585" s="252"/>
      <c r="G585" s="125" t="s">
        <v>145</v>
      </c>
      <c r="I585" s="172"/>
      <c r="J585" s="82" t="str">
        <f t="shared" ca="1" si="0"/>
        <v>#REF!</v>
      </c>
      <c r="K585" s="82" t="str">
        <f t="shared" ca="1" si="1"/>
        <v>#REF!</v>
      </c>
      <c r="L585" s="82" t="str">
        <f t="shared" ca="1" si="44"/>
        <v>#REF!</v>
      </c>
      <c r="M585" s="93"/>
      <c r="N585" s="93"/>
      <c r="O585" s="95">
        <f t="shared" si="2"/>
        <v>0</v>
      </c>
      <c r="P585" s="96">
        <f t="shared" si="3"/>
        <v>0</v>
      </c>
      <c r="Q585" s="97">
        <f t="shared" si="4"/>
        <v>0</v>
      </c>
      <c r="R585" s="97" t="str">
        <f ca="1">ROUNDUP(HLOOKUP(IF(CEILING(L585,0.5)&lt;1,0.5,CEILING(L585,0.5)),'배송비 조회'!A$44:AO$56,7,0)*B$3,-2)</f>
        <v>#REF!</v>
      </c>
      <c r="S585" s="97">
        <v>0</v>
      </c>
      <c r="T585" s="97" t="str">
        <f t="shared" ca="1" si="42"/>
        <v>#REF!</v>
      </c>
      <c r="U585" s="97" t="str">
        <f t="shared" ca="1" si="29"/>
        <v>#REF!</v>
      </c>
      <c r="V585" s="97" t="str">
        <f t="shared" ca="1" si="7"/>
        <v>#REF!</v>
      </c>
      <c r="W585" s="97" t="str">
        <f t="shared" ca="1" si="8"/>
        <v>#REF!</v>
      </c>
      <c r="X585" s="121">
        <v>0</v>
      </c>
      <c r="Y585" s="121" t="str">
        <f t="shared" ca="1" si="9"/>
        <v>#REF!</v>
      </c>
      <c r="Z585" s="121" t="str">
        <f t="shared" ca="1" si="10"/>
        <v>#REF!</v>
      </c>
      <c r="AA585" s="99" t="str">
        <f t="shared" ca="1" si="11"/>
        <v>#REF!</v>
      </c>
      <c r="AB585" s="234" t="str">
        <f t="shared" ca="1" si="12"/>
        <v>#REF!</v>
      </c>
      <c r="AC585" s="257" t="str">
        <f t="shared" ca="1" si="13"/>
        <v>#REF!</v>
      </c>
      <c r="AD585" s="234" t="str">
        <f t="shared" ca="1" si="14"/>
        <v>#REF!</v>
      </c>
      <c r="AE585" s="100" t="str">
        <f t="shared" ca="1" si="15"/>
        <v>#REF!</v>
      </c>
      <c r="AF585" s="101" t="str">
        <f t="shared" ca="1" si="16"/>
        <v>#REF!</v>
      </c>
      <c r="AG585" s="102" t="str">
        <f t="shared" ref="AG585:AH585" ca="1" si="603">AE585/V585</f>
        <v>#REF!</v>
      </c>
      <c r="AH585" s="102" t="str">
        <f t="shared" ca="1" si="603"/>
        <v>#REF!</v>
      </c>
    </row>
    <row r="586" spans="1:34" ht="13.2">
      <c r="A586" s="251"/>
      <c r="B586" s="251"/>
      <c r="C586" s="252"/>
      <c r="D586" s="252"/>
      <c r="E586" s="114"/>
      <c r="F586" s="252"/>
      <c r="G586" s="125" t="s">
        <v>145</v>
      </c>
      <c r="I586" s="172"/>
      <c r="J586" s="82" t="str">
        <f t="shared" ca="1" si="0"/>
        <v>#REF!</v>
      </c>
      <c r="K586" s="82" t="str">
        <f t="shared" ca="1" si="1"/>
        <v>#REF!</v>
      </c>
      <c r="L586" s="82" t="str">
        <f t="shared" ca="1" si="44"/>
        <v>#REF!</v>
      </c>
      <c r="M586" s="93"/>
      <c r="N586" s="93"/>
      <c r="O586" s="95">
        <f t="shared" si="2"/>
        <v>0</v>
      </c>
      <c r="P586" s="96">
        <f t="shared" si="3"/>
        <v>0</v>
      </c>
      <c r="Q586" s="97">
        <f t="shared" si="4"/>
        <v>0</v>
      </c>
      <c r="R586" s="97" t="str">
        <f ca="1">ROUNDUP(HLOOKUP(IF(CEILING(L586,0.5)&lt;1,0.5,CEILING(L586,0.5)),'배송비 조회'!A$44:AO$56,7,0)*B$3,-2)</f>
        <v>#REF!</v>
      </c>
      <c r="S586" s="97">
        <v>0</v>
      </c>
      <c r="T586" s="97" t="str">
        <f t="shared" ca="1" si="42"/>
        <v>#REF!</v>
      </c>
      <c r="U586" s="97" t="str">
        <f t="shared" ca="1" si="29"/>
        <v>#REF!</v>
      </c>
      <c r="V586" s="97" t="str">
        <f t="shared" ca="1" si="7"/>
        <v>#REF!</v>
      </c>
      <c r="W586" s="97" t="str">
        <f t="shared" ca="1" si="8"/>
        <v>#REF!</v>
      </c>
      <c r="X586" s="121">
        <v>0</v>
      </c>
      <c r="Y586" s="121" t="str">
        <f t="shared" ca="1" si="9"/>
        <v>#REF!</v>
      </c>
      <c r="Z586" s="121" t="str">
        <f t="shared" ca="1" si="10"/>
        <v>#REF!</v>
      </c>
      <c r="AA586" s="99" t="str">
        <f t="shared" ca="1" si="11"/>
        <v>#REF!</v>
      </c>
      <c r="AB586" s="234" t="str">
        <f t="shared" ca="1" si="12"/>
        <v>#REF!</v>
      </c>
      <c r="AC586" s="257" t="str">
        <f t="shared" ca="1" si="13"/>
        <v>#REF!</v>
      </c>
      <c r="AD586" s="234" t="str">
        <f t="shared" ca="1" si="14"/>
        <v>#REF!</v>
      </c>
      <c r="AE586" s="100" t="str">
        <f t="shared" ca="1" si="15"/>
        <v>#REF!</v>
      </c>
      <c r="AF586" s="101" t="str">
        <f t="shared" ca="1" si="16"/>
        <v>#REF!</v>
      </c>
      <c r="AG586" s="102" t="str">
        <f t="shared" ref="AG586:AH586" ca="1" si="604">AE586/V586</f>
        <v>#REF!</v>
      </c>
      <c r="AH586" s="102" t="str">
        <f t="shared" ca="1" si="604"/>
        <v>#REF!</v>
      </c>
    </row>
    <row r="587" spans="1:34" ht="13.2">
      <c r="A587" s="251"/>
      <c r="B587" s="251"/>
      <c r="C587" s="252"/>
      <c r="D587" s="252"/>
      <c r="E587" s="114"/>
      <c r="F587" s="252"/>
      <c r="G587" s="125" t="s">
        <v>145</v>
      </c>
      <c r="I587" s="172"/>
      <c r="J587" s="82" t="str">
        <f t="shared" ca="1" si="0"/>
        <v>#REF!</v>
      </c>
      <c r="K587" s="82" t="str">
        <f t="shared" ca="1" si="1"/>
        <v>#REF!</v>
      </c>
      <c r="L587" s="82" t="str">
        <f t="shared" ca="1" si="44"/>
        <v>#REF!</v>
      </c>
      <c r="M587" s="93"/>
      <c r="N587" s="93"/>
      <c r="O587" s="95">
        <f t="shared" si="2"/>
        <v>0</v>
      </c>
      <c r="P587" s="96">
        <f t="shared" si="3"/>
        <v>0</v>
      </c>
      <c r="Q587" s="97">
        <f t="shared" si="4"/>
        <v>0</v>
      </c>
      <c r="R587" s="97" t="str">
        <f ca="1">ROUNDUP(HLOOKUP(IF(CEILING(L587,0.5)&lt;1,0.5,CEILING(L587,0.5)),'배송비 조회'!A$44:AO$56,7,0)*B$3,-2)</f>
        <v>#REF!</v>
      </c>
      <c r="S587" s="97">
        <v>0</v>
      </c>
      <c r="T587" s="97" t="str">
        <f t="shared" ca="1" si="42"/>
        <v>#REF!</v>
      </c>
      <c r="U587" s="97" t="str">
        <f t="shared" ca="1" si="29"/>
        <v>#REF!</v>
      </c>
      <c r="V587" s="97" t="str">
        <f t="shared" ca="1" si="7"/>
        <v>#REF!</v>
      </c>
      <c r="W587" s="97" t="str">
        <f t="shared" ca="1" si="8"/>
        <v>#REF!</v>
      </c>
      <c r="X587" s="121">
        <v>0</v>
      </c>
      <c r="Y587" s="121" t="str">
        <f t="shared" ca="1" si="9"/>
        <v>#REF!</v>
      </c>
      <c r="Z587" s="121" t="str">
        <f t="shared" ca="1" si="10"/>
        <v>#REF!</v>
      </c>
      <c r="AA587" s="99" t="str">
        <f t="shared" ca="1" si="11"/>
        <v>#REF!</v>
      </c>
      <c r="AB587" s="234" t="str">
        <f t="shared" ca="1" si="12"/>
        <v>#REF!</v>
      </c>
      <c r="AC587" s="257" t="str">
        <f t="shared" ca="1" si="13"/>
        <v>#REF!</v>
      </c>
      <c r="AD587" s="234" t="str">
        <f t="shared" ca="1" si="14"/>
        <v>#REF!</v>
      </c>
      <c r="AE587" s="100" t="str">
        <f t="shared" ca="1" si="15"/>
        <v>#REF!</v>
      </c>
      <c r="AF587" s="101" t="str">
        <f t="shared" ca="1" si="16"/>
        <v>#REF!</v>
      </c>
      <c r="AG587" s="102" t="str">
        <f t="shared" ref="AG587:AH587" ca="1" si="605">AE587/V587</f>
        <v>#REF!</v>
      </c>
      <c r="AH587" s="102" t="str">
        <f t="shared" ca="1" si="605"/>
        <v>#REF!</v>
      </c>
    </row>
    <row r="588" spans="1:34" ht="13.2">
      <c r="A588" s="251"/>
      <c r="B588" s="251"/>
      <c r="C588" s="252"/>
      <c r="D588" s="252"/>
      <c r="E588" s="114"/>
      <c r="F588" s="252"/>
      <c r="G588" s="125" t="s">
        <v>145</v>
      </c>
      <c r="I588" s="172"/>
      <c r="J588" s="82" t="str">
        <f t="shared" ca="1" si="0"/>
        <v>#REF!</v>
      </c>
      <c r="K588" s="82" t="str">
        <f t="shared" ca="1" si="1"/>
        <v>#REF!</v>
      </c>
      <c r="L588" s="82" t="str">
        <f t="shared" ca="1" si="44"/>
        <v>#REF!</v>
      </c>
      <c r="M588" s="93"/>
      <c r="N588" s="93"/>
      <c r="O588" s="95">
        <f t="shared" si="2"/>
        <v>0</v>
      </c>
      <c r="P588" s="96">
        <f t="shared" si="3"/>
        <v>0</v>
      </c>
      <c r="Q588" s="97">
        <f t="shared" si="4"/>
        <v>0</v>
      </c>
      <c r="R588" s="97" t="str">
        <f ca="1">ROUNDUP(HLOOKUP(IF(CEILING(L588,0.5)&lt;1,0.5,CEILING(L588,0.5)),'배송비 조회'!A$44:AO$56,7,0)*B$3,-2)</f>
        <v>#REF!</v>
      </c>
      <c r="S588" s="97">
        <v>0</v>
      </c>
      <c r="T588" s="97" t="str">
        <f t="shared" ca="1" si="42"/>
        <v>#REF!</v>
      </c>
      <c r="U588" s="97" t="str">
        <f t="shared" ca="1" si="29"/>
        <v>#REF!</v>
      </c>
      <c r="V588" s="97" t="str">
        <f t="shared" ca="1" si="7"/>
        <v>#REF!</v>
      </c>
      <c r="W588" s="97" t="str">
        <f t="shared" ca="1" si="8"/>
        <v>#REF!</v>
      </c>
      <c r="X588" s="121">
        <v>0</v>
      </c>
      <c r="Y588" s="121" t="str">
        <f t="shared" ca="1" si="9"/>
        <v>#REF!</v>
      </c>
      <c r="Z588" s="121" t="str">
        <f t="shared" ca="1" si="10"/>
        <v>#REF!</v>
      </c>
      <c r="AA588" s="99" t="str">
        <f t="shared" ca="1" si="11"/>
        <v>#REF!</v>
      </c>
      <c r="AB588" s="234" t="str">
        <f t="shared" ca="1" si="12"/>
        <v>#REF!</v>
      </c>
      <c r="AC588" s="257" t="str">
        <f t="shared" ca="1" si="13"/>
        <v>#REF!</v>
      </c>
      <c r="AD588" s="234" t="str">
        <f t="shared" ca="1" si="14"/>
        <v>#REF!</v>
      </c>
      <c r="AE588" s="100" t="str">
        <f t="shared" ca="1" si="15"/>
        <v>#REF!</v>
      </c>
      <c r="AF588" s="101" t="str">
        <f t="shared" ca="1" si="16"/>
        <v>#REF!</v>
      </c>
      <c r="AG588" s="102" t="str">
        <f t="shared" ref="AG588:AH588" ca="1" si="606">AE588/V588</f>
        <v>#REF!</v>
      </c>
      <c r="AH588" s="102" t="str">
        <f t="shared" ca="1" si="606"/>
        <v>#REF!</v>
      </c>
    </row>
    <row r="589" spans="1:34" ht="13.2">
      <c r="A589" s="251"/>
      <c r="B589" s="251"/>
      <c r="C589" s="252"/>
      <c r="D589" s="252"/>
      <c r="E589" s="114"/>
      <c r="F589" s="252"/>
      <c r="G589" s="125" t="s">
        <v>145</v>
      </c>
      <c r="I589" s="172"/>
      <c r="J589" s="82" t="str">
        <f t="shared" ca="1" si="0"/>
        <v>#REF!</v>
      </c>
      <c r="K589" s="82" t="str">
        <f t="shared" ca="1" si="1"/>
        <v>#REF!</v>
      </c>
      <c r="L589" s="82" t="str">
        <f t="shared" ca="1" si="44"/>
        <v>#REF!</v>
      </c>
      <c r="M589" s="93"/>
      <c r="N589" s="93"/>
      <c r="O589" s="95">
        <f t="shared" si="2"/>
        <v>0</v>
      </c>
      <c r="P589" s="96">
        <f t="shared" si="3"/>
        <v>0</v>
      </c>
      <c r="Q589" s="97">
        <f t="shared" si="4"/>
        <v>0</v>
      </c>
      <c r="R589" s="97" t="str">
        <f ca="1">ROUNDUP(HLOOKUP(IF(CEILING(L589,0.5)&lt;1,0.5,CEILING(L589,0.5)),'배송비 조회'!A$44:AO$56,7,0)*B$3,-2)</f>
        <v>#REF!</v>
      </c>
      <c r="S589" s="97">
        <v>0</v>
      </c>
      <c r="T589" s="97" t="str">
        <f t="shared" ca="1" si="42"/>
        <v>#REF!</v>
      </c>
      <c r="U589" s="97" t="str">
        <f t="shared" ca="1" si="29"/>
        <v>#REF!</v>
      </c>
      <c r="V589" s="97" t="str">
        <f t="shared" ca="1" si="7"/>
        <v>#REF!</v>
      </c>
      <c r="W589" s="97" t="str">
        <f t="shared" ca="1" si="8"/>
        <v>#REF!</v>
      </c>
      <c r="X589" s="121">
        <v>0</v>
      </c>
      <c r="Y589" s="121" t="str">
        <f t="shared" ca="1" si="9"/>
        <v>#REF!</v>
      </c>
      <c r="Z589" s="121" t="str">
        <f t="shared" ca="1" si="10"/>
        <v>#REF!</v>
      </c>
      <c r="AA589" s="99" t="str">
        <f t="shared" ca="1" si="11"/>
        <v>#REF!</v>
      </c>
      <c r="AB589" s="234" t="str">
        <f t="shared" ca="1" si="12"/>
        <v>#REF!</v>
      </c>
      <c r="AC589" s="257" t="str">
        <f t="shared" ca="1" si="13"/>
        <v>#REF!</v>
      </c>
      <c r="AD589" s="234" t="str">
        <f t="shared" ca="1" si="14"/>
        <v>#REF!</v>
      </c>
      <c r="AE589" s="100" t="str">
        <f t="shared" ca="1" si="15"/>
        <v>#REF!</v>
      </c>
      <c r="AF589" s="101" t="str">
        <f t="shared" ca="1" si="16"/>
        <v>#REF!</v>
      </c>
      <c r="AG589" s="102" t="str">
        <f t="shared" ref="AG589:AH589" ca="1" si="607">AE589/V589</f>
        <v>#REF!</v>
      </c>
      <c r="AH589" s="102" t="str">
        <f t="shared" ca="1" si="607"/>
        <v>#REF!</v>
      </c>
    </row>
    <row r="590" spans="1:34" ht="13.2">
      <c r="A590" s="251"/>
      <c r="B590" s="251"/>
      <c r="C590" s="252"/>
      <c r="D590" s="252"/>
      <c r="E590" s="114"/>
      <c r="F590" s="252"/>
      <c r="G590" s="125" t="s">
        <v>145</v>
      </c>
      <c r="I590" s="172"/>
      <c r="J590" s="82" t="str">
        <f t="shared" ca="1" si="0"/>
        <v>#REF!</v>
      </c>
      <c r="K590" s="82" t="str">
        <f t="shared" ca="1" si="1"/>
        <v>#REF!</v>
      </c>
      <c r="L590" s="82" t="str">
        <f t="shared" ca="1" si="44"/>
        <v>#REF!</v>
      </c>
      <c r="M590" s="93"/>
      <c r="N590" s="93"/>
      <c r="O590" s="95">
        <f t="shared" si="2"/>
        <v>0</v>
      </c>
      <c r="P590" s="96">
        <f t="shared" si="3"/>
        <v>0</v>
      </c>
      <c r="Q590" s="97">
        <f t="shared" si="4"/>
        <v>0</v>
      </c>
      <c r="R590" s="97" t="str">
        <f ca="1">ROUNDUP(HLOOKUP(IF(CEILING(L590,0.5)&lt;1,0.5,CEILING(L590,0.5)),'배송비 조회'!A$44:AO$56,7,0)*B$3,-2)</f>
        <v>#REF!</v>
      </c>
      <c r="S590" s="97">
        <v>0</v>
      </c>
      <c r="T590" s="97" t="str">
        <f t="shared" ca="1" si="42"/>
        <v>#REF!</v>
      </c>
      <c r="U590" s="97" t="str">
        <f t="shared" ca="1" si="29"/>
        <v>#REF!</v>
      </c>
      <c r="V590" s="97" t="str">
        <f t="shared" ca="1" si="7"/>
        <v>#REF!</v>
      </c>
      <c r="W590" s="97" t="str">
        <f t="shared" ca="1" si="8"/>
        <v>#REF!</v>
      </c>
      <c r="X590" s="121">
        <v>0</v>
      </c>
      <c r="Y590" s="121" t="str">
        <f t="shared" ca="1" si="9"/>
        <v>#REF!</v>
      </c>
      <c r="Z590" s="121" t="str">
        <f t="shared" ca="1" si="10"/>
        <v>#REF!</v>
      </c>
      <c r="AA590" s="99" t="str">
        <f t="shared" ca="1" si="11"/>
        <v>#REF!</v>
      </c>
      <c r="AB590" s="234" t="str">
        <f t="shared" ca="1" si="12"/>
        <v>#REF!</v>
      </c>
      <c r="AC590" s="257" t="str">
        <f t="shared" ca="1" si="13"/>
        <v>#REF!</v>
      </c>
      <c r="AD590" s="234" t="str">
        <f t="shared" ca="1" si="14"/>
        <v>#REF!</v>
      </c>
      <c r="AE590" s="100" t="str">
        <f t="shared" ca="1" si="15"/>
        <v>#REF!</v>
      </c>
      <c r="AF590" s="101" t="str">
        <f t="shared" ca="1" si="16"/>
        <v>#REF!</v>
      </c>
      <c r="AG590" s="102" t="str">
        <f t="shared" ref="AG590:AH590" ca="1" si="608">AE590/V590</f>
        <v>#REF!</v>
      </c>
      <c r="AH590" s="102" t="str">
        <f t="shared" ca="1" si="608"/>
        <v>#REF!</v>
      </c>
    </row>
    <row r="591" spans="1:34" ht="13.2">
      <c r="A591" s="251"/>
      <c r="B591" s="251"/>
      <c r="C591" s="252"/>
      <c r="D591" s="252"/>
      <c r="E591" s="114"/>
      <c r="F591" s="252"/>
      <c r="G591" s="125" t="s">
        <v>145</v>
      </c>
      <c r="I591" s="172"/>
      <c r="J591" s="82" t="str">
        <f t="shared" ca="1" si="0"/>
        <v>#REF!</v>
      </c>
      <c r="K591" s="82" t="str">
        <f t="shared" ca="1" si="1"/>
        <v>#REF!</v>
      </c>
      <c r="L591" s="82" t="str">
        <f t="shared" ca="1" si="44"/>
        <v>#REF!</v>
      </c>
      <c r="M591" s="93"/>
      <c r="N591" s="93"/>
      <c r="O591" s="95">
        <f t="shared" si="2"/>
        <v>0</v>
      </c>
      <c r="P591" s="96">
        <f t="shared" si="3"/>
        <v>0</v>
      </c>
      <c r="Q591" s="97">
        <f t="shared" si="4"/>
        <v>0</v>
      </c>
      <c r="R591" s="97" t="str">
        <f ca="1">ROUNDUP(HLOOKUP(IF(CEILING(L591,0.5)&lt;1,0.5,CEILING(L591,0.5)),'배송비 조회'!A$44:AO$56,7,0)*B$3,-2)</f>
        <v>#REF!</v>
      </c>
      <c r="S591" s="97">
        <v>0</v>
      </c>
      <c r="T591" s="97" t="str">
        <f t="shared" ca="1" si="42"/>
        <v>#REF!</v>
      </c>
      <c r="U591" s="97" t="str">
        <f t="shared" ca="1" si="29"/>
        <v>#REF!</v>
      </c>
      <c r="V591" s="97" t="str">
        <f t="shared" ca="1" si="7"/>
        <v>#REF!</v>
      </c>
      <c r="W591" s="97" t="str">
        <f t="shared" ca="1" si="8"/>
        <v>#REF!</v>
      </c>
      <c r="X591" s="121">
        <v>0</v>
      </c>
      <c r="Y591" s="121" t="str">
        <f t="shared" ca="1" si="9"/>
        <v>#REF!</v>
      </c>
      <c r="Z591" s="121" t="str">
        <f t="shared" ca="1" si="10"/>
        <v>#REF!</v>
      </c>
      <c r="AA591" s="99" t="str">
        <f t="shared" ca="1" si="11"/>
        <v>#REF!</v>
      </c>
      <c r="AB591" s="234" t="str">
        <f t="shared" ca="1" si="12"/>
        <v>#REF!</v>
      </c>
      <c r="AC591" s="257" t="str">
        <f t="shared" ca="1" si="13"/>
        <v>#REF!</v>
      </c>
      <c r="AD591" s="234" t="str">
        <f t="shared" ca="1" si="14"/>
        <v>#REF!</v>
      </c>
      <c r="AE591" s="100" t="str">
        <f t="shared" ca="1" si="15"/>
        <v>#REF!</v>
      </c>
      <c r="AF591" s="101" t="str">
        <f t="shared" ca="1" si="16"/>
        <v>#REF!</v>
      </c>
      <c r="AG591" s="102" t="str">
        <f t="shared" ref="AG591:AH591" ca="1" si="609">AE591/V591</f>
        <v>#REF!</v>
      </c>
      <c r="AH591" s="102" t="str">
        <f t="shared" ca="1" si="609"/>
        <v>#REF!</v>
      </c>
    </row>
    <row r="592" spans="1:34" ht="13.2">
      <c r="A592" s="251"/>
      <c r="B592" s="251"/>
      <c r="C592" s="252"/>
      <c r="D592" s="252"/>
      <c r="E592" s="114"/>
      <c r="F592" s="252"/>
      <c r="G592" s="125" t="s">
        <v>145</v>
      </c>
      <c r="I592" s="172"/>
      <c r="J592" s="82" t="str">
        <f t="shared" ca="1" si="0"/>
        <v>#REF!</v>
      </c>
      <c r="K592" s="82" t="str">
        <f t="shared" ca="1" si="1"/>
        <v>#REF!</v>
      </c>
      <c r="L592" s="82" t="str">
        <f t="shared" ca="1" si="44"/>
        <v>#REF!</v>
      </c>
      <c r="M592" s="93"/>
      <c r="N592" s="93"/>
      <c r="O592" s="95">
        <f t="shared" si="2"/>
        <v>0</v>
      </c>
      <c r="P592" s="96">
        <f t="shared" si="3"/>
        <v>0</v>
      </c>
      <c r="Q592" s="97">
        <f t="shared" si="4"/>
        <v>0</v>
      </c>
      <c r="R592" s="97" t="str">
        <f ca="1">ROUNDUP(HLOOKUP(IF(CEILING(L592,0.5)&lt;1,0.5,CEILING(L592,0.5)),'배송비 조회'!A$44:AO$56,7,0)*B$3,-2)</f>
        <v>#REF!</v>
      </c>
      <c r="S592" s="97">
        <v>0</v>
      </c>
      <c r="T592" s="97" t="str">
        <f t="shared" ca="1" si="42"/>
        <v>#REF!</v>
      </c>
      <c r="U592" s="97" t="str">
        <f t="shared" ca="1" si="29"/>
        <v>#REF!</v>
      </c>
      <c r="V592" s="97" t="str">
        <f t="shared" ca="1" si="7"/>
        <v>#REF!</v>
      </c>
      <c r="W592" s="97" t="str">
        <f t="shared" ca="1" si="8"/>
        <v>#REF!</v>
      </c>
      <c r="X592" s="121">
        <v>0</v>
      </c>
      <c r="Y592" s="121" t="str">
        <f t="shared" ca="1" si="9"/>
        <v>#REF!</v>
      </c>
      <c r="Z592" s="121" t="str">
        <f t="shared" ca="1" si="10"/>
        <v>#REF!</v>
      </c>
      <c r="AA592" s="99" t="str">
        <f t="shared" ca="1" si="11"/>
        <v>#REF!</v>
      </c>
      <c r="AB592" s="234" t="str">
        <f t="shared" ca="1" si="12"/>
        <v>#REF!</v>
      </c>
      <c r="AC592" s="257" t="str">
        <f t="shared" ca="1" si="13"/>
        <v>#REF!</v>
      </c>
      <c r="AD592" s="234" t="str">
        <f t="shared" ca="1" si="14"/>
        <v>#REF!</v>
      </c>
      <c r="AE592" s="100" t="str">
        <f t="shared" ca="1" si="15"/>
        <v>#REF!</v>
      </c>
      <c r="AF592" s="101" t="str">
        <f t="shared" ca="1" si="16"/>
        <v>#REF!</v>
      </c>
      <c r="AG592" s="102" t="str">
        <f t="shared" ref="AG592:AH592" ca="1" si="610">AE592/V592</f>
        <v>#REF!</v>
      </c>
      <c r="AH592" s="102" t="str">
        <f t="shared" ca="1" si="610"/>
        <v>#REF!</v>
      </c>
    </row>
    <row r="593" spans="1:34" ht="13.2">
      <c r="A593" s="251"/>
      <c r="B593" s="251"/>
      <c r="C593" s="252"/>
      <c r="D593" s="252"/>
      <c r="E593" s="114"/>
      <c r="F593" s="252"/>
      <c r="G593" s="125" t="s">
        <v>145</v>
      </c>
      <c r="I593" s="172"/>
      <c r="J593" s="82" t="str">
        <f t="shared" ca="1" si="0"/>
        <v>#REF!</v>
      </c>
      <c r="K593" s="82" t="str">
        <f t="shared" ca="1" si="1"/>
        <v>#REF!</v>
      </c>
      <c r="L593" s="82" t="str">
        <f t="shared" ca="1" si="44"/>
        <v>#REF!</v>
      </c>
      <c r="M593" s="93"/>
      <c r="N593" s="93"/>
      <c r="O593" s="95">
        <f t="shared" si="2"/>
        <v>0</v>
      </c>
      <c r="P593" s="96">
        <f t="shared" si="3"/>
        <v>0</v>
      </c>
      <c r="Q593" s="97">
        <f t="shared" si="4"/>
        <v>0</v>
      </c>
      <c r="R593" s="97" t="str">
        <f ca="1">ROUNDUP(HLOOKUP(IF(CEILING(L593,0.5)&lt;1,0.5,CEILING(L593,0.5)),'배송비 조회'!A$44:AO$56,7,0)*B$3,-2)</f>
        <v>#REF!</v>
      </c>
      <c r="S593" s="97">
        <v>0</v>
      </c>
      <c r="T593" s="97" t="str">
        <f t="shared" ca="1" si="42"/>
        <v>#REF!</v>
      </c>
      <c r="U593" s="97" t="str">
        <f t="shared" ca="1" si="29"/>
        <v>#REF!</v>
      </c>
      <c r="V593" s="97" t="str">
        <f t="shared" ca="1" si="7"/>
        <v>#REF!</v>
      </c>
      <c r="W593" s="97" t="str">
        <f t="shared" ca="1" si="8"/>
        <v>#REF!</v>
      </c>
      <c r="X593" s="121">
        <v>0</v>
      </c>
      <c r="Y593" s="121" t="str">
        <f t="shared" ca="1" si="9"/>
        <v>#REF!</v>
      </c>
      <c r="Z593" s="121" t="str">
        <f t="shared" ca="1" si="10"/>
        <v>#REF!</v>
      </c>
      <c r="AA593" s="99" t="str">
        <f t="shared" ca="1" si="11"/>
        <v>#REF!</v>
      </c>
      <c r="AB593" s="234" t="str">
        <f t="shared" ca="1" si="12"/>
        <v>#REF!</v>
      </c>
      <c r="AC593" s="257" t="str">
        <f t="shared" ca="1" si="13"/>
        <v>#REF!</v>
      </c>
      <c r="AD593" s="234" t="str">
        <f t="shared" ca="1" si="14"/>
        <v>#REF!</v>
      </c>
      <c r="AE593" s="100" t="str">
        <f t="shared" ca="1" si="15"/>
        <v>#REF!</v>
      </c>
      <c r="AF593" s="101" t="str">
        <f t="shared" ca="1" si="16"/>
        <v>#REF!</v>
      </c>
      <c r="AG593" s="102" t="str">
        <f t="shared" ref="AG593:AH593" ca="1" si="611">AE593/V593</f>
        <v>#REF!</v>
      </c>
      <c r="AH593" s="102" t="str">
        <f t="shared" ca="1" si="611"/>
        <v>#REF!</v>
      </c>
    </row>
    <row r="594" spans="1:34" ht="13.2">
      <c r="A594" s="251"/>
      <c r="B594" s="251"/>
      <c r="C594" s="252"/>
      <c r="D594" s="252"/>
      <c r="E594" s="114"/>
      <c r="F594" s="252"/>
      <c r="G594" s="125" t="s">
        <v>145</v>
      </c>
      <c r="I594" s="172"/>
      <c r="J594" s="82" t="str">
        <f t="shared" ca="1" si="0"/>
        <v>#REF!</v>
      </c>
      <c r="K594" s="82" t="str">
        <f t="shared" ca="1" si="1"/>
        <v>#REF!</v>
      </c>
      <c r="L594" s="82" t="str">
        <f t="shared" ca="1" si="44"/>
        <v>#REF!</v>
      </c>
      <c r="M594" s="93"/>
      <c r="N594" s="93"/>
      <c r="O594" s="95">
        <f t="shared" si="2"/>
        <v>0</v>
      </c>
      <c r="P594" s="96">
        <f t="shared" si="3"/>
        <v>0</v>
      </c>
      <c r="Q594" s="97">
        <f t="shared" si="4"/>
        <v>0</v>
      </c>
      <c r="R594" s="97" t="str">
        <f ca="1">ROUNDUP(HLOOKUP(IF(CEILING(L594,0.5)&lt;1,0.5,CEILING(L594,0.5)),'배송비 조회'!A$44:AO$56,7,0)*B$3,-2)</f>
        <v>#REF!</v>
      </c>
      <c r="S594" s="97">
        <v>0</v>
      </c>
      <c r="T594" s="97" t="str">
        <f t="shared" ca="1" si="42"/>
        <v>#REF!</v>
      </c>
      <c r="U594" s="97" t="str">
        <f t="shared" ca="1" si="29"/>
        <v>#REF!</v>
      </c>
      <c r="V594" s="97" t="str">
        <f t="shared" ca="1" si="7"/>
        <v>#REF!</v>
      </c>
      <c r="W594" s="97" t="str">
        <f t="shared" ca="1" si="8"/>
        <v>#REF!</v>
      </c>
      <c r="X594" s="121">
        <v>0</v>
      </c>
      <c r="Y594" s="121" t="str">
        <f t="shared" ca="1" si="9"/>
        <v>#REF!</v>
      </c>
      <c r="Z594" s="121" t="str">
        <f t="shared" ca="1" si="10"/>
        <v>#REF!</v>
      </c>
      <c r="AA594" s="99" t="str">
        <f t="shared" ca="1" si="11"/>
        <v>#REF!</v>
      </c>
      <c r="AB594" s="234" t="str">
        <f t="shared" ca="1" si="12"/>
        <v>#REF!</v>
      </c>
      <c r="AC594" s="257" t="str">
        <f t="shared" ca="1" si="13"/>
        <v>#REF!</v>
      </c>
      <c r="AD594" s="234" t="str">
        <f t="shared" ca="1" si="14"/>
        <v>#REF!</v>
      </c>
      <c r="AE594" s="100" t="str">
        <f t="shared" ca="1" si="15"/>
        <v>#REF!</v>
      </c>
      <c r="AF594" s="101" t="str">
        <f t="shared" ca="1" si="16"/>
        <v>#REF!</v>
      </c>
      <c r="AG594" s="102" t="str">
        <f t="shared" ref="AG594:AH594" ca="1" si="612">AE594/V594</f>
        <v>#REF!</v>
      </c>
      <c r="AH594" s="102" t="str">
        <f t="shared" ca="1" si="612"/>
        <v>#REF!</v>
      </c>
    </row>
    <row r="595" spans="1:34" ht="13.2">
      <c r="A595" s="251"/>
      <c r="B595" s="251"/>
      <c r="C595" s="252"/>
      <c r="D595" s="252"/>
      <c r="E595" s="114"/>
      <c r="F595" s="252"/>
      <c r="G595" s="125" t="s">
        <v>145</v>
      </c>
      <c r="I595" s="172"/>
      <c r="J595" s="82" t="str">
        <f t="shared" ca="1" si="0"/>
        <v>#REF!</v>
      </c>
      <c r="K595" s="82" t="str">
        <f t="shared" ca="1" si="1"/>
        <v>#REF!</v>
      </c>
      <c r="L595" s="82" t="str">
        <f t="shared" ca="1" si="44"/>
        <v>#REF!</v>
      </c>
      <c r="M595" s="93"/>
      <c r="N595" s="93"/>
      <c r="O595" s="95">
        <f t="shared" si="2"/>
        <v>0</v>
      </c>
      <c r="P595" s="96">
        <f t="shared" si="3"/>
        <v>0</v>
      </c>
      <c r="Q595" s="97">
        <f t="shared" si="4"/>
        <v>0</v>
      </c>
      <c r="R595" s="97" t="str">
        <f ca="1">ROUNDUP(HLOOKUP(IF(CEILING(L595,0.5)&lt;1,0.5,CEILING(L595,0.5)),'배송비 조회'!A$44:AO$56,7,0)*B$3,-2)</f>
        <v>#REF!</v>
      </c>
      <c r="S595" s="97">
        <v>0</v>
      </c>
      <c r="T595" s="97" t="str">
        <f t="shared" ca="1" si="42"/>
        <v>#REF!</v>
      </c>
      <c r="U595" s="97" t="str">
        <f t="shared" ca="1" si="29"/>
        <v>#REF!</v>
      </c>
      <c r="V595" s="97" t="str">
        <f t="shared" ca="1" si="7"/>
        <v>#REF!</v>
      </c>
      <c r="W595" s="97" t="str">
        <f t="shared" ca="1" si="8"/>
        <v>#REF!</v>
      </c>
      <c r="X595" s="121">
        <v>0</v>
      </c>
      <c r="Y595" s="121" t="str">
        <f t="shared" ca="1" si="9"/>
        <v>#REF!</v>
      </c>
      <c r="Z595" s="121" t="str">
        <f t="shared" ca="1" si="10"/>
        <v>#REF!</v>
      </c>
      <c r="AA595" s="99" t="str">
        <f t="shared" ca="1" si="11"/>
        <v>#REF!</v>
      </c>
      <c r="AB595" s="234" t="str">
        <f t="shared" ca="1" si="12"/>
        <v>#REF!</v>
      </c>
      <c r="AC595" s="257" t="str">
        <f t="shared" ca="1" si="13"/>
        <v>#REF!</v>
      </c>
      <c r="AD595" s="234" t="str">
        <f t="shared" ca="1" si="14"/>
        <v>#REF!</v>
      </c>
      <c r="AE595" s="100" t="str">
        <f t="shared" ca="1" si="15"/>
        <v>#REF!</v>
      </c>
      <c r="AF595" s="101" t="str">
        <f t="shared" ca="1" si="16"/>
        <v>#REF!</v>
      </c>
      <c r="AG595" s="102" t="str">
        <f t="shared" ref="AG595:AH595" ca="1" si="613">AE595/V595</f>
        <v>#REF!</v>
      </c>
      <c r="AH595" s="102" t="str">
        <f t="shared" ca="1" si="613"/>
        <v>#REF!</v>
      </c>
    </row>
    <row r="596" spans="1:34" ht="13.2">
      <c r="A596" s="251"/>
      <c r="B596" s="251"/>
      <c r="C596" s="252"/>
      <c r="D596" s="252"/>
      <c r="E596" s="114"/>
      <c r="F596" s="252"/>
      <c r="G596" s="125" t="s">
        <v>145</v>
      </c>
      <c r="I596" s="172"/>
      <c r="J596" s="82" t="str">
        <f t="shared" ca="1" si="0"/>
        <v>#REF!</v>
      </c>
      <c r="K596" s="82" t="str">
        <f t="shared" ca="1" si="1"/>
        <v>#REF!</v>
      </c>
      <c r="L596" s="82" t="str">
        <f t="shared" ca="1" si="44"/>
        <v>#REF!</v>
      </c>
      <c r="M596" s="93"/>
      <c r="N596" s="93"/>
      <c r="O596" s="95">
        <f t="shared" si="2"/>
        <v>0</v>
      </c>
      <c r="P596" s="96">
        <f t="shared" si="3"/>
        <v>0</v>
      </c>
      <c r="Q596" s="97">
        <f t="shared" si="4"/>
        <v>0</v>
      </c>
      <c r="R596" s="97" t="str">
        <f ca="1">ROUNDUP(HLOOKUP(IF(CEILING(L596,0.5)&lt;1,0.5,CEILING(L596,0.5)),'배송비 조회'!A$44:AO$56,7,0)*B$3,-2)</f>
        <v>#REF!</v>
      </c>
      <c r="S596" s="97">
        <v>0</v>
      </c>
      <c r="T596" s="97" t="str">
        <f t="shared" ca="1" si="42"/>
        <v>#REF!</v>
      </c>
      <c r="U596" s="97" t="str">
        <f t="shared" ca="1" si="29"/>
        <v>#REF!</v>
      </c>
      <c r="V596" s="97" t="str">
        <f t="shared" ca="1" si="7"/>
        <v>#REF!</v>
      </c>
      <c r="W596" s="97" t="str">
        <f t="shared" ca="1" si="8"/>
        <v>#REF!</v>
      </c>
      <c r="X596" s="121">
        <v>0</v>
      </c>
      <c r="Y596" s="121" t="str">
        <f t="shared" ca="1" si="9"/>
        <v>#REF!</v>
      </c>
      <c r="Z596" s="121" t="str">
        <f t="shared" ca="1" si="10"/>
        <v>#REF!</v>
      </c>
      <c r="AA596" s="99" t="str">
        <f t="shared" ca="1" si="11"/>
        <v>#REF!</v>
      </c>
      <c r="AB596" s="234" t="str">
        <f t="shared" ca="1" si="12"/>
        <v>#REF!</v>
      </c>
      <c r="AC596" s="257" t="str">
        <f t="shared" ca="1" si="13"/>
        <v>#REF!</v>
      </c>
      <c r="AD596" s="234" t="str">
        <f t="shared" ca="1" si="14"/>
        <v>#REF!</v>
      </c>
      <c r="AE596" s="100" t="str">
        <f t="shared" ca="1" si="15"/>
        <v>#REF!</v>
      </c>
      <c r="AF596" s="101" t="str">
        <f t="shared" ca="1" si="16"/>
        <v>#REF!</v>
      </c>
      <c r="AG596" s="102" t="str">
        <f t="shared" ref="AG596:AH596" ca="1" si="614">AE596/V596</f>
        <v>#REF!</v>
      </c>
      <c r="AH596" s="102" t="str">
        <f t="shared" ca="1" si="614"/>
        <v>#REF!</v>
      </c>
    </row>
    <row r="597" spans="1:34" ht="13.2">
      <c r="A597" s="251"/>
      <c r="B597" s="251"/>
      <c r="C597" s="252"/>
      <c r="D597" s="252"/>
      <c r="E597" s="114"/>
      <c r="F597" s="252"/>
      <c r="G597" s="125" t="s">
        <v>145</v>
      </c>
      <c r="I597" s="172"/>
      <c r="J597" s="82" t="str">
        <f t="shared" ca="1" si="0"/>
        <v>#REF!</v>
      </c>
      <c r="K597" s="82" t="str">
        <f t="shared" ca="1" si="1"/>
        <v>#REF!</v>
      </c>
      <c r="L597" s="82" t="str">
        <f t="shared" ca="1" si="44"/>
        <v>#REF!</v>
      </c>
      <c r="M597" s="93"/>
      <c r="N597" s="93"/>
      <c r="O597" s="95">
        <f t="shared" si="2"/>
        <v>0</v>
      </c>
      <c r="P597" s="96">
        <f t="shared" si="3"/>
        <v>0</v>
      </c>
      <c r="Q597" s="97">
        <f t="shared" si="4"/>
        <v>0</v>
      </c>
      <c r="R597" s="97" t="str">
        <f ca="1">ROUNDUP(HLOOKUP(IF(CEILING(L597,0.5)&lt;1,0.5,CEILING(L597,0.5)),'배송비 조회'!A$44:AO$56,7,0)*B$3,-2)</f>
        <v>#REF!</v>
      </c>
      <c r="S597" s="97">
        <v>0</v>
      </c>
      <c r="T597" s="97" t="str">
        <f t="shared" ca="1" si="42"/>
        <v>#REF!</v>
      </c>
      <c r="U597" s="97" t="str">
        <f t="shared" ca="1" si="29"/>
        <v>#REF!</v>
      </c>
      <c r="V597" s="97" t="str">
        <f t="shared" ca="1" si="7"/>
        <v>#REF!</v>
      </c>
      <c r="W597" s="97" t="str">
        <f t="shared" ca="1" si="8"/>
        <v>#REF!</v>
      </c>
      <c r="X597" s="121">
        <v>0</v>
      </c>
      <c r="Y597" s="121" t="str">
        <f t="shared" ca="1" si="9"/>
        <v>#REF!</v>
      </c>
      <c r="Z597" s="121" t="str">
        <f t="shared" ca="1" si="10"/>
        <v>#REF!</v>
      </c>
      <c r="AA597" s="99" t="str">
        <f t="shared" ca="1" si="11"/>
        <v>#REF!</v>
      </c>
      <c r="AB597" s="234" t="str">
        <f t="shared" ca="1" si="12"/>
        <v>#REF!</v>
      </c>
      <c r="AC597" s="257" t="str">
        <f t="shared" ca="1" si="13"/>
        <v>#REF!</v>
      </c>
      <c r="AD597" s="234" t="str">
        <f t="shared" ca="1" si="14"/>
        <v>#REF!</v>
      </c>
      <c r="AE597" s="100" t="str">
        <f t="shared" ca="1" si="15"/>
        <v>#REF!</v>
      </c>
      <c r="AF597" s="101" t="str">
        <f t="shared" ca="1" si="16"/>
        <v>#REF!</v>
      </c>
      <c r="AG597" s="102" t="str">
        <f t="shared" ref="AG597:AH597" ca="1" si="615">AE597/V597</f>
        <v>#REF!</v>
      </c>
      <c r="AH597" s="102" t="str">
        <f t="shared" ca="1" si="615"/>
        <v>#REF!</v>
      </c>
    </row>
    <row r="598" spans="1:34" ht="13.2">
      <c r="A598" s="251"/>
      <c r="B598" s="251"/>
      <c r="C598" s="252"/>
      <c r="D598" s="252"/>
      <c r="E598" s="114"/>
      <c r="F598" s="252"/>
      <c r="G598" s="125" t="s">
        <v>145</v>
      </c>
      <c r="I598" s="172"/>
      <c r="J598" s="82" t="str">
        <f t="shared" ca="1" si="0"/>
        <v>#REF!</v>
      </c>
      <c r="K598" s="82" t="str">
        <f t="shared" ca="1" si="1"/>
        <v>#REF!</v>
      </c>
      <c r="L598" s="82" t="str">
        <f t="shared" ca="1" si="44"/>
        <v>#REF!</v>
      </c>
      <c r="M598" s="93"/>
      <c r="N598" s="93"/>
      <c r="O598" s="95">
        <f t="shared" si="2"/>
        <v>0</v>
      </c>
      <c r="P598" s="96">
        <f t="shared" si="3"/>
        <v>0</v>
      </c>
      <c r="Q598" s="97">
        <f t="shared" si="4"/>
        <v>0</v>
      </c>
      <c r="R598" s="97" t="str">
        <f ca="1">ROUNDUP(HLOOKUP(IF(CEILING(L598,0.5)&lt;1,0.5,CEILING(L598,0.5)),'배송비 조회'!A$44:AO$56,7,0)*B$3,-2)</f>
        <v>#REF!</v>
      </c>
      <c r="S598" s="97">
        <v>0</v>
      </c>
      <c r="T598" s="97" t="str">
        <f t="shared" ca="1" si="42"/>
        <v>#REF!</v>
      </c>
      <c r="U598" s="97" t="str">
        <f t="shared" ca="1" si="29"/>
        <v>#REF!</v>
      </c>
      <c r="V598" s="97" t="str">
        <f t="shared" ca="1" si="7"/>
        <v>#REF!</v>
      </c>
      <c r="W598" s="97" t="str">
        <f t="shared" ca="1" si="8"/>
        <v>#REF!</v>
      </c>
      <c r="X598" s="121">
        <v>0</v>
      </c>
      <c r="Y598" s="121" t="str">
        <f t="shared" ca="1" si="9"/>
        <v>#REF!</v>
      </c>
      <c r="Z598" s="121" t="str">
        <f t="shared" ca="1" si="10"/>
        <v>#REF!</v>
      </c>
      <c r="AA598" s="99" t="str">
        <f t="shared" ca="1" si="11"/>
        <v>#REF!</v>
      </c>
      <c r="AB598" s="234" t="str">
        <f t="shared" ca="1" si="12"/>
        <v>#REF!</v>
      </c>
      <c r="AC598" s="257" t="str">
        <f t="shared" ca="1" si="13"/>
        <v>#REF!</v>
      </c>
      <c r="AD598" s="234" t="str">
        <f t="shared" ca="1" si="14"/>
        <v>#REF!</v>
      </c>
      <c r="AE598" s="100" t="str">
        <f t="shared" ca="1" si="15"/>
        <v>#REF!</v>
      </c>
      <c r="AF598" s="101" t="str">
        <f t="shared" ca="1" si="16"/>
        <v>#REF!</v>
      </c>
      <c r="AG598" s="102" t="str">
        <f t="shared" ref="AG598:AH598" ca="1" si="616">AE598/V598</f>
        <v>#REF!</v>
      </c>
      <c r="AH598" s="102" t="str">
        <f t="shared" ca="1" si="616"/>
        <v>#REF!</v>
      </c>
    </row>
    <row r="599" spans="1:34" ht="13.2">
      <c r="A599" s="251"/>
      <c r="B599" s="251"/>
      <c r="C599" s="252"/>
      <c r="D599" s="252"/>
      <c r="E599" s="114"/>
      <c r="F599" s="252"/>
      <c r="G599" s="125" t="s">
        <v>145</v>
      </c>
      <c r="I599" s="172"/>
      <c r="J599" s="82" t="str">
        <f t="shared" ca="1" si="0"/>
        <v>#REF!</v>
      </c>
      <c r="K599" s="82" t="str">
        <f t="shared" ca="1" si="1"/>
        <v>#REF!</v>
      </c>
      <c r="L599" s="82" t="str">
        <f t="shared" ca="1" si="44"/>
        <v>#REF!</v>
      </c>
      <c r="M599" s="93"/>
      <c r="N599" s="93"/>
      <c r="O599" s="95">
        <f t="shared" si="2"/>
        <v>0</v>
      </c>
      <c r="P599" s="96">
        <f t="shared" si="3"/>
        <v>0</v>
      </c>
      <c r="Q599" s="97">
        <f t="shared" si="4"/>
        <v>0</v>
      </c>
      <c r="R599" s="97" t="str">
        <f ca="1">ROUNDUP(HLOOKUP(IF(CEILING(L599,0.5)&lt;1,0.5,CEILING(L599,0.5)),'배송비 조회'!A$44:AO$56,7,0)*B$3,-2)</f>
        <v>#REF!</v>
      </c>
      <c r="S599" s="97">
        <v>0</v>
      </c>
      <c r="T599" s="97" t="str">
        <f t="shared" ca="1" si="42"/>
        <v>#REF!</v>
      </c>
      <c r="U599" s="97" t="str">
        <f t="shared" ca="1" si="29"/>
        <v>#REF!</v>
      </c>
      <c r="V599" s="97" t="str">
        <f t="shared" ca="1" si="7"/>
        <v>#REF!</v>
      </c>
      <c r="W599" s="97" t="str">
        <f t="shared" ca="1" si="8"/>
        <v>#REF!</v>
      </c>
      <c r="X599" s="121">
        <v>0</v>
      </c>
      <c r="Y599" s="121" t="str">
        <f t="shared" ca="1" si="9"/>
        <v>#REF!</v>
      </c>
      <c r="Z599" s="121" t="str">
        <f t="shared" ca="1" si="10"/>
        <v>#REF!</v>
      </c>
      <c r="AA599" s="99" t="str">
        <f t="shared" ca="1" si="11"/>
        <v>#REF!</v>
      </c>
      <c r="AB599" s="234" t="str">
        <f t="shared" ca="1" si="12"/>
        <v>#REF!</v>
      </c>
      <c r="AC599" s="257" t="str">
        <f t="shared" ca="1" si="13"/>
        <v>#REF!</v>
      </c>
      <c r="AD599" s="234" t="str">
        <f t="shared" ca="1" si="14"/>
        <v>#REF!</v>
      </c>
      <c r="AE599" s="100" t="str">
        <f t="shared" ca="1" si="15"/>
        <v>#REF!</v>
      </c>
      <c r="AF599" s="101" t="str">
        <f t="shared" ca="1" si="16"/>
        <v>#REF!</v>
      </c>
      <c r="AG599" s="102" t="str">
        <f t="shared" ref="AG599:AH599" ca="1" si="617">AE599/V599</f>
        <v>#REF!</v>
      </c>
      <c r="AH599" s="102" t="str">
        <f t="shared" ca="1" si="617"/>
        <v>#REF!</v>
      </c>
    </row>
    <row r="600" spans="1:34" ht="13.2">
      <c r="A600" s="251"/>
      <c r="B600" s="251"/>
      <c r="C600" s="252"/>
      <c r="D600" s="252"/>
      <c r="E600" s="114"/>
      <c r="F600" s="252"/>
      <c r="G600" s="125" t="s">
        <v>145</v>
      </c>
      <c r="I600" s="172"/>
      <c r="J600" s="82" t="str">
        <f t="shared" ca="1" si="0"/>
        <v>#REF!</v>
      </c>
      <c r="K600" s="82" t="str">
        <f t="shared" ca="1" si="1"/>
        <v>#REF!</v>
      </c>
      <c r="L600" s="82" t="str">
        <f t="shared" ca="1" si="44"/>
        <v>#REF!</v>
      </c>
      <c r="M600" s="93"/>
      <c r="N600" s="93"/>
      <c r="O600" s="95">
        <f t="shared" si="2"/>
        <v>0</v>
      </c>
      <c r="P600" s="96">
        <f t="shared" si="3"/>
        <v>0</v>
      </c>
      <c r="Q600" s="97">
        <f t="shared" si="4"/>
        <v>0</v>
      </c>
      <c r="R600" s="97" t="str">
        <f ca="1">ROUNDUP(HLOOKUP(IF(CEILING(L600,0.5)&lt;1,0.5,CEILING(L600,0.5)),'배송비 조회'!A$44:AO$56,7,0)*B$3,-2)</f>
        <v>#REF!</v>
      </c>
      <c r="S600" s="97">
        <v>0</v>
      </c>
      <c r="T600" s="97" t="str">
        <f t="shared" ca="1" si="42"/>
        <v>#REF!</v>
      </c>
      <c r="U600" s="97" t="str">
        <f t="shared" ca="1" si="29"/>
        <v>#REF!</v>
      </c>
      <c r="V600" s="97" t="str">
        <f t="shared" ca="1" si="7"/>
        <v>#REF!</v>
      </c>
      <c r="W600" s="97" t="str">
        <f t="shared" ca="1" si="8"/>
        <v>#REF!</v>
      </c>
      <c r="X600" s="121">
        <v>0</v>
      </c>
      <c r="Y600" s="121" t="str">
        <f t="shared" ca="1" si="9"/>
        <v>#REF!</v>
      </c>
      <c r="Z600" s="121" t="str">
        <f t="shared" ca="1" si="10"/>
        <v>#REF!</v>
      </c>
      <c r="AA600" s="99" t="str">
        <f t="shared" ca="1" si="11"/>
        <v>#REF!</v>
      </c>
      <c r="AB600" s="234" t="str">
        <f t="shared" ca="1" si="12"/>
        <v>#REF!</v>
      </c>
      <c r="AC600" s="257" t="str">
        <f t="shared" ca="1" si="13"/>
        <v>#REF!</v>
      </c>
      <c r="AD600" s="234" t="str">
        <f t="shared" ca="1" si="14"/>
        <v>#REF!</v>
      </c>
      <c r="AE600" s="100" t="str">
        <f t="shared" ca="1" si="15"/>
        <v>#REF!</v>
      </c>
      <c r="AF600" s="101" t="str">
        <f t="shared" ca="1" si="16"/>
        <v>#REF!</v>
      </c>
      <c r="AG600" s="102" t="str">
        <f t="shared" ref="AG600:AH600" ca="1" si="618">AE600/V600</f>
        <v>#REF!</v>
      </c>
      <c r="AH600" s="102" t="str">
        <f t="shared" ca="1" si="618"/>
        <v>#REF!</v>
      </c>
    </row>
    <row r="601" spans="1:34" ht="13.2">
      <c r="A601" s="251"/>
      <c r="B601" s="251"/>
      <c r="C601" s="252"/>
      <c r="D601" s="252"/>
      <c r="E601" s="114"/>
      <c r="F601" s="252"/>
      <c r="G601" s="125" t="s">
        <v>145</v>
      </c>
      <c r="I601" s="172"/>
      <c r="J601" s="82" t="str">
        <f t="shared" ca="1" si="0"/>
        <v>#REF!</v>
      </c>
      <c r="K601" s="82" t="str">
        <f t="shared" ca="1" si="1"/>
        <v>#REF!</v>
      </c>
      <c r="L601" s="82" t="str">
        <f t="shared" ca="1" si="44"/>
        <v>#REF!</v>
      </c>
      <c r="M601" s="93"/>
      <c r="N601" s="93"/>
      <c r="O601" s="95">
        <f t="shared" si="2"/>
        <v>0</v>
      </c>
      <c r="P601" s="96">
        <f t="shared" si="3"/>
        <v>0</v>
      </c>
      <c r="Q601" s="97">
        <f t="shared" si="4"/>
        <v>0</v>
      </c>
      <c r="R601" s="97" t="str">
        <f ca="1">ROUNDUP(HLOOKUP(IF(CEILING(L601,0.5)&lt;1,0.5,CEILING(L601,0.5)),'배송비 조회'!A$44:AO$56,7,0)*B$3,-2)</f>
        <v>#REF!</v>
      </c>
      <c r="S601" s="97">
        <v>0</v>
      </c>
      <c r="T601" s="97" t="str">
        <f t="shared" ca="1" si="42"/>
        <v>#REF!</v>
      </c>
      <c r="U601" s="97" t="str">
        <f t="shared" ca="1" si="29"/>
        <v>#REF!</v>
      </c>
      <c r="V601" s="97" t="str">
        <f t="shared" ca="1" si="7"/>
        <v>#REF!</v>
      </c>
      <c r="W601" s="97" t="str">
        <f t="shared" ca="1" si="8"/>
        <v>#REF!</v>
      </c>
      <c r="X601" s="121">
        <v>0</v>
      </c>
      <c r="Y601" s="121" t="str">
        <f t="shared" ca="1" si="9"/>
        <v>#REF!</v>
      </c>
      <c r="Z601" s="121" t="str">
        <f t="shared" ca="1" si="10"/>
        <v>#REF!</v>
      </c>
      <c r="AA601" s="99" t="str">
        <f t="shared" ca="1" si="11"/>
        <v>#REF!</v>
      </c>
      <c r="AB601" s="234" t="str">
        <f t="shared" ca="1" si="12"/>
        <v>#REF!</v>
      </c>
      <c r="AC601" s="257" t="str">
        <f t="shared" ca="1" si="13"/>
        <v>#REF!</v>
      </c>
      <c r="AD601" s="234" t="str">
        <f t="shared" ca="1" si="14"/>
        <v>#REF!</v>
      </c>
      <c r="AE601" s="100" t="str">
        <f t="shared" ca="1" si="15"/>
        <v>#REF!</v>
      </c>
      <c r="AF601" s="101" t="str">
        <f t="shared" ca="1" si="16"/>
        <v>#REF!</v>
      </c>
      <c r="AG601" s="102" t="str">
        <f t="shared" ref="AG601:AH601" ca="1" si="619">AE601/V601</f>
        <v>#REF!</v>
      </c>
      <c r="AH601" s="102" t="str">
        <f t="shared" ca="1" si="619"/>
        <v>#REF!</v>
      </c>
    </row>
    <row r="602" spans="1:34" ht="13.2">
      <c r="A602" s="251"/>
      <c r="B602" s="251"/>
      <c r="C602" s="252"/>
      <c r="D602" s="252"/>
      <c r="E602" s="114"/>
      <c r="F602" s="252"/>
      <c r="G602" s="125" t="s">
        <v>145</v>
      </c>
      <c r="I602" s="172"/>
      <c r="J602" s="82" t="str">
        <f t="shared" ca="1" si="0"/>
        <v>#REF!</v>
      </c>
      <c r="K602" s="82" t="str">
        <f t="shared" ca="1" si="1"/>
        <v>#REF!</v>
      </c>
      <c r="L602" s="82" t="str">
        <f t="shared" ca="1" si="44"/>
        <v>#REF!</v>
      </c>
      <c r="M602" s="93"/>
      <c r="N602" s="93"/>
      <c r="O602" s="95">
        <f t="shared" si="2"/>
        <v>0</v>
      </c>
      <c r="P602" s="96">
        <f t="shared" si="3"/>
        <v>0</v>
      </c>
      <c r="Q602" s="97">
        <f t="shared" si="4"/>
        <v>0</v>
      </c>
      <c r="R602" s="97" t="str">
        <f ca="1">ROUNDUP(HLOOKUP(IF(CEILING(L602,0.5)&lt;1,0.5,CEILING(L602,0.5)),'배송비 조회'!A$44:AO$56,7,0)*B$3,-2)</f>
        <v>#REF!</v>
      </c>
      <c r="S602" s="97">
        <v>0</v>
      </c>
      <c r="T602" s="97" t="str">
        <f t="shared" ca="1" si="42"/>
        <v>#REF!</v>
      </c>
      <c r="U602" s="97" t="str">
        <f t="shared" ca="1" si="29"/>
        <v>#REF!</v>
      </c>
      <c r="V602" s="97" t="str">
        <f t="shared" ca="1" si="7"/>
        <v>#REF!</v>
      </c>
      <c r="W602" s="97" t="str">
        <f t="shared" ca="1" si="8"/>
        <v>#REF!</v>
      </c>
      <c r="X602" s="121">
        <v>0</v>
      </c>
      <c r="Y602" s="121" t="str">
        <f t="shared" ca="1" si="9"/>
        <v>#REF!</v>
      </c>
      <c r="Z602" s="121" t="str">
        <f t="shared" ca="1" si="10"/>
        <v>#REF!</v>
      </c>
      <c r="AA602" s="99" t="str">
        <f t="shared" ca="1" si="11"/>
        <v>#REF!</v>
      </c>
      <c r="AB602" s="234" t="str">
        <f t="shared" ca="1" si="12"/>
        <v>#REF!</v>
      </c>
      <c r="AC602" s="257" t="str">
        <f t="shared" ca="1" si="13"/>
        <v>#REF!</v>
      </c>
      <c r="AD602" s="234" t="str">
        <f t="shared" ca="1" si="14"/>
        <v>#REF!</v>
      </c>
      <c r="AE602" s="100" t="str">
        <f t="shared" ca="1" si="15"/>
        <v>#REF!</v>
      </c>
      <c r="AF602" s="101" t="str">
        <f t="shared" ca="1" si="16"/>
        <v>#REF!</v>
      </c>
      <c r="AG602" s="102" t="str">
        <f t="shared" ref="AG602:AH602" ca="1" si="620">AE602/V602</f>
        <v>#REF!</v>
      </c>
      <c r="AH602" s="102" t="str">
        <f t="shared" ca="1" si="620"/>
        <v>#REF!</v>
      </c>
    </row>
    <row r="603" spans="1:34" ht="13.2">
      <c r="A603" s="251"/>
      <c r="B603" s="251"/>
      <c r="C603" s="252"/>
      <c r="D603" s="252"/>
      <c r="E603" s="114"/>
      <c r="F603" s="252"/>
      <c r="G603" s="125" t="s">
        <v>145</v>
      </c>
      <c r="I603" s="172"/>
      <c r="J603" s="82" t="str">
        <f t="shared" ca="1" si="0"/>
        <v>#REF!</v>
      </c>
      <c r="K603" s="82" t="str">
        <f t="shared" ca="1" si="1"/>
        <v>#REF!</v>
      </c>
      <c r="L603" s="82" t="str">
        <f t="shared" ca="1" si="44"/>
        <v>#REF!</v>
      </c>
      <c r="M603" s="93"/>
      <c r="N603" s="93"/>
      <c r="O603" s="95">
        <f t="shared" si="2"/>
        <v>0</v>
      </c>
      <c r="P603" s="96">
        <f t="shared" si="3"/>
        <v>0</v>
      </c>
      <c r="Q603" s="97">
        <f t="shared" si="4"/>
        <v>0</v>
      </c>
      <c r="R603" s="97" t="str">
        <f ca="1">ROUNDUP(HLOOKUP(IF(CEILING(L603,0.5)&lt;1,0.5,CEILING(L603,0.5)),'배송비 조회'!A$44:AO$56,7,0)*B$3,-2)</f>
        <v>#REF!</v>
      </c>
      <c r="S603" s="97">
        <v>0</v>
      </c>
      <c r="T603" s="97" t="str">
        <f t="shared" ca="1" si="42"/>
        <v>#REF!</v>
      </c>
      <c r="U603" s="97" t="str">
        <f t="shared" ca="1" si="29"/>
        <v>#REF!</v>
      </c>
      <c r="V603" s="97" t="str">
        <f t="shared" ca="1" si="7"/>
        <v>#REF!</v>
      </c>
      <c r="W603" s="97" t="str">
        <f t="shared" ca="1" si="8"/>
        <v>#REF!</v>
      </c>
      <c r="X603" s="121">
        <v>0</v>
      </c>
      <c r="Y603" s="121" t="str">
        <f t="shared" ca="1" si="9"/>
        <v>#REF!</v>
      </c>
      <c r="Z603" s="121" t="str">
        <f t="shared" ca="1" si="10"/>
        <v>#REF!</v>
      </c>
      <c r="AA603" s="99" t="str">
        <f t="shared" ca="1" si="11"/>
        <v>#REF!</v>
      </c>
      <c r="AB603" s="234" t="str">
        <f t="shared" ca="1" si="12"/>
        <v>#REF!</v>
      </c>
      <c r="AC603" s="257" t="str">
        <f t="shared" ca="1" si="13"/>
        <v>#REF!</v>
      </c>
      <c r="AD603" s="234" t="str">
        <f t="shared" ca="1" si="14"/>
        <v>#REF!</v>
      </c>
      <c r="AE603" s="100" t="str">
        <f t="shared" ca="1" si="15"/>
        <v>#REF!</v>
      </c>
      <c r="AF603" s="101" t="str">
        <f t="shared" ca="1" si="16"/>
        <v>#REF!</v>
      </c>
      <c r="AG603" s="102" t="str">
        <f t="shared" ref="AG603:AH603" ca="1" si="621">AE603/V603</f>
        <v>#REF!</v>
      </c>
      <c r="AH603" s="102" t="str">
        <f t="shared" ca="1" si="621"/>
        <v>#REF!</v>
      </c>
    </row>
    <row r="604" spans="1:34" ht="13.2">
      <c r="A604" s="251"/>
      <c r="B604" s="251"/>
      <c r="C604" s="252"/>
      <c r="D604" s="252"/>
      <c r="E604" s="114"/>
      <c r="F604" s="252"/>
      <c r="G604" s="125" t="s">
        <v>145</v>
      </c>
      <c r="I604" s="172"/>
      <c r="J604" s="82" t="str">
        <f t="shared" ca="1" si="0"/>
        <v>#REF!</v>
      </c>
      <c r="K604" s="82" t="str">
        <f t="shared" ca="1" si="1"/>
        <v>#REF!</v>
      </c>
      <c r="L604" s="82" t="str">
        <f t="shared" ca="1" si="44"/>
        <v>#REF!</v>
      </c>
      <c r="M604" s="93"/>
      <c r="N604" s="93"/>
      <c r="O604" s="95">
        <f t="shared" si="2"/>
        <v>0</v>
      </c>
      <c r="P604" s="96">
        <f t="shared" si="3"/>
        <v>0</v>
      </c>
      <c r="Q604" s="97">
        <f t="shared" si="4"/>
        <v>0</v>
      </c>
      <c r="R604" s="97" t="str">
        <f ca="1">ROUNDUP(HLOOKUP(IF(CEILING(L604,0.5)&lt;1,0.5,CEILING(L604,0.5)),'배송비 조회'!A$44:AO$56,7,0)*B$3,-2)</f>
        <v>#REF!</v>
      </c>
      <c r="S604" s="97">
        <v>0</v>
      </c>
      <c r="T604" s="97" t="str">
        <f t="shared" ca="1" si="42"/>
        <v>#REF!</v>
      </c>
      <c r="U604" s="97" t="str">
        <f t="shared" ca="1" si="29"/>
        <v>#REF!</v>
      </c>
      <c r="V604" s="97" t="str">
        <f t="shared" ca="1" si="7"/>
        <v>#REF!</v>
      </c>
      <c r="W604" s="97" t="str">
        <f t="shared" ca="1" si="8"/>
        <v>#REF!</v>
      </c>
      <c r="X604" s="121">
        <v>0</v>
      </c>
      <c r="Y604" s="121" t="str">
        <f t="shared" ca="1" si="9"/>
        <v>#REF!</v>
      </c>
      <c r="Z604" s="121" t="str">
        <f t="shared" ca="1" si="10"/>
        <v>#REF!</v>
      </c>
      <c r="AA604" s="99" t="str">
        <f t="shared" ca="1" si="11"/>
        <v>#REF!</v>
      </c>
      <c r="AB604" s="234" t="str">
        <f t="shared" ca="1" si="12"/>
        <v>#REF!</v>
      </c>
      <c r="AC604" s="257" t="str">
        <f t="shared" ca="1" si="13"/>
        <v>#REF!</v>
      </c>
      <c r="AD604" s="234" t="str">
        <f t="shared" ca="1" si="14"/>
        <v>#REF!</v>
      </c>
      <c r="AE604" s="100" t="str">
        <f t="shared" ca="1" si="15"/>
        <v>#REF!</v>
      </c>
      <c r="AF604" s="101" t="str">
        <f t="shared" ca="1" si="16"/>
        <v>#REF!</v>
      </c>
      <c r="AG604" s="102" t="str">
        <f t="shared" ref="AG604:AH604" ca="1" si="622">AE604/V604</f>
        <v>#REF!</v>
      </c>
      <c r="AH604" s="102" t="str">
        <f t="shared" ca="1" si="622"/>
        <v>#REF!</v>
      </c>
    </row>
    <row r="605" spans="1:34" ht="13.2">
      <c r="A605" s="251"/>
      <c r="B605" s="251"/>
      <c r="C605" s="252"/>
      <c r="D605" s="252"/>
      <c r="E605" s="114"/>
      <c r="F605" s="252"/>
      <c r="G605" s="125" t="s">
        <v>145</v>
      </c>
      <c r="I605" s="172"/>
      <c r="J605" s="82" t="str">
        <f t="shared" ca="1" si="0"/>
        <v>#REF!</v>
      </c>
      <c r="K605" s="82" t="str">
        <f t="shared" ca="1" si="1"/>
        <v>#REF!</v>
      </c>
      <c r="L605" s="82" t="str">
        <f t="shared" ca="1" si="44"/>
        <v>#REF!</v>
      </c>
      <c r="M605" s="93"/>
      <c r="N605" s="93"/>
      <c r="O605" s="95">
        <f t="shared" si="2"/>
        <v>0</v>
      </c>
      <c r="P605" s="96">
        <f t="shared" si="3"/>
        <v>0</v>
      </c>
      <c r="Q605" s="97">
        <f t="shared" si="4"/>
        <v>0</v>
      </c>
      <c r="R605" s="97" t="str">
        <f ca="1">ROUNDUP(HLOOKUP(IF(CEILING(L605,0.5)&lt;1,0.5,CEILING(L605,0.5)),'배송비 조회'!A$44:AO$56,7,0)*B$3,-2)</f>
        <v>#REF!</v>
      </c>
      <c r="S605" s="97">
        <v>0</v>
      </c>
      <c r="T605" s="97" t="str">
        <f t="shared" ca="1" si="42"/>
        <v>#REF!</v>
      </c>
      <c r="U605" s="97" t="str">
        <f t="shared" ca="1" si="29"/>
        <v>#REF!</v>
      </c>
      <c r="V605" s="97" t="str">
        <f t="shared" ca="1" si="7"/>
        <v>#REF!</v>
      </c>
      <c r="W605" s="97" t="str">
        <f t="shared" ca="1" si="8"/>
        <v>#REF!</v>
      </c>
      <c r="X605" s="121">
        <v>0</v>
      </c>
      <c r="Y605" s="121" t="str">
        <f t="shared" ca="1" si="9"/>
        <v>#REF!</v>
      </c>
      <c r="Z605" s="121" t="str">
        <f t="shared" ca="1" si="10"/>
        <v>#REF!</v>
      </c>
      <c r="AA605" s="99" t="str">
        <f t="shared" ca="1" si="11"/>
        <v>#REF!</v>
      </c>
      <c r="AB605" s="234" t="str">
        <f t="shared" ca="1" si="12"/>
        <v>#REF!</v>
      </c>
      <c r="AC605" s="257" t="str">
        <f t="shared" ca="1" si="13"/>
        <v>#REF!</v>
      </c>
      <c r="AD605" s="234" t="str">
        <f t="shared" ca="1" si="14"/>
        <v>#REF!</v>
      </c>
      <c r="AE605" s="100" t="str">
        <f t="shared" ca="1" si="15"/>
        <v>#REF!</v>
      </c>
      <c r="AF605" s="101" t="str">
        <f t="shared" ca="1" si="16"/>
        <v>#REF!</v>
      </c>
      <c r="AG605" s="102" t="str">
        <f t="shared" ref="AG605:AH605" ca="1" si="623">AE605/V605</f>
        <v>#REF!</v>
      </c>
      <c r="AH605" s="102" t="str">
        <f t="shared" ca="1" si="623"/>
        <v>#REF!</v>
      </c>
    </row>
    <row r="606" spans="1:34" ht="13.2">
      <c r="A606" s="251"/>
      <c r="B606" s="251"/>
      <c r="C606" s="252"/>
      <c r="D606" s="252"/>
      <c r="E606" s="114"/>
      <c r="F606" s="252"/>
      <c r="G606" s="125" t="s">
        <v>145</v>
      </c>
      <c r="I606" s="172"/>
      <c r="J606" s="82" t="str">
        <f t="shared" ca="1" si="0"/>
        <v>#REF!</v>
      </c>
      <c r="K606" s="82" t="str">
        <f t="shared" ca="1" si="1"/>
        <v>#REF!</v>
      </c>
      <c r="L606" s="82" t="str">
        <f t="shared" ca="1" si="44"/>
        <v>#REF!</v>
      </c>
      <c r="M606" s="93"/>
      <c r="N606" s="93"/>
      <c r="O606" s="95">
        <f t="shared" si="2"/>
        <v>0</v>
      </c>
      <c r="P606" s="96">
        <f t="shared" si="3"/>
        <v>0</v>
      </c>
      <c r="Q606" s="97">
        <f t="shared" si="4"/>
        <v>0</v>
      </c>
      <c r="R606" s="97" t="str">
        <f ca="1">ROUNDUP(HLOOKUP(IF(CEILING(L606,0.5)&lt;1,0.5,CEILING(L606,0.5)),'배송비 조회'!A$44:AO$56,7,0)*B$3,-2)</f>
        <v>#REF!</v>
      </c>
      <c r="S606" s="97">
        <v>0</v>
      </c>
      <c r="T606" s="97" t="str">
        <f t="shared" ca="1" si="42"/>
        <v>#REF!</v>
      </c>
      <c r="U606" s="97" t="str">
        <f t="shared" ca="1" si="29"/>
        <v>#REF!</v>
      </c>
      <c r="V606" s="97" t="str">
        <f t="shared" ca="1" si="7"/>
        <v>#REF!</v>
      </c>
      <c r="W606" s="97" t="str">
        <f t="shared" ca="1" si="8"/>
        <v>#REF!</v>
      </c>
      <c r="X606" s="121">
        <v>0</v>
      </c>
      <c r="Y606" s="121" t="str">
        <f t="shared" ca="1" si="9"/>
        <v>#REF!</v>
      </c>
      <c r="Z606" s="121" t="str">
        <f t="shared" ca="1" si="10"/>
        <v>#REF!</v>
      </c>
      <c r="AA606" s="99" t="str">
        <f t="shared" ca="1" si="11"/>
        <v>#REF!</v>
      </c>
      <c r="AB606" s="234" t="str">
        <f t="shared" ca="1" si="12"/>
        <v>#REF!</v>
      </c>
      <c r="AC606" s="257" t="str">
        <f t="shared" ca="1" si="13"/>
        <v>#REF!</v>
      </c>
      <c r="AD606" s="234" t="str">
        <f t="shared" ca="1" si="14"/>
        <v>#REF!</v>
      </c>
      <c r="AE606" s="100" t="str">
        <f t="shared" ca="1" si="15"/>
        <v>#REF!</v>
      </c>
      <c r="AF606" s="101" t="str">
        <f t="shared" ca="1" si="16"/>
        <v>#REF!</v>
      </c>
      <c r="AG606" s="102" t="str">
        <f t="shared" ref="AG606:AH606" ca="1" si="624">AE606/V606</f>
        <v>#REF!</v>
      </c>
      <c r="AH606" s="102" t="str">
        <f t="shared" ca="1" si="624"/>
        <v>#REF!</v>
      </c>
    </row>
    <row r="607" spans="1:34" ht="13.2">
      <c r="A607" s="251"/>
      <c r="B607" s="251"/>
      <c r="C607" s="252"/>
      <c r="D607" s="252"/>
      <c r="E607" s="114"/>
      <c r="F607" s="252"/>
      <c r="G607" s="125" t="s">
        <v>145</v>
      </c>
      <c r="I607" s="172"/>
      <c r="J607" s="82" t="str">
        <f t="shared" ca="1" si="0"/>
        <v>#REF!</v>
      </c>
      <c r="K607" s="82" t="str">
        <f t="shared" ca="1" si="1"/>
        <v>#REF!</v>
      </c>
      <c r="L607" s="82" t="str">
        <f t="shared" ca="1" si="44"/>
        <v>#REF!</v>
      </c>
      <c r="M607" s="93"/>
      <c r="N607" s="93"/>
      <c r="O607" s="95">
        <f t="shared" si="2"/>
        <v>0</v>
      </c>
      <c r="P607" s="96">
        <f t="shared" si="3"/>
        <v>0</v>
      </c>
      <c r="Q607" s="97">
        <f t="shared" si="4"/>
        <v>0</v>
      </c>
      <c r="R607" s="97" t="str">
        <f ca="1">ROUNDUP(HLOOKUP(IF(CEILING(L607,0.5)&lt;1,0.5,CEILING(L607,0.5)),'배송비 조회'!A$44:AO$56,7,0)*B$3,-2)</f>
        <v>#REF!</v>
      </c>
      <c r="S607" s="97">
        <v>0</v>
      </c>
      <c r="T607" s="97" t="str">
        <f t="shared" ca="1" si="42"/>
        <v>#REF!</v>
      </c>
      <c r="U607" s="97" t="str">
        <f t="shared" ca="1" si="29"/>
        <v>#REF!</v>
      </c>
      <c r="V607" s="97" t="str">
        <f t="shared" ca="1" si="7"/>
        <v>#REF!</v>
      </c>
      <c r="W607" s="97" t="str">
        <f t="shared" ca="1" si="8"/>
        <v>#REF!</v>
      </c>
      <c r="X607" s="121">
        <v>0</v>
      </c>
      <c r="Y607" s="121" t="str">
        <f t="shared" ca="1" si="9"/>
        <v>#REF!</v>
      </c>
      <c r="Z607" s="121" t="str">
        <f t="shared" ca="1" si="10"/>
        <v>#REF!</v>
      </c>
      <c r="AA607" s="99" t="str">
        <f t="shared" ca="1" si="11"/>
        <v>#REF!</v>
      </c>
      <c r="AB607" s="234" t="str">
        <f t="shared" ca="1" si="12"/>
        <v>#REF!</v>
      </c>
      <c r="AC607" s="257" t="str">
        <f t="shared" ca="1" si="13"/>
        <v>#REF!</v>
      </c>
      <c r="AD607" s="234" t="str">
        <f t="shared" ca="1" si="14"/>
        <v>#REF!</v>
      </c>
      <c r="AE607" s="100" t="str">
        <f t="shared" ca="1" si="15"/>
        <v>#REF!</v>
      </c>
      <c r="AF607" s="101" t="str">
        <f t="shared" ca="1" si="16"/>
        <v>#REF!</v>
      </c>
      <c r="AG607" s="102" t="str">
        <f t="shared" ref="AG607:AH607" ca="1" si="625">AE607/V607</f>
        <v>#REF!</v>
      </c>
      <c r="AH607" s="102" t="str">
        <f t="shared" ca="1" si="625"/>
        <v>#REF!</v>
      </c>
    </row>
    <row r="608" spans="1:34" ht="13.2">
      <c r="A608" s="251"/>
      <c r="B608" s="251"/>
      <c r="C608" s="252"/>
      <c r="D608" s="252"/>
      <c r="E608" s="114"/>
      <c r="F608" s="252"/>
      <c r="G608" s="125" t="s">
        <v>145</v>
      </c>
      <c r="I608" s="172"/>
      <c r="J608" s="82" t="str">
        <f t="shared" ca="1" si="0"/>
        <v>#REF!</v>
      </c>
      <c r="K608" s="82" t="str">
        <f t="shared" ca="1" si="1"/>
        <v>#REF!</v>
      </c>
      <c r="L608" s="82" t="str">
        <f t="shared" ca="1" si="44"/>
        <v>#REF!</v>
      </c>
      <c r="M608" s="93"/>
      <c r="N608" s="93"/>
      <c r="O608" s="95">
        <f t="shared" si="2"/>
        <v>0</v>
      </c>
      <c r="P608" s="96">
        <f t="shared" si="3"/>
        <v>0</v>
      </c>
      <c r="Q608" s="97">
        <f t="shared" si="4"/>
        <v>0</v>
      </c>
      <c r="R608" s="97" t="str">
        <f ca="1">ROUNDUP(HLOOKUP(IF(CEILING(L608,0.5)&lt;1,0.5,CEILING(L608,0.5)),'배송비 조회'!A$44:AO$56,7,0)*B$3,-2)</f>
        <v>#REF!</v>
      </c>
      <c r="S608" s="97">
        <v>0</v>
      </c>
      <c r="T608" s="97" t="str">
        <f t="shared" ca="1" si="42"/>
        <v>#REF!</v>
      </c>
      <c r="U608" s="97" t="str">
        <f t="shared" ca="1" si="29"/>
        <v>#REF!</v>
      </c>
      <c r="V608" s="97" t="str">
        <f t="shared" ca="1" si="7"/>
        <v>#REF!</v>
      </c>
      <c r="W608" s="97" t="str">
        <f t="shared" ca="1" si="8"/>
        <v>#REF!</v>
      </c>
      <c r="X608" s="121">
        <v>0</v>
      </c>
      <c r="Y608" s="121" t="str">
        <f t="shared" ca="1" si="9"/>
        <v>#REF!</v>
      </c>
      <c r="Z608" s="121" t="str">
        <f t="shared" ca="1" si="10"/>
        <v>#REF!</v>
      </c>
      <c r="AA608" s="99" t="str">
        <f t="shared" ca="1" si="11"/>
        <v>#REF!</v>
      </c>
      <c r="AB608" s="234" t="str">
        <f t="shared" ca="1" si="12"/>
        <v>#REF!</v>
      </c>
      <c r="AC608" s="257" t="str">
        <f t="shared" ca="1" si="13"/>
        <v>#REF!</v>
      </c>
      <c r="AD608" s="234" t="str">
        <f t="shared" ca="1" si="14"/>
        <v>#REF!</v>
      </c>
      <c r="AE608" s="100" t="str">
        <f t="shared" ca="1" si="15"/>
        <v>#REF!</v>
      </c>
      <c r="AF608" s="101" t="str">
        <f t="shared" ca="1" si="16"/>
        <v>#REF!</v>
      </c>
      <c r="AG608" s="102" t="str">
        <f t="shared" ref="AG608:AH608" ca="1" si="626">AE608/V608</f>
        <v>#REF!</v>
      </c>
      <c r="AH608" s="102" t="str">
        <f t="shared" ca="1" si="626"/>
        <v>#REF!</v>
      </c>
    </row>
    <row r="609" spans="1:34" ht="13.2">
      <c r="A609" s="251"/>
      <c r="B609" s="251"/>
      <c r="C609" s="252"/>
      <c r="D609" s="252"/>
      <c r="E609" s="114"/>
      <c r="F609" s="252"/>
      <c r="G609" s="125" t="s">
        <v>145</v>
      </c>
      <c r="I609" s="172"/>
      <c r="J609" s="82" t="str">
        <f t="shared" ca="1" si="0"/>
        <v>#REF!</v>
      </c>
      <c r="K609" s="82" t="str">
        <f t="shared" ca="1" si="1"/>
        <v>#REF!</v>
      </c>
      <c r="L609" s="82" t="str">
        <f t="shared" ca="1" si="44"/>
        <v>#REF!</v>
      </c>
      <c r="M609" s="93"/>
      <c r="N609" s="93"/>
      <c r="O609" s="95">
        <f t="shared" si="2"/>
        <v>0</v>
      </c>
      <c r="P609" s="96">
        <f t="shared" si="3"/>
        <v>0</v>
      </c>
      <c r="Q609" s="97">
        <f t="shared" si="4"/>
        <v>0</v>
      </c>
      <c r="R609" s="97" t="str">
        <f ca="1">ROUNDUP(HLOOKUP(IF(CEILING(L609,0.5)&lt;1,0.5,CEILING(L609,0.5)),'배송비 조회'!A$44:AO$56,7,0)*B$3,-2)</f>
        <v>#REF!</v>
      </c>
      <c r="S609" s="97">
        <v>0</v>
      </c>
      <c r="T609" s="97" t="str">
        <f t="shared" ca="1" si="42"/>
        <v>#REF!</v>
      </c>
      <c r="U609" s="97" t="str">
        <f t="shared" ca="1" si="29"/>
        <v>#REF!</v>
      </c>
      <c r="V609" s="97" t="str">
        <f t="shared" ca="1" si="7"/>
        <v>#REF!</v>
      </c>
      <c r="W609" s="97" t="str">
        <f t="shared" ca="1" si="8"/>
        <v>#REF!</v>
      </c>
      <c r="X609" s="121">
        <v>0</v>
      </c>
      <c r="Y609" s="121" t="str">
        <f t="shared" ca="1" si="9"/>
        <v>#REF!</v>
      </c>
      <c r="Z609" s="121" t="str">
        <f t="shared" ca="1" si="10"/>
        <v>#REF!</v>
      </c>
      <c r="AA609" s="99" t="str">
        <f t="shared" ca="1" si="11"/>
        <v>#REF!</v>
      </c>
      <c r="AB609" s="234" t="str">
        <f t="shared" ca="1" si="12"/>
        <v>#REF!</v>
      </c>
      <c r="AC609" s="257" t="str">
        <f t="shared" ca="1" si="13"/>
        <v>#REF!</v>
      </c>
      <c r="AD609" s="234" t="str">
        <f t="shared" ca="1" si="14"/>
        <v>#REF!</v>
      </c>
      <c r="AE609" s="100" t="str">
        <f t="shared" ca="1" si="15"/>
        <v>#REF!</v>
      </c>
      <c r="AF609" s="101" t="str">
        <f t="shared" ca="1" si="16"/>
        <v>#REF!</v>
      </c>
      <c r="AG609" s="102" t="str">
        <f t="shared" ref="AG609:AH609" ca="1" si="627">AE609/V609</f>
        <v>#REF!</v>
      </c>
      <c r="AH609" s="102" t="str">
        <f t="shared" ca="1" si="627"/>
        <v>#REF!</v>
      </c>
    </row>
    <row r="610" spans="1:34" ht="13.2">
      <c r="A610" s="251"/>
      <c r="B610" s="251"/>
      <c r="C610" s="252"/>
      <c r="D610" s="252"/>
      <c r="E610" s="114"/>
      <c r="F610" s="252"/>
      <c r="G610" s="125" t="s">
        <v>145</v>
      </c>
      <c r="I610" s="172"/>
      <c r="J610" s="82" t="str">
        <f t="shared" ca="1" si="0"/>
        <v>#REF!</v>
      </c>
      <c r="K610" s="82" t="str">
        <f t="shared" ca="1" si="1"/>
        <v>#REF!</v>
      </c>
      <c r="L610" s="82" t="str">
        <f t="shared" ca="1" si="44"/>
        <v>#REF!</v>
      </c>
      <c r="M610" s="93"/>
      <c r="N610" s="93"/>
      <c r="O610" s="95">
        <f t="shared" si="2"/>
        <v>0</v>
      </c>
      <c r="P610" s="96">
        <f t="shared" si="3"/>
        <v>0</v>
      </c>
      <c r="Q610" s="97">
        <f t="shared" si="4"/>
        <v>0</v>
      </c>
      <c r="R610" s="97" t="str">
        <f ca="1">ROUNDUP(HLOOKUP(IF(CEILING(L610,0.5)&lt;1,0.5,CEILING(L610,0.5)),'배송비 조회'!A$44:AO$56,7,0)*B$3,-2)</f>
        <v>#REF!</v>
      </c>
      <c r="S610" s="97">
        <v>0</v>
      </c>
      <c r="T610" s="97" t="str">
        <f t="shared" ca="1" si="42"/>
        <v>#REF!</v>
      </c>
      <c r="U610" s="97" t="str">
        <f t="shared" ca="1" si="29"/>
        <v>#REF!</v>
      </c>
      <c r="V610" s="97" t="str">
        <f t="shared" ca="1" si="7"/>
        <v>#REF!</v>
      </c>
      <c r="W610" s="97" t="str">
        <f t="shared" ca="1" si="8"/>
        <v>#REF!</v>
      </c>
      <c r="X610" s="121">
        <v>0</v>
      </c>
      <c r="Y610" s="121" t="str">
        <f t="shared" ca="1" si="9"/>
        <v>#REF!</v>
      </c>
      <c r="Z610" s="121" t="str">
        <f t="shared" ca="1" si="10"/>
        <v>#REF!</v>
      </c>
      <c r="AA610" s="99" t="str">
        <f t="shared" ca="1" si="11"/>
        <v>#REF!</v>
      </c>
      <c r="AB610" s="234" t="str">
        <f t="shared" ca="1" si="12"/>
        <v>#REF!</v>
      </c>
      <c r="AC610" s="257" t="str">
        <f t="shared" ca="1" si="13"/>
        <v>#REF!</v>
      </c>
      <c r="AD610" s="234" t="str">
        <f t="shared" ca="1" si="14"/>
        <v>#REF!</v>
      </c>
      <c r="AE610" s="100" t="str">
        <f t="shared" ca="1" si="15"/>
        <v>#REF!</v>
      </c>
      <c r="AF610" s="101" t="str">
        <f t="shared" ca="1" si="16"/>
        <v>#REF!</v>
      </c>
      <c r="AG610" s="102" t="str">
        <f t="shared" ref="AG610:AH610" ca="1" si="628">AE610/V610</f>
        <v>#REF!</v>
      </c>
      <c r="AH610" s="102" t="str">
        <f t="shared" ca="1" si="628"/>
        <v>#REF!</v>
      </c>
    </row>
    <row r="611" spans="1:34" ht="13.2">
      <c r="A611" s="251"/>
      <c r="B611" s="251"/>
      <c r="C611" s="252"/>
      <c r="D611" s="252"/>
      <c r="E611" s="114"/>
      <c r="F611" s="252"/>
      <c r="G611" s="125" t="s">
        <v>145</v>
      </c>
      <c r="I611" s="172"/>
      <c r="J611" s="82" t="str">
        <f t="shared" ca="1" si="0"/>
        <v>#REF!</v>
      </c>
      <c r="K611" s="82" t="str">
        <f t="shared" ca="1" si="1"/>
        <v>#REF!</v>
      </c>
      <c r="L611" s="82" t="str">
        <f t="shared" ca="1" si="44"/>
        <v>#REF!</v>
      </c>
      <c r="M611" s="93"/>
      <c r="N611" s="93"/>
      <c r="O611" s="95">
        <f t="shared" si="2"/>
        <v>0</v>
      </c>
      <c r="P611" s="96">
        <f t="shared" si="3"/>
        <v>0</v>
      </c>
      <c r="Q611" s="97">
        <f t="shared" si="4"/>
        <v>0</v>
      </c>
      <c r="R611" s="97" t="str">
        <f ca="1">ROUNDUP(HLOOKUP(IF(CEILING(L611,0.5)&lt;1,0.5,CEILING(L611,0.5)),'배송비 조회'!A$44:AO$56,7,0)*B$3,-2)</f>
        <v>#REF!</v>
      </c>
      <c r="S611" s="97">
        <v>0</v>
      </c>
      <c r="T611" s="97" t="str">
        <f t="shared" ca="1" si="42"/>
        <v>#REF!</v>
      </c>
      <c r="U611" s="97" t="str">
        <f t="shared" ca="1" si="29"/>
        <v>#REF!</v>
      </c>
      <c r="V611" s="97" t="str">
        <f t="shared" ca="1" si="7"/>
        <v>#REF!</v>
      </c>
      <c r="W611" s="97" t="str">
        <f t="shared" ca="1" si="8"/>
        <v>#REF!</v>
      </c>
      <c r="X611" s="121">
        <v>0</v>
      </c>
      <c r="Y611" s="121" t="str">
        <f t="shared" ca="1" si="9"/>
        <v>#REF!</v>
      </c>
      <c r="Z611" s="121" t="str">
        <f t="shared" ca="1" si="10"/>
        <v>#REF!</v>
      </c>
      <c r="AA611" s="99" t="str">
        <f t="shared" ca="1" si="11"/>
        <v>#REF!</v>
      </c>
      <c r="AB611" s="234" t="str">
        <f t="shared" ca="1" si="12"/>
        <v>#REF!</v>
      </c>
      <c r="AC611" s="257" t="str">
        <f t="shared" ca="1" si="13"/>
        <v>#REF!</v>
      </c>
      <c r="AD611" s="234" t="str">
        <f t="shared" ca="1" si="14"/>
        <v>#REF!</v>
      </c>
      <c r="AE611" s="100" t="str">
        <f t="shared" ca="1" si="15"/>
        <v>#REF!</v>
      </c>
      <c r="AF611" s="101" t="str">
        <f t="shared" ca="1" si="16"/>
        <v>#REF!</v>
      </c>
      <c r="AG611" s="102" t="str">
        <f t="shared" ref="AG611:AH611" ca="1" si="629">AE611/V611</f>
        <v>#REF!</v>
      </c>
      <c r="AH611" s="102" t="str">
        <f t="shared" ca="1" si="629"/>
        <v>#REF!</v>
      </c>
    </row>
    <row r="612" spans="1:34" ht="13.2">
      <c r="A612" s="251"/>
      <c r="B612" s="251"/>
      <c r="C612" s="252"/>
      <c r="D612" s="252"/>
      <c r="E612" s="114"/>
      <c r="F612" s="252"/>
      <c r="G612" s="125" t="s">
        <v>145</v>
      </c>
      <c r="I612" s="172"/>
      <c r="J612" s="82" t="str">
        <f t="shared" ca="1" si="0"/>
        <v>#REF!</v>
      </c>
      <c r="K612" s="82" t="str">
        <f t="shared" ca="1" si="1"/>
        <v>#REF!</v>
      </c>
      <c r="L612" s="82" t="str">
        <f t="shared" ca="1" si="44"/>
        <v>#REF!</v>
      </c>
      <c r="M612" s="93"/>
      <c r="N612" s="93"/>
      <c r="O612" s="95">
        <f t="shared" si="2"/>
        <v>0</v>
      </c>
      <c r="P612" s="96">
        <f t="shared" si="3"/>
        <v>0</v>
      </c>
      <c r="Q612" s="97">
        <f t="shared" si="4"/>
        <v>0</v>
      </c>
      <c r="R612" s="97" t="str">
        <f ca="1">ROUNDUP(HLOOKUP(IF(CEILING(L612,0.5)&lt;1,0.5,CEILING(L612,0.5)),'배송비 조회'!A$44:AO$56,7,0)*B$3,-2)</f>
        <v>#REF!</v>
      </c>
      <c r="S612" s="97">
        <v>0</v>
      </c>
      <c r="T612" s="97" t="str">
        <f t="shared" ca="1" si="42"/>
        <v>#REF!</v>
      </c>
      <c r="U612" s="97" t="str">
        <f t="shared" ca="1" si="29"/>
        <v>#REF!</v>
      </c>
      <c r="V612" s="97" t="str">
        <f t="shared" ca="1" si="7"/>
        <v>#REF!</v>
      </c>
      <c r="W612" s="97" t="str">
        <f t="shared" ca="1" si="8"/>
        <v>#REF!</v>
      </c>
      <c r="X612" s="121">
        <v>0</v>
      </c>
      <c r="Y612" s="121" t="str">
        <f t="shared" ca="1" si="9"/>
        <v>#REF!</v>
      </c>
      <c r="Z612" s="121" t="str">
        <f t="shared" ca="1" si="10"/>
        <v>#REF!</v>
      </c>
      <c r="AA612" s="99" t="str">
        <f t="shared" ca="1" si="11"/>
        <v>#REF!</v>
      </c>
      <c r="AB612" s="234" t="str">
        <f t="shared" ca="1" si="12"/>
        <v>#REF!</v>
      </c>
      <c r="AC612" s="257" t="str">
        <f t="shared" ca="1" si="13"/>
        <v>#REF!</v>
      </c>
      <c r="AD612" s="234" t="str">
        <f t="shared" ca="1" si="14"/>
        <v>#REF!</v>
      </c>
      <c r="AE612" s="100" t="str">
        <f t="shared" ca="1" si="15"/>
        <v>#REF!</v>
      </c>
      <c r="AF612" s="101" t="str">
        <f t="shared" ca="1" si="16"/>
        <v>#REF!</v>
      </c>
      <c r="AG612" s="102" t="str">
        <f t="shared" ref="AG612:AH612" ca="1" si="630">AE612/V612</f>
        <v>#REF!</v>
      </c>
      <c r="AH612" s="102" t="str">
        <f t="shared" ca="1" si="630"/>
        <v>#REF!</v>
      </c>
    </row>
    <row r="613" spans="1:34" ht="13.2">
      <c r="A613" s="251"/>
      <c r="B613" s="251"/>
      <c r="C613" s="252"/>
      <c r="D613" s="252"/>
      <c r="E613" s="114"/>
      <c r="F613" s="252"/>
      <c r="G613" s="125" t="s">
        <v>145</v>
      </c>
      <c r="I613" s="172"/>
      <c r="J613" s="82" t="str">
        <f t="shared" ca="1" si="0"/>
        <v>#REF!</v>
      </c>
      <c r="K613" s="82" t="str">
        <f t="shared" ca="1" si="1"/>
        <v>#REF!</v>
      </c>
      <c r="L613" s="82" t="str">
        <f t="shared" ca="1" si="44"/>
        <v>#REF!</v>
      </c>
      <c r="M613" s="93"/>
      <c r="N613" s="93"/>
      <c r="O613" s="95">
        <f t="shared" si="2"/>
        <v>0</v>
      </c>
      <c r="P613" s="96">
        <f t="shared" si="3"/>
        <v>0</v>
      </c>
      <c r="Q613" s="97">
        <f t="shared" si="4"/>
        <v>0</v>
      </c>
      <c r="R613" s="97" t="str">
        <f ca="1">ROUNDUP(HLOOKUP(IF(CEILING(L613,0.5)&lt;1,0.5,CEILING(L613,0.5)),'배송비 조회'!A$44:AO$56,7,0)*B$3,-2)</f>
        <v>#REF!</v>
      </c>
      <c r="S613" s="97">
        <v>0</v>
      </c>
      <c r="T613" s="97" t="str">
        <f t="shared" ca="1" si="42"/>
        <v>#REF!</v>
      </c>
      <c r="U613" s="97" t="str">
        <f t="shared" ca="1" si="29"/>
        <v>#REF!</v>
      </c>
      <c r="V613" s="97" t="str">
        <f t="shared" ca="1" si="7"/>
        <v>#REF!</v>
      </c>
      <c r="W613" s="97" t="str">
        <f t="shared" ca="1" si="8"/>
        <v>#REF!</v>
      </c>
      <c r="X613" s="121">
        <v>0</v>
      </c>
      <c r="Y613" s="121" t="str">
        <f t="shared" ca="1" si="9"/>
        <v>#REF!</v>
      </c>
      <c r="Z613" s="121" t="str">
        <f t="shared" ca="1" si="10"/>
        <v>#REF!</v>
      </c>
      <c r="AA613" s="99" t="str">
        <f t="shared" ca="1" si="11"/>
        <v>#REF!</v>
      </c>
      <c r="AB613" s="234" t="str">
        <f t="shared" ca="1" si="12"/>
        <v>#REF!</v>
      </c>
      <c r="AC613" s="257" t="str">
        <f t="shared" ca="1" si="13"/>
        <v>#REF!</v>
      </c>
      <c r="AD613" s="234" t="str">
        <f t="shared" ca="1" si="14"/>
        <v>#REF!</v>
      </c>
      <c r="AE613" s="100" t="str">
        <f t="shared" ca="1" si="15"/>
        <v>#REF!</v>
      </c>
      <c r="AF613" s="101" t="str">
        <f t="shared" ca="1" si="16"/>
        <v>#REF!</v>
      </c>
      <c r="AG613" s="102" t="str">
        <f t="shared" ref="AG613:AH613" ca="1" si="631">AE613/V613</f>
        <v>#REF!</v>
      </c>
      <c r="AH613" s="102" t="str">
        <f t="shared" ca="1" si="631"/>
        <v>#REF!</v>
      </c>
    </row>
    <row r="614" spans="1:34" ht="13.2">
      <c r="A614" s="251"/>
      <c r="B614" s="251"/>
      <c r="C614" s="252"/>
      <c r="D614" s="252"/>
      <c r="E614" s="114"/>
      <c r="F614" s="252"/>
      <c r="G614" s="125" t="s">
        <v>145</v>
      </c>
      <c r="I614" s="172"/>
      <c r="J614" s="82" t="str">
        <f t="shared" ca="1" si="0"/>
        <v>#REF!</v>
      </c>
      <c r="K614" s="82" t="str">
        <f t="shared" ca="1" si="1"/>
        <v>#REF!</v>
      </c>
      <c r="L614" s="82" t="str">
        <f t="shared" ca="1" si="44"/>
        <v>#REF!</v>
      </c>
      <c r="M614" s="93"/>
      <c r="N614" s="93"/>
      <c r="O614" s="95">
        <f t="shared" si="2"/>
        <v>0</v>
      </c>
      <c r="P614" s="96">
        <f t="shared" si="3"/>
        <v>0</v>
      </c>
      <c r="Q614" s="97">
        <f t="shared" si="4"/>
        <v>0</v>
      </c>
      <c r="R614" s="97" t="str">
        <f ca="1">ROUNDUP(HLOOKUP(IF(CEILING(L614,0.5)&lt;1,0.5,CEILING(L614,0.5)),'배송비 조회'!A$44:AO$56,7,0)*B$3,-2)</f>
        <v>#REF!</v>
      </c>
      <c r="S614" s="97">
        <v>0</v>
      </c>
      <c r="T614" s="97" t="str">
        <f t="shared" ca="1" si="42"/>
        <v>#REF!</v>
      </c>
      <c r="U614" s="97" t="str">
        <f t="shared" ca="1" si="29"/>
        <v>#REF!</v>
      </c>
      <c r="V614" s="97" t="str">
        <f t="shared" ca="1" si="7"/>
        <v>#REF!</v>
      </c>
      <c r="W614" s="97" t="str">
        <f t="shared" ca="1" si="8"/>
        <v>#REF!</v>
      </c>
      <c r="X614" s="121">
        <v>0</v>
      </c>
      <c r="Y614" s="121" t="str">
        <f t="shared" ca="1" si="9"/>
        <v>#REF!</v>
      </c>
      <c r="Z614" s="121" t="str">
        <f t="shared" ca="1" si="10"/>
        <v>#REF!</v>
      </c>
      <c r="AA614" s="99" t="str">
        <f t="shared" ca="1" si="11"/>
        <v>#REF!</v>
      </c>
      <c r="AB614" s="234" t="str">
        <f t="shared" ca="1" si="12"/>
        <v>#REF!</v>
      </c>
      <c r="AC614" s="257" t="str">
        <f t="shared" ca="1" si="13"/>
        <v>#REF!</v>
      </c>
      <c r="AD614" s="234" t="str">
        <f t="shared" ca="1" si="14"/>
        <v>#REF!</v>
      </c>
      <c r="AE614" s="100" t="str">
        <f t="shared" ca="1" si="15"/>
        <v>#REF!</v>
      </c>
      <c r="AF614" s="101" t="str">
        <f t="shared" ca="1" si="16"/>
        <v>#REF!</v>
      </c>
      <c r="AG614" s="102" t="str">
        <f t="shared" ref="AG614:AH614" ca="1" si="632">AE614/V614</f>
        <v>#REF!</v>
      </c>
      <c r="AH614" s="102" t="str">
        <f t="shared" ca="1" si="632"/>
        <v>#REF!</v>
      </c>
    </row>
    <row r="615" spans="1:34" ht="13.2">
      <c r="A615" s="251"/>
      <c r="B615" s="251"/>
      <c r="C615" s="252"/>
      <c r="D615" s="252"/>
      <c r="E615" s="114"/>
      <c r="F615" s="252"/>
      <c r="G615" s="125" t="s">
        <v>145</v>
      </c>
      <c r="I615" s="172"/>
      <c r="J615" s="82" t="str">
        <f t="shared" ca="1" si="0"/>
        <v>#REF!</v>
      </c>
      <c r="K615" s="82" t="str">
        <f t="shared" ca="1" si="1"/>
        <v>#REF!</v>
      </c>
      <c r="L615" s="82" t="str">
        <f t="shared" ca="1" si="44"/>
        <v>#REF!</v>
      </c>
      <c r="M615" s="93"/>
      <c r="N615" s="93"/>
      <c r="O615" s="95">
        <f t="shared" si="2"/>
        <v>0</v>
      </c>
      <c r="P615" s="96">
        <f t="shared" si="3"/>
        <v>0</v>
      </c>
      <c r="Q615" s="97">
        <f t="shared" si="4"/>
        <v>0</v>
      </c>
      <c r="R615" s="97" t="str">
        <f ca="1">ROUNDUP(HLOOKUP(IF(CEILING(L615,0.5)&lt;1,0.5,CEILING(L615,0.5)),'배송비 조회'!A$44:AO$56,7,0)*B$3,-2)</f>
        <v>#REF!</v>
      </c>
      <c r="S615" s="97">
        <v>0</v>
      </c>
      <c r="T615" s="97" t="str">
        <f t="shared" ca="1" si="42"/>
        <v>#REF!</v>
      </c>
      <c r="U615" s="97" t="str">
        <f t="shared" ca="1" si="29"/>
        <v>#REF!</v>
      </c>
      <c r="V615" s="97" t="str">
        <f t="shared" ca="1" si="7"/>
        <v>#REF!</v>
      </c>
      <c r="W615" s="97" t="str">
        <f t="shared" ca="1" si="8"/>
        <v>#REF!</v>
      </c>
      <c r="X615" s="121">
        <v>0</v>
      </c>
      <c r="Y615" s="121" t="str">
        <f t="shared" ca="1" si="9"/>
        <v>#REF!</v>
      </c>
      <c r="Z615" s="121" t="str">
        <f t="shared" ca="1" si="10"/>
        <v>#REF!</v>
      </c>
      <c r="AA615" s="99" t="str">
        <f t="shared" ca="1" si="11"/>
        <v>#REF!</v>
      </c>
      <c r="AB615" s="234" t="str">
        <f t="shared" ca="1" si="12"/>
        <v>#REF!</v>
      </c>
      <c r="AC615" s="257" t="str">
        <f t="shared" ca="1" si="13"/>
        <v>#REF!</v>
      </c>
      <c r="AD615" s="234" t="str">
        <f t="shared" ca="1" si="14"/>
        <v>#REF!</v>
      </c>
      <c r="AE615" s="100" t="str">
        <f t="shared" ca="1" si="15"/>
        <v>#REF!</v>
      </c>
      <c r="AF615" s="101" t="str">
        <f t="shared" ca="1" si="16"/>
        <v>#REF!</v>
      </c>
      <c r="AG615" s="102" t="str">
        <f t="shared" ref="AG615:AH615" ca="1" si="633">AE615/V615</f>
        <v>#REF!</v>
      </c>
      <c r="AH615" s="102" t="str">
        <f t="shared" ca="1" si="633"/>
        <v>#REF!</v>
      </c>
    </row>
    <row r="616" spans="1:34" ht="13.2">
      <c r="A616" s="251"/>
      <c r="B616" s="251"/>
      <c r="C616" s="252"/>
      <c r="D616" s="252"/>
      <c r="E616" s="114"/>
      <c r="F616" s="252"/>
      <c r="G616" s="125" t="s">
        <v>145</v>
      </c>
      <c r="I616" s="172"/>
      <c r="J616" s="82" t="str">
        <f t="shared" ca="1" si="0"/>
        <v>#REF!</v>
      </c>
      <c r="K616" s="82" t="str">
        <f t="shared" ca="1" si="1"/>
        <v>#REF!</v>
      </c>
      <c r="L616" s="82" t="str">
        <f t="shared" ca="1" si="44"/>
        <v>#REF!</v>
      </c>
      <c r="M616" s="93"/>
      <c r="N616" s="93"/>
      <c r="O616" s="95">
        <f t="shared" si="2"/>
        <v>0</v>
      </c>
      <c r="P616" s="96">
        <f t="shared" si="3"/>
        <v>0</v>
      </c>
      <c r="Q616" s="97">
        <f t="shared" si="4"/>
        <v>0</v>
      </c>
      <c r="R616" s="97" t="str">
        <f ca="1">ROUNDUP(HLOOKUP(IF(CEILING(L616,0.5)&lt;1,0.5,CEILING(L616,0.5)),'배송비 조회'!A$44:AO$56,7,0)*B$3,-2)</f>
        <v>#REF!</v>
      </c>
      <c r="S616" s="97">
        <v>0</v>
      </c>
      <c r="T616" s="97" t="str">
        <f t="shared" ca="1" si="42"/>
        <v>#REF!</v>
      </c>
      <c r="U616" s="97" t="str">
        <f t="shared" ca="1" si="29"/>
        <v>#REF!</v>
      </c>
      <c r="V616" s="97" t="str">
        <f t="shared" ca="1" si="7"/>
        <v>#REF!</v>
      </c>
      <c r="W616" s="97" t="str">
        <f t="shared" ca="1" si="8"/>
        <v>#REF!</v>
      </c>
      <c r="X616" s="121">
        <v>0</v>
      </c>
      <c r="Y616" s="121" t="str">
        <f t="shared" ca="1" si="9"/>
        <v>#REF!</v>
      </c>
      <c r="Z616" s="121" t="str">
        <f t="shared" ca="1" si="10"/>
        <v>#REF!</v>
      </c>
      <c r="AA616" s="99" t="str">
        <f t="shared" ca="1" si="11"/>
        <v>#REF!</v>
      </c>
      <c r="AB616" s="234" t="str">
        <f t="shared" ca="1" si="12"/>
        <v>#REF!</v>
      </c>
      <c r="AC616" s="257" t="str">
        <f t="shared" ca="1" si="13"/>
        <v>#REF!</v>
      </c>
      <c r="AD616" s="234" t="str">
        <f t="shared" ca="1" si="14"/>
        <v>#REF!</v>
      </c>
      <c r="AE616" s="100" t="str">
        <f t="shared" ca="1" si="15"/>
        <v>#REF!</v>
      </c>
      <c r="AF616" s="101" t="str">
        <f t="shared" ca="1" si="16"/>
        <v>#REF!</v>
      </c>
      <c r="AG616" s="102" t="str">
        <f t="shared" ref="AG616:AH616" ca="1" si="634">AE616/V616</f>
        <v>#REF!</v>
      </c>
      <c r="AH616" s="102" t="str">
        <f t="shared" ca="1" si="634"/>
        <v>#REF!</v>
      </c>
    </row>
    <row r="617" spans="1:34" ht="13.2">
      <c r="A617" s="251"/>
      <c r="B617" s="251"/>
      <c r="C617" s="252"/>
      <c r="D617" s="252"/>
      <c r="E617" s="114"/>
      <c r="F617" s="252"/>
      <c r="G617" s="125" t="s">
        <v>145</v>
      </c>
      <c r="I617" s="172"/>
      <c r="J617" s="82" t="str">
        <f t="shared" ca="1" si="0"/>
        <v>#REF!</v>
      </c>
      <c r="K617" s="82" t="str">
        <f t="shared" ca="1" si="1"/>
        <v>#REF!</v>
      </c>
      <c r="L617" s="82" t="str">
        <f t="shared" ca="1" si="44"/>
        <v>#REF!</v>
      </c>
      <c r="M617" s="93"/>
      <c r="N617" s="93"/>
      <c r="O617" s="95">
        <f t="shared" si="2"/>
        <v>0</v>
      </c>
      <c r="P617" s="96">
        <f t="shared" si="3"/>
        <v>0</v>
      </c>
      <c r="Q617" s="97">
        <f t="shared" si="4"/>
        <v>0</v>
      </c>
      <c r="R617" s="97" t="str">
        <f ca="1">ROUNDUP(HLOOKUP(IF(CEILING(L617,0.5)&lt;1,0.5,CEILING(L617,0.5)),'배송비 조회'!A$44:AO$56,7,0)*B$3,-2)</f>
        <v>#REF!</v>
      </c>
      <c r="S617" s="97">
        <v>0</v>
      </c>
      <c r="T617" s="97" t="str">
        <f t="shared" ca="1" si="42"/>
        <v>#REF!</v>
      </c>
      <c r="U617" s="97" t="str">
        <f t="shared" ca="1" si="29"/>
        <v>#REF!</v>
      </c>
      <c r="V617" s="97" t="str">
        <f t="shared" ca="1" si="7"/>
        <v>#REF!</v>
      </c>
      <c r="W617" s="97" t="str">
        <f t="shared" ca="1" si="8"/>
        <v>#REF!</v>
      </c>
      <c r="X617" s="121">
        <v>0</v>
      </c>
      <c r="Y617" s="121" t="str">
        <f t="shared" ca="1" si="9"/>
        <v>#REF!</v>
      </c>
      <c r="Z617" s="121" t="str">
        <f t="shared" ca="1" si="10"/>
        <v>#REF!</v>
      </c>
      <c r="AA617" s="99" t="str">
        <f t="shared" ca="1" si="11"/>
        <v>#REF!</v>
      </c>
      <c r="AB617" s="234" t="str">
        <f t="shared" ca="1" si="12"/>
        <v>#REF!</v>
      </c>
      <c r="AC617" s="257" t="str">
        <f t="shared" ca="1" si="13"/>
        <v>#REF!</v>
      </c>
      <c r="AD617" s="234" t="str">
        <f t="shared" ca="1" si="14"/>
        <v>#REF!</v>
      </c>
      <c r="AE617" s="100" t="str">
        <f t="shared" ca="1" si="15"/>
        <v>#REF!</v>
      </c>
      <c r="AF617" s="101" t="str">
        <f t="shared" ca="1" si="16"/>
        <v>#REF!</v>
      </c>
      <c r="AG617" s="102" t="str">
        <f t="shared" ref="AG617:AH617" ca="1" si="635">AE617/V617</f>
        <v>#REF!</v>
      </c>
      <c r="AH617" s="102" t="str">
        <f t="shared" ca="1" si="635"/>
        <v>#REF!</v>
      </c>
    </row>
    <row r="618" spans="1:34" ht="13.2">
      <c r="A618" s="251"/>
      <c r="B618" s="251"/>
      <c r="C618" s="252"/>
      <c r="D618" s="252"/>
      <c r="E618" s="114"/>
      <c r="F618" s="252"/>
      <c r="G618" s="125" t="s">
        <v>145</v>
      </c>
      <c r="I618" s="172"/>
      <c r="J618" s="82" t="str">
        <f t="shared" ca="1" si="0"/>
        <v>#REF!</v>
      </c>
      <c r="K618" s="82" t="str">
        <f t="shared" ca="1" si="1"/>
        <v>#REF!</v>
      </c>
      <c r="L618" s="82" t="str">
        <f t="shared" ca="1" si="44"/>
        <v>#REF!</v>
      </c>
      <c r="M618" s="93"/>
      <c r="N618" s="93"/>
      <c r="O618" s="95">
        <f t="shared" si="2"/>
        <v>0</v>
      </c>
      <c r="P618" s="96">
        <f t="shared" si="3"/>
        <v>0</v>
      </c>
      <c r="Q618" s="97">
        <f t="shared" si="4"/>
        <v>0</v>
      </c>
      <c r="R618" s="97" t="str">
        <f ca="1">ROUNDUP(HLOOKUP(IF(CEILING(L618,0.5)&lt;1,0.5,CEILING(L618,0.5)),'배송비 조회'!A$44:AO$56,7,0)*B$3,-2)</f>
        <v>#REF!</v>
      </c>
      <c r="S618" s="97">
        <v>0</v>
      </c>
      <c r="T618" s="97" t="str">
        <f t="shared" ca="1" si="42"/>
        <v>#REF!</v>
      </c>
      <c r="U618" s="97" t="str">
        <f t="shared" ca="1" si="29"/>
        <v>#REF!</v>
      </c>
      <c r="V618" s="97" t="str">
        <f t="shared" ca="1" si="7"/>
        <v>#REF!</v>
      </c>
      <c r="W618" s="97" t="str">
        <f t="shared" ca="1" si="8"/>
        <v>#REF!</v>
      </c>
      <c r="X618" s="121">
        <v>0</v>
      </c>
      <c r="Y618" s="121" t="str">
        <f t="shared" ca="1" si="9"/>
        <v>#REF!</v>
      </c>
      <c r="Z618" s="121" t="str">
        <f t="shared" ca="1" si="10"/>
        <v>#REF!</v>
      </c>
      <c r="AA618" s="99" t="str">
        <f t="shared" ca="1" si="11"/>
        <v>#REF!</v>
      </c>
      <c r="AB618" s="234" t="str">
        <f t="shared" ca="1" si="12"/>
        <v>#REF!</v>
      </c>
      <c r="AC618" s="257" t="str">
        <f t="shared" ca="1" si="13"/>
        <v>#REF!</v>
      </c>
      <c r="AD618" s="234" t="str">
        <f t="shared" ca="1" si="14"/>
        <v>#REF!</v>
      </c>
      <c r="AE618" s="100" t="str">
        <f t="shared" ca="1" si="15"/>
        <v>#REF!</v>
      </c>
      <c r="AF618" s="101" t="str">
        <f t="shared" ca="1" si="16"/>
        <v>#REF!</v>
      </c>
      <c r="AG618" s="102" t="str">
        <f t="shared" ref="AG618:AH618" ca="1" si="636">AE618/V618</f>
        <v>#REF!</v>
      </c>
      <c r="AH618" s="102" t="str">
        <f t="shared" ca="1" si="636"/>
        <v>#REF!</v>
      </c>
    </row>
    <row r="619" spans="1:34" ht="13.2">
      <c r="A619" s="251"/>
      <c r="B619" s="251"/>
      <c r="C619" s="252"/>
      <c r="D619" s="252"/>
      <c r="E619" s="114"/>
      <c r="F619" s="252"/>
      <c r="G619" s="125" t="s">
        <v>145</v>
      </c>
      <c r="I619" s="172"/>
      <c r="J619" s="82" t="str">
        <f t="shared" ca="1" si="0"/>
        <v>#REF!</v>
      </c>
      <c r="K619" s="82" t="str">
        <f t="shared" ca="1" si="1"/>
        <v>#REF!</v>
      </c>
      <c r="L619" s="82" t="str">
        <f t="shared" ca="1" si="44"/>
        <v>#REF!</v>
      </c>
      <c r="M619" s="93"/>
      <c r="N619" s="93"/>
      <c r="O619" s="95">
        <f t="shared" si="2"/>
        <v>0</v>
      </c>
      <c r="P619" s="96">
        <f t="shared" si="3"/>
        <v>0</v>
      </c>
      <c r="Q619" s="97">
        <f t="shared" si="4"/>
        <v>0</v>
      </c>
      <c r="R619" s="97" t="str">
        <f ca="1">ROUNDUP(HLOOKUP(IF(CEILING(L619,0.5)&lt;1,0.5,CEILING(L619,0.5)),'배송비 조회'!A$44:AO$56,7,0)*B$3,-2)</f>
        <v>#REF!</v>
      </c>
      <c r="S619" s="97">
        <v>0</v>
      </c>
      <c r="T619" s="97" t="str">
        <f t="shared" ca="1" si="42"/>
        <v>#REF!</v>
      </c>
      <c r="U619" s="97" t="str">
        <f t="shared" ca="1" si="29"/>
        <v>#REF!</v>
      </c>
      <c r="V619" s="97" t="str">
        <f t="shared" ca="1" si="7"/>
        <v>#REF!</v>
      </c>
      <c r="W619" s="97" t="str">
        <f t="shared" ca="1" si="8"/>
        <v>#REF!</v>
      </c>
      <c r="X619" s="121">
        <v>0</v>
      </c>
      <c r="Y619" s="121" t="str">
        <f t="shared" ca="1" si="9"/>
        <v>#REF!</v>
      </c>
      <c r="Z619" s="121" t="str">
        <f t="shared" ca="1" si="10"/>
        <v>#REF!</v>
      </c>
      <c r="AA619" s="99" t="str">
        <f t="shared" ca="1" si="11"/>
        <v>#REF!</v>
      </c>
      <c r="AB619" s="234" t="str">
        <f t="shared" ca="1" si="12"/>
        <v>#REF!</v>
      </c>
      <c r="AC619" s="257" t="str">
        <f t="shared" ca="1" si="13"/>
        <v>#REF!</v>
      </c>
      <c r="AD619" s="234" t="str">
        <f t="shared" ca="1" si="14"/>
        <v>#REF!</v>
      </c>
      <c r="AE619" s="100" t="str">
        <f t="shared" ca="1" si="15"/>
        <v>#REF!</v>
      </c>
      <c r="AF619" s="101" t="str">
        <f t="shared" ca="1" si="16"/>
        <v>#REF!</v>
      </c>
      <c r="AG619" s="102" t="str">
        <f t="shared" ref="AG619:AH619" ca="1" si="637">AE619/V619</f>
        <v>#REF!</v>
      </c>
      <c r="AH619" s="102" t="str">
        <f t="shared" ca="1" si="637"/>
        <v>#REF!</v>
      </c>
    </row>
    <row r="620" spans="1:34" ht="13.2">
      <c r="A620" s="251"/>
      <c r="B620" s="251"/>
      <c r="C620" s="252"/>
      <c r="D620" s="252"/>
      <c r="E620" s="114"/>
      <c r="F620" s="252"/>
      <c r="G620" s="125" t="s">
        <v>145</v>
      </c>
      <c r="I620" s="172"/>
      <c r="J620" s="82" t="str">
        <f t="shared" ca="1" si="0"/>
        <v>#REF!</v>
      </c>
      <c r="K620" s="82" t="str">
        <f t="shared" ca="1" si="1"/>
        <v>#REF!</v>
      </c>
      <c r="L620" s="82" t="str">
        <f t="shared" ca="1" si="44"/>
        <v>#REF!</v>
      </c>
      <c r="M620" s="93"/>
      <c r="N620" s="93"/>
      <c r="O620" s="95">
        <f t="shared" si="2"/>
        <v>0</v>
      </c>
      <c r="P620" s="96">
        <f t="shared" si="3"/>
        <v>0</v>
      </c>
      <c r="Q620" s="97">
        <f t="shared" si="4"/>
        <v>0</v>
      </c>
      <c r="R620" s="97" t="str">
        <f ca="1">ROUNDUP(HLOOKUP(IF(CEILING(L620,0.5)&lt;1,0.5,CEILING(L620,0.5)),'배송비 조회'!A$44:AO$56,7,0)*B$3,-2)</f>
        <v>#REF!</v>
      </c>
      <c r="S620" s="97">
        <v>0</v>
      </c>
      <c r="T620" s="97" t="str">
        <f t="shared" ca="1" si="42"/>
        <v>#REF!</v>
      </c>
      <c r="U620" s="97" t="str">
        <f t="shared" ca="1" si="29"/>
        <v>#REF!</v>
      </c>
      <c r="V620" s="97" t="str">
        <f t="shared" ca="1" si="7"/>
        <v>#REF!</v>
      </c>
      <c r="W620" s="97" t="str">
        <f t="shared" ca="1" si="8"/>
        <v>#REF!</v>
      </c>
      <c r="X620" s="121">
        <v>0</v>
      </c>
      <c r="Y620" s="121" t="str">
        <f t="shared" ca="1" si="9"/>
        <v>#REF!</v>
      </c>
      <c r="Z620" s="121" t="str">
        <f t="shared" ca="1" si="10"/>
        <v>#REF!</v>
      </c>
      <c r="AA620" s="99" t="str">
        <f t="shared" ca="1" si="11"/>
        <v>#REF!</v>
      </c>
      <c r="AB620" s="234" t="str">
        <f t="shared" ca="1" si="12"/>
        <v>#REF!</v>
      </c>
      <c r="AC620" s="257" t="str">
        <f t="shared" ca="1" si="13"/>
        <v>#REF!</v>
      </c>
      <c r="AD620" s="234" t="str">
        <f t="shared" ca="1" si="14"/>
        <v>#REF!</v>
      </c>
      <c r="AE620" s="100" t="str">
        <f t="shared" ca="1" si="15"/>
        <v>#REF!</v>
      </c>
      <c r="AF620" s="101" t="str">
        <f t="shared" ca="1" si="16"/>
        <v>#REF!</v>
      </c>
      <c r="AG620" s="102" t="str">
        <f t="shared" ref="AG620:AH620" ca="1" si="638">AE620/V620</f>
        <v>#REF!</v>
      </c>
      <c r="AH620" s="102" t="str">
        <f t="shared" ca="1" si="638"/>
        <v>#REF!</v>
      </c>
    </row>
    <row r="621" spans="1:34" ht="13.2">
      <c r="A621" s="251"/>
      <c r="B621" s="251"/>
      <c r="C621" s="252"/>
      <c r="D621" s="252"/>
      <c r="E621" s="114"/>
      <c r="F621" s="252"/>
      <c r="G621" s="125" t="s">
        <v>145</v>
      </c>
      <c r="I621" s="172"/>
      <c r="J621" s="82" t="str">
        <f t="shared" ca="1" si="0"/>
        <v>#REF!</v>
      </c>
      <c r="K621" s="82" t="str">
        <f t="shared" ca="1" si="1"/>
        <v>#REF!</v>
      </c>
      <c r="L621" s="82" t="str">
        <f t="shared" ca="1" si="44"/>
        <v>#REF!</v>
      </c>
      <c r="M621" s="93"/>
      <c r="N621" s="93"/>
      <c r="O621" s="95">
        <f t="shared" si="2"/>
        <v>0</v>
      </c>
      <c r="P621" s="96">
        <f t="shared" si="3"/>
        <v>0</v>
      </c>
      <c r="Q621" s="97">
        <f t="shared" si="4"/>
        <v>0</v>
      </c>
      <c r="R621" s="97" t="str">
        <f ca="1">ROUNDUP(HLOOKUP(IF(CEILING(L621,0.5)&lt;1,0.5,CEILING(L621,0.5)),'배송비 조회'!A$44:AO$56,7,0)*B$3,-2)</f>
        <v>#REF!</v>
      </c>
      <c r="S621" s="97">
        <v>0</v>
      </c>
      <c r="T621" s="97" t="str">
        <f t="shared" ca="1" si="42"/>
        <v>#REF!</v>
      </c>
      <c r="U621" s="97" t="str">
        <f t="shared" ca="1" si="29"/>
        <v>#REF!</v>
      </c>
      <c r="V621" s="97" t="str">
        <f t="shared" ca="1" si="7"/>
        <v>#REF!</v>
      </c>
      <c r="W621" s="97" t="str">
        <f t="shared" ca="1" si="8"/>
        <v>#REF!</v>
      </c>
      <c r="X621" s="121">
        <v>0</v>
      </c>
      <c r="Y621" s="121" t="str">
        <f t="shared" ca="1" si="9"/>
        <v>#REF!</v>
      </c>
      <c r="Z621" s="121" t="str">
        <f t="shared" ca="1" si="10"/>
        <v>#REF!</v>
      </c>
      <c r="AA621" s="99" t="str">
        <f t="shared" ca="1" si="11"/>
        <v>#REF!</v>
      </c>
      <c r="AB621" s="234" t="str">
        <f t="shared" ca="1" si="12"/>
        <v>#REF!</v>
      </c>
      <c r="AC621" s="257" t="str">
        <f t="shared" ca="1" si="13"/>
        <v>#REF!</v>
      </c>
      <c r="AD621" s="234" t="str">
        <f t="shared" ca="1" si="14"/>
        <v>#REF!</v>
      </c>
      <c r="AE621" s="100" t="str">
        <f t="shared" ca="1" si="15"/>
        <v>#REF!</v>
      </c>
      <c r="AF621" s="101" t="str">
        <f t="shared" ca="1" si="16"/>
        <v>#REF!</v>
      </c>
      <c r="AG621" s="102" t="str">
        <f t="shared" ref="AG621:AH621" ca="1" si="639">AE621/V621</f>
        <v>#REF!</v>
      </c>
      <c r="AH621" s="102" t="str">
        <f t="shared" ca="1" si="639"/>
        <v>#REF!</v>
      </c>
    </row>
    <row r="622" spans="1:34" ht="13.2">
      <c r="A622" s="251"/>
      <c r="B622" s="251"/>
      <c r="C622" s="252"/>
      <c r="D622" s="252"/>
      <c r="E622" s="114"/>
      <c r="F622" s="252"/>
      <c r="G622" s="125" t="s">
        <v>145</v>
      </c>
      <c r="I622" s="172"/>
      <c r="J622" s="82" t="str">
        <f t="shared" ca="1" si="0"/>
        <v>#REF!</v>
      </c>
      <c r="K622" s="82" t="str">
        <f t="shared" ca="1" si="1"/>
        <v>#REF!</v>
      </c>
      <c r="L622" s="82" t="str">
        <f t="shared" ca="1" si="44"/>
        <v>#REF!</v>
      </c>
      <c r="M622" s="93"/>
      <c r="N622" s="93"/>
      <c r="O622" s="95">
        <f t="shared" si="2"/>
        <v>0</v>
      </c>
      <c r="P622" s="96">
        <f t="shared" si="3"/>
        <v>0</v>
      </c>
      <c r="Q622" s="97">
        <f t="shared" si="4"/>
        <v>0</v>
      </c>
      <c r="R622" s="97" t="str">
        <f ca="1">ROUNDUP(HLOOKUP(IF(CEILING(L622,0.5)&lt;1,0.5,CEILING(L622,0.5)),'배송비 조회'!A$44:AO$56,7,0)*B$3,-2)</f>
        <v>#REF!</v>
      </c>
      <c r="S622" s="97">
        <v>0</v>
      </c>
      <c r="T622" s="97" t="str">
        <f t="shared" ca="1" si="42"/>
        <v>#REF!</v>
      </c>
      <c r="U622" s="97" t="str">
        <f t="shared" ca="1" si="29"/>
        <v>#REF!</v>
      </c>
      <c r="V622" s="97" t="str">
        <f t="shared" ca="1" si="7"/>
        <v>#REF!</v>
      </c>
      <c r="W622" s="97" t="str">
        <f t="shared" ca="1" si="8"/>
        <v>#REF!</v>
      </c>
      <c r="X622" s="121">
        <v>0</v>
      </c>
      <c r="Y622" s="121" t="str">
        <f t="shared" ca="1" si="9"/>
        <v>#REF!</v>
      </c>
      <c r="Z622" s="121" t="str">
        <f t="shared" ca="1" si="10"/>
        <v>#REF!</v>
      </c>
      <c r="AA622" s="99" t="str">
        <f t="shared" ca="1" si="11"/>
        <v>#REF!</v>
      </c>
      <c r="AB622" s="234" t="str">
        <f t="shared" ca="1" si="12"/>
        <v>#REF!</v>
      </c>
      <c r="AC622" s="257" t="str">
        <f t="shared" ca="1" si="13"/>
        <v>#REF!</v>
      </c>
      <c r="AD622" s="234" t="str">
        <f t="shared" ca="1" si="14"/>
        <v>#REF!</v>
      </c>
      <c r="AE622" s="100" t="str">
        <f t="shared" ca="1" si="15"/>
        <v>#REF!</v>
      </c>
      <c r="AF622" s="101" t="str">
        <f t="shared" ca="1" si="16"/>
        <v>#REF!</v>
      </c>
      <c r="AG622" s="102" t="str">
        <f t="shared" ref="AG622:AH622" ca="1" si="640">AE622/V622</f>
        <v>#REF!</v>
      </c>
      <c r="AH622" s="102" t="str">
        <f t="shared" ca="1" si="640"/>
        <v>#REF!</v>
      </c>
    </row>
    <row r="623" spans="1:34" ht="13.2">
      <c r="A623" s="251"/>
      <c r="B623" s="251"/>
      <c r="C623" s="252"/>
      <c r="D623" s="252"/>
      <c r="E623" s="114"/>
      <c r="F623" s="252"/>
      <c r="G623" s="125" t="s">
        <v>145</v>
      </c>
      <c r="I623" s="172"/>
      <c r="J623" s="82" t="str">
        <f t="shared" ca="1" si="0"/>
        <v>#REF!</v>
      </c>
      <c r="K623" s="82" t="str">
        <f t="shared" ca="1" si="1"/>
        <v>#REF!</v>
      </c>
      <c r="L623" s="82" t="str">
        <f t="shared" ca="1" si="44"/>
        <v>#REF!</v>
      </c>
      <c r="M623" s="93"/>
      <c r="N623" s="93"/>
      <c r="O623" s="95">
        <f t="shared" si="2"/>
        <v>0</v>
      </c>
      <c r="P623" s="96">
        <f t="shared" si="3"/>
        <v>0</v>
      </c>
      <c r="Q623" s="97">
        <f t="shared" si="4"/>
        <v>0</v>
      </c>
      <c r="R623" s="97" t="str">
        <f ca="1">ROUNDUP(HLOOKUP(IF(CEILING(L623,0.5)&lt;1,0.5,CEILING(L623,0.5)),'배송비 조회'!A$44:AO$56,7,0)*B$3,-2)</f>
        <v>#REF!</v>
      </c>
      <c r="S623" s="97">
        <v>0</v>
      </c>
      <c r="T623" s="97" t="str">
        <f t="shared" ca="1" si="42"/>
        <v>#REF!</v>
      </c>
      <c r="U623" s="97" t="str">
        <f t="shared" ca="1" si="29"/>
        <v>#REF!</v>
      </c>
      <c r="V623" s="97" t="str">
        <f t="shared" ca="1" si="7"/>
        <v>#REF!</v>
      </c>
      <c r="W623" s="97" t="str">
        <f t="shared" ca="1" si="8"/>
        <v>#REF!</v>
      </c>
      <c r="X623" s="121">
        <v>0</v>
      </c>
      <c r="Y623" s="121" t="str">
        <f t="shared" ca="1" si="9"/>
        <v>#REF!</v>
      </c>
      <c r="Z623" s="121" t="str">
        <f t="shared" ca="1" si="10"/>
        <v>#REF!</v>
      </c>
      <c r="AA623" s="99" t="str">
        <f t="shared" ca="1" si="11"/>
        <v>#REF!</v>
      </c>
      <c r="AB623" s="234" t="str">
        <f t="shared" ca="1" si="12"/>
        <v>#REF!</v>
      </c>
      <c r="AC623" s="257" t="str">
        <f t="shared" ca="1" si="13"/>
        <v>#REF!</v>
      </c>
      <c r="AD623" s="234" t="str">
        <f t="shared" ca="1" si="14"/>
        <v>#REF!</v>
      </c>
      <c r="AE623" s="100" t="str">
        <f t="shared" ca="1" si="15"/>
        <v>#REF!</v>
      </c>
      <c r="AF623" s="101" t="str">
        <f t="shared" ca="1" si="16"/>
        <v>#REF!</v>
      </c>
      <c r="AG623" s="102" t="str">
        <f t="shared" ref="AG623:AH623" ca="1" si="641">AE623/V623</f>
        <v>#REF!</v>
      </c>
      <c r="AH623" s="102" t="str">
        <f t="shared" ca="1" si="641"/>
        <v>#REF!</v>
      </c>
    </row>
    <row r="624" spans="1:34" ht="13.2">
      <c r="A624" s="251"/>
      <c r="B624" s="251"/>
      <c r="C624" s="252"/>
      <c r="D624" s="252"/>
      <c r="E624" s="114"/>
      <c r="F624" s="252"/>
      <c r="G624" s="125" t="s">
        <v>145</v>
      </c>
      <c r="I624" s="172"/>
      <c r="J624" s="82" t="str">
        <f t="shared" ca="1" si="0"/>
        <v>#REF!</v>
      </c>
      <c r="K624" s="82" t="str">
        <f t="shared" ca="1" si="1"/>
        <v>#REF!</v>
      </c>
      <c r="L624" s="82" t="str">
        <f t="shared" ca="1" si="44"/>
        <v>#REF!</v>
      </c>
      <c r="M624" s="93"/>
      <c r="N624" s="93"/>
      <c r="O624" s="95">
        <f t="shared" si="2"/>
        <v>0</v>
      </c>
      <c r="P624" s="96">
        <f t="shared" si="3"/>
        <v>0</v>
      </c>
      <c r="Q624" s="97">
        <f t="shared" si="4"/>
        <v>0</v>
      </c>
      <c r="R624" s="97" t="str">
        <f ca="1">ROUNDUP(HLOOKUP(IF(CEILING(L624,0.5)&lt;1,0.5,CEILING(L624,0.5)),'배송비 조회'!A$44:AO$56,7,0)*B$3,-2)</f>
        <v>#REF!</v>
      </c>
      <c r="S624" s="97">
        <v>0</v>
      </c>
      <c r="T624" s="97" t="str">
        <f t="shared" ca="1" si="42"/>
        <v>#REF!</v>
      </c>
      <c r="U624" s="97" t="str">
        <f t="shared" ca="1" si="29"/>
        <v>#REF!</v>
      </c>
      <c r="V624" s="97" t="str">
        <f t="shared" ca="1" si="7"/>
        <v>#REF!</v>
      </c>
      <c r="W624" s="97" t="str">
        <f t="shared" ca="1" si="8"/>
        <v>#REF!</v>
      </c>
      <c r="X624" s="121">
        <v>0</v>
      </c>
      <c r="Y624" s="121" t="str">
        <f t="shared" ca="1" si="9"/>
        <v>#REF!</v>
      </c>
      <c r="Z624" s="121" t="str">
        <f t="shared" ca="1" si="10"/>
        <v>#REF!</v>
      </c>
      <c r="AA624" s="99" t="str">
        <f t="shared" ca="1" si="11"/>
        <v>#REF!</v>
      </c>
      <c r="AB624" s="234" t="str">
        <f t="shared" ca="1" si="12"/>
        <v>#REF!</v>
      </c>
      <c r="AC624" s="257" t="str">
        <f t="shared" ca="1" si="13"/>
        <v>#REF!</v>
      </c>
      <c r="AD624" s="234" t="str">
        <f t="shared" ca="1" si="14"/>
        <v>#REF!</v>
      </c>
      <c r="AE624" s="100" t="str">
        <f t="shared" ca="1" si="15"/>
        <v>#REF!</v>
      </c>
      <c r="AF624" s="101" t="str">
        <f t="shared" ca="1" si="16"/>
        <v>#REF!</v>
      </c>
      <c r="AG624" s="102" t="str">
        <f t="shared" ref="AG624:AH624" ca="1" si="642">AE624/V624</f>
        <v>#REF!</v>
      </c>
      <c r="AH624" s="102" t="str">
        <f t="shared" ca="1" si="642"/>
        <v>#REF!</v>
      </c>
    </row>
    <row r="625" spans="1:34" ht="13.2">
      <c r="A625" s="251"/>
      <c r="B625" s="251"/>
      <c r="C625" s="252"/>
      <c r="D625" s="252"/>
      <c r="E625" s="114"/>
      <c r="F625" s="252"/>
      <c r="G625" s="125" t="s">
        <v>145</v>
      </c>
      <c r="I625" s="172"/>
      <c r="J625" s="82" t="str">
        <f t="shared" ca="1" si="0"/>
        <v>#REF!</v>
      </c>
      <c r="K625" s="82" t="str">
        <f t="shared" ca="1" si="1"/>
        <v>#REF!</v>
      </c>
      <c r="L625" s="82" t="str">
        <f t="shared" ca="1" si="44"/>
        <v>#REF!</v>
      </c>
      <c r="M625" s="93"/>
      <c r="N625" s="93"/>
      <c r="O625" s="95">
        <f t="shared" si="2"/>
        <v>0</v>
      </c>
      <c r="P625" s="96">
        <f t="shared" si="3"/>
        <v>0</v>
      </c>
      <c r="Q625" s="97">
        <f t="shared" si="4"/>
        <v>0</v>
      </c>
      <c r="R625" s="97" t="str">
        <f ca="1">ROUNDUP(HLOOKUP(IF(CEILING(L625,0.5)&lt;1,0.5,CEILING(L625,0.5)),'배송비 조회'!A$44:AO$56,7,0)*B$3,-2)</f>
        <v>#REF!</v>
      </c>
      <c r="S625" s="97">
        <v>0</v>
      </c>
      <c r="T625" s="97" t="str">
        <f t="shared" ca="1" si="42"/>
        <v>#REF!</v>
      </c>
      <c r="U625" s="97" t="str">
        <f t="shared" ca="1" si="29"/>
        <v>#REF!</v>
      </c>
      <c r="V625" s="97" t="str">
        <f t="shared" ca="1" si="7"/>
        <v>#REF!</v>
      </c>
      <c r="W625" s="97" t="str">
        <f t="shared" ca="1" si="8"/>
        <v>#REF!</v>
      </c>
      <c r="X625" s="121">
        <v>0</v>
      </c>
      <c r="Y625" s="121" t="str">
        <f t="shared" ca="1" si="9"/>
        <v>#REF!</v>
      </c>
      <c r="Z625" s="121" t="str">
        <f t="shared" ca="1" si="10"/>
        <v>#REF!</v>
      </c>
      <c r="AA625" s="99" t="str">
        <f t="shared" ca="1" si="11"/>
        <v>#REF!</v>
      </c>
      <c r="AB625" s="234" t="str">
        <f t="shared" ca="1" si="12"/>
        <v>#REF!</v>
      </c>
      <c r="AC625" s="257" t="str">
        <f t="shared" ca="1" si="13"/>
        <v>#REF!</v>
      </c>
      <c r="AD625" s="234" t="str">
        <f t="shared" ca="1" si="14"/>
        <v>#REF!</v>
      </c>
      <c r="AE625" s="100" t="str">
        <f t="shared" ca="1" si="15"/>
        <v>#REF!</v>
      </c>
      <c r="AF625" s="101" t="str">
        <f t="shared" ca="1" si="16"/>
        <v>#REF!</v>
      </c>
      <c r="AG625" s="102" t="str">
        <f t="shared" ref="AG625:AH625" ca="1" si="643">AE625/V625</f>
        <v>#REF!</v>
      </c>
      <c r="AH625" s="102" t="str">
        <f t="shared" ca="1" si="643"/>
        <v>#REF!</v>
      </c>
    </row>
    <row r="626" spans="1:34" ht="13.2">
      <c r="A626" s="251"/>
      <c r="B626" s="251"/>
      <c r="C626" s="252"/>
      <c r="D626" s="252"/>
      <c r="E626" s="114"/>
      <c r="F626" s="252"/>
      <c r="G626" s="125" t="s">
        <v>145</v>
      </c>
      <c r="I626" s="172"/>
      <c r="J626" s="82" t="str">
        <f t="shared" ca="1" si="0"/>
        <v>#REF!</v>
      </c>
      <c r="K626" s="82" t="str">
        <f t="shared" ca="1" si="1"/>
        <v>#REF!</v>
      </c>
      <c r="L626" s="82" t="str">
        <f t="shared" ca="1" si="44"/>
        <v>#REF!</v>
      </c>
      <c r="M626" s="93"/>
      <c r="N626" s="93"/>
      <c r="O626" s="95">
        <f t="shared" si="2"/>
        <v>0</v>
      </c>
      <c r="P626" s="96">
        <f t="shared" si="3"/>
        <v>0</v>
      </c>
      <c r="Q626" s="97">
        <f t="shared" si="4"/>
        <v>0</v>
      </c>
      <c r="R626" s="97" t="str">
        <f ca="1">ROUNDUP(HLOOKUP(IF(CEILING(L626,0.5)&lt;1,0.5,CEILING(L626,0.5)),'배송비 조회'!A$44:AO$56,7,0)*B$3,-2)</f>
        <v>#REF!</v>
      </c>
      <c r="S626" s="97">
        <v>0</v>
      </c>
      <c r="T626" s="97" t="str">
        <f t="shared" ca="1" si="42"/>
        <v>#REF!</v>
      </c>
      <c r="U626" s="97" t="str">
        <f t="shared" ca="1" si="29"/>
        <v>#REF!</v>
      </c>
      <c r="V626" s="97" t="str">
        <f t="shared" ca="1" si="7"/>
        <v>#REF!</v>
      </c>
      <c r="W626" s="97" t="str">
        <f t="shared" ca="1" si="8"/>
        <v>#REF!</v>
      </c>
      <c r="X626" s="121">
        <v>0</v>
      </c>
      <c r="Y626" s="121" t="str">
        <f t="shared" ca="1" si="9"/>
        <v>#REF!</v>
      </c>
      <c r="Z626" s="121" t="str">
        <f t="shared" ca="1" si="10"/>
        <v>#REF!</v>
      </c>
      <c r="AA626" s="99" t="str">
        <f t="shared" ca="1" si="11"/>
        <v>#REF!</v>
      </c>
      <c r="AB626" s="234" t="str">
        <f t="shared" ca="1" si="12"/>
        <v>#REF!</v>
      </c>
      <c r="AC626" s="257" t="str">
        <f t="shared" ca="1" si="13"/>
        <v>#REF!</v>
      </c>
      <c r="AD626" s="234" t="str">
        <f t="shared" ca="1" si="14"/>
        <v>#REF!</v>
      </c>
      <c r="AE626" s="100" t="str">
        <f t="shared" ca="1" si="15"/>
        <v>#REF!</v>
      </c>
      <c r="AF626" s="101" t="str">
        <f t="shared" ca="1" si="16"/>
        <v>#REF!</v>
      </c>
      <c r="AG626" s="102" t="str">
        <f t="shared" ref="AG626:AH626" ca="1" si="644">AE626/V626</f>
        <v>#REF!</v>
      </c>
      <c r="AH626" s="102" t="str">
        <f t="shared" ca="1" si="644"/>
        <v>#REF!</v>
      </c>
    </row>
    <row r="627" spans="1:34" ht="13.2">
      <c r="A627" s="251"/>
      <c r="B627" s="251"/>
      <c r="C627" s="252"/>
      <c r="D627" s="252"/>
      <c r="E627" s="114"/>
      <c r="F627" s="252"/>
      <c r="G627" s="125" t="s">
        <v>145</v>
      </c>
      <c r="I627" s="172"/>
      <c r="J627" s="82" t="str">
        <f t="shared" ca="1" si="0"/>
        <v>#REF!</v>
      </c>
      <c r="K627" s="82" t="str">
        <f t="shared" ca="1" si="1"/>
        <v>#REF!</v>
      </c>
      <c r="L627" s="82" t="str">
        <f t="shared" ca="1" si="44"/>
        <v>#REF!</v>
      </c>
      <c r="M627" s="93"/>
      <c r="N627" s="93"/>
      <c r="O627" s="95">
        <f t="shared" si="2"/>
        <v>0</v>
      </c>
      <c r="P627" s="96">
        <f t="shared" si="3"/>
        <v>0</v>
      </c>
      <c r="Q627" s="97">
        <f t="shared" si="4"/>
        <v>0</v>
      </c>
      <c r="R627" s="97" t="str">
        <f ca="1">ROUNDUP(HLOOKUP(IF(CEILING(L627,0.5)&lt;1,0.5,CEILING(L627,0.5)),'배송비 조회'!A$44:AO$56,7,0)*B$3,-2)</f>
        <v>#REF!</v>
      </c>
      <c r="S627" s="97">
        <v>0</v>
      </c>
      <c r="T627" s="97" t="str">
        <f t="shared" ca="1" si="42"/>
        <v>#REF!</v>
      </c>
      <c r="U627" s="97" t="str">
        <f t="shared" ca="1" si="29"/>
        <v>#REF!</v>
      </c>
      <c r="V627" s="97" t="str">
        <f t="shared" ca="1" si="7"/>
        <v>#REF!</v>
      </c>
      <c r="W627" s="97" t="str">
        <f t="shared" ca="1" si="8"/>
        <v>#REF!</v>
      </c>
      <c r="X627" s="121">
        <v>0</v>
      </c>
      <c r="Y627" s="121" t="str">
        <f t="shared" ca="1" si="9"/>
        <v>#REF!</v>
      </c>
      <c r="Z627" s="121" t="str">
        <f t="shared" ca="1" si="10"/>
        <v>#REF!</v>
      </c>
      <c r="AA627" s="99" t="str">
        <f t="shared" ca="1" si="11"/>
        <v>#REF!</v>
      </c>
      <c r="AB627" s="234" t="str">
        <f t="shared" ca="1" si="12"/>
        <v>#REF!</v>
      </c>
      <c r="AC627" s="257" t="str">
        <f t="shared" ca="1" si="13"/>
        <v>#REF!</v>
      </c>
      <c r="AD627" s="234" t="str">
        <f t="shared" ca="1" si="14"/>
        <v>#REF!</v>
      </c>
      <c r="AE627" s="100" t="str">
        <f t="shared" ca="1" si="15"/>
        <v>#REF!</v>
      </c>
      <c r="AF627" s="101" t="str">
        <f t="shared" ca="1" si="16"/>
        <v>#REF!</v>
      </c>
      <c r="AG627" s="102" t="str">
        <f t="shared" ref="AG627:AH627" ca="1" si="645">AE627/V627</f>
        <v>#REF!</v>
      </c>
      <c r="AH627" s="102" t="str">
        <f t="shared" ca="1" si="645"/>
        <v>#REF!</v>
      </c>
    </row>
    <row r="628" spans="1:34" ht="13.2">
      <c r="A628" s="251"/>
      <c r="B628" s="251"/>
      <c r="C628" s="252"/>
      <c r="D628" s="252"/>
      <c r="E628" s="114"/>
      <c r="F628" s="252"/>
      <c r="G628" s="125" t="s">
        <v>145</v>
      </c>
      <c r="I628" s="172"/>
      <c r="J628" s="82" t="str">
        <f t="shared" ca="1" si="0"/>
        <v>#REF!</v>
      </c>
      <c r="K628" s="82" t="str">
        <f t="shared" ca="1" si="1"/>
        <v>#REF!</v>
      </c>
      <c r="L628" s="82" t="str">
        <f t="shared" ca="1" si="44"/>
        <v>#REF!</v>
      </c>
      <c r="M628" s="93"/>
      <c r="N628" s="93"/>
      <c r="O628" s="95">
        <f t="shared" si="2"/>
        <v>0</v>
      </c>
      <c r="P628" s="96">
        <f t="shared" si="3"/>
        <v>0</v>
      </c>
      <c r="Q628" s="97">
        <f t="shared" si="4"/>
        <v>0</v>
      </c>
      <c r="R628" s="97" t="str">
        <f ca="1">ROUNDUP(HLOOKUP(IF(CEILING(L628,0.5)&lt;1,0.5,CEILING(L628,0.5)),'배송비 조회'!A$44:AO$56,7,0)*B$3,-2)</f>
        <v>#REF!</v>
      </c>
      <c r="S628" s="97">
        <v>0</v>
      </c>
      <c r="T628" s="97" t="str">
        <f t="shared" ca="1" si="42"/>
        <v>#REF!</v>
      </c>
      <c r="U628" s="97" t="str">
        <f t="shared" ca="1" si="29"/>
        <v>#REF!</v>
      </c>
      <c r="V628" s="97" t="str">
        <f t="shared" ca="1" si="7"/>
        <v>#REF!</v>
      </c>
      <c r="W628" s="97" t="str">
        <f t="shared" ca="1" si="8"/>
        <v>#REF!</v>
      </c>
      <c r="X628" s="121">
        <v>0</v>
      </c>
      <c r="Y628" s="121" t="str">
        <f t="shared" ca="1" si="9"/>
        <v>#REF!</v>
      </c>
      <c r="Z628" s="121" t="str">
        <f t="shared" ca="1" si="10"/>
        <v>#REF!</v>
      </c>
      <c r="AA628" s="99" t="str">
        <f t="shared" ca="1" si="11"/>
        <v>#REF!</v>
      </c>
      <c r="AB628" s="234" t="str">
        <f t="shared" ca="1" si="12"/>
        <v>#REF!</v>
      </c>
      <c r="AC628" s="257" t="str">
        <f t="shared" ca="1" si="13"/>
        <v>#REF!</v>
      </c>
      <c r="AD628" s="234" t="str">
        <f t="shared" ca="1" si="14"/>
        <v>#REF!</v>
      </c>
      <c r="AE628" s="100" t="str">
        <f t="shared" ca="1" si="15"/>
        <v>#REF!</v>
      </c>
      <c r="AF628" s="101" t="str">
        <f t="shared" ca="1" si="16"/>
        <v>#REF!</v>
      </c>
      <c r="AG628" s="102" t="str">
        <f t="shared" ref="AG628:AH628" ca="1" si="646">AE628/V628</f>
        <v>#REF!</v>
      </c>
      <c r="AH628" s="102" t="str">
        <f t="shared" ca="1" si="646"/>
        <v>#REF!</v>
      </c>
    </row>
    <row r="629" spans="1:34" ht="13.2">
      <c r="A629" s="251"/>
      <c r="B629" s="251"/>
      <c r="C629" s="252"/>
      <c r="D629" s="252"/>
      <c r="E629" s="114"/>
      <c r="F629" s="252"/>
      <c r="G629" s="125" t="s">
        <v>145</v>
      </c>
      <c r="I629" s="172"/>
      <c r="J629" s="82" t="str">
        <f t="shared" ca="1" si="0"/>
        <v>#REF!</v>
      </c>
      <c r="K629" s="82" t="str">
        <f t="shared" ca="1" si="1"/>
        <v>#REF!</v>
      </c>
      <c r="L629" s="82" t="str">
        <f t="shared" ca="1" si="44"/>
        <v>#REF!</v>
      </c>
      <c r="M629" s="93"/>
      <c r="N629" s="93"/>
      <c r="O629" s="95">
        <f t="shared" si="2"/>
        <v>0</v>
      </c>
      <c r="P629" s="96">
        <f t="shared" si="3"/>
        <v>0</v>
      </c>
      <c r="Q629" s="97">
        <f t="shared" si="4"/>
        <v>0</v>
      </c>
      <c r="R629" s="97" t="str">
        <f ca="1">ROUNDUP(HLOOKUP(IF(CEILING(L629,0.5)&lt;1,0.5,CEILING(L629,0.5)),'배송비 조회'!A$44:AO$56,7,0)*B$3,-2)</f>
        <v>#REF!</v>
      </c>
      <c r="S629" s="97">
        <v>0</v>
      </c>
      <c r="T629" s="97" t="str">
        <f t="shared" ca="1" si="42"/>
        <v>#REF!</v>
      </c>
      <c r="U629" s="97" t="str">
        <f t="shared" ca="1" si="29"/>
        <v>#REF!</v>
      </c>
      <c r="V629" s="97" t="str">
        <f t="shared" ca="1" si="7"/>
        <v>#REF!</v>
      </c>
      <c r="W629" s="97" t="str">
        <f t="shared" ca="1" si="8"/>
        <v>#REF!</v>
      </c>
      <c r="X629" s="121">
        <v>0</v>
      </c>
      <c r="Y629" s="121" t="str">
        <f t="shared" ca="1" si="9"/>
        <v>#REF!</v>
      </c>
      <c r="Z629" s="121" t="str">
        <f t="shared" ca="1" si="10"/>
        <v>#REF!</v>
      </c>
      <c r="AA629" s="99" t="str">
        <f t="shared" ca="1" si="11"/>
        <v>#REF!</v>
      </c>
      <c r="AB629" s="234" t="str">
        <f t="shared" ca="1" si="12"/>
        <v>#REF!</v>
      </c>
      <c r="AC629" s="257" t="str">
        <f t="shared" ca="1" si="13"/>
        <v>#REF!</v>
      </c>
      <c r="AD629" s="234" t="str">
        <f t="shared" ca="1" si="14"/>
        <v>#REF!</v>
      </c>
      <c r="AE629" s="100" t="str">
        <f t="shared" ca="1" si="15"/>
        <v>#REF!</v>
      </c>
      <c r="AF629" s="101" t="str">
        <f t="shared" ca="1" si="16"/>
        <v>#REF!</v>
      </c>
      <c r="AG629" s="102" t="str">
        <f t="shared" ref="AG629:AH629" ca="1" si="647">AE629/V629</f>
        <v>#REF!</v>
      </c>
      <c r="AH629" s="102" t="str">
        <f t="shared" ca="1" si="647"/>
        <v>#REF!</v>
      </c>
    </row>
    <row r="630" spans="1:34" ht="13.2">
      <c r="A630" s="251"/>
      <c r="B630" s="251"/>
      <c r="C630" s="252"/>
      <c r="D630" s="252"/>
      <c r="E630" s="114"/>
      <c r="F630" s="252"/>
      <c r="G630" s="125" t="s">
        <v>145</v>
      </c>
      <c r="I630" s="172"/>
      <c r="J630" s="82" t="str">
        <f t="shared" ca="1" si="0"/>
        <v>#REF!</v>
      </c>
      <c r="K630" s="82" t="str">
        <f t="shared" ca="1" si="1"/>
        <v>#REF!</v>
      </c>
      <c r="L630" s="82" t="str">
        <f t="shared" ca="1" si="44"/>
        <v>#REF!</v>
      </c>
      <c r="M630" s="93"/>
      <c r="N630" s="93"/>
      <c r="O630" s="95">
        <f t="shared" si="2"/>
        <v>0</v>
      </c>
      <c r="P630" s="96">
        <f t="shared" si="3"/>
        <v>0</v>
      </c>
      <c r="Q630" s="97">
        <f t="shared" si="4"/>
        <v>0</v>
      </c>
      <c r="R630" s="97" t="str">
        <f ca="1">ROUNDUP(HLOOKUP(IF(CEILING(L630,0.5)&lt;1,0.5,CEILING(L630,0.5)),'배송비 조회'!A$44:AO$56,7,0)*B$3,-2)</f>
        <v>#REF!</v>
      </c>
      <c r="S630" s="97">
        <v>0</v>
      </c>
      <c r="T630" s="97" t="str">
        <f t="shared" ca="1" si="42"/>
        <v>#REF!</v>
      </c>
      <c r="U630" s="97" t="str">
        <f t="shared" ca="1" si="29"/>
        <v>#REF!</v>
      </c>
      <c r="V630" s="97" t="str">
        <f t="shared" ca="1" si="7"/>
        <v>#REF!</v>
      </c>
      <c r="W630" s="97" t="str">
        <f t="shared" ca="1" si="8"/>
        <v>#REF!</v>
      </c>
      <c r="X630" s="121">
        <v>0</v>
      </c>
      <c r="Y630" s="121" t="str">
        <f t="shared" ca="1" si="9"/>
        <v>#REF!</v>
      </c>
      <c r="Z630" s="121" t="str">
        <f t="shared" ca="1" si="10"/>
        <v>#REF!</v>
      </c>
      <c r="AA630" s="99" t="str">
        <f t="shared" ca="1" si="11"/>
        <v>#REF!</v>
      </c>
      <c r="AB630" s="234" t="str">
        <f t="shared" ca="1" si="12"/>
        <v>#REF!</v>
      </c>
      <c r="AC630" s="257" t="str">
        <f t="shared" ca="1" si="13"/>
        <v>#REF!</v>
      </c>
      <c r="AD630" s="234" t="str">
        <f t="shared" ca="1" si="14"/>
        <v>#REF!</v>
      </c>
      <c r="AE630" s="100" t="str">
        <f t="shared" ca="1" si="15"/>
        <v>#REF!</v>
      </c>
      <c r="AF630" s="101" t="str">
        <f t="shared" ca="1" si="16"/>
        <v>#REF!</v>
      </c>
      <c r="AG630" s="102" t="str">
        <f t="shared" ref="AG630:AH630" ca="1" si="648">AE630/V630</f>
        <v>#REF!</v>
      </c>
      <c r="AH630" s="102" t="str">
        <f t="shared" ca="1" si="648"/>
        <v>#REF!</v>
      </c>
    </row>
    <row r="631" spans="1:34" ht="13.2">
      <c r="A631" s="251"/>
      <c r="B631" s="251"/>
      <c r="C631" s="252"/>
      <c r="D631" s="252"/>
      <c r="E631" s="114"/>
      <c r="F631" s="252"/>
      <c r="G631" s="125" t="s">
        <v>145</v>
      </c>
      <c r="I631" s="172"/>
      <c r="J631" s="82" t="str">
        <f t="shared" ca="1" si="0"/>
        <v>#REF!</v>
      </c>
      <c r="K631" s="82" t="str">
        <f t="shared" ca="1" si="1"/>
        <v>#REF!</v>
      </c>
      <c r="L631" s="82" t="str">
        <f t="shared" ca="1" si="44"/>
        <v>#REF!</v>
      </c>
      <c r="M631" s="93"/>
      <c r="N631" s="93"/>
      <c r="O631" s="95">
        <f t="shared" si="2"/>
        <v>0</v>
      </c>
      <c r="P631" s="96">
        <f t="shared" si="3"/>
        <v>0</v>
      </c>
      <c r="Q631" s="97">
        <f t="shared" si="4"/>
        <v>0</v>
      </c>
      <c r="R631" s="97" t="str">
        <f ca="1">ROUNDUP(HLOOKUP(IF(CEILING(L631,0.5)&lt;1,0.5,CEILING(L631,0.5)),'배송비 조회'!A$44:AO$56,7,0)*B$3,-2)</f>
        <v>#REF!</v>
      </c>
      <c r="S631" s="97">
        <v>0</v>
      </c>
      <c r="T631" s="97" t="str">
        <f t="shared" ca="1" si="42"/>
        <v>#REF!</v>
      </c>
      <c r="U631" s="97" t="str">
        <f t="shared" ca="1" si="29"/>
        <v>#REF!</v>
      </c>
      <c r="V631" s="97" t="str">
        <f t="shared" ca="1" si="7"/>
        <v>#REF!</v>
      </c>
      <c r="W631" s="97" t="str">
        <f t="shared" ca="1" si="8"/>
        <v>#REF!</v>
      </c>
      <c r="X631" s="121">
        <v>0</v>
      </c>
      <c r="Y631" s="121" t="str">
        <f t="shared" ca="1" si="9"/>
        <v>#REF!</v>
      </c>
      <c r="Z631" s="121" t="str">
        <f t="shared" ca="1" si="10"/>
        <v>#REF!</v>
      </c>
      <c r="AA631" s="99" t="str">
        <f t="shared" ca="1" si="11"/>
        <v>#REF!</v>
      </c>
      <c r="AB631" s="234" t="str">
        <f t="shared" ca="1" si="12"/>
        <v>#REF!</v>
      </c>
      <c r="AC631" s="257" t="str">
        <f t="shared" ca="1" si="13"/>
        <v>#REF!</v>
      </c>
      <c r="AD631" s="234" t="str">
        <f t="shared" ca="1" si="14"/>
        <v>#REF!</v>
      </c>
      <c r="AE631" s="100" t="str">
        <f t="shared" ca="1" si="15"/>
        <v>#REF!</v>
      </c>
      <c r="AF631" s="101" t="str">
        <f t="shared" ca="1" si="16"/>
        <v>#REF!</v>
      </c>
      <c r="AG631" s="102" t="str">
        <f t="shared" ref="AG631:AH631" ca="1" si="649">AE631/V631</f>
        <v>#REF!</v>
      </c>
      <c r="AH631" s="102" t="str">
        <f t="shared" ca="1" si="649"/>
        <v>#REF!</v>
      </c>
    </row>
    <row r="632" spans="1:34" ht="13.2">
      <c r="A632" s="251"/>
      <c r="B632" s="251"/>
      <c r="C632" s="252"/>
      <c r="D632" s="252"/>
      <c r="E632" s="114"/>
      <c r="F632" s="252"/>
      <c r="G632" s="125" t="s">
        <v>145</v>
      </c>
      <c r="I632" s="172"/>
      <c r="J632" s="82" t="str">
        <f t="shared" ca="1" si="0"/>
        <v>#REF!</v>
      </c>
      <c r="K632" s="82" t="str">
        <f t="shared" ca="1" si="1"/>
        <v>#REF!</v>
      </c>
      <c r="L632" s="82" t="str">
        <f t="shared" ca="1" si="44"/>
        <v>#REF!</v>
      </c>
      <c r="M632" s="93"/>
      <c r="N632" s="93"/>
      <c r="O632" s="95">
        <f t="shared" si="2"/>
        <v>0</v>
      </c>
      <c r="P632" s="96">
        <f t="shared" si="3"/>
        <v>0</v>
      </c>
      <c r="Q632" s="97">
        <f t="shared" si="4"/>
        <v>0</v>
      </c>
      <c r="R632" s="97" t="str">
        <f ca="1">ROUNDUP(HLOOKUP(IF(CEILING(L632,0.5)&lt;1,0.5,CEILING(L632,0.5)),'배송비 조회'!A$44:AO$56,7,0)*B$3,-2)</f>
        <v>#REF!</v>
      </c>
      <c r="S632" s="97">
        <v>0</v>
      </c>
      <c r="T632" s="97" t="str">
        <f t="shared" ca="1" si="42"/>
        <v>#REF!</v>
      </c>
      <c r="U632" s="97" t="str">
        <f t="shared" ca="1" si="29"/>
        <v>#REF!</v>
      </c>
      <c r="V632" s="97" t="str">
        <f t="shared" ca="1" si="7"/>
        <v>#REF!</v>
      </c>
      <c r="W632" s="97" t="str">
        <f t="shared" ca="1" si="8"/>
        <v>#REF!</v>
      </c>
      <c r="X632" s="121">
        <v>0</v>
      </c>
      <c r="Y632" s="121" t="str">
        <f t="shared" ca="1" si="9"/>
        <v>#REF!</v>
      </c>
      <c r="Z632" s="121" t="str">
        <f t="shared" ca="1" si="10"/>
        <v>#REF!</v>
      </c>
      <c r="AA632" s="99" t="str">
        <f t="shared" ca="1" si="11"/>
        <v>#REF!</v>
      </c>
      <c r="AB632" s="234" t="str">
        <f t="shared" ca="1" si="12"/>
        <v>#REF!</v>
      </c>
      <c r="AC632" s="257" t="str">
        <f t="shared" ca="1" si="13"/>
        <v>#REF!</v>
      </c>
      <c r="AD632" s="234" t="str">
        <f t="shared" ca="1" si="14"/>
        <v>#REF!</v>
      </c>
      <c r="AE632" s="100" t="str">
        <f t="shared" ca="1" si="15"/>
        <v>#REF!</v>
      </c>
      <c r="AF632" s="101" t="str">
        <f t="shared" ca="1" si="16"/>
        <v>#REF!</v>
      </c>
      <c r="AG632" s="102" t="str">
        <f t="shared" ref="AG632:AH632" ca="1" si="650">AE632/V632</f>
        <v>#REF!</v>
      </c>
      <c r="AH632" s="102" t="str">
        <f t="shared" ca="1" si="650"/>
        <v>#REF!</v>
      </c>
    </row>
    <row r="633" spans="1:34" ht="13.2">
      <c r="A633" s="251"/>
      <c r="B633" s="251"/>
      <c r="C633" s="252"/>
      <c r="D633" s="252"/>
      <c r="E633" s="114"/>
      <c r="F633" s="252"/>
      <c r="G633" s="125" t="s">
        <v>145</v>
      </c>
      <c r="I633" s="172"/>
      <c r="J633" s="82" t="str">
        <f t="shared" ca="1" si="0"/>
        <v>#REF!</v>
      </c>
      <c r="K633" s="82" t="str">
        <f t="shared" ca="1" si="1"/>
        <v>#REF!</v>
      </c>
      <c r="L633" s="82" t="str">
        <f t="shared" ca="1" si="44"/>
        <v>#REF!</v>
      </c>
      <c r="M633" s="93"/>
      <c r="N633" s="93"/>
      <c r="O633" s="95">
        <f t="shared" si="2"/>
        <v>0</v>
      </c>
      <c r="P633" s="96">
        <f t="shared" si="3"/>
        <v>0</v>
      </c>
      <c r="Q633" s="97">
        <f t="shared" si="4"/>
        <v>0</v>
      </c>
      <c r="R633" s="97" t="str">
        <f ca="1">ROUNDUP(HLOOKUP(IF(CEILING(L633,0.5)&lt;1,0.5,CEILING(L633,0.5)),'배송비 조회'!A$44:AO$56,7,0)*B$3,-2)</f>
        <v>#REF!</v>
      </c>
      <c r="S633" s="97">
        <v>0</v>
      </c>
      <c r="T633" s="97" t="str">
        <f t="shared" ca="1" si="42"/>
        <v>#REF!</v>
      </c>
      <c r="U633" s="97" t="str">
        <f t="shared" ca="1" si="29"/>
        <v>#REF!</v>
      </c>
      <c r="V633" s="97" t="str">
        <f t="shared" ca="1" si="7"/>
        <v>#REF!</v>
      </c>
      <c r="W633" s="97" t="str">
        <f t="shared" ca="1" si="8"/>
        <v>#REF!</v>
      </c>
      <c r="X633" s="121">
        <v>0</v>
      </c>
      <c r="Y633" s="121" t="str">
        <f t="shared" ca="1" si="9"/>
        <v>#REF!</v>
      </c>
      <c r="Z633" s="121" t="str">
        <f t="shared" ca="1" si="10"/>
        <v>#REF!</v>
      </c>
      <c r="AA633" s="99" t="str">
        <f t="shared" ca="1" si="11"/>
        <v>#REF!</v>
      </c>
      <c r="AB633" s="234" t="str">
        <f t="shared" ca="1" si="12"/>
        <v>#REF!</v>
      </c>
      <c r="AC633" s="257" t="str">
        <f t="shared" ca="1" si="13"/>
        <v>#REF!</v>
      </c>
      <c r="AD633" s="234" t="str">
        <f t="shared" ca="1" si="14"/>
        <v>#REF!</v>
      </c>
      <c r="AE633" s="100" t="str">
        <f t="shared" ca="1" si="15"/>
        <v>#REF!</v>
      </c>
      <c r="AF633" s="101" t="str">
        <f t="shared" ca="1" si="16"/>
        <v>#REF!</v>
      </c>
      <c r="AG633" s="102" t="str">
        <f t="shared" ref="AG633:AH633" ca="1" si="651">AE633/V633</f>
        <v>#REF!</v>
      </c>
      <c r="AH633" s="102" t="str">
        <f t="shared" ca="1" si="651"/>
        <v>#REF!</v>
      </c>
    </row>
    <row r="634" spans="1:34" ht="13.2">
      <c r="A634" s="251"/>
      <c r="B634" s="251"/>
      <c r="C634" s="252"/>
      <c r="D634" s="252"/>
      <c r="E634" s="114"/>
      <c r="F634" s="252"/>
      <c r="G634" s="125" t="s">
        <v>145</v>
      </c>
      <c r="I634" s="172"/>
      <c r="J634" s="82" t="str">
        <f t="shared" ca="1" si="0"/>
        <v>#REF!</v>
      </c>
      <c r="K634" s="82" t="str">
        <f t="shared" ca="1" si="1"/>
        <v>#REF!</v>
      </c>
      <c r="L634" s="82" t="str">
        <f t="shared" ca="1" si="44"/>
        <v>#REF!</v>
      </c>
      <c r="M634" s="93"/>
      <c r="N634" s="93"/>
      <c r="O634" s="95">
        <f t="shared" si="2"/>
        <v>0</v>
      </c>
      <c r="P634" s="96">
        <f t="shared" si="3"/>
        <v>0</v>
      </c>
      <c r="Q634" s="97">
        <f t="shared" si="4"/>
        <v>0</v>
      </c>
      <c r="R634" s="97" t="str">
        <f ca="1">ROUNDUP(HLOOKUP(IF(CEILING(L634,0.5)&lt;1,0.5,CEILING(L634,0.5)),'배송비 조회'!A$44:AO$56,7,0)*B$3,-2)</f>
        <v>#REF!</v>
      </c>
      <c r="S634" s="97">
        <v>0</v>
      </c>
      <c r="T634" s="97" t="str">
        <f t="shared" ca="1" si="42"/>
        <v>#REF!</v>
      </c>
      <c r="U634" s="97" t="str">
        <f t="shared" ca="1" si="29"/>
        <v>#REF!</v>
      </c>
      <c r="V634" s="97" t="str">
        <f t="shared" ca="1" si="7"/>
        <v>#REF!</v>
      </c>
      <c r="W634" s="97" t="str">
        <f t="shared" ca="1" si="8"/>
        <v>#REF!</v>
      </c>
      <c r="X634" s="121">
        <v>0</v>
      </c>
      <c r="Y634" s="121" t="str">
        <f t="shared" ca="1" si="9"/>
        <v>#REF!</v>
      </c>
      <c r="Z634" s="121" t="str">
        <f t="shared" ca="1" si="10"/>
        <v>#REF!</v>
      </c>
      <c r="AA634" s="99" t="str">
        <f t="shared" ca="1" si="11"/>
        <v>#REF!</v>
      </c>
      <c r="AB634" s="234" t="str">
        <f t="shared" ca="1" si="12"/>
        <v>#REF!</v>
      </c>
      <c r="AC634" s="257" t="str">
        <f t="shared" ca="1" si="13"/>
        <v>#REF!</v>
      </c>
      <c r="AD634" s="234" t="str">
        <f t="shared" ca="1" si="14"/>
        <v>#REF!</v>
      </c>
      <c r="AE634" s="100" t="str">
        <f t="shared" ca="1" si="15"/>
        <v>#REF!</v>
      </c>
      <c r="AF634" s="101" t="str">
        <f t="shared" ca="1" si="16"/>
        <v>#REF!</v>
      </c>
      <c r="AG634" s="102" t="str">
        <f t="shared" ref="AG634:AH634" ca="1" si="652">AE634/V634</f>
        <v>#REF!</v>
      </c>
      <c r="AH634" s="102" t="str">
        <f t="shared" ca="1" si="652"/>
        <v>#REF!</v>
      </c>
    </row>
    <row r="635" spans="1:34" ht="13.2">
      <c r="A635" s="251"/>
      <c r="B635" s="251"/>
      <c r="C635" s="252"/>
      <c r="D635" s="252"/>
      <c r="E635" s="114"/>
      <c r="F635" s="252"/>
      <c r="G635" s="125" t="s">
        <v>145</v>
      </c>
      <c r="I635" s="172"/>
      <c r="J635" s="82" t="str">
        <f t="shared" ca="1" si="0"/>
        <v>#REF!</v>
      </c>
      <c r="K635" s="82" t="str">
        <f t="shared" ca="1" si="1"/>
        <v>#REF!</v>
      </c>
      <c r="L635" s="82" t="str">
        <f t="shared" ca="1" si="44"/>
        <v>#REF!</v>
      </c>
      <c r="M635" s="93"/>
      <c r="N635" s="93"/>
      <c r="O635" s="95">
        <f t="shared" si="2"/>
        <v>0</v>
      </c>
      <c r="P635" s="96">
        <f t="shared" si="3"/>
        <v>0</v>
      </c>
      <c r="Q635" s="97">
        <f t="shared" si="4"/>
        <v>0</v>
      </c>
      <c r="R635" s="97" t="str">
        <f ca="1">ROUNDUP(HLOOKUP(IF(CEILING(L635,0.5)&lt;1,0.5,CEILING(L635,0.5)),'배송비 조회'!A$44:AO$56,7,0)*B$3,-2)</f>
        <v>#REF!</v>
      </c>
      <c r="S635" s="97">
        <v>0</v>
      </c>
      <c r="T635" s="97" t="str">
        <f t="shared" ca="1" si="42"/>
        <v>#REF!</v>
      </c>
      <c r="U635" s="97" t="str">
        <f t="shared" ca="1" si="29"/>
        <v>#REF!</v>
      </c>
      <c r="V635" s="97" t="str">
        <f t="shared" ca="1" si="7"/>
        <v>#REF!</v>
      </c>
      <c r="W635" s="97" t="str">
        <f t="shared" ca="1" si="8"/>
        <v>#REF!</v>
      </c>
      <c r="X635" s="121">
        <v>0</v>
      </c>
      <c r="Y635" s="121" t="str">
        <f t="shared" ca="1" si="9"/>
        <v>#REF!</v>
      </c>
      <c r="Z635" s="121" t="str">
        <f t="shared" ca="1" si="10"/>
        <v>#REF!</v>
      </c>
      <c r="AA635" s="99" t="str">
        <f t="shared" ca="1" si="11"/>
        <v>#REF!</v>
      </c>
      <c r="AB635" s="234" t="str">
        <f t="shared" ca="1" si="12"/>
        <v>#REF!</v>
      </c>
      <c r="AC635" s="257" t="str">
        <f t="shared" ca="1" si="13"/>
        <v>#REF!</v>
      </c>
      <c r="AD635" s="234" t="str">
        <f t="shared" ca="1" si="14"/>
        <v>#REF!</v>
      </c>
      <c r="AE635" s="100" t="str">
        <f t="shared" ca="1" si="15"/>
        <v>#REF!</v>
      </c>
      <c r="AF635" s="101" t="str">
        <f t="shared" ca="1" si="16"/>
        <v>#REF!</v>
      </c>
      <c r="AG635" s="102" t="str">
        <f t="shared" ref="AG635:AH635" ca="1" si="653">AE635/V635</f>
        <v>#REF!</v>
      </c>
      <c r="AH635" s="102" t="str">
        <f t="shared" ca="1" si="653"/>
        <v>#REF!</v>
      </c>
    </row>
    <row r="636" spans="1:34" ht="13.2">
      <c r="A636" s="251"/>
      <c r="B636" s="251"/>
      <c r="C636" s="252"/>
      <c r="D636" s="252"/>
      <c r="E636" s="114"/>
      <c r="F636" s="252"/>
      <c r="G636" s="125" t="s">
        <v>145</v>
      </c>
      <c r="I636" s="172"/>
      <c r="J636" s="82" t="str">
        <f t="shared" ca="1" si="0"/>
        <v>#REF!</v>
      </c>
      <c r="K636" s="82" t="str">
        <f t="shared" ca="1" si="1"/>
        <v>#REF!</v>
      </c>
      <c r="L636" s="82" t="str">
        <f t="shared" ca="1" si="44"/>
        <v>#REF!</v>
      </c>
      <c r="M636" s="93"/>
      <c r="N636" s="93"/>
      <c r="O636" s="95">
        <f t="shared" si="2"/>
        <v>0</v>
      </c>
      <c r="P636" s="96">
        <f t="shared" si="3"/>
        <v>0</v>
      </c>
      <c r="Q636" s="97">
        <f t="shared" si="4"/>
        <v>0</v>
      </c>
      <c r="R636" s="97" t="str">
        <f ca="1">ROUNDUP(HLOOKUP(IF(CEILING(L636,0.5)&lt;1,0.5,CEILING(L636,0.5)),'배송비 조회'!A$44:AO$56,7,0)*B$3,-2)</f>
        <v>#REF!</v>
      </c>
      <c r="S636" s="97">
        <v>0</v>
      </c>
      <c r="T636" s="97" t="str">
        <f t="shared" ca="1" si="42"/>
        <v>#REF!</v>
      </c>
      <c r="U636" s="97" t="str">
        <f t="shared" ca="1" si="29"/>
        <v>#REF!</v>
      </c>
      <c r="V636" s="97" t="str">
        <f t="shared" ca="1" si="7"/>
        <v>#REF!</v>
      </c>
      <c r="W636" s="97" t="str">
        <f t="shared" ca="1" si="8"/>
        <v>#REF!</v>
      </c>
      <c r="X636" s="121">
        <v>0</v>
      </c>
      <c r="Y636" s="121" t="str">
        <f t="shared" ca="1" si="9"/>
        <v>#REF!</v>
      </c>
      <c r="Z636" s="121" t="str">
        <f t="shared" ca="1" si="10"/>
        <v>#REF!</v>
      </c>
      <c r="AA636" s="99" t="str">
        <f t="shared" ca="1" si="11"/>
        <v>#REF!</v>
      </c>
      <c r="AB636" s="234" t="str">
        <f t="shared" ca="1" si="12"/>
        <v>#REF!</v>
      </c>
      <c r="AC636" s="257" t="str">
        <f t="shared" ca="1" si="13"/>
        <v>#REF!</v>
      </c>
      <c r="AD636" s="234" t="str">
        <f t="shared" ca="1" si="14"/>
        <v>#REF!</v>
      </c>
      <c r="AE636" s="100" t="str">
        <f t="shared" ca="1" si="15"/>
        <v>#REF!</v>
      </c>
      <c r="AF636" s="101" t="str">
        <f t="shared" ca="1" si="16"/>
        <v>#REF!</v>
      </c>
      <c r="AG636" s="102" t="str">
        <f t="shared" ref="AG636:AH636" ca="1" si="654">AE636/V636</f>
        <v>#REF!</v>
      </c>
      <c r="AH636" s="102" t="str">
        <f t="shared" ca="1" si="654"/>
        <v>#REF!</v>
      </c>
    </row>
    <row r="637" spans="1:34" ht="13.2">
      <c r="A637" s="251"/>
      <c r="B637" s="251"/>
      <c r="C637" s="252"/>
      <c r="D637" s="252"/>
      <c r="E637" s="114"/>
      <c r="F637" s="252"/>
      <c r="G637" s="125" t="s">
        <v>145</v>
      </c>
      <c r="I637" s="172"/>
      <c r="J637" s="82" t="str">
        <f t="shared" ca="1" si="0"/>
        <v>#REF!</v>
      </c>
      <c r="K637" s="82" t="str">
        <f t="shared" ca="1" si="1"/>
        <v>#REF!</v>
      </c>
      <c r="L637" s="82" t="str">
        <f t="shared" ca="1" si="44"/>
        <v>#REF!</v>
      </c>
      <c r="M637" s="93"/>
      <c r="N637" s="93"/>
      <c r="O637" s="95">
        <f t="shared" si="2"/>
        <v>0</v>
      </c>
      <c r="P637" s="96">
        <f t="shared" si="3"/>
        <v>0</v>
      </c>
      <c r="Q637" s="97">
        <f t="shared" si="4"/>
        <v>0</v>
      </c>
      <c r="R637" s="97" t="str">
        <f ca="1">ROUNDUP(HLOOKUP(IF(CEILING(L637,0.5)&lt;1,0.5,CEILING(L637,0.5)),'배송비 조회'!A$44:AO$56,7,0)*B$3,-2)</f>
        <v>#REF!</v>
      </c>
      <c r="S637" s="97">
        <v>0</v>
      </c>
      <c r="T637" s="97" t="str">
        <f t="shared" ca="1" si="42"/>
        <v>#REF!</v>
      </c>
      <c r="U637" s="97" t="str">
        <f t="shared" ca="1" si="29"/>
        <v>#REF!</v>
      </c>
      <c r="V637" s="97" t="str">
        <f t="shared" ca="1" si="7"/>
        <v>#REF!</v>
      </c>
      <c r="W637" s="97" t="str">
        <f t="shared" ca="1" si="8"/>
        <v>#REF!</v>
      </c>
      <c r="X637" s="121">
        <v>0</v>
      </c>
      <c r="Y637" s="121" t="str">
        <f t="shared" ca="1" si="9"/>
        <v>#REF!</v>
      </c>
      <c r="Z637" s="121" t="str">
        <f t="shared" ca="1" si="10"/>
        <v>#REF!</v>
      </c>
      <c r="AA637" s="99" t="str">
        <f t="shared" ca="1" si="11"/>
        <v>#REF!</v>
      </c>
      <c r="AB637" s="234" t="str">
        <f t="shared" ca="1" si="12"/>
        <v>#REF!</v>
      </c>
      <c r="AC637" s="257" t="str">
        <f t="shared" ca="1" si="13"/>
        <v>#REF!</v>
      </c>
      <c r="AD637" s="234" t="str">
        <f t="shared" ca="1" si="14"/>
        <v>#REF!</v>
      </c>
      <c r="AE637" s="100" t="str">
        <f t="shared" ca="1" si="15"/>
        <v>#REF!</v>
      </c>
      <c r="AF637" s="101" t="str">
        <f t="shared" ca="1" si="16"/>
        <v>#REF!</v>
      </c>
      <c r="AG637" s="102" t="str">
        <f t="shared" ref="AG637:AH637" ca="1" si="655">AE637/V637</f>
        <v>#REF!</v>
      </c>
      <c r="AH637" s="102" t="str">
        <f t="shared" ca="1" si="655"/>
        <v>#REF!</v>
      </c>
    </row>
    <row r="638" spans="1:34" ht="13.2">
      <c r="A638" s="251"/>
      <c r="B638" s="251"/>
      <c r="C638" s="252"/>
      <c r="D638" s="252"/>
      <c r="E638" s="114"/>
      <c r="F638" s="252"/>
      <c r="G638" s="125" t="s">
        <v>145</v>
      </c>
      <c r="I638" s="172"/>
      <c r="J638" s="82" t="str">
        <f t="shared" ca="1" si="0"/>
        <v>#REF!</v>
      </c>
      <c r="K638" s="82" t="str">
        <f t="shared" ca="1" si="1"/>
        <v>#REF!</v>
      </c>
      <c r="L638" s="82" t="str">
        <f t="shared" ca="1" si="44"/>
        <v>#REF!</v>
      </c>
      <c r="M638" s="93"/>
      <c r="N638" s="93"/>
      <c r="O638" s="95">
        <f t="shared" si="2"/>
        <v>0</v>
      </c>
      <c r="P638" s="96">
        <f t="shared" si="3"/>
        <v>0</v>
      </c>
      <c r="Q638" s="97">
        <f t="shared" si="4"/>
        <v>0</v>
      </c>
      <c r="R638" s="97" t="str">
        <f ca="1">ROUNDUP(HLOOKUP(IF(CEILING(L638,0.5)&lt;1,0.5,CEILING(L638,0.5)),'배송비 조회'!A$44:AO$56,7,0)*B$3,-2)</f>
        <v>#REF!</v>
      </c>
      <c r="S638" s="97">
        <v>0</v>
      </c>
      <c r="T638" s="97" t="str">
        <f t="shared" ca="1" si="42"/>
        <v>#REF!</v>
      </c>
      <c r="U638" s="97" t="str">
        <f t="shared" ca="1" si="29"/>
        <v>#REF!</v>
      </c>
      <c r="V638" s="97" t="str">
        <f t="shared" ca="1" si="7"/>
        <v>#REF!</v>
      </c>
      <c r="W638" s="97" t="str">
        <f t="shared" ca="1" si="8"/>
        <v>#REF!</v>
      </c>
      <c r="X638" s="121">
        <v>0</v>
      </c>
      <c r="Y638" s="121" t="str">
        <f t="shared" ca="1" si="9"/>
        <v>#REF!</v>
      </c>
      <c r="Z638" s="121" t="str">
        <f t="shared" ca="1" si="10"/>
        <v>#REF!</v>
      </c>
      <c r="AA638" s="99" t="str">
        <f t="shared" ca="1" si="11"/>
        <v>#REF!</v>
      </c>
      <c r="AB638" s="234" t="str">
        <f t="shared" ca="1" si="12"/>
        <v>#REF!</v>
      </c>
      <c r="AC638" s="257" t="str">
        <f t="shared" ca="1" si="13"/>
        <v>#REF!</v>
      </c>
      <c r="AD638" s="234" t="str">
        <f t="shared" ca="1" si="14"/>
        <v>#REF!</v>
      </c>
      <c r="AE638" s="100" t="str">
        <f t="shared" ca="1" si="15"/>
        <v>#REF!</v>
      </c>
      <c r="AF638" s="101" t="str">
        <f t="shared" ca="1" si="16"/>
        <v>#REF!</v>
      </c>
      <c r="AG638" s="102" t="str">
        <f t="shared" ref="AG638:AH638" ca="1" si="656">AE638/V638</f>
        <v>#REF!</v>
      </c>
      <c r="AH638" s="102" t="str">
        <f t="shared" ca="1" si="656"/>
        <v>#REF!</v>
      </c>
    </row>
    <row r="639" spans="1:34" ht="13.2">
      <c r="A639" s="251"/>
      <c r="B639" s="251"/>
      <c r="C639" s="252"/>
      <c r="D639" s="252"/>
      <c r="E639" s="114"/>
      <c r="F639" s="252"/>
      <c r="G639" s="125" t="s">
        <v>145</v>
      </c>
      <c r="I639" s="172"/>
      <c r="J639" s="82" t="str">
        <f t="shared" ca="1" si="0"/>
        <v>#REF!</v>
      </c>
      <c r="K639" s="82" t="str">
        <f t="shared" ca="1" si="1"/>
        <v>#REF!</v>
      </c>
      <c r="L639" s="82" t="str">
        <f t="shared" ca="1" si="44"/>
        <v>#REF!</v>
      </c>
      <c r="M639" s="93"/>
      <c r="N639" s="93"/>
      <c r="O639" s="95">
        <f t="shared" si="2"/>
        <v>0</v>
      </c>
      <c r="P639" s="96">
        <f t="shared" si="3"/>
        <v>0</v>
      </c>
      <c r="Q639" s="97">
        <f t="shared" si="4"/>
        <v>0</v>
      </c>
      <c r="R639" s="97" t="str">
        <f ca="1">ROUNDUP(HLOOKUP(IF(CEILING(L639,0.5)&lt;1,0.5,CEILING(L639,0.5)),'배송비 조회'!A$44:AO$56,7,0)*B$3,-2)</f>
        <v>#REF!</v>
      </c>
      <c r="S639" s="97">
        <v>0</v>
      </c>
      <c r="T639" s="97" t="str">
        <f t="shared" ca="1" si="42"/>
        <v>#REF!</v>
      </c>
      <c r="U639" s="97" t="str">
        <f t="shared" ca="1" si="29"/>
        <v>#REF!</v>
      </c>
      <c r="V639" s="97" t="str">
        <f t="shared" ca="1" si="7"/>
        <v>#REF!</v>
      </c>
      <c r="W639" s="97" t="str">
        <f t="shared" ca="1" si="8"/>
        <v>#REF!</v>
      </c>
      <c r="X639" s="121">
        <v>0</v>
      </c>
      <c r="Y639" s="121" t="str">
        <f t="shared" ca="1" si="9"/>
        <v>#REF!</v>
      </c>
      <c r="Z639" s="121" t="str">
        <f t="shared" ca="1" si="10"/>
        <v>#REF!</v>
      </c>
      <c r="AA639" s="99" t="str">
        <f t="shared" ca="1" si="11"/>
        <v>#REF!</v>
      </c>
      <c r="AB639" s="234" t="str">
        <f t="shared" ca="1" si="12"/>
        <v>#REF!</v>
      </c>
      <c r="AC639" s="257" t="str">
        <f t="shared" ca="1" si="13"/>
        <v>#REF!</v>
      </c>
      <c r="AD639" s="234" t="str">
        <f t="shared" ca="1" si="14"/>
        <v>#REF!</v>
      </c>
      <c r="AE639" s="100" t="str">
        <f t="shared" ca="1" si="15"/>
        <v>#REF!</v>
      </c>
      <c r="AF639" s="101" t="str">
        <f t="shared" ca="1" si="16"/>
        <v>#REF!</v>
      </c>
      <c r="AG639" s="102" t="str">
        <f t="shared" ref="AG639:AH639" ca="1" si="657">AE639/V639</f>
        <v>#REF!</v>
      </c>
      <c r="AH639" s="102" t="str">
        <f t="shared" ca="1" si="657"/>
        <v>#REF!</v>
      </c>
    </row>
    <row r="640" spans="1:34" ht="13.2">
      <c r="A640" s="251"/>
      <c r="B640" s="251"/>
      <c r="C640" s="252"/>
      <c r="D640" s="252"/>
      <c r="E640" s="114"/>
      <c r="F640" s="252"/>
      <c r="G640" s="125" t="s">
        <v>145</v>
      </c>
      <c r="I640" s="172"/>
      <c r="J640" s="82" t="str">
        <f t="shared" ca="1" si="0"/>
        <v>#REF!</v>
      </c>
      <c r="K640" s="82" t="str">
        <f t="shared" ca="1" si="1"/>
        <v>#REF!</v>
      </c>
      <c r="L640" s="82" t="str">
        <f t="shared" ca="1" si="44"/>
        <v>#REF!</v>
      </c>
      <c r="M640" s="93"/>
      <c r="N640" s="93"/>
      <c r="O640" s="95">
        <f t="shared" si="2"/>
        <v>0</v>
      </c>
      <c r="P640" s="96">
        <f t="shared" si="3"/>
        <v>0</v>
      </c>
      <c r="Q640" s="97">
        <f t="shared" si="4"/>
        <v>0</v>
      </c>
      <c r="R640" s="97" t="str">
        <f ca="1">ROUNDUP(HLOOKUP(IF(CEILING(L640,0.5)&lt;1,0.5,CEILING(L640,0.5)),'배송비 조회'!A$44:AO$56,7,0)*B$3,-2)</f>
        <v>#REF!</v>
      </c>
      <c r="S640" s="97">
        <v>0</v>
      </c>
      <c r="T640" s="97" t="str">
        <f t="shared" ca="1" si="42"/>
        <v>#REF!</v>
      </c>
      <c r="U640" s="97" t="str">
        <f t="shared" ca="1" si="29"/>
        <v>#REF!</v>
      </c>
      <c r="V640" s="97" t="str">
        <f t="shared" ca="1" si="7"/>
        <v>#REF!</v>
      </c>
      <c r="W640" s="97" t="str">
        <f t="shared" ca="1" si="8"/>
        <v>#REF!</v>
      </c>
      <c r="X640" s="121">
        <v>0</v>
      </c>
      <c r="Y640" s="121" t="str">
        <f t="shared" ca="1" si="9"/>
        <v>#REF!</v>
      </c>
      <c r="Z640" s="121" t="str">
        <f t="shared" ca="1" si="10"/>
        <v>#REF!</v>
      </c>
      <c r="AA640" s="99" t="str">
        <f t="shared" ca="1" si="11"/>
        <v>#REF!</v>
      </c>
      <c r="AB640" s="234" t="str">
        <f t="shared" ca="1" si="12"/>
        <v>#REF!</v>
      </c>
      <c r="AC640" s="257" t="str">
        <f t="shared" ca="1" si="13"/>
        <v>#REF!</v>
      </c>
      <c r="AD640" s="234" t="str">
        <f t="shared" ca="1" si="14"/>
        <v>#REF!</v>
      </c>
      <c r="AE640" s="100" t="str">
        <f t="shared" ca="1" si="15"/>
        <v>#REF!</v>
      </c>
      <c r="AF640" s="101" t="str">
        <f t="shared" ca="1" si="16"/>
        <v>#REF!</v>
      </c>
      <c r="AG640" s="102" t="str">
        <f t="shared" ref="AG640:AH640" ca="1" si="658">AE640/V640</f>
        <v>#REF!</v>
      </c>
      <c r="AH640" s="102" t="str">
        <f t="shared" ca="1" si="658"/>
        <v>#REF!</v>
      </c>
    </row>
    <row r="641" spans="1:34" ht="13.2">
      <c r="A641" s="251"/>
      <c r="B641" s="251"/>
      <c r="C641" s="252"/>
      <c r="D641" s="252"/>
      <c r="E641" s="114"/>
      <c r="F641" s="252"/>
      <c r="G641" s="125" t="s">
        <v>145</v>
      </c>
      <c r="I641" s="172"/>
      <c r="J641" s="82" t="str">
        <f t="shared" ca="1" si="0"/>
        <v>#REF!</v>
      </c>
      <c r="K641" s="82" t="str">
        <f t="shared" ca="1" si="1"/>
        <v>#REF!</v>
      </c>
      <c r="L641" s="82" t="str">
        <f t="shared" ca="1" si="44"/>
        <v>#REF!</v>
      </c>
      <c r="M641" s="93"/>
      <c r="N641" s="93"/>
      <c r="O641" s="95">
        <f t="shared" si="2"/>
        <v>0</v>
      </c>
      <c r="P641" s="96">
        <f t="shared" si="3"/>
        <v>0</v>
      </c>
      <c r="Q641" s="97">
        <f t="shared" si="4"/>
        <v>0</v>
      </c>
      <c r="R641" s="97" t="str">
        <f ca="1">ROUNDUP(HLOOKUP(IF(CEILING(L641,0.5)&lt;1,0.5,CEILING(L641,0.5)),'배송비 조회'!A$44:AO$56,7,0)*B$3,-2)</f>
        <v>#REF!</v>
      </c>
      <c r="S641" s="97">
        <v>0</v>
      </c>
      <c r="T641" s="97" t="str">
        <f t="shared" ca="1" si="42"/>
        <v>#REF!</v>
      </c>
      <c r="U641" s="97" t="str">
        <f t="shared" ca="1" si="29"/>
        <v>#REF!</v>
      </c>
      <c r="V641" s="97" t="str">
        <f t="shared" ca="1" si="7"/>
        <v>#REF!</v>
      </c>
      <c r="W641" s="97" t="str">
        <f t="shared" ca="1" si="8"/>
        <v>#REF!</v>
      </c>
      <c r="X641" s="121">
        <v>0</v>
      </c>
      <c r="Y641" s="121" t="str">
        <f t="shared" ca="1" si="9"/>
        <v>#REF!</v>
      </c>
      <c r="Z641" s="121" t="str">
        <f t="shared" ca="1" si="10"/>
        <v>#REF!</v>
      </c>
      <c r="AA641" s="99" t="str">
        <f t="shared" ca="1" si="11"/>
        <v>#REF!</v>
      </c>
      <c r="AB641" s="234" t="str">
        <f t="shared" ca="1" si="12"/>
        <v>#REF!</v>
      </c>
      <c r="AC641" s="257" t="str">
        <f t="shared" ca="1" si="13"/>
        <v>#REF!</v>
      </c>
      <c r="AD641" s="234" t="str">
        <f t="shared" ca="1" si="14"/>
        <v>#REF!</v>
      </c>
      <c r="AE641" s="100" t="str">
        <f t="shared" ca="1" si="15"/>
        <v>#REF!</v>
      </c>
      <c r="AF641" s="101" t="str">
        <f t="shared" ca="1" si="16"/>
        <v>#REF!</v>
      </c>
      <c r="AG641" s="102" t="str">
        <f t="shared" ref="AG641:AH641" ca="1" si="659">AE641/V641</f>
        <v>#REF!</v>
      </c>
      <c r="AH641" s="102" t="str">
        <f t="shared" ca="1" si="659"/>
        <v>#REF!</v>
      </c>
    </row>
    <row r="642" spans="1:34" ht="13.2">
      <c r="A642" s="251"/>
      <c r="B642" s="251"/>
      <c r="C642" s="252"/>
      <c r="D642" s="252"/>
      <c r="E642" s="114"/>
      <c r="F642" s="252"/>
      <c r="G642" s="125" t="s">
        <v>145</v>
      </c>
      <c r="I642" s="172"/>
      <c r="J642" s="82" t="str">
        <f t="shared" ca="1" si="0"/>
        <v>#REF!</v>
      </c>
      <c r="K642" s="82" t="str">
        <f t="shared" ca="1" si="1"/>
        <v>#REF!</v>
      </c>
      <c r="L642" s="82" t="str">
        <f t="shared" ca="1" si="44"/>
        <v>#REF!</v>
      </c>
      <c r="M642" s="93"/>
      <c r="N642" s="93"/>
      <c r="O642" s="95">
        <f t="shared" si="2"/>
        <v>0</v>
      </c>
      <c r="P642" s="96">
        <f t="shared" si="3"/>
        <v>0</v>
      </c>
      <c r="Q642" s="97">
        <f t="shared" si="4"/>
        <v>0</v>
      </c>
      <c r="R642" s="97" t="str">
        <f ca="1">ROUNDUP(HLOOKUP(IF(CEILING(L642,0.5)&lt;1,0.5,CEILING(L642,0.5)),'배송비 조회'!A$44:AO$56,7,0)*B$3,-2)</f>
        <v>#REF!</v>
      </c>
      <c r="S642" s="97">
        <v>0</v>
      </c>
      <c r="T642" s="97" t="str">
        <f t="shared" ca="1" si="42"/>
        <v>#REF!</v>
      </c>
      <c r="U642" s="97" t="str">
        <f t="shared" ca="1" si="29"/>
        <v>#REF!</v>
      </c>
      <c r="V642" s="97" t="str">
        <f t="shared" ca="1" si="7"/>
        <v>#REF!</v>
      </c>
      <c r="W642" s="97" t="str">
        <f t="shared" ca="1" si="8"/>
        <v>#REF!</v>
      </c>
      <c r="X642" s="121">
        <v>0</v>
      </c>
      <c r="Y642" s="121" t="str">
        <f t="shared" ca="1" si="9"/>
        <v>#REF!</v>
      </c>
      <c r="Z642" s="121" t="str">
        <f t="shared" ca="1" si="10"/>
        <v>#REF!</v>
      </c>
      <c r="AA642" s="99" t="str">
        <f t="shared" ca="1" si="11"/>
        <v>#REF!</v>
      </c>
      <c r="AB642" s="234" t="str">
        <f t="shared" ca="1" si="12"/>
        <v>#REF!</v>
      </c>
      <c r="AC642" s="257" t="str">
        <f t="shared" ca="1" si="13"/>
        <v>#REF!</v>
      </c>
      <c r="AD642" s="234" t="str">
        <f t="shared" ca="1" si="14"/>
        <v>#REF!</v>
      </c>
      <c r="AE642" s="100" t="str">
        <f t="shared" ca="1" si="15"/>
        <v>#REF!</v>
      </c>
      <c r="AF642" s="101" t="str">
        <f t="shared" ca="1" si="16"/>
        <v>#REF!</v>
      </c>
      <c r="AG642" s="102" t="str">
        <f t="shared" ref="AG642:AH642" ca="1" si="660">AE642/V642</f>
        <v>#REF!</v>
      </c>
      <c r="AH642" s="102" t="str">
        <f t="shared" ca="1" si="660"/>
        <v>#REF!</v>
      </c>
    </row>
    <row r="643" spans="1:34" ht="13.2">
      <c r="A643" s="251"/>
      <c r="B643" s="251"/>
      <c r="C643" s="252"/>
      <c r="D643" s="252"/>
      <c r="E643" s="114"/>
      <c r="F643" s="252"/>
      <c r="G643" s="125" t="s">
        <v>145</v>
      </c>
      <c r="I643" s="172"/>
      <c r="J643" s="82" t="str">
        <f t="shared" ca="1" si="0"/>
        <v>#REF!</v>
      </c>
      <c r="K643" s="82" t="str">
        <f t="shared" ca="1" si="1"/>
        <v>#REF!</v>
      </c>
      <c r="L643" s="82" t="str">
        <f t="shared" ca="1" si="44"/>
        <v>#REF!</v>
      </c>
      <c r="M643" s="93"/>
      <c r="N643" s="93"/>
      <c r="O643" s="95">
        <f t="shared" si="2"/>
        <v>0</v>
      </c>
      <c r="P643" s="96">
        <f t="shared" si="3"/>
        <v>0</v>
      </c>
      <c r="Q643" s="97">
        <f t="shared" si="4"/>
        <v>0</v>
      </c>
      <c r="R643" s="97" t="str">
        <f ca="1">ROUNDUP(HLOOKUP(IF(CEILING(L643,0.5)&lt;1,0.5,CEILING(L643,0.5)),'배송비 조회'!A$44:AO$56,7,0)*B$3,-2)</f>
        <v>#REF!</v>
      </c>
      <c r="S643" s="97">
        <v>0</v>
      </c>
      <c r="T643" s="97" t="str">
        <f t="shared" ca="1" si="42"/>
        <v>#REF!</v>
      </c>
      <c r="U643" s="97" t="str">
        <f t="shared" ca="1" si="29"/>
        <v>#REF!</v>
      </c>
      <c r="V643" s="97" t="str">
        <f t="shared" ca="1" si="7"/>
        <v>#REF!</v>
      </c>
      <c r="W643" s="97" t="str">
        <f t="shared" ca="1" si="8"/>
        <v>#REF!</v>
      </c>
      <c r="X643" s="121">
        <v>0</v>
      </c>
      <c r="Y643" s="121" t="str">
        <f t="shared" ca="1" si="9"/>
        <v>#REF!</v>
      </c>
      <c r="Z643" s="121" t="str">
        <f t="shared" ca="1" si="10"/>
        <v>#REF!</v>
      </c>
      <c r="AA643" s="99" t="str">
        <f t="shared" ca="1" si="11"/>
        <v>#REF!</v>
      </c>
      <c r="AB643" s="234" t="str">
        <f t="shared" ca="1" si="12"/>
        <v>#REF!</v>
      </c>
      <c r="AC643" s="257" t="str">
        <f t="shared" ca="1" si="13"/>
        <v>#REF!</v>
      </c>
      <c r="AD643" s="234" t="str">
        <f t="shared" ca="1" si="14"/>
        <v>#REF!</v>
      </c>
      <c r="AE643" s="100" t="str">
        <f t="shared" ca="1" si="15"/>
        <v>#REF!</v>
      </c>
      <c r="AF643" s="101" t="str">
        <f t="shared" ca="1" si="16"/>
        <v>#REF!</v>
      </c>
      <c r="AG643" s="102" t="str">
        <f t="shared" ref="AG643:AH643" ca="1" si="661">AE643/V643</f>
        <v>#REF!</v>
      </c>
      <c r="AH643" s="102" t="str">
        <f t="shared" ca="1" si="661"/>
        <v>#REF!</v>
      </c>
    </row>
    <row r="644" spans="1:34" ht="13.2">
      <c r="A644" s="251"/>
      <c r="B644" s="251"/>
      <c r="C644" s="252"/>
      <c r="D644" s="252"/>
      <c r="E644" s="114"/>
      <c r="F644" s="252"/>
      <c r="G644" s="125" t="s">
        <v>145</v>
      </c>
      <c r="I644" s="172"/>
      <c r="J644" s="82" t="str">
        <f t="shared" ca="1" si="0"/>
        <v>#REF!</v>
      </c>
      <c r="K644" s="82" t="str">
        <f t="shared" ca="1" si="1"/>
        <v>#REF!</v>
      </c>
      <c r="L644" s="82" t="str">
        <f t="shared" ca="1" si="44"/>
        <v>#REF!</v>
      </c>
      <c r="M644" s="93"/>
      <c r="N644" s="93"/>
      <c r="O644" s="95">
        <f t="shared" si="2"/>
        <v>0</v>
      </c>
      <c r="P644" s="96">
        <f t="shared" si="3"/>
        <v>0</v>
      </c>
      <c r="Q644" s="97">
        <f t="shared" si="4"/>
        <v>0</v>
      </c>
      <c r="R644" s="97" t="str">
        <f ca="1">ROUNDUP(HLOOKUP(IF(CEILING(L644,0.5)&lt;1,0.5,CEILING(L644,0.5)),'배송비 조회'!A$44:AO$56,7,0)*B$3,-2)</f>
        <v>#REF!</v>
      </c>
      <c r="S644" s="97">
        <v>0</v>
      </c>
      <c r="T644" s="97" t="str">
        <f t="shared" ca="1" si="42"/>
        <v>#REF!</v>
      </c>
      <c r="U644" s="97" t="str">
        <f t="shared" ca="1" si="29"/>
        <v>#REF!</v>
      </c>
      <c r="V644" s="97" t="str">
        <f t="shared" ca="1" si="7"/>
        <v>#REF!</v>
      </c>
      <c r="W644" s="97" t="str">
        <f t="shared" ca="1" si="8"/>
        <v>#REF!</v>
      </c>
      <c r="X644" s="121">
        <v>0</v>
      </c>
      <c r="Y644" s="121" t="str">
        <f t="shared" ca="1" si="9"/>
        <v>#REF!</v>
      </c>
      <c r="Z644" s="121" t="str">
        <f t="shared" ca="1" si="10"/>
        <v>#REF!</v>
      </c>
      <c r="AA644" s="99" t="str">
        <f t="shared" ca="1" si="11"/>
        <v>#REF!</v>
      </c>
      <c r="AB644" s="234" t="str">
        <f t="shared" ca="1" si="12"/>
        <v>#REF!</v>
      </c>
      <c r="AC644" s="257" t="str">
        <f t="shared" ca="1" si="13"/>
        <v>#REF!</v>
      </c>
      <c r="AD644" s="234" t="str">
        <f t="shared" ca="1" si="14"/>
        <v>#REF!</v>
      </c>
      <c r="AE644" s="100" t="str">
        <f t="shared" ca="1" si="15"/>
        <v>#REF!</v>
      </c>
      <c r="AF644" s="101" t="str">
        <f t="shared" ca="1" si="16"/>
        <v>#REF!</v>
      </c>
      <c r="AG644" s="102" t="str">
        <f t="shared" ref="AG644:AH644" ca="1" si="662">AE644/V644</f>
        <v>#REF!</v>
      </c>
      <c r="AH644" s="102" t="str">
        <f t="shared" ca="1" si="662"/>
        <v>#REF!</v>
      </c>
    </row>
    <row r="645" spans="1:34" ht="13.2">
      <c r="A645" s="251"/>
      <c r="B645" s="251"/>
      <c r="C645" s="252"/>
      <c r="D645" s="252"/>
      <c r="E645" s="114"/>
      <c r="F645" s="252"/>
      <c r="G645" s="125" t="s">
        <v>145</v>
      </c>
      <c r="I645" s="172"/>
      <c r="J645" s="82" t="str">
        <f t="shared" ca="1" si="0"/>
        <v>#REF!</v>
      </c>
      <c r="K645" s="82" t="str">
        <f t="shared" ca="1" si="1"/>
        <v>#REF!</v>
      </c>
      <c r="L645" s="82" t="str">
        <f t="shared" ca="1" si="44"/>
        <v>#REF!</v>
      </c>
      <c r="M645" s="93"/>
      <c r="N645" s="93"/>
      <c r="O645" s="95">
        <f t="shared" si="2"/>
        <v>0</v>
      </c>
      <c r="P645" s="96">
        <f t="shared" si="3"/>
        <v>0</v>
      </c>
      <c r="Q645" s="97">
        <f t="shared" si="4"/>
        <v>0</v>
      </c>
      <c r="R645" s="97" t="str">
        <f ca="1">ROUNDUP(HLOOKUP(IF(CEILING(L645,0.5)&lt;1,0.5,CEILING(L645,0.5)),'배송비 조회'!A$44:AO$56,7,0)*B$3,-2)</f>
        <v>#REF!</v>
      </c>
      <c r="S645" s="97">
        <v>0</v>
      </c>
      <c r="T645" s="97" t="str">
        <f t="shared" ca="1" si="42"/>
        <v>#REF!</v>
      </c>
      <c r="U645" s="97" t="str">
        <f t="shared" ca="1" si="29"/>
        <v>#REF!</v>
      </c>
      <c r="V645" s="97" t="str">
        <f t="shared" ca="1" si="7"/>
        <v>#REF!</v>
      </c>
      <c r="W645" s="97" t="str">
        <f t="shared" ca="1" si="8"/>
        <v>#REF!</v>
      </c>
      <c r="X645" s="121">
        <v>0</v>
      </c>
      <c r="Y645" s="121" t="str">
        <f t="shared" ca="1" si="9"/>
        <v>#REF!</v>
      </c>
      <c r="Z645" s="121" t="str">
        <f t="shared" ca="1" si="10"/>
        <v>#REF!</v>
      </c>
      <c r="AA645" s="99" t="str">
        <f t="shared" ca="1" si="11"/>
        <v>#REF!</v>
      </c>
      <c r="AB645" s="234" t="str">
        <f t="shared" ca="1" si="12"/>
        <v>#REF!</v>
      </c>
      <c r="AC645" s="257" t="str">
        <f t="shared" ca="1" si="13"/>
        <v>#REF!</v>
      </c>
      <c r="AD645" s="234" t="str">
        <f t="shared" ca="1" si="14"/>
        <v>#REF!</v>
      </c>
      <c r="AE645" s="100" t="str">
        <f t="shared" ca="1" si="15"/>
        <v>#REF!</v>
      </c>
      <c r="AF645" s="101" t="str">
        <f t="shared" ca="1" si="16"/>
        <v>#REF!</v>
      </c>
      <c r="AG645" s="102" t="str">
        <f t="shared" ref="AG645:AH645" ca="1" si="663">AE645/V645</f>
        <v>#REF!</v>
      </c>
      <c r="AH645" s="102" t="str">
        <f t="shared" ca="1" si="663"/>
        <v>#REF!</v>
      </c>
    </row>
    <row r="646" spans="1:34" ht="13.2">
      <c r="A646" s="251"/>
      <c r="B646" s="251"/>
      <c r="C646" s="252"/>
      <c r="D646" s="252"/>
      <c r="E646" s="114"/>
      <c r="F646" s="252"/>
      <c r="G646" s="125" t="s">
        <v>145</v>
      </c>
      <c r="I646" s="172"/>
      <c r="J646" s="82" t="str">
        <f t="shared" ca="1" si="0"/>
        <v>#REF!</v>
      </c>
      <c r="K646" s="82" t="str">
        <f t="shared" ca="1" si="1"/>
        <v>#REF!</v>
      </c>
      <c r="L646" s="82" t="str">
        <f t="shared" ca="1" si="44"/>
        <v>#REF!</v>
      </c>
      <c r="M646" s="93"/>
      <c r="N646" s="93"/>
      <c r="O646" s="95">
        <f t="shared" si="2"/>
        <v>0</v>
      </c>
      <c r="P646" s="96">
        <f t="shared" si="3"/>
        <v>0</v>
      </c>
      <c r="Q646" s="97">
        <f t="shared" si="4"/>
        <v>0</v>
      </c>
      <c r="R646" s="97" t="str">
        <f ca="1">ROUNDUP(HLOOKUP(IF(CEILING(L646,0.5)&lt;1,0.5,CEILING(L646,0.5)),'배송비 조회'!A$44:AO$56,7,0)*B$3,-2)</f>
        <v>#REF!</v>
      </c>
      <c r="S646" s="97">
        <v>0</v>
      </c>
      <c r="T646" s="97" t="str">
        <f t="shared" ca="1" si="42"/>
        <v>#REF!</v>
      </c>
      <c r="U646" s="97" t="str">
        <f t="shared" ca="1" si="29"/>
        <v>#REF!</v>
      </c>
      <c r="V646" s="97" t="str">
        <f t="shared" ca="1" si="7"/>
        <v>#REF!</v>
      </c>
      <c r="W646" s="97" t="str">
        <f t="shared" ca="1" si="8"/>
        <v>#REF!</v>
      </c>
      <c r="X646" s="121">
        <v>0</v>
      </c>
      <c r="Y646" s="121" t="str">
        <f t="shared" ca="1" si="9"/>
        <v>#REF!</v>
      </c>
      <c r="Z646" s="121" t="str">
        <f t="shared" ca="1" si="10"/>
        <v>#REF!</v>
      </c>
      <c r="AA646" s="99" t="str">
        <f t="shared" ca="1" si="11"/>
        <v>#REF!</v>
      </c>
      <c r="AB646" s="234" t="str">
        <f t="shared" ca="1" si="12"/>
        <v>#REF!</v>
      </c>
      <c r="AC646" s="257" t="str">
        <f t="shared" ca="1" si="13"/>
        <v>#REF!</v>
      </c>
      <c r="AD646" s="234" t="str">
        <f t="shared" ca="1" si="14"/>
        <v>#REF!</v>
      </c>
      <c r="AE646" s="100" t="str">
        <f t="shared" ca="1" si="15"/>
        <v>#REF!</v>
      </c>
      <c r="AF646" s="101" t="str">
        <f t="shared" ca="1" si="16"/>
        <v>#REF!</v>
      </c>
      <c r="AG646" s="102" t="str">
        <f t="shared" ref="AG646:AH646" ca="1" si="664">AE646/V646</f>
        <v>#REF!</v>
      </c>
      <c r="AH646" s="102" t="str">
        <f t="shared" ca="1" si="664"/>
        <v>#REF!</v>
      </c>
    </row>
    <row r="647" spans="1:34" ht="13.2">
      <c r="A647" s="251"/>
      <c r="B647" s="251"/>
      <c r="C647" s="252"/>
      <c r="D647" s="252"/>
      <c r="E647" s="114"/>
      <c r="F647" s="252"/>
      <c r="G647" s="125" t="s">
        <v>145</v>
      </c>
      <c r="I647" s="172"/>
      <c r="J647" s="82" t="str">
        <f t="shared" ca="1" si="0"/>
        <v>#REF!</v>
      </c>
      <c r="K647" s="82" t="str">
        <f t="shared" ca="1" si="1"/>
        <v>#REF!</v>
      </c>
      <c r="L647" s="82" t="str">
        <f t="shared" ca="1" si="44"/>
        <v>#REF!</v>
      </c>
      <c r="M647" s="93"/>
      <c r="N647" s="93"/>
      <c r="O647" s="95">
        <f t="shared" si="2"/>
        <v>0</v>
      </c>
      <c r="P647" s="96">
        <f t="shared" si="3"/>
        <v>0</v>
      </c>
      <c r="Q647" s="97">
        <f t="shared" si="4"/>
        <v>0</v>
      </c>
      <c r="R647" s="97" t="str">
        <f ca="1">ROUNDUP(HLOOKUP(IF(CEILING(L647,0.5)&lt;1,0.5,CEILING(L647,0.5)),'배송비 조회'!A$44:AO$56,7,0)*B$3,-2)</f>
        <v>#REF!</v>
      </c>
      <c r="S647" s="97">
        <v>0</v>
      </c>
      <c r="T647" s="97" t="str">
        <f t="shared" ca="1" si="42"/>
        <v>#REF!</v>
      </c>
      <c r="U647" s="97" t="str">
        <f t="shared" ca="1" si="29"/>
        <v>#REF!</v>
      </c>
      <c r="V647" s="97" t="str">
        <f t="shared" ca="1" si="7"/>
        <v>#REF!</v>
      </c>
      <c r="W647" s="97" t="str">
        <f t="shared" ca="1" si="8"/>
        <v>#REF!</v>
      </c>
      <c r="X647" s="121">
        <v>0</v>
      </c>
      <c r="Y647" s="121" t="str">
        <f t="shared" ca="1" si="9"/>
        <v>#REF!</v>
      </c>
      <c r="Z647" s="121" t="str">
        <f t="shared" ca="1" si="10"/>
        <v>#REF!</v>
      </c>
      <c r="AA647" s="99" t="str">
        <f t="shared" ca="1" si="11"/>
        <v>#REF!</v>
      </c>
      <c r="AB647" s="234" t="str">
        <f t="shared" ca="1" si="12"/>
        <v>#REF!</v>
      </c>
      <c r="AC647" s="257" t="str">
        <f t="shared" ca="1" si="13"/>
        <v>#REF!</v>
      </c>
      <c r="AD647" s="234" t="str">
        <f t="shared" ca="1" si="14"/>
        <v>#REF!</v>
      </c>
      <c r="AE647" s="100" t="str">
        <f t="shared" ca="1" si="15"/>
        <v>#REF!</v>
      </c>
      <c r="AF647" s="101" t="str">
        <f t="shared" ca="1" si="16"/>
        <v>#REF!</v>
      </c>
      <c r="AG647" s="102" t="str">
        <f t="shared" ref="AG647:AH647" ca="1" si="665">AE647/V647</f>
        <v>#REF!</v>
      </c>
      <c r="AH647" s="102" t="str">
        <f t="shared" ca="1" si="665"/>
        <v>#REF!</v>
      </c>
    </row>
    <row r="648" spans="1:34" ht="13.2">
      <c r="A648" s="251"/>
      <c r="B648" s="251"/>
      <c r="C648" s="252"/>
      <c r="D648" s="252"/>
      <c r="E648" s="114"/>
      <c r="F648" s="252"/>
      <c r="G648" s="125" t="s">
        <v>145</v>
      </c>
      <c r="I648" s="172"/>
      <c r="J648" s="82" t="str">
        <f t="shared" ca="1" si="0"/>
        <v>#REF!</v>
      </c>
      <c r="K648" s="82" t="str">
        <f t="shared" ca="1" si="1"/>
        <v>#REF!</v>
      </c>
      <c r="L648" s="82" t="str">
        <f t="shared" ca="1" si="44"/>
        <v>#REF!</v>
      </c>
      <c r="M648" s="93"/>
      <c r="N648" s="93"/>
      <c r="O648" s="95">
        <f t="shared" si="2"/>
        <v>0</v>
      </c>
      <c r="P648" s="96">
        <f t="shared" si="3"/>
        <v>0</v>
      </c>
      <c r="Q648" s="97">
        <f t="shared" si="4"/>
        <v>0</v>
      </c>
      <c r="R648" s="97" t="str">
        <f ca="1">ROUNDUP(HLOOKUP(IF(CEILING(L648,0.5)&lt;1,0.5,CEILING(L648,0.5)),'배송비 조회'!A$44:AO$56,7,0)*B$3,-2)</f>
        <v>#REF!</v>
      </c>
      <c r="S648" s="97">
        <v>0</v>
      </c>
      <c r="T648" s="97" t="str">
        <f t="shared" ca="1" si="42"/>
        <v>#REF!</v>
      </c>
      <c r="U648" s="97" t="str">
        <f t="shared" ca="1" si="29"/>
        <v>#REF!</v>
      </c>
      <c r="V648" s="97" t="str">
        <f t="shared" ca="1" si="7"/>
        <v>#REF!</v>
      </c>
      <c r="W648" s="97" t="str">
        <f t="shared" ca="1" si="8"/>
        <v>#REF!</v>
      </c>
      <c r="X648" s="121">
        <v>0</v>
      </c>
      <c r="Y648" s="121" t="str">
        <f t="shared" ca="1" si="9"/>
        <v>#REF!</v>
      </c>
      <c r="Z648" s="121" t="str">
        <f t="shared" ca="1" si="10"/>
        <v>#REF!</v>
      </c>
      <c r="AA648" s="99" t="str">
        <f t="shared" ca="1" si="11"/>
        <v>#REF!</v>
      </c>
      <c r="AB648" s="234" t="str">
        <f t="shared" ca="1" si="12"/>
        <v>#REF!</v>
      </c>
      <c r="AC648" s="257" t="str">
        <f t="shared" ca="1" si="13"/>
        <v>#REF!</v>
      </c>
      <c r="AD648" s="234" t="str">
        <f t="shared" ca="1" si="14"/>
        <v>#REF!</v>
      </c>
      <c r="AE648" s="100" t="str">
        <f t="shared" ca="1" si="15"/>
        <v>#REF!</v>
      </c>
      <c r="AF648" s="101" t="str">
        <f t="shared" ca="1" si="16"/>
        <v>#REF!</v>
      </c>
      <c r="AG648" s="102" t="str">
        <f t="shared" ref="AG648:AH648" ca="1" si="666">AE648/V648</f>
        <v>#REF!</v>
      </c>
      <c r="AH648" s="102" t="str">
        <f t="shared" ca="1" si="666"/>
        <v>#REF!</v>
      </c>
    </row>
    <row r="649" spans="1:34" ht="13.2">
      <c r="A649" s="251"/>
      <c r="B649" s="251"/>
      <c r="C649" s="252"/>
      <c r="D649" s="252"/>
      <c r="E649" s="114"/>
      <c r="F649" s="252"/>
      <c r="G649" s="125" t="s">
        <v>145</v>
      </c>
      <c r="I649" s="172"/>
      <c r="J649" s="82" t="str">
        <f t="shared" ca="1" si="0"/>
        <v>#REF!</v>
      </c>
      <c r="K649" s="82" t="str">
        <f t="shared" ca="1" si="1"/>
        <v>#REF!</v>
      </c>
      <c r="L649" s="82" t="str">
        <f t="shared" ca="1" si="44"/>
        <v>#REF!</v>
      </c>
      <c r="M649" s="93"/>
      <c r="N649" s="93"/>
      <c r="O649" s="95">
        <f t="shared" si="2"/>
        <v>0</v>
      </c>
      <c r="P649" s="96">
        <f t="shared" si="3"/>
        <v>0</v>
      </c>
      <c r="Q649" s="97">
        <f t="shared" si="4"/>
        <v>0</v>
      </c>
      <c r="R649" s="97" t="str">
        <f ca="1">ROUNDUP(HLOOKUP(IF(CEILING(L649,0.5)&lt;1,0.5,CEILING(L649,0.5)),'배송비 조회'!A$44:AO$56,7,0)*B$3,-2)</f>
        <v>#REF!</v>
      </c>
      <c r="S649" s="97">
        <v>0</v>
      </c>
      <c r="T649" s="97" t="str">
        <f t="shared" ca="1" si="42"/>
        <v>#REF!</v>
      </c>
      <c r="U649" s="97" t="str">
        <f t="shared" ca="1" si="29"/>
        <v>#REF!</v>
      </c>
      <c r="V649" s="97" t="str">
        <f t="shared" ca="1" si="7"/>
        <v>#REF!</v>
      </c>
      <c r="W649" s="97" t="str">
        <f t="shared" ca="1" si="8"/>
        <v>#REF!</v>
      </c>
      <c r="X649" s="121">
        <v>0</v>
      </c>
      <c r="Y649" s="121" t="str">
        <f t="shared" ca="1" si="9"/>
        <v>#REF!</v>
      </c>
      <c r="Z649" s="121" t="str">
        <f t="shared" ca="1" si="10"/>
        <v>#REF!</v>
      </c>
      <c r="AA649" s="99" t="str">
        <f t="shared" ca="1" si="11"/>
        <v>#REF!</v>
      </c>
      <c r="AB649" s="234" t="str">
        <f t="shared" ca="1" si="12"/>
        <v>#REF!</v>
      </c>
      <c r="AC649" s="257" t="str">
        <f t="shared" ca="1" si="13"/>
        <v>#REF!</v>
      </c>
      <c r="AD649" s="234" t="str">
        <f t="shared" ca="1" si="14"/>
        <v>#REF!</v>
      </c>
      <c r="AE649" s="100" t="str">
        <f t="shared" ca="1" si="15"/>
        <v>#REF!</v>
      </c>
      <c r="AF649" s="101" t="str">
        <f t="shared" ca="1" si="16"/>
        <v>#REF!</v>
      </c>
      <c r="AG649" s="102" t="str">
        <f t="shared" ref="AG649:AH649" ca="1" si="667">AE649/V649</f>
        <v>#REF!</v>
      </c>
      <c r="AH649" s="102" t="str">
        <f t="shared" ca="1" si="667"/>
        <v>#REF!</v>
      </c>
    </row>
    <row r="650" spans="1:34" ht="13.2">
      <c r="A650" s="251"/>
      <c r="B650" s="251"/>
      <c r="C650" s="252"/>
      <c r="D650" s="252"/>
      <c r="E650" s="114"/>
      <c r="F650" s="252"/>
      <c r="G650" s="125" t="s">
        <v>145</v>
      </c>
      <c r="I650" s="172"/>
      <c r="J650" s="82" t="str">
        <f t="shared" ca="1" si="0"/>
        <v>#REF!</v>
      </c>
      <c r="K650" s="82" t="str">
        <f t="shared" ca="1" si="1"/>
        <v>#REF!</v>
      </c>
      <c r="L650" s="82" t="str">
        <f t="shared" ca="1" si="44"/>
        <v>#REF!</v>
      </c>
      <c r="M650" s="93"/>
      <c r="N650" s="93"/>
      <c r="O650" s="95">
        <f t="shared" si="2"/>
        <v>0</v>
      </c>
      <c r="P650" s="96">
        <f t="shared" si="3"/>
        <v>0</v>
      </c>
      <c r="Q650" s="97">
        <f t="shared" si="4"/>
        <v>0</v>
      </c>
      <c r="R650" s="97" t="str">
        <f ca="1">ROUNDUP(HLOOKUP(IF(CEILING(L650,0.5)&lt;1,0.5,CEILING(L650,0.5)),'배송비 조회'!A$44:AO$56,7,0)*B$3,-2)</f>
        <v>#REF!</v>
      </c>
      <c r="S650" s="97">
        <v>0</v>
      </c>
      <c r="T650" s="97" t="str">
        <f t="shared" ca="1" si="42"/>
        <v>#REF!</v>
      </c>
      <c r="U650" s="97" t="str">
        <f t="shared" ca="1" si="29"/>
        <v>#REF!</v>
      </c>
      <c r="V650" s="97" t="str">
        <f t="shared" ca="1" si="7"/>
        <v>#REF!</v>
      </c>
      <c r="W650" s="97" t="str">
        <f t="shared" ca="1" si="8"/>
        <v>#REF!</v>
      </c>
      <c r="X650" s="121">
        <v>0</v>
      </c>
      <c r="Y650" s="121" t="str">
        <f t="shared" ca="1" si="9"/>
        <v>#REF!</v>
      </c>
      <c r="Z650" s="121" t="str">
        <f t="shared" ca="1" si="10"/>
        <v>#REF!</v>
      </c>
      <c r="AA650" s="99" t="str">
        <f t="shared" ca="1" si="11"/>
        <v>#REF!</v>
      </c>
      <c r="AB650" s="234" t="str">
        <f t="shared" ca="1" si="12"/>
        <v>#REF!</v>
      </c>
      <c r="AC650" s="257" t="str">
        <f t="shared" ca="1" si="13"/>
        <v>#REF!</v>
      </c>
      <c r="AD650" s="234" t="str">
        <f t="shared" ca="1" si="14"/>
        <v>#REF!</v>
      </c>
      <c r="AE650" s="100" t="str">
        <f t="shared" ca="1" si="15"/>
        <v>#REF!</v>
      </c>
      <c r="AF650" s="101" t="str">
        <f t="shared" ca="1" si="16"/>
        <v>#REF!</v>
      </c>
      <c r="AG650" s="102" t="str">
        <f t="shared" ref="AG650:AH650" ca="1" si="668">AE650/V650</f>
        <v>#REF!</v>
      </c>
      <c r="AH650" s="102" t="str">
        <f t="shared" ca="1" si="668"/>
        <v>#REF!</v>
      </c>
    </row>
    <row r="651" spans="1:34" ht="13.2">
      <c r="A651" s="251"/>
      <c r="B651" s="251"/>
      <c r="C651" s="252"/>
      <c r="D651" s="252"/>
      <c r="E651" s="114"/>
      <c r="F651" s="252"/>
      <c r="G651" s="125" t="s">
        <v>145</v>
      </c>
      <c r="I651" s="172"/>
      <c r="J651" s="82" t="str">
        <f t="shared" ca="1" si="0"/>
        <v>#REF!</v>
      </c>
      <c r="K651" s="82" t="str">
        <f t="shared" ca="1" si="1"/>
        <v>#REF!</v>
      </c>
      <c r="L651" s="82" t="str">
        <f t="shared" ca="1" si="44"/>
        <v>#REF!</v>
      </c>
      <c r="M651" s="93"/>
      <c r="N651" s="93"/>
      <c r="O651" s="95">
        <f t="shared" si="2"/>
        <v>0</v>
      </c>
      <c r="P651" s="96">
        <f t="shared" si="3"/>
        <v>0</v>
      </c>
      <c r="Q651" s="97">
        <f t="shared" si="4"/>
        <v>0</v>
      </c>
      <c r="R651" s="97" t="str">
        <f ca="1">ROUNDUP(HLOOKUP(IF(CEILING(L651,0.5)&lt;1,0.5,CEILING(L651,0.5)),'배송비 조회'!A$44:AO$56,7,0)*B$3,-2)</f>
        <v>#REF!</v>
      </c>
      <c r="S651" s="97">
        <v>0</v>
      </c>
      <c r="T651" s="97" t="str">
        <f t="shared" ca="1" si="42"/>
        <v>#REF!</v>
      </c>
      <c r="U651" s="97" t="str">
        <f t="shared" ca="1" si="29"/>
        <v>#REF!</v>
      </c>
      <c r="V651" s="97" t="str">
        <f t="shared" ca="1" si="7"/>
        <v>#REF!</v>
      </c>
      <c r="W651" s="97" t="str">
        <f t="shared" ca="1" si="8"/>
        <v>#REF!</v>
      </c>
      <c r="X651" s="121">
        <v>0</v>
      </c>
      <c r="Y651" s="121" t="str">
        <f t="shared" ca="1" si="9"/>
        <v>#REF!</v>
      </c>
      <c r="Z651" s="121" t="str">
        <f t="shared" ca="1" si="10"/>
        <v>#REF!</v>
      </c>
      <c r="AA651" s="99" t="str">
        <f t="shared" ca="1" si="11"/>
        <v>#REF!</v>
      </c>
      <c r="AB651" s="234" t="str">
        <f t="shared" ca="1" si="12"/>
        <v>#REF!</v>
      </c>
      <c r="AC651" s="257" t="str">
        <f t="shared" ca="1" si="13"/>
        <v>#REF!</v>
      </c>
      <c r="AD651" s="234" t="str">
        <f t="shared" ca="1" si="14"/>
        <v>#REF!</v>
      </c>
      <c r="AE651" s="100" t="str">
        <f t="shared" ca="1" si="15"/>
        <v>#REF!</v>
      </c>
      <c r="AF651" s="101" t="str">
        <f t="shared" ca="1" si="16"/>
        <v>#REF!</v>
      </c>
      <c r="AG651" s="102" t="str">
        <f t="shared" ref="AG651:AH651" ca="1" si="669">AE651/V651</f>
        <v>#REF!</v>
      </c>
      <c r="AH651" s="102" t="str">
        <f t="shared" ca="1" si="669"/>
        <v>#REF!</v>
      </c>
    </row>
    <row r="652" spans="1:34" ht="13.2">
      <c r="A652" s="251"/>
      <c r="B652" s="251"/>
      <c r="C652" s="252"/>
      <c r="D652" s="252"/>
      <c r="E652" s="114"/>
      <c r="F652" s="252"/>
      <c r="G652" s="125" t="s">
        <v>145</v>
      </c>
      <c r="I652" s="172"/>
      <c r="J652" s="82" t="str">
        <f t="shared" ca="1" si="0"/>
        <v>#REF!</v>
      </c>
      <c r="K652" s="82" t="str">
        <f t="shared" ca="1" si="1"/>
        <v>#REF!</v>
      </c>
      <c r="L652" s="82" t="str">
        <f t="shared" ca="1" si="44"/>
        <v>#REF!</v>
      </c>
      <c r="M652" s="93"/>
      <c r="N652" s="93"/>
      <c r="O652" s="95">
        <f t="shared" si="2"/>
        <v>0</v>
      </c>
      <c r="P652" s="96">
        <f t="shared" si="3"/>
        <v>0</v>
      </c>
      <c r="Q652" s="97">
        <f t="shared" si="4"/>
        <v>0</v>
      </c>
      <c r="R652" s="97" t="str">
        <f ca="1">ROUNDUP(HLOOKUP(IF(CEILING(L652,0.5)&lt;1,0.5,CEILING(L652,0.5)),'배송비 조회'!A$44:AO$56,7,0)*B$3,-2)</f>
        <v>#REF!</v>
      </c>
      <c r="S652" s="97">
        <v>0</v>
      </c>
      <c r="T652" s="97" t="str">
        <f t="shared" ca="1" si="42"/>
        <v>#REF!</v>
      </c>
      <c r="U652" s="97" t="str">
        <f t="shared" ca="1" si="29"/>
        <v>#REF!</v>
      </c>
      <c r="V652" s="97" t="str">
        <f t="shared" ca="1" si="7"/>
        <v>#REF!</v>
      </c>
      <c r="W652" s="97" t="str">
        <f t="shared" ca="1" si="8"/>
        <v>#REF!</v>
      </c>
      <c r="X652" s="121">
        <v>0</v>
      </c>
      <c r="Y652" s="121" t="str">
        <f t="shared" ca="1" si="9"/>
        <v>#REF!</v>
      </c>
      <c r="Z652" s="121" t="str">
        <f t="shared" ca="1" si="10"/>
        <v>#REF!</v>
      </c>
      <c r="AA652" s="99" t="str">
        <f t="shared" ca="1" si="11"/>
        <v>#REF!</v>
      </c>
      <c r="AB652" s="234" t="str">
        <f t="shared" ca="1" si="12"/>
        <v>#REF!</v>
      </c>
      <c r="AC652" s="257" t="str">
        <f t="shared" ca="1" si="13"/>
        <v>#REF!</v>
      </c>
      <c r="AD652" s="234" t="str">
        <f t="shared" ca="1" si="14"/>
        <v>#REF!</v>
      </c>
      <c r="AE652" s="100" t="str">
        <f t="shared" ca="1" si="15"/>
        <v>#REF!</v>
      </c>
      <c r="AF652" s="101" t="str">
        <f t="shared" ca="1" si="16"/>
        <v>#REF!</v>
      </c>
      <c r="AG652" s="102" t="str">
        <f t="shared" ref="AG652:AH652" ca="1" si="670">AE652/V652</f>
        <v>#REF!</v>
      </c>
      <c r="AH652" s="102" t="str">
        <f t="shared" ca="1" si="670"/>
        <v>#REF!</v>
      </c>
    </row>
    <row r="653" spans="1:34" ht="13.2">
      <c r="A653" s="251"/>
      <c r="B653" s="251"/>
      <c r="C653" s="252"/>
      <c r="D653" s="252"/>
      <c r="E653" s="114"/>
      <c r="F653" s="252"/>
      <c r="G653" s="125" t="s">
        <v>145</v>
      </c>
      <c r="I653" s="172"/>
      <c r="J653" s="82" t="str">
        <f t="shared" ca="1" si="0"/>
        <v>#REF!</v>
      </c>
      <c r="K653" s="82" t="str">
        <f t="shared" ca="1" si="1"/>
        <v>#REF!</v>
      </c>
      <c r="L653" s="82" t="str">
        <f t="shared" ca="1" si="44"/>
        <v>#REF!</v>
      </c>
      <c r="M653" s="93"/>
      <c r="N653" s="93"/>
      <c r="O653" s="95">
        <f t="shared" si="2"/>
        <v>0</v>
      </c>
      <c r="P653" s="96">
        <f t="shared" si="3"/>
        <v>0</v>
      </c>
      <c r="Q653" s="97">
        <f t="shared" si="4"/>
        <v>0</v>
      </c>
      <c r="R653" s="97" t="str">
        <f ca="1">ROUNDUP(HLOOKUP(IF(CEILING(L653,0.5)&lt;1,0.5,CEILING(L653,0.5)),'배송비 조회'!A$44:AO$56,7,0)*B$3,-2)</f>
        <v>#REF!</v>
      </c>
      <c r="S653" s="97">
        <v>0</v>
      </c>
      <c r="T653" s="97" t="str">
        <f t="shared" ca="1" si="42"/>
        <v>#REF!</v>
      </c>
      <c r="U653" s="97" t="str">
        <f t="shared" ca="1" si="29"/>
        <v>#REF!</v>
      </c>
      <c r="V653" s="97" t="str">
        <f t="shared" ca="1" si="7"/>
        <v>#REF!</v>
      </c>
      <c r="W653" s="97" t="str">
        <f t="shared" ca="1" si="8"/>
        <v>#REF!</v>
      </c>
      <c r="X653" s="121">
        <v>0</v>
      </c>
      <c r="Y653" s="121" t="str">
        <f t="shared" ca="1" si="9"/>
        <v>#REF!</v>
      </c>
      <c r="Z653" s="121" t="str">
        <f t="shared" ca="1" si="10"/>
        <v>#REF!</v>
      </c>
      <c r="AA653" s="99" t="str">
        <f t="shared" ca="1" si="11"/>
        <v>#REF!</v>
      </c>
      <c r="AB653" s="234" t="str">
        <f t="shared" ca="1" si="12"/>
        <v>#REF!</v>
      </c>
      <c r="AC653" s="257" t="str">
        <f t="shared" ca="1" si="13"/>
        <v>#REF!</v>
      </c>
      <c r="AD653" s="234" t="str">
        <f t="shared" ca="1" si="14"/>
        <v>#REF!</v>
      </c>
      <c r="AE653" s="100" t="str">
        <f t="shared" ca="1" si="15"/>
        <v>#REF!</v>
      </c>
      <c r="AF653" s="101" t="str">
        <f t="shared" ca="1" si="16"/>
        <v>#REF!</v>
      </c>
      <c r="AG653" s="102" t="str">
        <f t="shared" ref="AG653:AH653" ca="1" si="671">AE653/V653</f>
        <v>#REF!</v>
      </c>
      <c r="AH653" s="102" t="str">
        <f t="shared" ca="1" si="671"/>
        <v>#REF!</v>
      </c>
    </row>
    <row r="654" spans="1:34" ht="13.2">
      <c r="A654" s="251"/>
      <c r="B654" s="251"/>
      <c r="C654" s="252"/>
      <c r="D654" s="252"/>
      <c r="E654" s="114"/>
      <c r="F654" s="252"/>
      <c r="G654" s="125" t="s">
        <v>145</v>
      </c>
      <c r="I654" s="172"/>
      <c r="J654" s="82" t="str">
        <f t="shared" ca="1" si="0"/>
        <v>#REF!</v>
      </c>
      <c r="K654" s="82" t="str">
        <f t="shared" ca="1" si="1"/>
        <v>#REF!</v>
      </c>
      <c r="L654" s="82" t="str">
        <f t="shared" ca="1" si="44"/>
        <v>#REF!</v>
      </c>
      <c r="M654" s="93"/>
      <c r="N654" s="93"/>
      <c r="O654" s="95">
        <f t="shared" si="2"/>
        <v>0</v>
      </c>
      <c r="P654" s="96">
        <f t="shared" si="3"/>
        <v>0</v>
      </c>
      <c r="Q654" s="97">
        <f t="shared" si="4"/>
        <v>0</v>
      </c>
      <c r="R654" s="97" t="str">
        <f ca="1">ROUNDUP(HLOOKUP(IF(CEILING(L654,0.5)&lt;1,0.5,CEILING(L654,0.5)),'배송비 조회'!A$44:AO$56,7,0)*B$3,-2)</f>
        <v>#REF!</v>
      </c>
      <c r="S654" s="97">
        <v>0</v>
      </c>
      <c r="T654" s="97" t="str">
        <f t="shared" ca="1" si="42"/>
        <v>#REF!</v>
      </c>
      <c r="U654" s="97" t="str">
        <f t="shared" ca="1" si="29"/>
        <v>#REF!</v>
      </c>
      <c r="V654" s="97" t="str">
        <f t="shared" ca="1" si="7"/>
        <v>#REF!</v>
      </c>
      <c r="W654" s="97" t="str">
        <f t="shared" ca="1" si="8"/>
        <v>#REF!</v>
      </c>
      <c r="X654" s="121">
        <v>0</v>
      </c>
      <c r="Y654" s="121" t="str">
        <f t="shared" ca="1" si="9"/>
        <v>#REF!</v>
      </c>
      <c r="Z654" s="121" t="str">
        <f t="shared" ca="1" si="10"/>
        <v>#REF!</v>
      </c>
      <c r="AA654" s="99" t="str">
        <f t="shared" ca="1" si="11"/>
        <v>#REF!</v>
      </c>
      <c r="AB654" s="234" t="str">
        <f t="shared" ca="1" si="12"/>
        <v>#REF!</v>
      </c>
      <c r="AC654" s="257" t="str">
        <f t="shared" ca="1" si="13"/>
        <v>#REF!</v>
      </c>
      <c r="AD654" s="234" t="str">
        <f t="shared" ca="1" si="14"/>
        <v>#REF!</v>
      </c>
      <c r="AE654" s="100" t="str">
        <f t="shared" ca="1" si="15"/>
        <v>#REF!</v>
      </c>
      <c r="AF654" s="101" t="str">
        <f t="shared" ca="1" si="16"/>
        <v>#REF!</v>
      </c>
      <c r="AG654" s="102" t="str">
        <f t="shared" ref="AG654:AH654" ca="1" si="672">AE654/V654</f>
        <v>#REF!</v>
      </c>
      <c r="AH654" s="102" t="str">
        <f t="shared" ca="1" si="672"/>
        <v>#REF!</v>
      </c>
    </row>
    <row r="655" spans="1:34" ht="13.2">
      <c r="A655" s="251"/>
      <c r="B655" s="251"/>
      <c r="C655" s="252"/>
      <c r="D655" s="252"/>
      <c r="E655" s="114"/>
      <c r="F655" s="252"/>
      <c r="G655" s="125" t="s">
        <v>145</v>
      </c>
      <c r="I655" s="172"/>
      <c r="J655" s="82" t="str">
        <f t="shared" ca="1" si="0"/>
        <v>#REF!</v>
      </c>
      <c r="K655" s="82" t="str">
        <f t="shared" ca="1" si="1"/>
        <v>#REF!</v>
      </c>
      <c r="L655" s="82" t="str">
        <f t="shared" ca="1" si="44"/>
        <v>#REF!</v>
      </c>
      <c r="M655" s="93"/>
      <c r="N655" s="93"/>
      <c r="O655" s="95">
        <f t="shared" si="2"/>
        <v>0</v>
      </c>
      <c r="P655" s="96">
        <f t="shared" si="3"/>
        <v>0</v>
      </c>
      <c r="Q655" s="97">
        <f t="shared" si="4"/>
        <v>0</v>
      </c>
      <c r="R655" s="97" t="str">
        <f ca="1">ROUNDUP(HLOOKUP(IF(CEILING(L655,0.5)&lt;1,0.5,CEILING(L655,0.5)),'배송비 조회'!A$44:AO$56,7,0)*B$3,-2)</f>
        <v>#REF!</v>
      </c>
      <c r="S655" s="97">
        <v>0</v>
      </c>
      <c r="T655" s="97" t="str">
        <f t="shared" ca="1" si="42"/>
        <v>#REF!</v>
      </c>
      <c r="U655" s="97" t="str">
        <f t="shared" ca="1" si="29"/>
        <v>#REF!</v>
      </c>
      <c r="V655" s="97" t="str">
        <f t="shared" ca="1" si="7"/>
        <v>#REF!</v>
      </c>
      <c r="W655" s="97" t="str">
        <f t="shared" ca="1" si="8"/>
        <v>#REF!</v>
      </c>
      <c r="X655" s="121">
        <v>0</v>
      </c>
      <c r="Y655" s="121" t="str">
        <f t="shared" ca="1" si="9"/>
        <v>#REF!</v>
      </c>
      <c r="Z655" s="121" t="str">
        <f t="shared" ca="1" si="10"/>
        <v>#REF!</v>
      </c>
      <c r="AA655" s="99" t="str">
        <f t="shared" ca="1" si="11"/>
        <v>#REF!</v>
      </c>
      <c r="AB655" s="234" t="str">
        <f t="shared" ca="1" si="12"/>
        <v>#REF!</v>
      </c>
      <c r="AC655" s="257" t="str">
        <f t="shared" ca="1" si="13"/>
        <v>#REF!</v>
      </c>
      <c r="AD655" s="234" t="str">
        <f t="shared" ca="1" si="14"/>
        <v>#REF!</v>
      </c>
      <c r="AE655" s="100" t="str">
        <f t="shared" ca="1" si="15"/>
        <v>#REF!</v>
      </c>
      <c r="AF655" s="101" t="str">
        <f t="shared" ca="1" si="16"/>
        <v>#REF!</v>
      </c>
      <c r="AG655" s="102" t="str">
        <f t="shared" ref="AG655:AH655" ca="1" si="673">AE655/V655</f>
        <v>#REF!</v>
      </c>
      <c r="AH655" s="102" t="str">
        <f t="shared" ca="1" si="673"/>
        <v>#REF!</v>
      </c>
    </row>
    <row r="656" spans="1:34" ht="13.2">
      <c r="A656" s="251"/>
      <c r="B656" s="251"/>
      <c r="C656" s="252"/>
      <c r="D656" s="252"/>
      <c r="E656" s="114"/>
      <c r="F656" s="252"/>
      <c r="G656" s="125" t="s">
        <v>145</v>
      </c>
      <c r="I656" s="172"/>
      <c r="J656" s="82" t="str">
        <f t="shared" ca="1" si="0"/>
        <v>#REF!</v>
      </c>
      <c r="K656" s="82" t="str">
        <f t="shared" ca="1" si="1"/>
        <v>#REF!</v>
      </c>
      <c r="L656" s="82" t="str">
        <f t="shared" ca="1" si="44"/>
        <v>#REF!</v>
      </c>
      <c r="M656" s="93"/>
      <c r="N656" s="93"/>
      <c r="O656" s="95">
        <f t="shared" si="2"/>
        <v>0</v>
      </c>
      <c r="P656" s="96">
        <f t="shared" si="3"/>
        <v>0</v>
      </c>
      <c r="Q656" s="97">
        <f t="shared" si="4"/>
        <v>0</v>
      </c>
      <c r="R656" s="97" t="str">
        <f ca="1">ROUNDUP(HLOOKUP(IF(CEILING(L656,0.5)&lt;1,0.5,CEILING(L656,0.5)),'배송비 조회'!A$44:AO$56,7,0)*B$3,-2)</f>
        <v>#REF!</v>
      </c>
      <c r="S656" s="97">
        <v>0</v>
      </c>
      <c r="T656" s="97" t="str">
        <f t="shared" ca="1" si="42"/>
        <v>#REF!</v>
      </c>
      <c r="U656" s="97" t="str">
        <f t="shared" ca="1" si="29"/>
        <v>#REF!</v>
      </c>
      <c r="V656" s="97" t="str">
        <f t="shared" ca="1" si="7"/>
        <v>#REF!</v>
      </c>
      <c r="W656" s="97" t="str">
        <f t="shared" ca="1" si="8"/>
        <v>#REF!</v>
      </c>
      <c r="X656" s="121">
        <v>0</v>
      </c>
      <c r="Y656" s="121" t="str">
        <f t="shared" ca="1" si="9"/>
        <v>#REF!</v>
      </c>
      <c r="Z656" s="121" t="str">
        <f t="shared" ca="1" si="10"/>
        <v>#REF!</v>
      </c>
      <c r="AA656" s="99" t="str">
        <f t="shared" ca="1" si="11"/>
        <v>#REF!</v>
      </c>
      <c r="AB656" s="234" t="str">
        <f t="shared" ca="1" si="12"/>
        <v>#REF!</v>
      </c>
      <c r="AC656" s="257" t="str">
        <f t="shared" ca="1" si="13"/>
        <v>#REF!</v>
      </c>
      <c r="AD656" s="234" t="str">
        <f t="shared" ca="1" si="14"/>
        <v>#REF!</v>
      </c>
      <c r="AE656" s="100" t="str">
        <f t="shared" ca="1" si="15"/>
        <v>#REF!</v>
      </c>
      <c r="AF656" s="101" t="str">
        <f t="shared" ca="1" si="16"/>
        <v>#REF!</v>
      </c>
      <c r="AG656" s="102" t="str">
        <f t="shared" ref="AG656:AH656" ca="1" si="674">AE656/V656</f>
        <v>#REF!</v>
      </c>
      <c r="AH656" s="102" t="str">
        <f t="shared" ca="1" si="674"/>
        <v>#REF!</v>
      </c>
    </row>
    <row r="657" spans="1:34" ht="13.2">
      <c r="A657" s="251"/>
      <c r="B657" s="251"/>
      <c r="C657" s="252"/>
      <c r="D657" s="252"/>
      <c r="E657" s="114"/>
      <c r="F657" s="252"/>
      <c r="G657" s="125" t="s">
        <v>145</v>
      </c>
      <c r="I657" s="172"/>
      <c r="J657" s="82" t="str">
        <f t="shared" ca="1" si="0"/>
        <v>#REF!</v>
      </c>
      <c r="K657" s="82" t="str">
        <f t="shared" ca="1" si="1"/>
        <v>#REF!</v>
      </c>
      <c r="L657" s="82" t="str">
        <f t="shared" ca="1" si="44"/>
        <v>#REF!</v>
      </c>
      <c r="M657" s="93"/>
      <c r="N657" s="93"/>
      <c r="O657" s="95">
        <f t="shared" si="2"/>
        <v>0</v>
      </c>
      <c r="P657" s="96">
        <f t="shared" si="3"/>
        <v>0</v>
      </c>
      <c r="Q657" s="97">
        <f t="shared" si="4"/>
        <v>0</v>
      </c>
      <c r="R657" s="97" t="str">
        <f ca="1">ROUNDUP(HLOOKUP(IF(CEILING(L657,0.5)&lt;1,0.5,CEILING(L657,0.5)),'배송비 조회'!A$44:AO$56,7,0)*B$3,-2)</f>
        <v>#REF!</v>
      </c>
      <c r="S657" s="97">
        <v>0</v>
      </c>
      <c r="T657" s="97" t="str">
        <f t="shared" ca="1" si="42"/>
        <v>#REF!</v>
      </c>
      <c r="U657" s="97" t="str">
        <f t="shared" ca="1" si="29"/>
        <v>#REF!</v>
      </c>
      <c r="V657" s="97" t="str">
        <f t="shared" ca="1" si="7"/>
        <v>#REF!</v>
      </c>
      <c r="W657" s="97" t="str">
        <f t="shared" ca="1" si="8"/>
        <v>#REF!</v>
      </c>
      <c r="X657" s="121">
        <v>0</v>
      </c>
      <c r="Y657" s="121" t="str">
        <f t="shared" ca="1" si="9"/>
        <v>#REF!</v>
      </c>
      <c r="Z657" s="121" t="str">
        <f t="shared" ca="1" si="10"/>
        <v>#REF!</v>
      </c>
      <c r="AA657" s="99" t="str">
        <f t="shared" ca="1" si="11"/>
        <v>#REF!</v>
      </c>
      <c r="AB657" s="234" t="str">
        <f t="shared" ca="1" si="12"/>
        <v>#REF!</v>
      </c>
      <c r="AC657" s="257" t="str">
        <f t="shared" ca="1" si="13"/>
        <v>#REF!</v>
      </c>
      <c r="AD657" s="234" t="str">
        <f t="shared" ca="1" si="14"/>
        <v>#REF!</v>
      </c>
      <c r="AE657" s="100" t="str">
        <f t="shared" ca="1" si="15"/>
        <v>#REF!</v>
      </c>
      <c r="AF657" s="101" t="str">
        <f t="shared" ca="1" si="16"/>
        <v>#REF!</v>
      </c>
      <c r="AG657" s="102" t="str">
        <f t="shared" ref="AG657:AH657" ca="1" si="675">AE657/V657</f>
        <v>#REF!</v>
      </c>
      <c r="AH657" s="102" t="str">
        <f t="shared" ca="1" si="675"/>
        <v>#REF!</v>
      </c>
    </row>
    <row r="658" spans="1:34" ht="13.2">
      <c r="A658" s="251"/>
      <c r="B658" s="251"/>
      <c r="C658" s="252"/>
      <c r="D658" s="252"/>
      <c r="E658" s="114"/>
      <c r="F658" s="252"/>
      <c r="G658" s="125" t="s">
        <v>145</v>
      </c>
      <c r="I658" s="172"/>
      <c r="J658" s="82" t="str">
        <f t="shared" ca="1" si="0"/>
        <v>#REF!</v>
      </c>
      <c r="K658" s="82" t="str">
        <f t="shared" ca="1" si="1"/>
        <v>#REF!</v>
      </c>
      <c r="L658" s="82" t="str">
        <f t="shared" ca="1" si="44"/>
        <v>#REF!</v>
      </c>
      <c r="M658" s="93"/>
      <c r="N658" s="93"/>
      <c r="O658" s="95">
        <f t="shared" si="2"/>
        <v>0</v>
      </c>
      <c r="P658" s="96">
        <f t="shared" si="3"/>
        <v>0</v>
      </c>
      <c r="Q658" s="97">
        <f t="shared" si="4"/>
        <v>0</v>
      </c>
      <c r="R658" s="97" t="str">
        <f ca="1">ROUNDUP(HLOOKUP(IF(CEILING(L658,0.5)&lt;1,0.5,CEILING(L658,0.5)),'배송비 조회'!A$44:AO$56,7,0)*B$3,-2)</f>
        <v>#REF!</v>
      </c>
      <c r="S658" s="97">
        <v>0</v>
      </c>
      <c r="T658" s="97" t="str">
        <f t="shared" ca="1" si="42"/>
        <v>#REF!</v>
      </c>
      <c r="U658" s="97" t="str">
        <f t="shared" ca="1" si="29"/>
        <v>#REF!</v>
      </c>
      <c r="V658" s="97" t="str">
        <f t="shared" ca="1" si="7"/>
        <v>#REF!</v>
      </c>
      <c r="W658" s="97" t="str">
        <f t="shared" ca="1" si="8"/>
        <v>#REF!</v>
      </c>
      <c r="X658" s="121">
        <v>0</v>
      </c>
      <c r="Y658" s="121" t="str">
        <f t="shared" ca="1" si="9"/>
        <v>#REF!</v>
      </c>
      <c r="Z658" s="121" t="str">
        <f t="shared" ca="1" si="10"/>
        <v>#REF!</v>
      </c>
      <c r="AA658" s="99" t="str">
        <f t="shared" ca="1" si="11"/>
        <v>#REF!</v>
      </c>
      <c r="AB658" s="234" t="str">
        <f t="shared" ca="1" si="12"/>
        <v>#REF!</v>
      </c>
      <c r="AC658" s="257" t="str">
        <f t="shared" ca="1" si="13"/>
        <v>#REF!</v>
      </c>
      <c r="AD658" s="234" t="str">
        <f t="shared" ca="1" si="14"/>
        <v>#REF!</v>
      </c>
      <c r="AE658" s="100" t="str">
        <f t="shared" ca="1" si="15"/>
        <v>#REF!</v>
      </c>
      <c r="AF658" s="101" t="str">
        <f t="shared" ca="1" si="16"/>
        <v>#REF!</v>
      </c>
      <c r="AG658" s="102" t="str">
        <f t="shared" ref="AG658:AH658" ca="1" si="676">AE658/V658</f>
        <v>#REF!</v>
      </c>
      <c r="AH658" s="102" t="str">
        <f t="shared" ca="1" si="676"/>
        <v>#REF!</v>
      </c>
    </row>
    <row r="659" spans="1:34" ht="13.2">
      <c r="A659" s="251"/>
      <c r="B659" s="251"/>
      <c r="C659" s="252"/>
      <c r="D659" s="252"/>
      <c r="E659" s="114"/>
      <c r="F659" s="252"/>
      <c r="G659" s="125" t="s">
        <v>145</v>
      </c>
      <c r="I659" s="172"/>
      <c r="J659" s="82" t="str">
        <f t="shared" ca="1" si="0"/>
        <v>#REF!</v>
      </c>
      <c r="K659" s="82" t="str">
        <f t="shared" ca="1" si="1"/>
        <v>#REF!</v>
      </c>
      <c r="L659" s="82" t="str">
        <f t="shared" ca="1" si="44"/>
        <v>#REF!</v>
      </c>
      <c r="M659" s="93"/>
      <c r="N659" s="93"/>
      <c r="O659" s="95">
        <f t="shared" si="2"/>
        <v>0</v>
      </c>
      <c r="P659" s="96">
        <f t="shared" si="3"/>
        <v>0</v>
      </c>
      <c r="Q659" s="97">
        <f t="shared" si="4"/>
        <v>0</v>
      </c>
      <c r="R659" s="97" t="str">
        <f ca="1">ROUNDUP(HLOOKUP(IF(CEILING(L659,0.5)&lt;1,0.5,CEILING(L659,0.5)),'배송비 조회'!A$44:AO$56,7,0)*B$3,-2)</f>
        <v>#REF!</v>
      </c>
      <c r="S659" s="97">
        <v>0</v>
      </c>
      <c r="T659" s="97" t="str">
        <f t="shared" ca="1" si="42"/>
        <v>#REF!</v>
      </c>
      <c r="U659" s="97" t="str">
        <f t="shared" ca="1" si="29"/>
        <v>#REF!</v>
      </c>
      <c r="V659" s="97" t="str">
        <f t="shared" ca="1" si="7"/>
        <v>#REF!</v>
      </c>
      <c r="W659" s="97" t="str">
        <f t="shared" ca="1" si="8"/>
        <v>#REF!</v>
      </c>
      <c r="X659" s="121">
        <v>0</v>
      </c>
      <c r="Y659" s="121" t="str">
        <f t="shared" ca="1" si="9"/>
        <v>#REF!</v>
      </c>
      <c r="Z659" s="121" t="str">
        <f t="shared" ca="1" si="10"/>
        <v>#REF!</v>
      </c>
      <c r="AA659" s="99" t="str">
        <f t="shared" ca="1" si="11"/>
        <v>#REF!</v>
      </c>
      <c r="AB659" s="234" t="str">
        <f t="shared" ca="1" si="12"/>
        <v>#REF!</v>
      </c>
      <c r="AC659" s="257" t="str">
        <f t="shared" ca="1" si="13"/>
        <v>#REF!</v>
      </c>
      <c r="AD659" s="234" t="str">
        <f t="shared" ca="1" si="14"/>
        <v>#REF!</v>
      </c>
      <c r="AE659" s="100" t="str">
        <f t="shared" ca="1" si="15"/>
        <v>#REF!</v>
      </c>
      <c r="AF659" s="101" t="str">
        <f t="shared" ca="1" si="16"/>
        <v>#REF!</v>
      </c>
      <c r="AG659" s="102" t="str">
        <f t="shared" ref="AG659:AH659" ca="1" si="677">AE659/V659</f>
        <v>#REF!</v>
      </c>
      <c r="AH659" s="102" t="str">
        <f t="shared" ca="1" si="677"/>
        <v>#REF!</v>
      </c>
    </row>
    <row r="660" spans="1:34" ht="13.2">
      <c r="A660" s="251"/>
      <c r="B660" s="251"/>
      <c r="C660" s="252"/>
      <c r="D660" s="252"/>
      <c r="E660" s="114"/>
      <c r="F660" s="252"/>
      <c r="G660" s="125" t="s">
        <v>145</v>
      </c>
      <c r="I660" s="172"/>
      <c r="J660" s="82" t="str">
        <f t="shared" ca="1" si="0"/>
        <v>#REF!</v>
      </c>
      <c r="K660" s="82" t="str">
        <f t="shared" ca="1" si="1"/>
        <v>#REF!</v>
      </c>
      <c r="L660" s="82" t="str">
        <f t="shared" ca="1" si="44"/>
        <v>#REF!</v>
      </c>
      <c r="M660" s="93"/>
      <c r="N660" s="93"/>
      <c r="O660" s="95">
        <f t="shared" si="2"/>
        <v>0</v>
      </c>
      <c r="P660" s="96">
        <f t="shared" si="3"/>
        <v>0</v>
      </c>
      <c r="Q660" s="97">
        <f t="shared" si="4"/>
        <v>0</v>
      </c>
      <c r="R660" s="97" t="str">
        <f ca="1">ROUNDUP(HLOOKUP(IF(CEILING(L660,0.5)&lt;1,0.5,CEILING(L660,0.5)),'배송비 조회'!A$44:AO$56,7,0)*B$3,-2)</f>
        <v>#REF!</v>
      </c>
      <c r="S660" s="97">
        <v>0</v>
      </c>
      <c r="T660" s="97" t="str">
        <f t="shared" ca="1" si="42"/>
        <v>#REF!</v>
      </c>
      <c r="U660" s="97" t="str">
        <f t="shared" ca="1" si="29"/>
        <v>#REF!</v>
      </c>
      <c r="V660" s="97" t="str">
        <f t="shared" ca="1" si="7"/>
        <v>#REF!</v>
      </c>
      <c r="W660" s="97" t="str">
        <f t="shared" ca="1" si="8"/>
        <v>#REF!</v>
      </c>
      <c r="X660" s="121">
        <v>0</v>
      </c>
      <c r="Y660" s="121" t="str">
        <f t="shared" ca="1" si="9"/>
        <v>#REF!</v>
      </c>
      <c r="Z660" s="121" t="str">
        <f t="shared" ca="1" si="10"/>
        <v>#REF!</v>
      </c>
      <c r="AA660" s="99" t="str">
        <f t="shared" ca="1" si="11"/>
        <v>#REF!</v>
      </c>
      <c r="AB660" s="234" t="str">
        <f t="shared" ca="1" si="12"/>
        <v>#REF!</v>
      </c>
      <c r="AC660" s="257" t="str">
        <f t="shared" ca="1" si="13"/>
        <v>#REF!</v>
      </c>
      <c r="AD660" s="234" t="str">
        <f t="shared" ca="1" si="14"/>
        <v>#REF!</v>
      </c>
      <c r="AE660" s="100" t="str">
        <f t="shared" ca="1" si="15"/>
        <v>#REF!</v>
      </c>
      <c r="AF660" s="101" t="str">
        <f t="shared" ca="1" si="16"/>
        <v>#REF!</v>
      </c>
      <c r="AG660" s="102" t="str">
        <f t="shared" ref="AG660:AH660" ca="1" si="678">AE660/V660</f>
        <v>#REF!</v>
      </c>
      <c r="AH660" s="102" t="str">
        <f t="shared" ca="1" si="678"/>
        <v>#REF!</v>
      </c>
    </row>
    <row r="661" spans="1:34" ht="13.2">
      <c r="A661" s="251"/>
      <c r="B661" s="251"/>
      <c r="C661" s="252"/>
      <c r="D661" s="252"/>
      <c r="E661" s="114"/>
      <c r="F661" s="252"/>
      <c r="G661" s="125" t="s">
        <v>145</v>
      </c>
      <c r="I661" s="172"/>
      <c r="J661" s="82" t="str">
        <f t="shared" ca="1" si="0"/>
        <v>#REF!</v>
      </c>
      <c r="K661" s="82" t="str">
        <f t="shared" ca="1" si="1"/>
        <v>#REF!</v>
      </c>
      <c r="L661" s="82" t="str">
        <f t="shared" ca="1" si="44"/>
        <v>#REF!</v>
      </c>
      <c r="M661" s="93"/>
      <c r="N661" s="93"/>
      <c r="O661" s="95">
        <f t="shared" si="2"/>
        <v>0</v>
      </c>
      <c r="P661" s="96">
        <f t="shared" si="3"/>
        <v>0</v>
      </c>
      <c r="Q661" s="97">
        <f t="shared" si="4"/>
        <v>0</v>
      </c>
      <c r="R661" s="97" t="str">
        <f ca="1">ROUNDUP(HLOOKUP(IF(CEILING(L661,0.5)&lt;1,0.5,CEILING(L661,0.5)),'배송비 조회'!A$44:AO$56,7,0)*B$3,-2)</f>
        <v>#REF!</v>
      </c>
      <c r="S661" s="97">
        <v>0</v>
      </c>
      <c r="T661" s="97" t="str">
        <f t="shared" ca="1" si="42"/>
        <v>#REF!</v>
      </c>
      <c r="U661" s="97" t="str">
        <f t="shared" ca="1" si="29"/>
        <v>#REF!</v>
      </c>
      <c r="V661" s="97" t="str">
        <f t="shared" ca="1" si="7"/>
        <v>#REF!</v>
      </c>
      <c r="W661" s="97" t="str">
        <f t="shared" ca="1" si="8"/>
        <v>#REF!</v>
      </c>
      <c r="X661" s="121">
        <v>0</v>
      </c>
      <c r="Y661" s="121" t="str">
        <f t="shared" ca="1" si="9"/>
        <v>#REF!</v>
      </c>
      <c r="Z661" s="121" t="str">
        <f t="shared" ca="1" si="10"/>
        <v>#REF!</v>
      </c>
      <c r="AA661" s="99" t="str">
        <f t="shared" ca="1" si="11"/>
        <v>#REF!</v>
      </c>
      <c r="AB661" s="234" t="str">
        <f t="shared" ca="1" si="12"/>
        <v>#REF!</v>
      </c>
      <c r="AC661" s="257" t="str">
        <f t="shared" ca="1" si="13"/>
        <v>#REF!</v>
      </c>
      <c r="AD661" s="234" t="str">
        <f t="shared" ca="1" si="14"/>
        <v>#REF!</v>
      </c>
      <c r="AE661" s="100" t="str">
        <f t="shared" ca="1" si="15"/>
        <v>#REF!</v>
      </c>
      <c r="AF661" s="101" t="str">
        <f t="shared" ca="1" si="16"/>
        <v>#REF!</v>
      </c>
      <c r="AG661" s="102" t="str">
        <f t="shared" ref="AG661:AH661" ca="1" si="679">AE661/V661</f>
        <v>#REF!</v>
      </c>
      <c r="AH661" s="102" t="str">
        <f t="shared" ca="1" si="679"/>
        <v>#REF!</v>
      </c>
    </row>
    <row r="662" spans="1:34" ht="13.2">
      <c r="A662" s="251"/>
      <c r="B662" s="251"/>
      <c r="C662" s="252"/>
      <c r="D662" s="252"/>
      <c r="E662" s="114"/>
      <c r="F662" s="252"/>
      <c r="G662" s="125" t="s">
        <v>145</v>
      </c>
      <c r="I662" s="172"/>
      <c r="J662" s="82" t="str">
        <f t="shared" ca="1" si="0"/>
        <v>#REF!</v>
      </c>
      <c r="K662" s="82" t="str">
        <f t="shared" ca="1" si="1"/>
        <v>#REF!</v>
      </c>
      <c r="L662" s="82" t="str">
        <f t="shared" ca="1" si="44"/>
        <v>#REF!</v>
      </c>
      <c r="M662" s="93"/>
      <c r="N662" s="93"/>
      <c r="O662" s="95">
        <f t="shared" si="2"/>
        <v>0</v>
      </c>
      <c r="P662" s="96">
        <f t="shared" si="3"/>
        <v>0</v>
      </c>
      <c r="Q662" s="97">
        <f t="shared" si="4"/>
        <v>0</v>
      </c>
      <c r="R662" s="97" t="str">
        <f ca="1">ROUNDUP(HLOOKUP(IF(CEILING(L662,0.5)&lt;1,0.5,CEILING(L662,0.5)),'배송비 조회'!A$44:AO$56,7,0)*B$3,-2)</f>
        <v>#REF!</v>
      </c>
      <c r="S662" s="97">
        <v>0</v>
      </c>
      <c r="T662" s="97" t="str">
        <f t="shared" ca="1" si="42"/>
        <v>#REF!</v>
      </c>
      <c r="U662" s="97" t="str">
        <f t="shared" ca="1" si="29"/>
        <v>#REF!</v>
      </c>
      <c r="V662" s="97" t="str">
        <f t="shared" ca="1" si="7"/>
        <v>#REF!</v>
      </c>
      <c r="W662" s="97" t="str">
        <f t="shared" ca="1" si="8"/>
        <v>#REF!</v>
      </c>
      <c r="X662" s="121">
        <v>0</v>
      </c>
      <c r="Y662" s="121" t="str">
        <f t="shared" ca="1" si="9"/>
        <v>#REF!</v>
      </c>
      <c r="Z662" s="121" t="str">
        <f t="shared" ca="1" si="10"/>
        <v>#REF!</v>
      </c>
      <c r="AA662" s="99" t="str">
        <f t="shared" ca="1" si="11"/>
        <v>#REF!</v>
      </c>
      <c r="AB662" s="234" t="str">
        <f t="shared" ca="1" si="12"/>
        <v>#REF!</v>
      </c>
      <c r="AC662" s="257" t="str">
        <f t="shared" ca="1" si="13"/>
        <v>#REF!</v>
      </c>
      <c r="AD662" s="234" t="str">
        <f t="shared" ca="1" si="14"/>
        <v>#REF!</v>
      </c>
      <c r="AE662" s="100" t="str">
        <f t="shared" ca="1" si="15"/>
        <v>#REF!</v>
      </c>
      <c r="AF662" s="101" t="str">
        <f t="shared" ca="1" si="16"/>
        <v>#REF!</v>
      </c>
      <c r="AG662" s="102" t="str">
        <f t="shared" ref="AG662:AH662" ca="1" si="680">AE662/V662</f>
        <v>#REF!</v>
      </c>
      <c r="AH662" s="102" t="str">
        <f t="shared" ca="1" si="680"/>
        <v>#REF!</v>
      </c>
    </row>
    <row r="663" spans="1:34" ht="13.2">
      <c r="A663" s="251"/>
      <c r="B663" s="251"/>
      <c r="C663" s="252"/>
      <c r="D663" s="252"/>
      <c r="E663" s="114"/>
      <c r="F663" s="252"/>
      <c r="G663" s="125" t="s">
        <v>145</v>
      </c>
      <c r="I663" s="172"/>
      <c r="J663" s="82" t="str">
        <f t="shared" ca="1" si="0"/>
        <v>#REF!</v>
      </c>
      <c r="K663" s="82" t="str">
        <f t="shared" ca="1" si="1"/>
        <v>#REF!</v>
      </c>
      <c r="L663" s="82" t="str">
        <f t="shared" ca="1" si="44"/>
        <v>#REF!</v>
      </c>
      <c r="M663" s="93"/>
      <c r="N663" s="93"/>
      <c r="O663" s="95">
        <f t="shared" si="2"/>
        <v>0</v>
      </c>
      <c r="P663" s="96">
        <f t="shared" si="3"/>
        <v>0</v>
      </c>
      <c r="Q663" s="97">
        <f t="shared" si="4"/>
        <v>0</v>
      </c>
      <c r="R663" s="97" t="str">
        <f ca="1">ROUNDUP(HLOOKUP(IF(CEILING(L663,0.5)&lt;1,0.5,CEILING(L663,0.5)),'배송비 조회'!A$44:AO$56,7,0)*B$3,-2)</f>
        <v>#REF!</v>
      </c>
      <c r="S663" s="97">
        <v>0</v>
      </c>
      <c r="T663" s="97" t="str">
        <f t="shared" ca="1" si="42"/>
        <v>#REF!</v>
      </c>
      <c r="U663" s="97" t="str">
        <f t="shared" ca="1" si="29"/>
        <v>#REF!</v>
      </c>
      <c r="V663" s="97" t="str">
        <f t="shared" ca="1" si="7"/>
        <v>#REF!</v>
      </c>
      <c r="W663" s="97" t="str">
        <f t="shared" ca="1" si="8"/>
        <v>#REF!</v>
      </c>
      <c r="X663" s="121">
        <v>0</v>
      </c>
      <c r="Y663" s="121" t="str">
        <f t="shared" ca="1" si="9"/>
        <v>#REF!</v>
      </c>
      <c r="Z663" s="121" t="str">
        <f t="shared" ca="1" si="10"/>
        <v>#REF!</v>
      </c>
      <c r="AA663" s="99" t="str">
        <f t="shared" ca="1" si="11"/>
        <v>#REF!</v>
      </c>
      <c r="AB663" s="234" t="str">
        <f t="shared" ca="1" si="12"/>
        <v>#REF!</v>
      </c>
      <c r="AC663" s="257" t="str">
        <f t="shared" ca="1" si="13"/>
        <v>#REF!</v>
      </c>
      <c r="AD663" s="234" t="str">
        <f t="shared" ca="1" si="14"/>
        <v>#REF!</v>
      </c>
      <c r="AE663" s="100" t="str">
        <f t="shared" ca="1" si="15"/>
        <v>#REF!</v>
      </c>
      <c r="AF663" s="101" t="str">
        <f t="shared" ca="1" si="16"/>
        <v>#REF!</v>
      </c>
      <c r="AG663" s="102" t="str">
        <f t="shared" ref="AG663:AH663" ca="1" si="681">AE663/V663</f>
        <v>#REF!</v>
      </c>
      <c r="AH663" s="102" t="str">
        <f t="shared" ca="1" si="681"/>
        <v>#REF!</v>
      </c>
    </row>
    <row r="664" spans="1:34" ht="13.2">
      <c r="A664" s="251"/>
      <c r="B664" s="251"/>
      <c r="C664" s="252"/>
      <c r="D664" s="252"/>
      <c r="E664" s="114"/>
      <c r="F664" s="252"/>
      <c r="G664" s="125" t="s">
        <v>145</v>
      </c>
      <c r="I664" s="172"/>
      <c r="J664" s="82" t="str">
        <f t="shared" ca="1" si="0"/>
        <v>#REF!</v>
      </c>
      <c r="K664" s="82" t="str">
        <f t="shared" ca="1" si="1"/>
        <v>#REF!</v>
      </c>
      <c r="L664" s="82" t="str">
        <f t="shared" ca="1" si="44"/>
        <v>#REF!</v>
      </c>
      <c r="M664" s="93"/>
      <c r="N664" s="93"/>
      <c r="O664" s="95">
        <f t="shared" si="2"/>
        <v>0</v>
      </c>
      <c r="P664" s="96">
        <f t="shared" si="3"/>
        <v>0</v>
      </c>
      <c r="Q664" s="97">
        <f t="shared" si="4"/>
        <v>0</v>
      </c>
      <c r="R664" s="97" t="str">
        <f ca="1">ROUNDUP(HLOOKUP(IF(CEILING(L664,0.5)&lt;1,0.5,CEILING(L664,0.5)),'배송비 조회'!A$44:AO$56,7,0)*B$3,-2)</f>
        <v>#REF!</v>
      </c>
      <c r="S664" s="97">
        <v>0</v>
      </c>
      <c r="T664" s="97" t="str">
        <f t="shared" ca="1" si="42"/>
        <v>#REF!</v>
      </c>
      <c r="U664" s="97" t="str">
        <f t="shared" ca="1" si="29"/>
        <v>#REF!</v>
      </c>
      <c r="V664" s="97" t="str">
        <f t="shared" ca="1" si="7"/>
        <v>#REF!</v>
      </c>
      <c r="W664" s="97" t="str">
        <f t="shared" ca="1" si="8"/>
        <v>#REF!</v>
      </c>
      <c r="X664" s="121">
        <v>0</v>
      </c>
      <c r="Y664" s="121" t="str">
        <f t="shared" ca="1" si="9"/>
        <v>#REF!</v>
      </c>
      <c r="Z664" s="121" t="str">
        <f t="shared" ca="1" si="10"/>
        <v>#REF!</v>
      </c>
      <c r="AA664" s="99" t="str">
        <f t="shared" ca="1" si="11"/>
        <v>#REF!</v>
      </c>
      <c r="AB664" s="234" t="str">
        <f t="shared" ca="1" si="12"/>
        <v>#REF!</v>
      </c>
      <c r="AC664" s="257" t="str">
        <f t="shared" ca="1" si="13"/>
        <v>#REF!</v>
      </c>
      <c r="AD664" s="234" t="str">
        <f t="shared" ca="1" si="14"/>
        <v>#REF!</v>
      </c>
      <c r="AE664" s="100" t="str">
        <f t="shared" ca="1" si="15"/>
        <v>#REF!</v>
      </c>
      <c r="AF664" s="101" t="str">
        <f t="shared" ca="1" si="16"/>
        <v>#REF!</v>
      </c>
      <c r="AG664" s="102" t="str">
        <f t="shared" ref="AG664:AH664" ca="1" si="682">AE664/V664</f>
        <v>#REF!</v>
      </c>
      <c r="AH664" s="102" t="str">
        <f t="shared" ca="1" si="682"/>
        <v>#REF!</v>
      </c>
    </row>
    <row r="665" spans="1:34" ht="13.2">
      <c r="A665" s="251"/>
      <c r="B665" s="251"/>
      <c r="C665" s="252"/>
      <c r="D665" s="252"/>
      <c r="E665" s="114"/>
      <c r="F665" s="252"/>
      <c r="G665" s="125" t="s">
        <v>145</v>
      </c>
      <c r="I665" s="172"/>
      <c r="J665" s="82" t="str">
        <f t="shared" ca="1" si="0"/>
        <v>#REF!</v>
      </c>
      <c r="K665" s="82" t="str">
        <f t="shared" ca="1" si="1"/>
        <v>#REF!</v>
      </c>
      <c r="L665" s="82" t="str">
        <f t="shared" ca="1" si="44"/>
        <v>#REF!</v>
      </c>
      <c r="M665" s="93"/>
      <c r="N665" s="93"/>
      <c r="O665" s="95">
        <f t="shared" si="2"/>
        <v>0</v>
      </c>
      <c r="P665" s="96">
        <f t="shared" si="3"/>
        <v>0</v>
      </c>
      <c r="Q665" s="97">
        <f t="shared" si="4"/>
        <v>0</v>
      </c>
      <c r="R665" s="97" t="str">
        <f ca="1">ROUNDUP(HLOOKUP(IF(CEILING(L665,0.5)&lt;1,0.5,CEILING(L665,0.5)),'배송비 조회'!A$44:AO$56,7,0)*B$3,-2)</f>
        <v>#REF!</v>
      </c>
      <c r="S665" s="97">
        <v>0</v>
      </c>
      <c r="T665" s="97" t="str">
        <f t="shared" ca="1" si="42"/>
        <v>#REF!</v>
      </c>
      <c r="U665" s="97" t="str">
        <f t="shared" ca="1" si="29"/>
        <v>#REF!</v>
      </c>
      <c r="V665" s="97" t="str">
        <f t="shared" ca="1" si="7"/>
        <v>#REF!</v>
      </c>
      <c r="W665" s="97" t="str">
        <f t="shared" ca="1" si="8"/>
        <v>#REF!</v>
      </c>
      <c r="X665" s="121">
        <v>0</v>
      </c>
      <c r="Y665" s="121" t="str">
        <f t="shared" ca="1" si="9"/>
        <v>#REF!</v>
      </c>
      <c r="Z665" s="121" t="str">
        <f t="shared" ca="1" si="10"/>
        <v>#REF!</v>
      </c>
      <c r="AA665" s="99" t="str">
        <f t="shared" ca="1" si="11"/>
        <v>#REF!</v>
      </c>
      <c r="AB665" s="234" t="str">
        <f t="shared" ca="1" si="12"/>
        <v>#REF!</v>
      </c>
      <c r="AC665" s="257" t="str">
        <f t="shared" ca="1" si="13"/>
        <v>#REF!</v>
      </c>
      <c r="AD665" s="234" t="str">
        <f t="shared" ca="1" si="14"/>
        <v>#REF!</v>
      </c>
      <c r="AE665" s="100" t="str">
        <f t="shared" ca="1" si="15"/>
        <v>#REF!</v>
      </c>
      <c r="AF665" s="101" t="str">
        <f t="shared" ca="1" si="16"/>
        <v>#REF!</v>
      </c>
      <c r="AG665" s="102" t="str">
        <f t="shared" ref="AG665:AH665" ca="1" si="683">AE665/V665</f>
        <v>#REF!</v>
      </c>
      <c r="AH665" s="102" t="str">
        <f t="shared" ca="1" si="683"/>
        <v>#REF!</v>
      </c>
    </row>
    <row r="666" spans="1:34" ht="13.2">
      <c r="A666" s="251"/>
      <c r="B666" s="251"/>
      <c r="C666" s="252"/>
      <c r="D666" s="252"/>
      <c r="E666" s="114"/>
      <c r="F666" s="252"/>
      <c r="G666" s="125" t="s">
        <v>145</v>
      </c>
      <c r="I666" s="172"/>
      <c r="J666" s="82" t="str">
        <f t="shared" ca="1" si="0"/>
        <v>#REF!</v>
      </c>
      <c r="K666" s="82" t="str">
        <f t="shared" ca="1" si="1"/>
        <v>#REF!</v>
      </c>
      <c r="L666" s="82" t="str">
        <f t="shared" ca="1" si="44"/>
        <v>#REF!</v>
      </c>
      <c r="M666" s="93"/>
      <c r="N666" s="93"/>
      <c r="O666" s="95">
        <f t="shared" si="2"/>
        <v>0</v>
      </c>
      <c r="P666" s="96">
        <f t="shared" si="3"/>
        <v>0</v>
      </c>
      <c r="Q666" s="97">
        <f t="shared" si="4"/>
        <v>0</v>
      </c>
      <c r="R666" s="97" t="str">
        <f ca="1">ROUNDUP(HLOOKUP(IF(CEILING(L666,0.5)&lt;1,0.5,CEILING(L666,0.5)),'배송비 조회'!A$44:AO$56,7,0)*B$3,-2)</f>
        <v>#REF!</v>
      </c>
      <c r="S666" s="97">
        <v>0</v>
      </c>
      <c r="T666" s="97" t="str">
        <f t="shared" ca="1" si="42"/>
        <v>#REF!</v>
      </c>
      <c r="U666" s="97" t="str">
        <f t="shared" ca="1" si="29"/>
        <v>#REF!</v>
      </c>
      <c r="V666" s="97" t="str">
        <f t="shared" ca="1" si="7"/>
        <v>#REF!</v>
      </c>
      <c r="W666" s="97" t="str">
        <f t="shared" ca="1" si="8"/>
        <v>#REF!</v>
      </c>
      <c r="X666" s="121">
        <v>0</v>
      </c>
      <c r="Y666" s="121" t="str">
        <f t="shared" ca="1" si="9"/>
        <v>#REF!</v>
      </c>
      <c r="Z666" s="121" t="str">
        <f t="shared" ca="1" si="10"/>
        <v>#REF!</v>
      </c>
      <c r="AA666" s="99" t="str">
        <f t="shared" ca="1" si="11"/>
        <v>#REF!</v>
      </c>
      <c r="AB666" s="234" t="str">
        <f t="shared" ca="1" si="12"/>
        <v>#REF!</v>
      </c>
      <c r="AC666" s="257" t="str">
        <f t="shared" ca="1" si="13"/>
        <v>#REF!</v>
      </c>
      <c r="AD666" s="234" t="str">
        <f t="shared" ca="1" si="14"/>
        <v>#REF!</v>
      </c>
      <c r="AE666" s="100" t="str">
        <f t="shared" ca="1" si="15"/>
        <v>#REF!</v>
      </c>
      <c r="AF666" s="101" t="str">
        <f t="shared" ca="1" si="16"/>
        <v>#REF!</v>
      </c>
      <c r="AG666" s="102" t="str">
        <f t="shared" ref="AG666:AH666" ca="1" si="684">AE666/V666</f>
        <v>#REF!</v>
      </c>
      <c r="AH666" s="102" t="str">
        <f t="shared" ca="1" si="684"/>
        <v>#REF!</v>
      </c>
    </row>
    <row r="667" spans="1:34" ht="13.2">
      <c r="A667" s="251"/>
      <c r="B667" s="251"/>
      <c r="C667" s="252"/>
      <c r="D667" s="252"/>
      <c r="E667" s="114"/>
      <c r="F667" s="252"/>
      <c r="G667" s="125" t="s">
        <v>145</v>
      </c>
      <c r="I667" s="172"/>
      <c r="J667" s="82" t="str">
        <f t="shared" ca="1" si="0"/>
        <v>#REF!</v>
      </c>
      <c r="K667" s="82" t="str">
        <f t="shared" ca="1" si="1"/>
        <v>#REF!</v>
      </c>
      <c r="L667" s="82" t="str">
        <f t="shared" ca="1" si="44"/>
        <v>#REF!</v>
      </c>
      <c r="M667" s="93"/>
      <c r="N667" s="93"/>
      <c r="O667" s="95">
        <f t="shared" si="2"/>
        <v>0</v>
      </c>
      <c r="P667" s="96">
        <f t="shared" si="3"/>
        <v>0</v>
      </c>
      <c r="Q667" s="97">
        <f t="shared" si="4"/>
        <v>0</v>
      </c>
      <c r="R667" s="97" t="str">
        <f ca="1">ROUNDUP(HLOOKUP(IF(CEILING(L667,0.5)&lt;1,0.5,CEILING(L667,0.5)),'배송비 조회'!A$44:AO$56,7,0)*B$3,-2)</f>
        <v>#REF!</v>
      </c>
      <c r="S667" s="97">
        <v>0</v>
      </c>
      <c r="T667" s="97" t="str">
        <f t="shared" ca="1" si="42"/>
        <v>#REF!</v>
      </c>
      <c r="U667" s="97" t="str">
        <f t="shared" ca="1" si="29"/>
        <v>#REF!</v>
      </c>
      <c r="V667" s="97" t="str">
        <f t="shared" ca="1" si="7"/>
        <v>#REF!</v>
      </c>
      <c r="W667" s="97" t="str">
        <f t="shared" ca="1" si="8"/>
        <v>#REF!</v>
      </c>
      <c r="X667" s="121">
        <v>0</v>
      </c>
      <c r="Y667" s="121" t="str">
        <f t="shared" ca="1" si="9"/>
        <v>#REF!</v>
      </c>
      <c r="Z667" s="121" t="str">
        <f t="shared" ca="1" si="10"/>
        <v>#REF!</v>
      </c>
      <c r="AA667" s="99" t="str">
        <f t="shared" ca="1" si="11"/>
        <v>#REF!</v>
      </c>
      <c r="AB667" s="234" t="str">
        <f t="shared" ca="1" si="12"/>
        <v>#REF!</v>
      </c>
      <c r="AC667" s="257" t="str">
        <f t="shared" ca="1" si="13"/>
        <v>#REF!</v>
      </c>
      <c r="AD667" s="234" t="str">
        <f t="shared" ca="1" si="14"/>
        <v>#REF!</v>
      </c>
      <c r="AE667" s="100" t="str">
        <f t="shared" ca="1" si="15"/>
        <v>#REF!</v>
      </c>
      <c r="AF667" s="101" t="str">
        <f t="shared" ca="1" si="16"/>
        <v>#REF!</v>
      </c>
      <c r="AG667" s="102" t="str">
        <f t="shared" ref="AG667:AH667" ca="1" si="685">AE667/V667</f>
        <v>#REF!</v>
      </c>
      <c r="AH667" s="102" t="str">
        <f t="shared" ca="1" si="685"/>
        <v>#REF!</v>
      </c>
    </row>
    <row r="668" spans="1:34" ht="13.2">
      <c r="A668" s="251"/>
      <c r="B668" s="251"/>
      <c r="C668" s="252"/>
      <c r="D668" s="252"/>
      <c r="E668" s="114"/>
      <c r="F668" s="252"/>
      <c r="G668" s="125" t="s">
        <v>145</v>
      </c>
      <c r="I668" s="172"/>
      <c r="J668" s="82" t="str">
        <f t="shared" ca="1" si="0"/>
        <v>#REF!</v>
      </c>
      <c r="K668" s="82" t="str">
        <f t="shared" ca="1" si="1"/>
        <v>#REF!</v>
      </c>
      <c r="L668" s="82" t="str">
        <f t="shared" ca="1" si="44"/>
        <v>#REF!</v>
      </c>
      <c r="M668" s="93"/>
      <c r="N668" s="93"/>
      <c r="O668" s="95">
        <f t="shared" si="2"/>
        <v>0</v>
      </c>
      <c r="P668" s="96">
        <f t="shared" si="3"/>
        <v>0</v>
      </c>
      <c r="Q668" s="97">
        <f t="shared" si="4"/>
        <v>0</v>
      </c>
      <c r="R668" s="97" t="str">
        <f ca="1">ROUNDUP(HLOOKUP(IF(CEILING(L668,0.5)&lt;1,0.5,CEILING(L668,0.5)),'배송비 조회'!A$44:AO$56,7,0)*B$3,-2)</f>
        <v>#REF!</v>
      </c>
      <c r="S668" s="97">
        <v>0</v>
      </c>
      <c r="T668" s="97" t="str">
        <f t="shared" ca="1" si="42"/>
        <v>#REF!</v>
      </c>
      <c r="U668" s="97" t="str">
        <f t="shared" ca="1" si="29"/>
        <v>#REF!</v>
      </c>
      <c r="V668" s="97" t="str">
        <f t="shared" ca="1" si="7"/>
        <v>#REF!</v>
      </c>
      <c r="W668" s="97" t="str">
        <f t="shared" ca="1" si="8"/>
        <v>#REF!</v>
      </c>
      <c r="X668" s="121">
        <v>0</v>
      </c>
      <c r="Y668" s="121" t="str">
        <f t="shared" ca="1" si="9"/>
        <v>#REF!</v>
      </c>
      <c r="Z668" s="121" t="str">
        <f t="shared" ca="1" si="10"/>
        <v>#REF!</v>
      </c>
      <c r="AA668" s="99" t="str">
        <f t="shared" ca="1" si="11"/>
        <v>#REF!</v>
      </c>
      <c r="AB668" s="234" t="str">
        <f t="shared" ca="1" si="12"/>
        <v>#REF!</v>
      </c>
      <c r="AC668" s="257" t="str">
        <f t="shared" ca="1" si="13"/>
        <v>#REF!</v>
      </c>
      <c r="AD668" s="234" t="str">
        <f t="shared" ca="1" si="14"/>
        <v>#REF!</v>
      </c>
      <c r="AE668" s="100" t="str">
        <f t="shared" ca="1" si="15"/>
        <v>#REF!</v>
      </c>
      <c r="AF668" s="101" t="str">
        <f t="shared" ca="1" si="16"/>
        <v>#REF!</v>
      </c>
      <c r="AG668" s="102" t="str">
        <f t="shared" ref="AG668:AH668" ca="1" si="686">AE668/V668</f>
        <v>#REF!</v>
      </c>
      <c r="AH668" s="102" t="str">
        <f t="shared" ca="1" si="686"/>
        <v>#REF!</v>
      </c>
    </row>
    <row r="669" spans="1:34" ht="13.2">
      <c r="A669" s="251"/>
      <c r="B669" s="251"/>
      <c r="C669" s="252"/>
      <c r="D669" s="252"/>
      <c r="E669" s="114"/>
      <c r="F669" s="252"/>
      <c r="G669" s="125" t="s">
        <v>145</v>
      </c>
      <c r="I669" s="172"/>
      <c r="J669" s="82" t="str">
        <f t="shared" ca="1" si="0"/>
        <v>#REF!</v>
      </c>
      <c r="K669" s="82" t="str">
        <f t="shared" ca="1" si="1"/>
        <v>#REF!</v>
      </c>
      <c r="L669" s="82" t="str">
        <f t="shared" ca="1" si="44"/>
        <v>#REF!</v>
      </c>
      <c r="M669" s="93"/>
      <c r="N669" s="93"/>
      <c r="O669" s="95">
        <f t="shared" si="2"/>
        <v>0</v>
      </c>
      <c r="P669" s="96">
        <f t="shared" si="3"/>
        <v>0</v>
      </c>
      <c r="Q669" s="97">
        <f t="shared" si="4"/>
        <v>0</v>
      </c>
      <c r="R669" s="97" t="str">
        <f ca="1">ROUNDUP(HLOOKUP(IF(CEILING(L669,0.5)&lt;1,0.5,CEILING(L669,0.5)),'배송비 조회'!A$44:AO$56,7,0)*B$3,-2)</f>
        <v>#REF!</v>
      </c>
      <c r="S669" s="97">
        <v>0</v>
      </c>
      <c r="T669" s="97" t="str">
        <f t="shared" ca="1" si="42"/>
        <v>#REF!</v>
      </c>
      <c r="U669" s="97" t="str">
        <f t="shared" ca="1" si="29"/>
        <v>#REF!</v>
      </c>
      <c r="V669" s="97" t="str">
        <f t="shared" ca="1" si="7"/>
        <v>#REF!</v>
      </c>
      <c r="W669" s="97" t="str">
        <f t="shared" ca="1" si="8"/>
        <v>#REF!</v>
      </c>
      <c r="X669" s="121">
        <v>0</v>
      </c>
      <c r="Y669" s="121" t="str">
        <f t="shared" ca="1" si="9"/>
        <v>#REF!</v>
      </c>
      <c r="Z669" s="121" t="str">
        <f t="shared" ca="1" si="10"/>
        <v>#REF!</v>
      </c>
      <c r="AA669" s="99" t="str">
        <f t="shared" ca="1" si="11"/>
        <v>#REF!</v>
      </c>
      <c r="AB669" s="234" t="str">
        <f t="shared" ca="1" si="12"/>
        <v>#REF!</v>
      </c>
      <c r="AC669" s="257" t="str">
        <f t="shared" ca="1" si="13"/>
        <v>#REF!</v>
      </c>
      <c r="AD669" s="234" t="str">
        <f t="shared" ca="1" si="14"/>
        <v>#REF!</v>
      </c>
      <c r="AE669" s="100" t="str">
        <f t="shared" ca="1" si="15"/>
        <v>#REF!</v>
      </c>
      <c r="AF669" s="101" t="str">
        <f t="shared" ca="1" si="16"/>
        <v>#REF!</v>
      </c>
      <c r="AG669" s="102" t="str">
        <f t="shared" ref="AG669:AH669" ca="1" si="687">AE669/V669</f>
        <v>#REF!</v>
      </c>
      <c r="AH669" s="102" t="str">
        <f t="shared" ca="1" si="687"/>
        <v>#REF!</v>
      </c>
    </row>
    <row r="670" spans="1:34" ht="13.2">
      <c r="A670" s="251"/>
      <c r="B670" s="251"/>
      <c r="C670" s="252"/>
      <c r="D670" s="252"/>
      <c r="E670" s="114"/>
      <c r="F670" s="252"/>
      <c r="G670" s="125" t="s">
        <v>145</v>
      </c>
      <c r="I670" s="172"/>
      <c r="J670" s="82" t="str">
        <f t="shared" ca="1" si="0"/>
        <v>#REF!</v>
      </c>
      <c r="K670" s="82" t="str">
        <f t="shared" ca="1" si="1"/>
        <v>#REF!</v>
      </c>
      <c r="L670" s="82" t="str">
        <f t="shared" ca="1" si="44"/>
        <v>#REF!</v>
      </c>
      <c r="M670" s="93"/>
      <c r="N670" s="93"/>
      <c r="O670" s="95">
        <f t="shared" si="2"/>
        <v>0</v>
      </c>
      <c r="P670" s="96">
        <f t="shared" si="3"/>
        <v>0</v>
      </c>
      <c r="Q670" s="97">
        <f t="shared" si="4"/>
        <v>0</v>
      </c>
      <c r="R670" s="97" t="str">
        <f ca="1">ROUNDUP(HLOOKUP(IF(CEILING(L670,0.5)&lt;1,0.5,CEILING(L670,0.5)),'배송비 조회'!A$44:AO$56,7,0)*B$3,-2)</f>
        <v>#REF!</v>
      </c>
      <c r="S670" s="97">
        <v>0</v>
      </c>
      <c r="T670" s="97" t="str">
        <f t="shared" ca="1" si="42"/>
        <v>#REF!</v>
      </c>
      <c r="U670" s="97" t="str">
        <f t="shared" ca="1" si="29"/>
        <v>#REF!</v>
      </c>
      <c r="V670" s="97" t="str">
        <f t="shared" ca="1" si="7"/>
        <v>#REF!</v>
      </c>
      <c r="W670" s="97" t="str">
        <f t="shared" ca="1" si="8"/>
        <v>#REF!</v>
      </c>
      <c r="X670" s="121">
        <v>0</v>
      </c>
      <c r="Y670" s="121" t="str">
        <f t="shared" ca="1" si="9"/>
        <v>#REF!</v>
      </c>
      <c r="Z670" s="121" t="str">
        <f t="shared" ca="1" si="10"/>
        <v>#REF!</v>
      </c>
      <c r="AA670" s="99" t="str">
        <f t="shared" ca="1" si="11"/>
        <v>#REF!</v>
      </c>
      <c r="AB670" s="234" t="str">
        <f t="shared" ca="1" si="12"/>
        <v>#REF!</v>
      </c>
      <c r="AC670" s="257" t="str">
        <f t="shared" ca="1" si="13"/>
        <v>#REF!</v>
      </c>
      <c r="AD670" s="234" t="str">
        <f t="shared" ca="1" si="14"/>
        <v>#REF!</v>
      </c>
      <c r="AE670" s="100" t="str">
        <f t="shared" ca="1" si="15"/>
        <v>#REF!</v>
      </c>
      <c r="AF670" s="101" t="str">
        <f t="shared" ca="1" si="16"/>
        <v>#REF!</v>
      </c>
      <c r="AG670" s="102" t="str">
        <f t="shared" ref="AG670:AH670" ca="1" si="688">AE670/V670</f>
        <v>#REF!</v>
      </c>
      <c r="AH670" s="102" t="str">
        <f t="shared" ca="1" si="688"/>
        <v>#REF!</v>
      </c>
    </row>
    <row r="671" spans="1:34" ht="13.2">
      <c r="A671" s="251"/>
      <c r="B671" s="251"/>
      <c r="C671" s="252"/>
      <c r="D671" s="252"/>
      <c r="E671" s="114"/>
      <c r="F671" s="252"/>
      <c r="G671" s="125" t="s">
        <v>145</v>
      </c>
      <c r="I671" s="172"/>
      <c r="J671" s="82" t="str">
        <f t="shared" ca="1" si="0"/>
        <v>#REF!</v>
      </c>
      <c r="K671" s="82" t="str">
        <f t="shared" ca="1" si="1"/>
        <v>#REF!</v>
      </c>
      <c r="L671" s="82" t="str">
        <f t="shared" ca="1" si="44"/>
        <v>#REF!</v>
      </c>
      <c r="M671" s="93"/>
      <c r="N671" s="93"/>
      <c r="O671" s="95">
        <f t="shared" si="2"/>
        <v>0</v>
      </c>
      <c r="P671" s="96">
        <f t="shared" si="3"/>
        <v>0</v>
      </c>
      <c r="Q671" s="97">
        <f t="shared" si="4"/>
        <v>0</v>
      </c>
      <c r="R671" s="97" t="str">
        <f ca="1">ROUNDUP(HLOOKUP(IF(CEILING(L671,0.5)&lt;1,0.5,CEILING(L671,0.5)),'배송비 조회'!A$44:AO$56,7,0)*B$3,-2)</f>
        <v>#REF!</v>
      </c>
      <c r="S671" s="97">
        <v>0</v>
      </c>
      <c r="T671" s="97" t="str">
        <f t="shared" ca="1" si="42"/>
        <v>#REF!</v>
      </c>
      <c r="U671" s="97" t="str">
        <f t="shared" ca="1" si="29"/>
        <v>#REF!</v>
      </c>
      <c r="V671" s="97" t="str">
        <f t="shared" ca="1" si="7"/>
        <v>#REF!</v>
      </c>
      <c r="W671" s="97" t="str">
        <f t="shared" ca="1" si="8"/>
        <v>#REF!</v>
      </c>
      <c r="X671" s="121">
        <v>0</v>
      </c>
      <c r="Y671" s="121" t="str">
        <f t="shared" ca="1" si="9"/>
        <v>#REF!</v>
      </c>
      <c r="Z671" s="121" t="str">
        <f t="shared" ca="1" si="10"/>
        <v>#REF!</v>
      </c>
      <c r="AA671" s="99" t="str">
        <f t="shared" ca="1" si="11"/>
        <v>#REF!</v>
      </c>
      <c r="AB671" s="234" t="str">
        <f t="shared" ca="1" si="12"/>
        <v>#REF!</v>
      </c>
      <c r="AC671" s="257" t="str">
        <f t="shared" ca="1" si="13"/>
        <v>#REF!</v>
      </c>
      <c r="AD671" s="234" t="str">
        <f t="shared" ca="1" si="14"/>
        <v>#REF!</v>
      </c>
      <c r="AE671" s="100" t="str">
        <f t="shared" ca="1" si="15"/>
        <v>#REF!</v>
      </c>
      <c r="AF671" s="101" t="str">
        <f t="shared" ca="1" si="16"/>
        <v>#REF!</v>
      </c>
      <c r="AG671" s="102" t="str">
        <f t="shared" ref="AG671:AH671" ca="1" si="689">AE671/V671</f>
        <v>#REF!</v>
      </c>
      <c r="AH671" s="102" t="str">
        <f t="shared" ca="1" si="689"/>
        <v>#REF!</v>
      </c>
    </row>
    <row r="672" spans="1:34" ht="13.2">
      <c r="A672" s="251"/>
      <c r="B672" s="251"/>
      <c r="C672" s="252"/>
      <c r="D672" s="252"/>
      <c r="E672" s="114"/>
      <c r="F672" s="252"/>
      <c r="G672" s="125" t="s">
        <v>145</v>
      </c>
      <c r="I672" s="172"/>
      <c r="J672" s="82" t="str">
        <f t="shared" ca="1" si="0"/>
        <v>#REF!</v>
      </c>
      <c r="K672" s="82" t="str">
        <f t="shared" ca="1" si="1"/>
        <v>#REF!</v>
      </c>
      <c r="L672" s="82" t="str">
        <f t="shared" ca="1" si="44"/>
        <v>#REF!</v>
      </c>
      <c r="M672" s="93"/>
      <c r="N672" s="93"/>
      <c r="O672" s="95">
        <f t="shared" si="2"/>
        <v>0</v>
      </c>
      <c r="P672" s="96">
        <f t="shared" si="3"/>
        <v>0</v>
      </c>
      <c r="Q672" s="97">
        <f t="shared" si="4"/>
        <v>0</v>
      </c>
      <c r="R672" s="97" t="str">
        <f ca="1">ROUNDUP(HLOOKUP(IF(CEILING(L672,0.5)&lt;1,0.5,CEILING(L672,0.5)),'배송비 조회'!A$44:AO$56,7,0)*B$3,-2)</f>
        <v>#REF!</v>
      </c>
      <c r="S672" s="97">
        <v>0</v>
      </c>
      <c r="T672" s="97" t="str">
        <f t="shared" ca="1" si="42"/>
        <v>#REF!</v>
      </c>
      <c r="U672" s="97" t="str">
        <f t="shared" ca="1" si="29"/>
        <v>#REF!</v>
      </c>
      <c r="V672" s="97" t="str">
        <f t="shared" ca="1" si="7"/>
        <v>#REF!</v>
      </c>
      <c r="W672" s="97" t="str">
        <f t="shared" ca="1" si="8"/>
        <v>#REF!</v>
      </c>
      <c r="X672" s="121">
        <v>0</v>
      </c>
      <c r="Y672" s="121" t="str">
        <f t="shared" ca="1" si="9"/>
        <v>#REF!</v>
      </c>
      <c r="Z672" s="121" t="str">
        <f t="shared" ca="1" si="10"/>
        <v>#REF!</v>
      </c>
      <c r="AA672" s="99" t="str">
        <f t="shared" ca="1" si="11"/>
        <v>#REF!</v>
      </c>
      <c r="AB672" s="234" t="str">
        <f t="shared" ca="1" si="12"/>
        <v>#REF!</v>
      </c>
      <c r="AC672" s="257" t="str">
        <f t="shared" ca="1" si="13"/>
        <v>#REF!</v>
      </c>
      <c r="AD672" s="234" t="str">
        <f t="shared" ca="1" si="14"/>
        <v>#REF!</v>
      </c>
      <c r="AE672" s="100" t="str">
        <f t="shared" ca="1" si="15"/>
        <v>#REF!</v>
      </c>
      <c r="AF672" s="101" t="str">
        <f t="shared" ca="1" si="16"/>
        <v>#REF!</v>
      </c>
      <c r="AG672" s="102" t="str">
        <f t="shared" ref="AG672:AH672" ca="1" si="690">AE672/V672</f>
        <v>#REF!</v>
      </c>
      <c r="AH672" s="102" t="str">
        <f t="shared" ca="1" si="690"/>
        <v>#REF!</v>
      </c>
    </row>
    <row r="673" spans="1:34" ht="13.2">
      <c r="A673" s="251"/>
      <c r="B673" s="251"/>
      <c r="C673" s="252"/>
      <c r="D673" s="252"/>
      <c r="E673" s="114"/>
      <c r="F673" s="252"/>
      <c r="G673" s="125" t="s">
        <v>145</v>
      </c>
      <c r="I673" s="172"/>
      <c r="J673" s="82" t="str">
        <f t="shared" ca="1" si="0"/>
        <v>#REF!</v>
      </c>
      <c r="K673" s="82" t="str">
        <f t="shared" ca="1" si="1"/>
        <v>#REF!</v>
      </c>
      <c r="L673" s="82" t="str">
        <f t="shared" ca="1" si="44"/>
        <v>#REF!</v>
      </c>
      <c r="M673" s="93"/>
      <c r="N673" s="93"/>
      <c r="O673" s="95">
        <f t="shared" si="2"/>
        <v>0</v>
      </c>
      <c r="P673" s="96">
        <f t="shared" si="3"/>
        <v>0</v>
      </c>
      <c r="Q673" s="97">
        <f t="shared" si="4"/>
        <v>0</v>
      </c>
      <c r="R673" s="97" t="str">
        <f ca="1">ROUNDUP(HLOOKUP(IF(CEILING(L673,0.5)&lt;1,0.5,CEILING(L673,0.5)),'배송비 조회'!A$44:AO$56,7,0)*B$3,-2)</f>
        <v>#REF!</v>
      </c>
      <c r="S673" s="97">
        <v>0</v>
      </c>
      <c r="T673" s="97" t="str">
        <f t="shared" ca="1" si="42"/>
        <v>#REF!</v>
      </c>
      <c r="U673" s="97" t="str">
        <f t="shared" ca="1" si="29"/>
        <v>#REF!</v>
      </c>
      <c r="V673" s="97" t="str">
        <f t="shared" ca="1" si="7"/>
        <v>#REF!</v>
      </c>
      <c r="W673" s="97" t="str">
        <f t="shared" ca="1" si="8"/>
        <v>#REF!</v>
      </c>
      <c r="X673" s="121">
        <v>0</v>
      </c>
      <c r="Y673" s="121" t="str">
        <f t="shared" ca="1" si="9"/>
        <v>#REF!</v>
      </c>
      <c r="Z673" s="121" t="str">
        <f t="shared" ca="1" si="10"/>
        <v>#REF!</v>
      </c>
      <c r="AA673" s="99" t="str">
        <f t="shared" ca="1" si="11"/>
        <v>#REF!</v>
      </c>
      <c r="AB673" s="234" t="str">
        <f t="shared" ca="1" si="12"/>
        <v>#REF!</v>
      </c>
      <c r="AC673" s="257" t="str">
        <f t="shared" ca="1" si="13"/>
        <v>#REF!</v>
      </c>
      <c r="AD673" s="234" t="str">
        <f t="shared" ca="1" si="14"/>
        <v>#REF!</v>
      </c>
      <c r="AE673" s="100" t="str">
        <f t="shared" ca="1" si="15"/>
        <v>#REF!</v>
      </c>
      <c r="AF673" s="101" t="str">
        <f t="shared" ca="1" si="16"/>
        <v>#REF!</v>
      </c>
      <c r="AG673" s="102" t="str">
        <f t="shared" ref="AG673:AH673" ca="1" si="691">AE673/V673</f>
        <v>#REF!</v>
      </c>
      <c r="AH673" s="102" t="str">
        <f t="shared" ca="1" si="691"/>
        <v>#REF!</v>
      </c>
    </row>
    <row r="674" spans="1:34" ht="13.2">
      <c r="A674" s="251"/>
      <c r="B674" s="251"/>
      <c r="C674" s="252"/>
      <c r="D674" s="252"/>
      <c r="E674" s="114"/>
      <c r="F674" s="252"/>
      <c r="G674" s="125" t="s">
        <v>145</v>
      </c>
      <c r="I674" s="172"/>
      <c r="J674" s="82" t="str">
        <f t="shared" ca="1" si="0"/>
        <v>#REF!</v>
      </c>
      <c r="K674" s="82" t="str">
        <f t="shared" ca="1" si="1"/>
        <v>#REF!</v>
      </c>
      <c r="L674" s="82" t="str">
        <f t="shared" ca="1" si="44"/>
        <v>#REF!</v>
      </c>
      <c r="M674" s="93"/>
      <c r="N674" s="93"/>
      <c r="O674" s="95">
        <f t="shared" si="2"/>
        <v>0</v>
      </c>
      <c r="P674" s="96">
        <f t="shared" si="3"/>
        <v>0</v>
      </c>
      <c r="Q674" s="97">
        <f t="shared" si="4"/>
        <v>0</v>
      </c>
      <c r="R674" s="97" t="str">
        <f ca="1">ROUNDUP(HLOOKUP(IF(CEILING(L674,0.5)&lt;1,0.5,CEILING(L674,0.5)),'배송비 조회'!A$44:AO$56,7,0)*B$3,-2)</f>
        <v>#REF!</v>
      </c>
      <c r="S674" s="97">
        <v>0</v>
      </c>
      <c r="T674" s="97" t="str">
        <f t="shared" ca="1" si="42"/>
        <v>#REF!</v>
      </c>
      <c r="U674" s="97" t="str">
        <f t="shared" ca="1" si="29"/>
        <v>#REF!</v>
      </c>
      <c r="V674" s="97" t="str">
        <f t="shared" ca="1" si="7"/>
        <v>#REF!</v>
      </c>
      <c r="W674" s="97" t="str">
        <f t="shared" ca="1" si="8"/>
        <v>#REF!</v>
      </c>
      <c r="X674" s="121">
        <v>0</v>
      </c>
      <c r="Y674" s="121" t="str">
        <f t="shared" ca="1" si="9"/>
        <v>#REF!</v>
      </c>
      <c r="Z674" s="121" t="str">
        <f t="shared" ca="1" si="10"/>
        <v>#REF!</v>
      </c>
      <c r="AA674" s="99" t="str">
        <f t="shared" ca="1" si="11"/>
        <v>#REF!</v>
      </c>
      <c r="AB674" s="234" t="str">
        <f t="shared" ca="1" si="12"/>
        <v>#REF!</v>
      </c>
      <c r="AC674" s="257" t="str">
        <f t="shared" ca="1" si="13"/>
        <v>#REF!</v>
      </c>
      <c r="AD674" s="234" t="str">
        <f t="shared" ca="1" si="14"/>
        <v>#REF!</v>
      </c>
      <c r="AE674" s="100" t="str">
        <f t="shared" ca="1" si="15"/>
        <v>#REF!</v>
      </c>
      <c r="AF674" s="101" t="str">
        <f t="shared" ca="1" si="16"/>
        <v>#REF!</v>
      </c>
      <c r="AG674" s="102" t="str">
        <f t="shared" ref="AG674:AH674" ca="1" si="692">AE674/V674</f>
        <v>#REF!</v>
      </c>
      <c r="AH674" s="102" t="str">
        <f t="shared" ca="1" si="692"/>
        <v>#REF!</v>
      </c>
    </row>
    <row r="675" spans="1:34" ht="13.2">
      <c r="A675" s="251"/>
      <c r="B675" s="251"/>
      <c r="C675" s="252"/>
      <c r="D675" s="252"/>
      <c r="E675" s="114"/>
      <c r="F675" s="252"/>
      <c r="G675" s="125" t="s">
        <v>145</v>
      </c>
      <c r="I675" s="172"/>
      <c r="J675" s="82" t="str">
        <f t="shared" ca="1" si="0"/>
        <v>#REF!</v>
      </c>
      <c r="K675" s="82" t="str">
        <f t="shared" ca="1" si="1"/>
        <v>#REF!</v>
      </c>
      <c r="L675" s="82" t="str">
        <f t="shared" ca="1" si="44"/>
        <v>#REF!</v>
      </c>
      <c r="M675" s="93"/>
      <c r="N675" s="93"/>
      <c r="O675" s="95">
        <f t="shared" si="2"/>
        <v>0</v>
      </c>
      <c r="P675" s="96">
        <f t="shared" si="3"/>
        <v>0</v>
      </c>
      <c r="Q675" s="97">
        <f t="shared" si="4"/>
        <v>0</v>
      </c>
      <c r="R675" s="97" t="str">
        <f ca="1">ROUNDUP(HLOOKUP(IF(CEILING(L675,0.5)&lt;1,0.5,CEILING(L675,0.5)),'배송비 조회'!A$44:AO$56,7,0)*B$3,-2)</f>
        <v>#REF!</v>
      </c>
      <c r="S675" s="97">
        <v>0</v>
      </c>
      <c r="T675" s="97" t="str">
        <f t="shared" ca="1" si="42"/>
        <v>#REF!</v>
      </c>
      <c r="U675" s="97" t="str">
        <f t="shared" ca="1" si="29"/>
        <v>#REF!</v>
      </c>
      <c r="V675" s="97" t="str">
        <f t="shared" ca="1" si="7"/>
        <v>#REF!</v>
      </c>
      <c r="W675" s="97" t="str">
        <f t="shared" ca="1" si="8"/>
        <v>#REF!</v>
      </c>
      <c r="X675" s="121">
        <v>0</v>
      </c>
      <c r="Y675" s="121" t="str">
        <f t="shared" ca="1" si="9"/>
        <v>#REF!</v>
      </c>
      <c r="Z675" s="121" t="str">
        <f t="shared" ca="1" si="10"/>
        <v>#REF!</v>
      </c>
      <c r="AA675" s="99" t="str">
        <f t="shared" ca="1" si="11"/>
        <v>#REF!</v>
      </c>
      <c r="AB675" s="234" t="str">
        <f t="shared" ca="1" si="12"/>
        <v>#REF!</v>
      </c>
      <c r="AC675" s="257" t="str">
        <f t="shared" ca="1" si="13"/>
        <v>#REF!</v>
      </c>
      <c r="AD675" s="234" t="str">
        <f t="shared" ca="1" si="14"/>
        <v>#REF!</v>
      </c>
      <c r="AE675" s="100" t="str">
        <f t="shared" ca="1" si="15"/>
        <v>#REF!</v>
      </c>
      <c r="AF675" s="101" t="str">
        <f t="shared" ca="1" si="16"/>
        <v>#REF!</v>
      </c>
      <c r="AG675" s="102" t="str">
        <f t="shared" ref="AG675:AH675" ca="1" si="693">AE675/V675</f>
        <v>#REF!</v>
      </c>
      <c r="AH675" s="102" t="str">
        <f t="shared" ca="1" si="693"/>
        <v>#REF!</v>
      </c>
    </row>
    <row r="676" spans="1:34" ht="13.2">
      <c r="A676" s="251"/>
      <c r="B676" s="251"/>
      <c r="C676" s="252"/>
      <c r="D676" s="252"/>
      <c r="E676" s="114"/>
      <c r="F676" s="252"/>
      <c r="G676" s="125" t="s">
        <v>145</v>
      </c>
      <c r="I676" s="172"/>
      <c r="J676" s="82" t="str">
        <f t="shared" ca="1" si="0"/>
        <v>#REF!</v>
      </c>
      <c r="K676" s="82" t="str">
        <f t="shared" ca="1" si="1"/>
        <v>#REF!</v>
      </c>
      <c r="L676" s="82" t="str">
        <f t="shared" ca="1" si="44"/>
        <v>#REF!</v>
      </c>
      <c r="M676" s="93"/>
      <c r="N676" s="93"/>
      <c r="O676" s="95">
        <f t="shared" si="2"/>
        <v>0</v>
      </c>
      <c r="P676" s="96">
        <f t="shared" si="3"/>
        <v>0</v>
      </c>
      <c r="Q676" s="97">
        <f t="shared" si="4"/>
        <v>0</v>
      </c>
      <c r="R676" s="97" t="str">
        <f ca="1">ROUNDUP(HLOOKUP(IF(CEILING(L676,0.5)&lt;1,0.5,CEILING(L676,0.5)),'배송비 조회'!A$44:AO$56,7,0)*B$3,-2)</f>
        <v>#REF!</v>
      </c>
      <c r="S676" s="97">
        <v>0</v>
      </c>
      <c r="T676" s="97" t="str">
        <f t="shared" ca="1" si="42"/>
        <v>#REF!</v>
      </c>
      <c r="U676" s="97" t="str">
        <f t="shared" ca="1" si="29"/>
        <v>#REF!</v>
      </c>
      <c r="V676" s="97" t="str">
        <f t="shared" ca="1" si="7"/>
        <v>#REF!</v>
      </c>
      <c r="W676" s="97" t="str">
        <f t="shared" ca="1" si="8"/>
        <v>#REF!</v>
      </c>
      <c r="X676" s="121">
        <v>0</v>
      </c>
      <c r="Y676" s="121" t="str">
        <f t="shared" ca="1" si="9"/>
        <v>#REF!</v>
      </c>
      <c r="Z676" s="121" t="str">
        <f t="shared" ca="1" si="10"/>
        <v>#REF!</v>
      </c>
      <c r="AA676" s="99" t="str">
        <f t="shared" ca="1" si="11"/>
        <v>#REF!</v>
      </c>
      <c r="AB676" s="234" t="str">
        <f t="shared" ca="1" si="12"/>
        <v>#REF!</v>
      </c>
      <c r="AC676" s="257" t="str">
        <f t="shared" ca="1" si="13"/>
        <v>#REF!</v>
      </c>
      <c r="AD676" s="234" t="str">
        <f t="shared" ca="1" si="14"/>
        <v>#REF!</v>
      </c>
      <c r="AE676" s="100" t="str">
        <f t="shared" ca="1" si="15"/>
        <v>#REF!</v>
      </c>
      <c r="AF676" s="101" t="str">
        <f t="shared" ca="1" si="16"/>
        <v>#REF!</v>
      </c>
      <c r="AG676" s="102" t="str">
        <f t="shared" ref="AG676:AH676" ca="1" si="694">AE676/V676</f>
        <v>#REF!</v>
      </c>
      <c r="AH676" s="102" t="str">
        <f t="shared" ca="1" si="694"/>
        <v>#REF!</v>
      </c>
    </row>
    <row r="677" spans="1:34" ht="13.2">
      <c r="A677" s="251"/>
      <c r="B677" s="251"/>
      <c r="C677" s="252"/>
      <c r="D677" s="252"/>
      <c r="E677" s="114"/>
      <c r="F677" s="252"/>
      <c r="G677" s="125" t="s">
        <v>145</v>
      </c>
      <c r="I677" s="172"/>
      <c r="J677" s="82" t="str">
        <f t="shared" ca="1" si="0"/>
        <v>#REF!</v>
      </c>
      <c r="K677" s="82" t="str">
        <f t="shared" ca="1" si="1"/>
        <v>#REF!</v>
      </c>
      <c r="L677" s="82" t="str">
        <f t="shared" ca="1" si="44"/>
        <v>#REF!</v>
      </c>
      <c r="M677" s="93"/>
      <c r="N677" s="93"/>
      <c r="O677" s="95">
        <f t="shared" si="2"/>
        <v>0</v>
      </c>
      <c r="P677" s="96">
        <f t="shared" si="3"/>
        <v>0</v>
      </c>
      <c r="Q677" s="97">
        <f t="shared" si="4"/>
        <v>0</v>
      </c>
      <c r="R677" s="97" t="str">
        <f ca="1">ROUNDUP(HLOOKUP(IF(CEILING(L677,0.5)&lt;1,0.5,CEILING(L677,0.5)),'배송비 조회'!A$44:AO$56,7,0)*B$3,-2)</f>
        <v>#REF!</v>
      </c>
      <c r="S677" s="97">
        <v>0</v>
      </c>
      <c r="T677" s="97" t="str">
        <f t="shared" ca="1" si="42"/>
        <v>#REF!</v>
      </c>
      <c r="U677" s="97" t="str">
        <f t="shared" ca="1" si="29"/>
        <v>#REF!</v>
      </c>
      <c r="V677" s="97" t="str">
        <f t="shared" ca="1" si="7"/>
        <v>#REF!</v>
      </c>
      <c r="W677" s="97" t="str">
        <f t="shared" ca="1" si="8"/>
        <v>#REF!</v>
      </c>
      <c r="X677" s="121">
        <v>0</v>
      </c>
      <c r="Y677" s="121" t="str">
        <f t="shared" ca="1" si="9"/>
        <v>#REF!</v>
      </c>
      <c r="Z677" s="121" t="str">
        <f t="shared" ca="1" si="10"/>
        <v>#REF!</v>
      </c>
      <c r="AA677" s="99" t="str">
        <f t="shared" ca="1" si="11"/>
        <v>#REF!</v>
      </c>
      <c r="AB677" s="234" t="str">
        <f t="shared" ca="1" si="12"/>
        <v>#REF!</v>
      </c>
      <c r="AC677" s="257" t="str">
        <f t="shared" ca="1" si="13"/>
        <v>#REF!</v>
      </c>
      <c r="AD677" s="234" t="str">
        <f t="shared" ca="1" si="14"/>
        <v>#REF!</v>
      </c>
      <c r="AE677" s="100" t="str">
        <f t="shared" ca="1" si="15"/>
        <v>#REF!</v>
      </c>
      <c r="AF677" s="101" t="str">
        <f t="shared" ca="1" si="16"/>
        <v>#REF!</v>
      </c>
      <c r="AG677" s="102" t="str">
        <f t="shared" ref="AG677:AH677" ca="1" si="695">AE677/V677</f>
        <v>#REF!</v>
      </c>
      <c r="AH677" s="102" t="str">
        <f t="shared" ca="1" si="695"/>
        <v>#REF!</v>
      </c>
    </row>
    <row r="678" spans="1:34" ht="13.2">
      <c r="A678" s="251"/>
      <c r="B678" s="251"/>
      <c r="C678" s="252"/>
      <c r="D678" s="252"/>
      <c r="E678" s="114"/>
      <c r="F678" s="252"/>
      <c r="G678" s="125" t="s">
        <v>145</v>
      </c>
      <c r="I678" s="172"/>
      <c r="J678" s="82" t="str">
        <f t="shared" ca="1" si="0"/>
        <v>#REF!</v>
      </c>
      <c r="K678" s="82" t="str">
        <f t="shared" ca="1" si="1"/>
        <v>#REF!</v>
      </c>
      <c r="L678" s="82" t="str">
        <f t="shared" ca="1" si="44"/>
        <v>#REF!</v>
      </c>
      <c r="M678" s="93"/>
      <c r="N678" s="93"/>
      <c r="O678" s="95">
        <f t="shared" si="2"/>
        <v>0</v>
      </c>
      <c r="P678" s="96">
        <f t="shared" si="3"/>
        <v>0</v>
      </c>
      <c r="Q678" s="97">
        <f t="shared" si="4"/>
        <v>0</v>
      </c>
      <c r="R678" s="97" t="str">
        <f ca="1">ROUNDUP(HLOOKUP(IF(CEILING(L678,0.5)&lt;1,0.5,CEILING(L678,0.5)),'배송비 조회'!A$44:AO$56,7,0)*B$3,-2)</f>
        <v>#REF!</v>
      </c>
      <c r="S678" s="97">
        <v>0</v>
      </c>
      <c r="T678" s="97" t="str">
        <f t="shared" ca="1" si="42"/>
        <v>#REF!</v>
      </c>
      <c r="U678" s="97" t="str">
        <f t="shared" ca="1" si="29"/>
        <v>#REF!</v>
      </c>
      <c r="V678" s="97" t="str">
        <f t="shared" ca="1" si="7"/>
        <v>#REF!</v>
      </c>
      <c r="W678" s="97" t="str">
        <f t="shared" ca="1" si="8"/>
        <v>#REF!</v>
      </c>
      <c r="X678" s="121">
        <v>0</v>
      </c>
      <c r="Y678" s="121" t="str">
        <f t="shared" ca="1" si="9"/>
        <v>#REF!</v>
      </c>
      <c r="Z678" s="121" t="str">
        <f t="shared" ca="1" si="10"/>
        <v>#REF!</v>
      </c>
      <c r="AA678" s="99" t="str">
        <f t="shared" ca="1" si="11"/>
        <v>#REF!</v>
      </c>
      <c r="AB678" s="234" t="str">
        <f t="shared" ca="1" si="12"/>
        <v>#REF!</v>
      </c>
      <c r="AC678" s="257" t="str">
        <f t="shared" ca="1" si="13"/>
        <v>#REF!</v>
      </c>
      <c r="AD678" s="234" t="str">
        <f t="shared" ca="1" si="14"/>
        <v>#REF!</v>
      </c>
      <c r="AE678" s="100" t="str">
        <f t="shared" ca="1" si="15"/>
        <v>#REF!</v>
      </c>
      <c r="AF678" s="101" t="str">
        <f t="shared" ca="1" si="16"/>
        <v>#REF!</v>
      </c>
      <c r="AG678" s="102" t="str">
        <f t="shared" ref="AG678:AH678" ca="1" si="696">AE678/V678</f>
        <v>#REF!</v>
      </c>
      <c r="AH678" s="102" t="str">
        <f t="shared" ca="1" si="696"/>
        <v>#REF!</v>
      </c>
    </row>
    <row r="679" spans="1:34" ht="13.2">
      <c r="A679" s="251"/>
      <c r="B679" s="251"/>
      <c r="C679" s="252"/>
      <c r="D679" s="252"/>
      <c r="E679" s="114"/>
      <c r="F679" s="252"/>
      <c r="G679" s="125" t="s">
        <v>145</v>
      </c>
      <c r="I679" s="172"/>
      <c r="J679" s="82" t="str">
        <f t="shared" ca="1" si="0"/>
        <v>#REF!</v>
      </c>
      <c r="K679" s="82" t="str">
        <f t="shared" ca="1" si="1"/>
        <v>#REF!</v>
      </c>
      <c r="L679" s="82" t="str">
        <f t="shared" ca="1" si="44"/>
        <v>#REF!</v>
      </c>
      <c r="M679" s="93"/>
      <c r="N679" s="93"/>
      <c r="O679" s="95">
        <f t="shared" si="2"/>
        <v>0</v>
      </c>
      <c r="P679" s="96">
        <f t="shared" si="3"/>
        <v>0</v>
      </c>
      <c r="Q679" s="97">
        <f t="shared" si="4"/>
        <v>0</v>
      </c>
      <c r="R679" s="97" t="str">
        <f ca="1">ROUNDUP(HLOOKUP(IF(CEILING(L679,0.5)&lt;1,0.5,CEILING(L679,0.5)),'배송비 조회'!A$44:AO$56,7,0)*B$3,-2)</f>
        <v>#REF!</v>
      </c>
      <c r="S679" s="97">
        <v>0</v>
      </c>
      <c r="T679" s="97" t="str">
        <f t="shared" ca="1" si="42"/>
        <v>#REF!</v>
      </c>
      <c r="U679" s="97" t="str">
        <f t="shared" ca="1" si="29"/>
        <v>#REF!</v>
      </c>
      <c r="V679" s="97" t="str">
        <f t="shared" ca="1" si="7"/>
        <v>#REF!</v>
      </c>
      <c r="W679" s="97" t="str">
        <f t="shared" ca="1" si="8"/>
        <v>#REF!</v>
      </c>
      <c r="X679" s="121">
        <v>0</v>
      </c>
      <c r="Y679" s="121" t="str">
        <f t="shared" ca="1" si="9"/>
        <v>#REF!</v>
      </c>
      <c r="Z679" s="121" t="str">
        <f t="shared" ca="1" si="10"/>
        <v>#REF!</v>
      </c>
      <c r="AA679" s="99" t="str">
        <f t="shared" ca="1" si="11"/>
        <v>#REF!</v>
      </c>
      <c r="AB679" s="234" t="str">
        <f t="shared" ca="1" si="12"/>
        <v>#REF!</v>
      </c>
      <c r="AC679" s="257" t="str">
        <f t="shared" ca="1" si="13"/>
        <v>#REF!</v>
      </c>
      <c r="AD679" s="234" t="str">
        <f t="shared" ca="1" si="14"/>
        <v>#REF!</v>
      </c>
      <c r="AE679" s="100" t="str">
        <f t="shared" ca="1" si="15"/>
        <v>#REF!</v>
      </c>
      <c r="AF679" s="101" t="str">
        <f t="shared" ca="1" si="16"/>
        <v>#REF!</v>
      </c>
      <c r="AG679" s="102" t="str">
        <f t="shared" ref="AG679:AH679" ca="1" si="697">AE679/V679</f>
        <v>#REF!</v>
      </c>
      <c r="AH679" s="102" t="str">
        <f t="shared" ca="1" si="697"/>
        <v>#REF!</v>
      </c>
    </row>
    <row r="680" spans="1:34" ht="13.2">
      <c r="A680" s="251"/>
      <c r="B680" s="251"/>
      <c r="C680" s="252"/>
      <c r="D680" s="252"/>
      <c r="E680" s="114"/>
      <c r="F680" s="252"/>
      <c r="G680" s="125" t="s">
        <v>145</v>
      </c>
      <c r="I680" s="172"/>
      <c r="J680" s="82" t="str">
        <f t="shared" ca="1" si="0"/>
        <v>#REF!</v>
      </c>
      <c r="K680" s="82" t="str">
        <f t="shared" ca="1" si="1"/>
        <v>#REF!</v>
      </c>
      <c r="L680" s="82" t="str">
        <f t="shared" ca="1" si="44"/>
        <v>#REF!</v>
      </c>
      <c r="M680" s="93"/>
      <c r="N680" s="93"/>
      <c r="O680" s="95">
        <f t="shared" si="2"/>
        <v>0</v>
      </c>
      <c r="P680" s="96">
        <f t="shared" si="3"/>
        <v>0</v>
      </c>
      <c r="Q680" s="97">
        <f t="shared" si="4"/>
        <v>0</v>
      </c>
      <c r="R680" s="97" t="str">
        <f ca="1">ROUNDUP(HLOOKUP(IF(CEILING(L680,0.5)&lt;1,0.5,CEILING(L680,0.5)),'배송비 조회'!A$44:AO$56,7,0)*B$3,-2)</f>
        <v>#REF!</v>
      </c>
      <c r="S680" s="97">
        <v>0</v>
      </c>
      <c r="T680" s="97" t="str">
        <f t="shared" ca="1" si="42"/>
        <v>#REF!</v>
      </c>
      <c r="U680" s="97" t="str">
        <f t="shared" ca="1" si="29"/>
        <v>#REF!</v>
      </c>
      <c r="V680" s="97" t="str">
        <f t="shared" ca="1" si="7"/>
        <v>#REF!</v>
      </c>
      <c r="W680" s="97" t="str">
        <f t="shared" ca="1" si="8"/>
        <v>#REF!</v>
      </c>
      <c r="X680" s="121">
        <v>0</v>
      </c>
      <c r="Y680" s="121" t="str">
        <f t="shared" ca="1" si="9"/>
        <v>#REF!</v>
      </c>
      <c r="Z680" s="121" t="str">
        <f t="shared" ca="1" si="10"/>
        <v>#REF!</v>
      </c>
      <c r="AA680" s="99" t="str">
        <f t="shared" ca="1" si="11"/>
        <v>#REF!</v>
      </c>
      <c r="AB680" s="234" t="str">
        <f t="shared" ca="1" si="12"/>
        <v>#REF!</v>
      </c>
      <c r="AC680" s="257" t="str">
        <f t="shared" ca="1" si="13"/>
        <v>#REF!</v>
      </c>
      <c r="AD680" s="234" t="str">
        <f t="shared" ca="1" si="14"/>
        <v>#REF!</v>
      </c>
      <c r="AE680" s="100" t="str">
        <f t="shared" ca="1" si="15"/>
        <v>#REF!</v>
      </c>
      <c r="AF680" s="101" t="str">
        <f t="shared" ca="1" si="16"/>
        <v>#REF!</v>
      </c>
      <c r="AG680" s="102" t="str">
        <f t="shared" ref="AG680:AH680" ca="1" si="698">AE680/V680</f>
        <v>#REF!</v>
      </c>
      <c r="AH680" s="102" t="str">
        <f t="shared" ca="1" si="698"/>
        <v>#REF!</v>
      </c>
    </row>
    <row r="681" spans="1:34" ht="13.2">
      <c r="A681" s="251"/>
      <c r="B681" s="251"/>
      <c r="C681" s="252"/>
      <c r="D681" s="252"/>
      <c r="E681" s="114"/>
      <c r="F681" s="252"/>
      <c r="G681" s="125" t="s">
        <v>145</v>
      </c>
      <c r="I681" s="172"/>
      <c r="J681" s="82" t="str">
        <f t="shared" ca="1" si="0"/>
        <v>#REF!</v>
      </c>
      <c r="K681" s="82" t="str">
        <f t="shared" ca="1" si="1"/>
        <v>#REF!</v>
      </c>
      <c r="L681" s="82" t="str">
        <f t="shared" ca="1" si="44"/>
        <v>#REF!</v>
      </c>
      <c r="M681" s="93"/>
      <c r="N681" s="93"/>
      <c r="O681" s="95">
        <f t="shared" si="2"/>
        <v>0</v>
      </c>
      <c r="P681" s="96">
        <f t="shared" si="3"/>
        <v>0</v>
      </c>
      <c r="Q681" s="97">
        <f t="shared" si="4"/>
        <v>0</v>
      </c>
      <c r="R681" s="97" t="str">
        <f ca="1">ROUNDUP(HLOOKUP(IF(CEILING(L681,0.5)&lt;1,0.5,CEILING(L681,0.5)),'배송비 조회'!A$44:AO$56,7,0)*B$3,-2)</f>
        <v>#REF!</v>
      </c>
      <c r="S681" s="97">
        <v>0</v>
      </c>
      <c r="T681" s="97" t="str">
        <f t="shared" ca="1" si="42"/>
        <v>#REF!</v>
      </c>
      <c r="U681" s="97" t="str">
        <f t="shared" ca="1" si="29"/>
        <v>#REF!</v>
      </c>
      <c r="V681" s="97" t="str">
        <f t="shared" ca="1" si="7"/>
        <v>#REF!</v>
      </c>
      <c r="W681" s="97" t="str">
        <f t="shared" ca="1" si="8"/>
        <v>#REF!</v>
      </c>
      <c r="X681" s="121">
        <v>0</v>
      </c>
      <c r="Y681" s="121" t="str">
        <f t="shared" ca="1" si="9"/>
        <v>#REF!</v>
      </c>
      <c r="Z681" s="121" t="str">
        <f t="shared" ca="1" si="10"/>
        <v>#REF!</v>
      </c>
      <c r="AA681" s="99" t="str">
        <f t="shared" ca="1" si="11"/>
        <v>#REF!</v>
      </c>
      <c r="AB681" s="234" t="str">
        <f t="shared" ca="1" si="12"/>
        <v>#REF!</v>
      </c>
      <c r="AC681" s="257" t="str">
        <f t="shared" ca="1" si="13"/>
        <v>#REF!</v>
      </c>
      <c r="AD681" s="234" t="str">
        <f t="shared" ca="1" si="14"/>
        <v>#REF!</v>
      </c>
      <c r="AE681" s="100" t="str">
        <f t="shared" ca="1" si="15"/>
        <v>#REF!</v>
      </c>
      <c r="AF681" s="101" t="str">
        <f t="shared" ca="1" si="16"/>
        <v>#REF!</v>
      </c>
      <c r="AG681" s="102" t="str">
        <f t="shared" ref="AG681:AH681" ca="1" si="699">AE681/V681</f>
        <v>#REF!</v>
      </c>
      <c r="AH681" s="102" t="str">
        <f t="shared" ca="1" si="699"/>
        <v>#REF!</v>
      </c>
    </row>
    <row r="682" spans="1:34" ht="13.2">
      <c r="A682" s="251"/>
      <c r="B682" s="251"/>
      <c r="C682" s="252"/>
      <c r="D682" s="252"/>
      <c r="E682" s="114"/>
      <c r="F682" s="252"/>
      <c r="G682" s="125" t="s">
        <v>145</v>
      </c>
      <c r="I682" s="172"/>
      <c r="J682" s="82" t="str">
        <f t="shared" ca="1" si="0"/>
        <v>#REF!</v>
      </c>
      <c r="K682" s="82" t="str">
        <f t="shared" ca="1" si="1"/>
        <v>#REF!</v>
      </c>
      <c r="L682" s="82" t="str">
        <f t="shared" ca="1" si="44"/>
        <v>#REF!</v>
      </c>
      <c r="M682" s="93"/>
      <c r="N682" s="93"/>
      <c r="O682" s="95">
        <f t="shared" si="2"/>
        <v>0</v>
      </c>
      <c r="P682" s="96">
        <f t="shared" si="3"/>
        <v>0</v>
      </c>
      <c r="Q682" s="97">
        <f t="shared" si="4"/>
        <v>0</v>
      </c>
      <c r="R682" s="97" t="str">
        <f ca="1">ROUNDUP(HLOOKUP(IF(CEILING(L682,0.5)&lt;1,0.5,CEILING(L682,0.5)),'배송비 조회'!A$44:AO$56,7,0)*B$3,-2)</f>
        <v>#REF!</v>
      </c>
      <c r="S682" s="97">
        <v>0</v>
      </c>
      <c r="T682" s="97" t="str">
        <f t="shared" ca="1" si="42"/>
        <v>#REF!</v>
      </c>
      <c r="U682" s="97" t="str">
        <f t="shared" ca="1" si="29"/>
        <v>#REF!</v>
      </c>
      <c r="V682" s="97" t="str">
        <f t="shared" ca="1" si="7"/>
        <v>#REF!</v>
      </c>
      <c r="W682" s="97" t="str">
        <f t="shared" ca="1" si="8"/>
        <v>#REF!</v>
      </c>
      <c r="X682" s="121">
        <v>0</v>
      </c>
      <c r="Y682" s="121" t="str">
        <f t="shared" ca="1" si="9"/>
        <v>#REF!</v>
      </c>
      <c r="Z682" s="121" t="str">
        <f t="shared" ca="1" si="10"/>
        <v>#REF!</v>
      </c>
      <c r="AA682" s="99" t="str">
        <f t="shared" ca="1" si="11"/>
        <v>#REF!</v>
      </c>
      <c r="AB682" s="234" t="str">
        <f t="shared" ca="1" si="12"/>
        <v>#REF!</v>
      </c>
      <c r="AC682" s="257" t="str">
        <f t="shared" ca="1" si="13"/>
        <v>#REF!</v>
      </c>
      <c r="AD682" s="234" t="str">
        <f t="shared" ca="1" si="14"/>
        <v>#REF!</v>
      </c>
      <c r="AE682" s="100" t="str">
        <f t="shared" ca="1" si="15"/>
        <v>#REF!</v>
      </c>
      <c r="AF682" s="101" t="str">
        <f t="shared" ca="1" si="16"/>
        <v>#REF!</v>
      </c>
      <c r="AG682" s="102" t="str">
        <f t="shared" ref="AG682:AH682" ca="1" si="700">AE682/V682</f>
        <v>#REF!</v>
      </c>
      <c r="AH682" s="102" t="str">
        <f t="shared" ca="1" si="700"/>
        <v>#REF!</v>
      </c>
    </row>
    <row r="683" spans="1:34" ht="13.2">
      <c r="A683" s="251"/>
      <c r="B683" s="251"/>
      <c r="C683" s="252"/>
      <c r="D683" s="252"/>
      <c r="E683" s="114"/>
      <c r="F683" s="252"/>
      <c r="G683" s="125" t="s">
        <v>145</v>
      </c>
      <c r="I683" s="172"/>
      <c r="J683" s="82" t="str">
        <f t="shared" ca="1" si="0"/>
        <v>#REF!</v>
      </c>
      <c r="K683" s="82" t="str">
        <f t="shared" ca="1" si="1"/>
        <v>#REF!</v>
      </c>
      <c r="L683" s="82" t="str">
        <f t="shared" ca="1" si="44"/>
        <v>#REF!</v>
      </c>
      <c r="M683" s="93"/>
      <c r="N683" s="93"/>
      <c r="O683" s="95">
        <f t="shared" si="2"/>
        <v>0</v>
      </c>
      <c r="P683" s="96">
        <f t="shared" si="3"/>
        <v>0</v>
      </c>
      <c r="Q683" s="97">
        <f t="shared" si="4"/>
        <v>0</v>
      </c>
      <c r="R683" s="97" t="str">
        <f ca="1">ROUNDUP(HLOOKUP(IF(CEILING(L683,0.5)&lt;1,0.5,CEILING(L683,0.5)),'배송비 조회'!A$44:AO$56,7,0)*B$3,-2)</f>
        <v>#REF!</v>
      </c>
      <c r="S683" s="97">
        <v>0</v>
      </c>
      <c r="T683" s="97" t="str">
        <f t="shared" ca="1" si="42"/>
        <v>#REF!</v>
      </c>
      <c r="U683" s="97" t="str">
        <f t="shared" ca="1" si="29"/>
        <v>#REF!</v>
      </c>
      <c r="V683" s="97" t="str">
        <f t="shared" ca="1" si="7"/>
        <v>#REF!</v>
      </c>
      <c r="W683" s="97" t="str">
        <f t="shared" ca="1" si="8"/>
        <v>#REF!</v>
      </c>
      <c r="X683" s="121">
        <v>0</v>
      </c>
      <c r="Y683" s="121" t="str">
        <f t="shared" ca="1" si="9"/>
        <v>#REF!</v>
      </c>
      <c r="Z683" s="121" t="str">
        <f t="shared" ca="1" si="10"/>
        <v>#REF!</v>
      </c>
      <c r="AA683" s="99" t="str">
        <f t="shared" ca="1" si="11"/>
        <v>#REF!</v>
      </c>
      <c r="AB683" s="234" t="str">
        <f t="shared" ca="1" si="12"/>
        <v>#REF!</v>
      </c>
      <c r="AC683" s="257" t="str">
        <f t="shared" ca="1" si="13"/>
        <v>#REF!</v>
      </c>
      <c r="AD683" s="234" t="str">
        <f t="shared" ca="1" si="14"/>
        <v>#REF!</v>
      </c>
      <c r="AE683" s="100" t="str">
        <f t="shared" ca="1" si="15"/>
        <v>#REF!</v>
      </c>
      <c r="AF683" s="101" t="str">
        <f t="shared" ca="1" si="16"/>
        <v>#REF!</v>
      </c>
      <c r="AG683" s="102" t="str">
        <f t="shared" ref="AG683:AH683" ca="1" si="701">AE683/V683</f>
        <v>#REF!</v>
      </c>
      <c r="AH683" s="102" t="str">
        <f t="shared" ca="1" si="701"/>
        <v>#REF!</v>
      </c>
    </row>
    <row r="684" spans="1:34" ht="13.2">
      <c r="A684" s="251"/>
      <c r="B684" s="251"/>
      <c r="C684" s="252"/>
      <c r="D684" s="252"/>
      <c r="E684" s="114"/>
      <c r="F684" s="252"/>
      <c r="G684" s="125" t="s">
        <v>145</v>
      </c>
      <c r="I684" s="172"/>
      <c r="J684" s="82" t="str">
        <f t="shared" ca="1" si="0"/>
        <v>#REF!</v>
      </c>
      <c r="K684" s="82" t="str">
        <f t="shared" ca="1" si="1"/>
        <v>#REF!</v>
      </c>
      <c r="L684" s="82" t="str">
        <f t="shared" ca="1" si="44"/>
        <v>#REF!</v>
      </c>
      <c r="M684" s="93"/>
      <c r="N684" s="93"/>
      <c r="O684" s="95">
        <f t="shared" si="2"/>
        <v>0</v>
      </c>
      <c r="P684" s="96">
        <f t="shared" si="3"/>
        <v>0</v>
      </c>
      <c r="Q684" s="97">
        <f t="shared" si="4"/>
        <v>0</v>
      </c>
      <c r="R684" s="97" t="str">
        <f ca="1">ROUNDUP(HLOOKUP(IF(CEILING(L684,0.5)&lt;1,0.5,CEILING(L684,0.5)),'배송비 조회'!A$44:AO$56,7,0)*B$3,-2)</f>
        <v>#REF!</v>
      </c>
      <c r="S684" s="97">
        <v>0</v>
      </c>
      <c r="T684" s="97" t="str">
        <f t="shared" ca="1" si="42"/>
        <v>#REF!</v>
      </c>
      <c r="U684" s="97" t="str">
        <f t="shared" ca="1" si="29"/>
        <v>#REF!</v>
      </c>
      <c r="V684" s="97" t="str">
        <f t="shared" ca="1" si="7"/>
        <v>#REF!</v>
      </c>
      <c r="W684" s="97" t="str">
        <f t="shared" ca="1" si="8"/>
        <v>#REF!</v>
      </c>
      <c r="X684" s="121">
        <v>0</v>
      </c>
      <c r="Y684" s="121" t="str">
        <f t="shared" ca="1" si="9"/>
        <v>#REF!</v>
      </c>
      <c r="Z684" s="121" t="str">
        <f t="shared" ca="1" si="10"/>
        <v>#REF!</v>
      </c>
      <c r="AA684" s="99" t="str">
        <f t="shared" ca="1" si="11"/>
        <v>#REF!</v>
      </c>
      <c r="AB684" s="234" t="str">
        <f t="shared" ca="1" si="12"/>
        <v>#REF!</v>
      </c>
      <c r="AC684" s="257" t="str">
        <f t="shared" ca="1" si="13"/>
        <v>#REF!</v>
      </c>
      <c r="AD684" s="234" t="str">
        <f t="shared" ca="1" si="14"/>
        <v>#REF!</v>
      </c>
      <c r="AE684" s="100" t="str">
        <f t="shared" ca="1" si="15"/>
        <v>#REF!</v>
      </c>
      <c r="AF684" s="101" t="str">
        <f t="shared" ca="1" si="16"/>
        <v>#REF!</v>
      </c>
      <c r="AG684" s="102" t="str">
        <f t="shared" ref="AG684:AH684" ca="1" si="702">AE684/V684</f>
        <v>#REF!</v>
      </c>
      <c r="AH684" s="102" t="str">
        <f t="shared" ca="1" si="702"/>
        <v>#REF!</v>
      </c>
    </row>
    <row r="685" spans="1:34" ht="13.2">
      <c r="A685" s="251"/>
      <c r="B685" s="251"/>
      <c r="C685" s="252"/>
      <c r="D685" s="252"/>
      <c r="E685" s="114"/>
      <c r="F685" s="252"/>
      <c r="G685" s="125" t="s">
        <v>145</v>
      </c>
      <c r="I685" s="172"/>
      <c r="J685" s="82" t="str">
        <f t="shared" ca="1" si="0"/>
        <v>#REF!</v>
      </c>
      <c r="K685" s="82" t="str">
        <f t="shared" ca="1" si="1"/>
        <v>#REF!</v>
      </c>
      <c r="L685" s="82" t="str">
        <f t="shared" ca="1" si="44"/>
        <v>#REF!</v>
      </c>
      <c r="M685" s="93"/>
      <c r="N685" s="93"/>
      <c r="O685" s="95">
        <f t="shared" si="2"/>
        <v>0</v>
      </c>
      <c r="P685" s="96">
        <f t="shared" si="3"/>
        <v>0</v>
      </c>
      <c r="Q685" s="97">
        <f t="shared" si="4"/>
        <v>0</v>
      </c>
      <c r="R685" s="97" t="str">
        <f ca="1">ROUNDUP(HLOOKUP(IF(CEILING(L685,0.5)&lt;1,0.5,CEILING(L685,0.5)),'배송비 조회'!A$44:AO$56,7,0)*B$3,-2)</f>
        <v>#REF!</v>
      </c>
      <c r="S685" s="97">
        <v>0</v>
      </c>
      <c r="T685" s="97" t="str">
        <f t="shared" ca="1" si="42"/>
        <v>#REF!</v>
      </c>
      <c r="U685" s="97" t="str">
        <f t="shared" ca="1" si="29"/>
        <v>#REF!</v>
      </c>
      <c r="V685" s="97" t="str">
        <f t="shared" ca="1" si="7"/>
        <v>#REF!</v>
      </c>
      <c r="W685" s="97" t="str">
        <f t="shared" ca="1" si="8"/>
        <v>#REF!</v>
      </c>
      <c r="X685" s="121">
        <v>0</v>
      </c>
      <c r="Y685" s="121" t="str">
        <f t="shared" ca="1" si="9"/>
        <v>#REF!</v>
      </c>
      <c r="Z685" s="121" t="str">
        <f t="shared" ca="1" si="10"/>
        <v>#REF!</v>
      </c>
      <c r="AA685" s="99" t="str">
        <f t="shared" ca="1" si="11"/>
        <v>#REF!</v>
      </c>
      <c r="AB685" s="234" t="str">
        <f t="shared" ca="1" si="12"/>
        <v>#REF!</v>
      </c>
      <c r="AC685" s="257" t="str">
        <f t="shared" ca="1" si="13"/>
        <v>#REF!</v>
      </c>
      <c r="AD685" s="234" t="str">
        <f t="shared" ca="1" si="14"/>
        <v>#REF!</v>
      </c>
      <c r="AE685" s="100" t="str">
        <f t="shared" ca="1" si="15"/>
        <v>#REF!</v>
      </c>
      <c r="AF685" s="101" t="str">
        <f t="shared" ca="1" si="16"/>
        <v>#REF!</v>
      </c>
      <c r="AG685" s="102" t="str">
        <f t="shared" ref="AG685:AH685" ca="1" si="703">AE685/V685</f>
        <v>#REF!</v>
      </c>
      <c r="AH685" s="102" t="str">
        <f t="shared" ca="1" si="703"/>
        <v>#REF!</v>
      </c>
    </row>
    <row r="686" spans="1:34" ht="13.2">
      <c r="A686" s="251"/>
      <c r="B686" s="251"/>
      <c r="C686" s="252"/>
      <c r="D686" s="252"/>
      <c r="E686" s="114"/>
      <c r="F686" s="252"/>
      <c r="G686" s="125" t="s">
        <v>145</v>
      </c>
      <c r="I686" s="172"/>
      <c r="J686" s="82" t="str">
        <f t="shared" ca="1" si="0"/>
        <v>#REF!</v>
      </c>
      <c r="K686" s="82" t="str">
        <f t="shared" ca="1" si="1"/>
        <v>#REF!</v>
      </c>
      <c r="L686" s="82" t="str">
        <f t="shared" ca="1" si="44"/>
        <v>#REF!</v>
      </c>
      <c r="M686" s="93"/>
      <c r="N686" s="93"/>
      <c r="O686" s="95">
        <f t="shared" si="2"/>
        <v>0</v>
      </c>
      <c r="P686" s="96">
        <f t="shared" si="3"/>
        <v>0</v>
      </c>
      <c r="Q686" s="97">
        <f t="shared" si="4"/>
        <v>0</v>
      </c>
      <c r="R686" s="97" t="str">
        <f ca="1">ROUNDUP(HLOOKUP(IF(CEILING(L686,0.5)&lt;1,0.5,CEILING(L686,0.5)),'배송비 조회'!A$44:AO$56,7,0)*B$3,-2)</f>
        <v>#REF!</v>
      </c>
      <c r="S686" s="97">
        <v>0</v>
      </c>
      <c r="T686" s="97" t="str">
        <f t="shared" ca="1" si="42"/>
        <v>#REF!</v>
      </c>
      <c r="U686" s="97" t="str">
        <f t="shared" ca="1" si="29"/>
        <v>#REF!</v>
      </c>
      <c r="V686" s="97" t="str">
        <f t="shared" ca="1" si="7"/>
        <v>#REF!</v>
      </c>
      <c r="W686" s="97" t="str">
        <f t="shared" ca="1" si="8"/>
        <v>#REF!</v>
      </c>
      <c r="X686" s="121">
        <v>0</v>
      </c>
      <c r="Y686" s="121" t="str">
        <f t="shared" ca="1" si="9"/>
        <v>#REF!</v>
      </c>
      <c r="Z686" s="121" t="str">
        <f t="shared" ca="1" si="10"/>
        <v>#REF!</v>
      </c>
      <c r="AA686" s="99" t="str">
        <f t="shared" ca="1" si="11"/>
        <v>#REF!</v>
      </c>
      <c r="AB686" s="234" t="str">
        <f t="shared" ca="1" si="12"/>
        <v>#REF!</v>
      </c>
      <c r="AC686" s="257" t="str">
        <f t="shared" ca="1" si="13"/>
        <v>#REF!</v>
      </c>
      <c r="AD686" s="234" t="str">
        <f t="shared" ca="1" si="14"/>
        <v>#REF!</v>
      </c>
      <c r="AE686" s="100" t="str">
        <f t="shared" ca="1" si="15"/>
        <v>#REF!</v>
      </c>
      <c r="AF686" s="101" t="str">
        <f t="shared" ca="1" si="16"/>
        <v>#REF!</v>
      </c>
      <c r="AG686" s="102" t="str">
        <f t="shared" ref="AG686:AH686" ca="1" si="704">AE686/V686</f>
        <v>#REF!</v>
      </c>
      <c r="AH686" s="102" t="str">
        <f t="shared" ca="1" si="704"/>
        <v>#REF!</v>
      </c>
    </row>
    <row r="687" spans="1:34" ht="13.2">
      <c r="A687" s="251"/>
      <c r="B687" s="251"/>
      <c r="C687" s="252"/>
      <c r="D687" s="252"/>
      <c r="E687" s="114"/>
      <c r="F687" s="252"/>
      <c r="G687" s="125" t="s">
        <v>145</v>
      </c>
      <c r="I687" s="172"/>
      <c r="J687" s="82" t="str">
        <f t="shared" ca="1" si="0"/>
        <v>#REF!</v>
      </c>
      <c r="K687" s="82" t="str">
        <f t="shared" ca="1" si="1"/>
        <v>#REF!</v>
      </c>
      <c r="L687" s="82" t="str">
        <f t="shared" ca="1" si="44"/>
        <v>#REF!</v>
      </c>
      <c r="M687" s="93"/>
      <c r="N687" s="93"/>
      <c r="O687" s="95">
        <f t="shared" si="2"/>
        <v>0</v>
      </c>
      <c r="P687" s="96">
        <f t="shared" si="3"/>
        <v>0</v>
      </c>
      <c r="Q687" s="97">
        <f t="shared" si="4"/>
        <v>0</v>
      </c>
      <c r="R687" s="97" t="str">
        <f ca="1">ROUNDUP(HLOOKUP(IF(CEILING(L687,0.5)&lt;1,0.5,CEILING(L687,0.5)),'배송비 조회'!A$44:AO$56,7,0)*B$3,-2)</f>
        <v>#REF!</v>
      </c>
      <c r="S687" s="97">
        <v>0</v>
      </c>
      <c r="T687" s="97" t="str">
        <f t="shared" ca="1" si="42"/>
        <v>#REF!</v>
      </c>
      <c r="U687" s="97" t="str">
        <f t="shared" ca="1" si="29"/>
        <v>#REF!</v>
      </c>
      <c r="V687" s="97" t="str">
        <f t="shared" ca="1" si="7"/>
        <v>#REF!</v>
      </c>
      <c r="W687" s="97" t="str">
        <f t="shared" ca="1" si="8"/>
        <v>#REF!</v>
      </c>
      <c r="X687" s="121">
        <v>0</v>
      </c>
      <c r="Y687" s="121" t="str">
        <f t="shared" ca="1" si="9"/>
        <v>#REF!</v>
      </c>
      <c r="Z687" s="121" t="str">
        <f t="shared" ca="1" si="10"/>
        <v>#REF!</v>
      </c>
      <c r="AA687" s="99" t="str">
        <f t="shared" ca="1" si="11"/>
        <v>#REF!</v>
      </c>
      <c r="AB687" s="234" t="str">
        <f t="shared" ca="1" si="12"/>
        <v>#REF!</v>
      </c>
      <c r="AC687" s="257" t="str">
        <f t="shared" ca="1" si="13"/>
        <v>#REF!</v>
      </c>
      <c r="AD687" s="234" t="str">
        <f t="shared" ca="1" si="14"/>
        <v>#REF!</v>
      </c>
      <c r="AE687" s="100" t="str">
        <f t="shared" ca="1" si="15"/>
        <v>#REF!</v>
      </c>
      <c r="AF687" s="101" t="str">
        <f t="shared" ca="1" si="16"/>
        <v>#REF!</v>
      </c>
      <c r="AG687" s="102" t="str">
        <f t="shared" ref="AG687:AH687" ca="1" si="705">AE687/V687</f>
        <v>#REF!</v>
      </c>
      <c r="AH687" s="102" t="str">
        <f t="shared" ca="1" si="705"/>
        <v>#REF!</v>
      </c>
    </row>
    <row r="688" spans="1:34" ht="13.2">
      <c r="A688" s="251"/>
      <c r="B688" s="251"/>
      <c r="C688" s="252"/>
      <c r="D688" s="252"/>
      <c r="E688" s="114"/>
      <c r="F688" s="252"/>
      <c r="G688" s="125" t="s">
        <v>145</v>
      </c>
      <c r="I688" s="172"/>
      <c r="J688" s="82" t="str">
        <f t="shared" ca="1" si="0"/>
        <v>#REF!</v>
      </c>
      <c r="K688" s="82" t="str">
        <f t="shared" ca="1" si="1"/>
        <v>#REF!</v>
      </c>
      <c r="L688" s="82" t="str">
        <f t="shared" ca="1" si="44"/>
        <v>#REF!</v>
      </c>
      <c r="M688" s="93"/>
      <c r="N688" s="93"/>
      <c r="O688" s="95">
        <f t="shared" si="2"/>
        <v>0</v>
      </c>
      <c r="P688" s="96">
        <f t="shared" si="3"/>
        <v>0</v>
      </c>
      <c r="Q688" s="97">
        <f t="shared" si="4"/>
        <v>0</v>
      </c>
      <c r="R688" s="97" t="str">
        <f ca="1">ROUNDUP(HLOOKUP(IF(CEILING(L688,0.5)&lt;1,0.5,CEILING(L688,0.5)),'배송비 조회'!A$44:AO$56,7,0)*B$3,-2)</f>
        <v>#REF!</v>
      </c>
      <c r="S688" s="97">
        <v>0</v>
      </c>
      <c r="T688" s="97" t="str">
        <f t="shared" ca="1" si="42"/>
        <v>#REF!</v>
      </c>
      <c r="U688" s="97" t="str">
        <f t="shared" ca="1" si="29"/>
        <v>#REF!</v>
      </c>
      <c r="V688" s="97" t="str">
        <f t="shared" ca="1" si="7"/>
        <v>#REF!</v>
      </c>
      <c r="W688" s="97" t="str">
        <f t="shared" ca="1" si="8"/>
        <v>#REF!</v>
      </c>
      <c r="X688" s="121">
        <v>0</v>
      </c>
      <c r="Y688" s="121" t="str">
        <f t="shared" ca="1" si="9"/>
        <v>#REF!</v>
      </c>
      <c r="Z688" s="121" t="str">
        <f t="shared" ca="1" si="10"/>
        <v>#REF!</v>
      </c>
      <c r="AA688" s="99" t="str">
        <f t="shared" ca="1" si="11"/>
        <v>#REF!</v>
      </c>
      <c r="AB688" s="234" t="str">
        <f t="shared" ca="1" si="12"/>
        <v>#REF!</v>
      </c>
      <c r="AC688" s="257" t="str">
        <f t="shared" ca="1" si="13"/>
        <v>#REF!</v>
      </c>
      <c r="AD688" s="234" t="str">
        <f t="shared" ca="1" si="14"/>
        <v>#REF!</v>
      </c>
      <c r="AE688" s="100" t="str">
        <f t="shared" ca="1" si="15"/>
        <v>#REF!</v>
      </c>
      <c r="AF688" s="101" t="str">
        <f t="shared" ca="1" si="16"/>
        <v>#REF!</v>
      </c>
      <c r="AG688" s="102" t="str">
        <f t="shared" ref="AG688:AH688" ca="1" si="706">AE688/V688</f>
        <v>#REF!</v>
      </c>
      <c r="AH688" s="102" t="str">
        <f t="shared" ca="1" si="706"/>
        <v>#REF!</v>
      </c>
    </row>
    <row r="689" spans="1:34" ht="13.2">
      <c r="A689" s="251"/>
      <c r="B689" s="251"/>
      <c r="C689" s="252"/>
      <c r="D689" s="252"/>
      <c r="E689" s="114"/>
      <c r="F689" s="252"/>
      <c r="G689" s="125" t="s">
        <v>145</v>
      </c>
      <c r="I689" s="172"/>
      <c r="J689" s="82" t="str">
        <f t="shared" ca="1" si="0"/>
        <v>#REF!</v>
      </c>
      <c r="K689" s="82" t="str">
        <f t="shared" ca="1" si="1"/>
        <v>#REF!</v>
      </c>
      <c r="L689" s="82" t="str">
        <f t="shared" ca="1" si="44"/>
        <v>#REF!</v>
      </c>
      <c r="M689" s="93"/>
      <c r="N689" s="93"/>
      <c r="O689" s="95">
        <f t="shared" si="2"/>
        <v>0</v>
      </c>
      <c r="P689" s="96">
        <f t="shared" si="3"/>
        <v>0</v>
      </c>
      <c r="Q689" s="97">
        <f t="shared" si="4"/>
        <v>0</v>
      </c>
      <c r="R689" s="97" t="str">
        <f ca="1">ROUNDUP(HLOOKUP(IF(CEILING(L689,0.5)&lt;1,0.5,CEILING(L689,0.5)),'배송비 조회'!A$44:AO$56,7,0)*B$3,-2)</f>
        <v>#REF!</v>
      </c>
      <c r="S689" s="97">
        <v>0</v>
      </c>
      <c r="T689" s="97" t="str">
        <f t="shared" ca="1" si="42"/>
        <v>#REF!</v>
      </c>
      <c r="U689" s="97" t="str">
        <f t="shared" ca="1" si="29"/>
        <v>#REF!</v>
      </c>
      <c r="V689" s="97" t="str">
        <f t="shared" ca="1" si="7"/>
        <v>#REF!</v>
      </c>
      <c r="W689" s="97" t="str">
        <f t="shared" ca="1" si="8"/>
        <v>#REF!</v>
      </c>
      <c r="X689" s="121">
        <v>0</v>
      </c>
      <c r="Y689" s="121" t="str">
        <f t="shared" ca="1" si="9"/>
        <v>#REF!</v>
      </c>
      <c r="Z689" s="121" t="str">
        <f t="shared" ca="1" si="10"/>
        <v>#REF!</v>
      </c>
      <c r="AA689" s="99" t="str">
        <f t="shared" ca="1" si="11"/>
        <v>#REF!</v>
      </c>
      <c r="AB689" s="234" t="str">
        <f t="shared" ca="1" si="12"/>
        <v>#REF!</v>
      </c>
      <c r="AC689" s="257" t="str">
        <f t="shared" ca="1" si="13"/>
        <v>#REF!</v>
      </c>
      <c r="AD689" s="234" t="str">
        <f t="shared" ca="1" si="14"/>
        <v>#REF!</v>
      </c>
      <c r="AE689" s="100" t="str">
        <f t="shared" ca="1" si="15"/>
        <v>#REF!</v>
      </c>
      <c r="AF689" s="101" t="str">
        <f t="shared" ca="1" si="16"/>
        <v>#REF!</v>
      </c>
      <c r="AG689" s="102" t="str">
        <f t="shared" ref="AG689:AH689" ca="1" si="707">AE689/V689</f>
        <v>#REF!</v>
      </c>
      <c r="AH689" s="102" t="str">
        <f t="shared" ca="1" si="707"/>
        <v>#REF!</v>
      </c>
    </row>
    <row r="690" spans="1:34" ht="13.2">
      <c r="A690" s="251"/>
      <c r="B690" s="251"/>
      <c r="C690" s="252"/>
      <c r="D690" s="252"/>
      <c r="E690" s="114"/>
      <c r="F690" s="252"/>
      <c r="G690" s="125" t="s">
        <v>145</v>
      </c>
      <c r="I690" s="172"/>
      <c r="J690" s="82" t="str">
        <f t="shared" ca="1" si="0"/>
        <v>#REF!</v>
      </c>
      <c r="K690" s="82" t="str">
        <f t="shared" ca="1" si="1"/>
        <v>#REF!</v>
      </c>
      <c r="L690" s="82" t="str">
        <f t="shared" ca="1" si="44"/>
        <v>#REF!</v>
      </c>
      <c r="M690" s="93"/>
      <c r="N690" s="93"/>
      <c r="O690" s="95">
        <f t="shared" si="2"/>
        <v>0</v>
      </c>
      <c r="P690" s="96">
        <f t="shared" si="3"/>
        <v>0</v>
      </c>
      <c r="Q690" s="97">
        <f t="shared" si="4"/>
        <v>0</v>
      </c>
      <c r="R690" s="97" t="str">
        <f ca="1">ROUNDUP(HLOOKUP(IF(CEILING(L690,0.5)&lt;1,0.5,CEILING(L690,0.5)),'배송비 조회'!A$44:AO$56,7,0)*B$3,-2)</f>
        <v>#REF!</v>
      </c>
      <c r="S690" s="97">
        <v>0</v>
      </c>
      <c r="T690" s="97" t="str">
        <f t="shared" ca="1" si="42"/>
        <v>#REF!</v>
      </c>
      <c r="U690" s="97" t="str">
        <f t="shared" ca="1" si="29"/>
        <v>#REF!</v>
      </c>
      <c r="V690" s="97" t="str">
        <f t="shared" ca="1" si="7"/>
        <v>#REF!</v>
      </c>
      <c r="W690" s="97" t="str">
        <f t="shared" ca="1" si="8"/>
        <v>#REF!</v>
      </c>
      <c r="X690" s="121">
        <v>0</v>
      </c>
      <c r="Y690" s="121" t="str">
        <f t="shared" ca="1" si="9"/>
        <v>#REF!</v>
      </c>
      <c r="Z690" s="121" t="str">
        <f t="shared" ca="1" si="10"/>
        <v>#REF!</v>
      </c>
      <c r="AA690" s="99" t="str">
        <f t="shared" ca="1" si="11"/>
        <v>#REF!</v>
      </c>
      <c r="AB690" s="234" t="str">
        <f t="shared" ca="1" si="12"/>
        <v>#REF!</v>
      </c>
      <c r="AC690" s="257" t="str">
        <f t="shared" ca="1" si="13"/>
        <v>#REF!</v>
      </c>
      <c r="AD690" s="234" t="str">
        <f t="shared" ca="1" si="14"/>
        <v>#REF!</v>
      </c>
      <c r="AE690" s="100" t="str">
        <f t="shared" ca="1" si="15"/>
        <v>#REF!</v>
      </c>
      <c r="AF690" s="101" t="str">
        <f t="shared" ca="1" si="16"/>
        <v>#REF!</v>
      </c>
      <c r="AG690" s="102" t="str">
        <f t="shared" ref="AG690:AH690" ca="1" si="708">AE690/V690</f>
        <v>#REF!</v>
      </c>
      <c r="AH690" s="102" t="str">
        <f t="shared" ca="1" si="708"/>
        <v>#REF!</v>
      </c>
    </row>
    <row r="691" spans="1:34" ht="13.2">
      <c r="A691" s="251"/>
      <c r="B691" s="251"/>
      <c r="C691" s="252"/>
      <c r="D691" s="252"/>
      <c r="E691" s="114"/>
      <c r="F691" s="252"/>
      <c r="G691" s="125" t="s">
        <v>145</v>
      </c>
      <c r="I691" s="172"/>
      <c r="J691" s="82" t="str">
        <f t="shared" ca="1" si="0"/>
        <v>#REF!</v>
      </c>
      <c r="K691" s="82" t="str">
        <f t="shared" ca="1" si="1"/>
        <v>#REF!</v>
      </c>
      <c r="L691" s="82" t="str">
        <f t="shared" ca="1" si="44"/>
        <v>#REF!</v>
      </c>
      <c r="M691" s="93"/>
      <c r="N691" s="93"/>
      <c r="O691" s="95">
        <f t="shared" si="2"/>
        <v>0</v>
      </c>
      <c r="P691" s="96">
        <f t="shared" si="3"/>
        <v>0</v>
      </c>
      <c r="Q691" s="97">
        <f t="shared" si="4"/>
        <v>0</v>
      </c>
      <c r="R691" s="97" t="str">
        <f ca="1">ROUNDUP(HLOOKUP(IF(CEILING(L691,0.5)&lt;1,0.5,CEILING(L691,0.5)),'배송비 조회'!A$44:AO$56,7,0)*B$3,-2)</f>
        <v>#REF!</v>
      </c>
      <c r="S691" s="97">
        <v>0</v>
      </c>
      <c r="T691" s="97" t="str">
        <f t="shared" ca="1" si="42"/>
        <v>#REF!</v>
      </c>
      <c r="U691" s="97" t="str">
        <f t="shared" ca="1" si="29"/>
        <v>#REF!</v>
      </c>
      <c r="V691" s="97" t="str">
        <f t="shared" ca="1" si="7"/>
        <v>#REF!</v>
      </c>
      <c r="W691" s="97" t="str">
        <f t="shared" ca="1" si="8"/>
        <v>#REF!</v>
      </c>
      <c r="X691" s="121">
        <v>0</v>
      </c>
      <c r="Y691" s="121" t="str">
        <f t="shared" ca="1" si="9"/>
        <v>#REF!</v>
      </c>
      <c r="Z691" s="121" t="str">
        <f t="shared" ca="1" si="10"/>
        <v>#REF!</v>
      </c>
      <c r="AA691" s="99" t="str">
        <f t="shared" ca="1" si="11"/>
        <v>#REF!</v>
      </c>
      <c r="AB691" s="234" t="str">
        <f t="shared" ca="1" si="12"/>
        <v>#REF!</v>
      </c>
      <c r="AC691" s="257" t="str">
        <f t="shared" ca="1" si="13"/>
        <v>#REF!</v>
      </c>
      <c r="AD691" s="234" t="str">
        <f t="shared" ca="1" si="14"/>
        <v>#REF!</v>
      </c>
      <c r="AE691" s="100" t="str">
        <f t="shared" ca="1" si="15"/>
        <v>#REF!</v>
      </c>
      <c r="AF691" s="101" t="str">
        <f t="shared" ca="1" si="16"/>
        <v>#REF!</v>
      </c>
      <c r="AG691" s="102" t="str">
        <f t="shared" ref="AG691:AH691" ca="1" si="709">AE691/V691</f>
        <v>#REF!</v>
      </c>
      <c r="AH691" s="102" t="str">
        <f t="shared" ca="1" si="709"/>
        <v>#REF!</v>
      </c>
    </row>
    <row r="692" spans="1:34" ht="13.2">
      <c r="A692" s="251"/>
      <c r="B692" s="251"/>
      <c r="C692" s="252"/>
      <c r="D692" s="252"/>
      <c r="E692" s="114"/>
      <c r="F692" s="252"/>
      <c r="G692" s="125" t="s">
        <v>145</v>
      </c>
      <c r="I692" s="172"/>
      <c r="J692" s="82" t="str">
        <f t="shared" ca="1" si="0"/>
        <v>#REF!</v>
      </c>
      <c r="K692" s="82" t="str">
        <f t="shared" ca="1" si="1"/>
        <v>#REF!</v>
      </c>
      <c r="L692" s="82" t="str">
        <f t="shared" ca="1" si="44"/>
        <v>#REF!</v>
      </c>
      <c r="M692" s="93"/>
      <c r="N692" s="93"/>
      <c r="O692" s="95">
        <f t="shared" si="2"/>
        <v>0</v>
      </c>
      <c r="P692" s="96">
        <f t="shared" si="3"/>
        <v>0</v>
      </c>
      <c r="Q692" s="97">
        <f t="shared" si="4"/>
        <v>0</v>
      </c>
      <c r="R692" s="97" t="str">
        <f ca="1">ROUNDUP(HLOOKUP(IF(CEILING(L692,0.5)&lt;1,0.5,CEILING(L692,0.5)),'배송비 조회'!A$44:AO$56,7,0)*B$3,-2)</f>
        <v>#REF!</v>
      </c>
      <c r="S692" s="97">
        <v>0</v>
      </c>
      <c r="T692" s="97" t="str">
        <f t="shared" ca="1" si="42"/>
        <v>#REF!</v>
      </c>
      <c r="U692" s="97" t="str">
        <f t="shared" ca="1" si="29"/>
        <v>#REF!</v>
      </c>
      <c r="V692" s="97" t="str">
        <f t="shared" ca="1" si="7"/>
        <v>#REF!</v>
      </c>
      <c r="W692" s="97" t="str">
        <f t="shared" ca="1" si="8"/>
        <v>#REF!</v>
      </c>
      <c r="X692" s="121">
        <v>0</v>
      </c>
      <c r="Y692" s="121" t="str">
        <f t="shared" ca="1" si="9"/>
        <v>#REF!</v>
      </c>
      <c r="Z692" s="121" t="str">
        <f t="shared" ca="1" si="10"/>
        <v>#REF!</v>
      </c>
      <c r="AA692" s="99" t="str">
        <f t="shared" ca="1" si="11"/>
        <v>#REF!</v>
      </c>
      <c r="AB692" s="234" t="str">
        <f t="shared" ca="1" si="12"/>
        <v>#REF!</v>
      </c>
      <c r="AC692" s="257" t="str">
        <f t="shared" ca="1" si="13"/>
        <v>#REF!</v>
      </c>
      <c r="AD692" s="234" t="str">
        <f t="shared" ca="1" si="14"/>
        <v>#REF!</v>
      </c>
      <c r="AE692" s="100" t="str">
        <f t="shared" ca="1" si="15"/>
        <v>#REF!</v>
      </c>
      <c r="AF692" s="101" t="str">
        <f t="shared" ca="1" si="16"/>
        <v>#REF!</v>
      </c>
      <c r="AG692" s="102" t="str">
        <f t="shared" ref="AG692:AH692" ca="1" si="710">AE692/V692</f>
        <v>#REF!</v>
      </c>
      <c r="AH692" s="102" t="str">
        <f t="shared" ca="1" si="710"/>
        <v>#REF!</v>
      </c>
    </row>
    <row r="693" spans="1:34" ht="13.2">
      <c r="A693" s="251"/>
      <c r="B693" s="251"/>
      <c r="C693" s="252"/>
      <c r="D693" s="252"/>
      <c r="E693" s="114"/>
      <c r="F693" s="252"/>
      <c r="G693" s="125" t="s">
        <v>145</v>
      </c>
      <c r="I693" s="172"/>
      <c r="J693" s="82" t="str">
        <f t="shared" ca="1" si="0"/>
        <v>#REF!</v>
      </c>
      <c r="K693" s="82" t="str">
        <f t="shared" ca="1" si="1"/>
        <v>#REF!</v>
      </c>
      <c r="L693" s="82" t="str">
        <f t="shared" ca="1" si="44"/>
        <v>#REF!</v>
      </c>
      <c r="M693" s="93"/>
      <c r="N693" s="93"/>
      <c r="O693" s="95">
        <f t="shared" si="2"/>
        <v>0</v>
      </c>
      <c r="P693" s="96">
        <f t="shared" si="3"/>
        <v>0</v>
      </c>
      <c r="Q693" s="97">
        <f t="shared" si="4"/>
        <v>0</v>
      </c>
      <c r="R693" s="97" t="str">
        <f ca="1">ROUNDUP(HLOOKUP(IF(CEILING(L693,0.5)&lt;1,0.5,CEILING(L693,0.5)),'배송비 조회'!A$44:AO$56,7,0)*B$3,-2)</f>
        <v>#REF!</v>
      </c>
      <c r="S693" s="97">
        <v>0</v>
      </c>
      <c r="T693" s="97" t="str">
        <f t="shared" ca="1" si="42"/>
        <v>#REF!</v>
      </c>
      <c r="U693" s="97" t="str">
        <f t="shared" ca="1" si="29"/>
        <v>#REF!</v>
      </c>
      <c r="V693" s="97" t="str">
        <f t="shared" ca="1" si="7"/>
        <v>#REF!</v>
      </c>
      <c r="W693" s="97" t="str">
        <f t="shared" ca="1" si="8"/>
        <v>#REF!</v>
      </c>
      <c r="X693" s="121">
        <v>0</v>
      </c>
      <c r="Y693" s="121" t="str">
        <f t="shared" ca="1" si="9"/>
        <v>#REF!</v>
      </c>
      <c r="Z693" s="121" t="str">
        <f t="shared" ca="1" si="10"/>
        <v>#REF!</v>
      </c>
      <c r="AA693" s="99" t="str">
        <f t="shared" ca="1" si="11"/>
        <v>#REF!</v>
      </c>
      <c r="AB693" s="234" t="str">
        <f t="shared" ca="1" si="12"/>
        <v>#REF!</v>
      </c>
      <c r="AC693" s="257" t="str">
        <f t="shared" ca="1" si="13"/>
        <v>#REF!</v>
      </c>
      <c r="AD693" s="234" t="str">
        <f t="shared" ca="1" si="14"/>
        <v>#REF!</v>
      </c>
      <c r="AE693" s="100" t="str">
        <f t="shared" ca="1" si="15"/>
        <v>#REF!</v>
      </c>
      <c r="AF693" s="101" t="str">
        <f t="shared" ca="1" si="16"/>
        <v>#REF!</v>
      </c>
      <c r="AG693" s="102" t="str">
        <f t="shared" ref="AG693:AH693" ca="1" si="711">AE693/V693</f>
        <v>#REF!</v>
      </c>
      <c r="AH693" s="102" t="str">
        <f t="shared" ca="1" si="711"/>
        <v>#REF!</v>
      </c>
    </row>
    <row r="694" spans="1:34" ht="13.2">
      <c r="A694" s="251"/>
      <c r="B694" s="251"/>
      <c r="C694" s="252"/>
      <c r="D694" s="252"/>
      <c r="E694" s="114"/>
      <c r="F694" s="252"/>
      <c r="G694" s="125" t="s">
        <v>145</v>
      </c>
      <c r="I694" s="172"/>
      <c r="J694" s="82" t="str">
        <f t="shared" ca="1" si="0"/>
        <v>#REF!</v>
      </c>
      <c r="K694" s="82" t="str">
        <f t="shared" ca="1" si="1"/>
        <v>#REF!</v>
      </c>
      <c r="L694" s="82" t="str">
        <f t="shared" ca="1" si="44"/>
        <v>#REF!</v>
      </c>
      <c r="M694" s="93"/>
      <c r="N694" s="93"/>
      <c r="O694" s="95">
        <f t="shared" si="2"/>
        <v>0</v>
      </c>
      <c r="P694" s="96">
        <f t="shared" si="3"/>
        <v>0</v>
      </c>
      <c r="Q694" s="97">
        <f t="shared" si="4"/>
        <v>0</v>
      </c>
      <c r="R694" s="97" t="str">
        <f ca="1">ROUNDUP(HLOOKUP(IF(CEILING(L694,0.5)&lt;1,0.5,CEILING(L694,0.5)),'배송비 조회'!A$44:AO$56,7,0)*B$3,-2)</f>
        <v>#REF!</v>
      </c>
      <c r="S694" s="97">
        <v>0</v>
      </c>
      <c r="T694" s="97" t="str">
        <f t="shared" ca="1" si="42"/>
        <v>#REF!</v>
      </c>
      <c r="U694" s="97" t="str">
        <f t="shared" ca="1" si="29"/>
        <v>#REF!</v>
      </c>
      <c r="V694" s="97" t="str">
        <f t="shared" ca="1" si="7"/>
        <v>#REF!</v>
      </c>
      <c r="W694" s="97" t="str">
        <f t="shared" ca="1" si="8"/>
        <v>#REF!</v>
      </c>
      <c r="X694" s="121">
        <v>0</v>
      </c>
      <c r="Y694" s="121" t="str">
        <f t="shared" ca="1" si="9"/>
        <v>#REF!</v>
      </c>
      <c r="Z694" s="121" t="str">
        <f t="shared" ca="1" si="10"/>
        <v>#REF!</v>
      </c>
      <c r="AA694" s="99" t="str">
        <f t="shared" ca="1" si="11"/>
        <v>#REF!</v>
      </c>
      <c r="AB694" s="234" t="str">
        <f t="shared" ca="1" si="12"/>
        <v>#REF!</v>
      </c>
      <c r="AC694" s="257" t="str">
        <f t="shared" ca="1" si="13"/>
        <v>#REF!</v>
      </c>
      <c r="AD694" s="234" t="str">
        <f t="shared" ca="1" si="14"/>
        <v>#REF!</v>
      </c>
      <c r="AE694" s="100" t="str">
        <f t="shared" ca="1" si="15"/>
        <v>#REF!</v>
      </c>
      <c r="AF694" s="101" t="str">
        <f t="shared" ca="1" si="16"/>
        <v>#REF!</v>
      </c>
      <c r="AG694" s="102" t="str">
        <f t="shared" ref="AG694:AH694" ca="1" si="712">AE694/V694</f>
        <v>#REF!</v>
      </c>
      <c r="AH694" s="102" t="str">
        <f t="shared" ca="1" si="712"/>
        <v>#REF!</v>
      </c>
    </row>
    <row r="695" spans="1:34" ht="13.2">
      <c r="A695" s="251"/>
      <c r="B695" s="251"/>
      <c r="C695" s="252"/>
      <c r="D695" s="252"/>
      <c r="E695" s="114"/>
      <c r="F695" s="252"/>
      <c r="G695" s="125" t="s">
        <v>145</v>
      </c>
      <c r="I695" s="172"/>
      <c r="J695" s="82" t="str">
        <f t="shared" ca="1" si="0"/>
        <v>#REF!</v>
      </c>
      <c r="K695" s="82" t="str">
        <f t="shared" ca="1" si="1"/>
        <v>#REF!</v>
      </c>
      <c r="L695" s="82" t="str">
        <f t="shared" ca="1" si="44"/>
        <v>#REF!</v>
      </c>
      <c r="M695" s="93"/>
      <c r="N695" s="93"/>
      <c r="O695" s="95">
        <f t="shared" si="2"/>
        <v>0</v>
      </c>
      <c r="P695" s="96">
        <f t="shared" si="3"/>
        <v>0</v>
      </c>
      <c r="Q695" s="97">
        <f t="shared" si="4"/>
        <v>0</v>
      </c>
      <c r="R695" s="97" t="str">
        <f ca="1">ROUNDUP(HLOOKUP(IF(CEILING(L695,0.5)&lt;1,0.5,CEILING(L695,0.5)),'배송비 조회'!A$44:AO$56,7,0)*B$3,-2)</f>
        <v>#REF!</v>
      </c>
      <c r="S695" s="97">
        <v>0</v>
      </c>
      <c r="T695" s="97" t="str">
        <f t="shared" ca="1" si="42"/>
        <v>#REF!</v>
      </c>
      <c r="U695" s="97" t="str">
        <f t="shared" ca="1" si="29"/>
        <v>#REF!</v>
      </c>
      <c r="V695" s="97" t="str">
        <f t="shared" ca="1" si="7"/>
        <v>#REF!</v>
      </c>
      <c r="W695" s="97" t="str">
        <f t="shared" ca="1" si="8"/>
        <v>#REF!</v>
      </c>
      <c r="X695" s="121">
        <v>0</v>
      </c>
      <c r="Y695" s="121" t="str">
        <f t="shared" ca="1" si="9"/>
        <v>#REF!</v>
      </c>
      <c r="Z695" s="121" t="str">
        <f t="shared" ca="1" si="10"/>
        <v>#REF!</v>
      </c>
      <c r="AA695" s="99" t="str">
        <f t="shared" ca="1" si="11"/>
        <v>#REF!</v>
      </c>
      <c r="AB695" s="234" t="str">
        <f t="shared" ca="1" si="12"/>
        <v>#REF!</v>
      </c>
      <c r="AC695" s="257" t="str">
        <f t="shared" ca="1" si="13"/>
        <v>#REF!</v>
      </c>
      <c r="AD695" s="234" t="str">
        <f t="shared" ca="1" si="14"/>
        <v>#REF!</v>
      </c>
      <c r="AE695" s="100" t="str">
        <f t="shared" ca="1" si="15"/>
        <v>#REF!</v>
      </c>
      <c r="AF695" s="101" t="str">
        <f t="shared" ca="1" si="16"/>
        <v>#REF!</v>
      </c>
      <c r="AG695" s="102" t="str">
        <f t="shared" ref="AG695:AH695" ca="1" si="713">AE695/V695</f>
        <v>#REF!</v>
      </c>
      <c r="AH695" s="102" t="str">
        <f t="shared" ca="1" si="713"/>
        <v>#REF!</v>
      </c>
    </row>
    <row r="696" spans="1:34" ht="13.2">
      <c r="A696" s="251"/>
      <c r="B696" s="251"/>
      <c r="C696" s="252"/>
      <c r="D696" s="252"/>
      <c r="E696" s="114"/>
      <c r="F696" s="252"/>
      <c r="G696" s="125" t="s">
        <v>145</v>
      </c>
      <c r="I696" s="172"/>
      <c r="J696" s="82" t="str">
        <f t="shared" ca="1" si="0"/>
        <v>#REF!</v>
      </c>
      <c r="K696" s="82" t="str">
        <f t="shared" ca="1" si="1"/>
        <v>#REF!</v>
      </c>
      <c r="L696" s="82" t="str">
        <f t="shared" ca="1" si="44"/>
        <v>#REF!</v>
      </c>
      <c r="M696" s="93"/>
      <c r="N696" s="93"/>
      <c r="O696" s="95">
        <f t="shared" si="2"/>
        <v>0</v>
      </c>
      <c r="P696" s="96">
        <f t="shared" si="3"/>
        <v>0</v>
      </c>
      <c r="Q696" s="97">
        <f t="shared" si="4"/>
        <v>0</v>
      </c>
      <c r="R696" s="97" t="str">
        <f ca="1">ROUNDUP(HLOOKUP(IF(CEILING(L696,0.5)&lt;1,0.5,CEILING(L696,0.5)),'배송비 조회'!A$44:AO$56,7,0)*B$3,-2)</f>
        <v>#REF!</v>
      </c>
      <c r="S696" s="97">
        <v>0</v>
      </c>
      <c r="T696" s="97" t="str">
        <f t="shared" ca="1" si="42"/>
        <v>#REF!</v>
      </c>
      <c r="U696" s="97" t="str">
        <f t="shared" ca="1" si="29"/>
        <v>#REF!</v>
      </c>
      <c r="V696" s="97" t="str">
        <f t="shared" ca="1" si="7"/>
        <v>#REF!</v>
      </c>
      <c r="W696" s="97" t="str">
        <f t="shared" ca="1" si="8"/>
        <v>#REF!</v>
      </c>
      <c r="X696" s="121">
        <v>0</v>
      </c>
      <c r="Y696" s="121" t="str">
        <f t="shared" ca="1" si="9"/>
        <v>#REF!</v>
      </c>
      <c r="Z696" s="121" t="str">
        <f t="shared" ca="1" si="10"/>
        <v>#REF!</v>
      </c>
      <c r="AA696" s="99" t="str">
        <f t="shared" ca="1" si="11"/>
        <v>#REF!</v>
      </c>
      <c r="AB696" s="234" t="str">
        <f t="shared" ca="1" si="12"/>
        <v>#REF!</v>
      </c>
      <c r="AC696" s="257" t="str">
        <f t="shared" ca="1" si="13"/>
        <v>#REF!</v>
      </c>
      <c r="AD696" s="234" t="str">
        <f t="shared" ca="1" si="14"/>
        <v>#REF!</v>
      </c>
      <c r="AE696" s="100" t="str">
        <f t="shared" ca="1" si="15"/>
        <v>#REF!</v>
      </c>
      <c r="AF696" s="101" t="str">
        <f t="shared" ca="1" si="16"/>
        <v>#REF!</v>
      </c>
      <c r="AG696" s="102" t="str">
        <f t="shared" ref="AG696:AH696" ca="1" si="714">AE696/V696</f>
        <v>#REF!</v>
      </c>
      <c r="AH696" s="102" t="str">
        <f t="shared" ca="1" si="714"/>
        <v>#REF!</v>
      </c>
    </row>
    <row r="697" spans="1:34" ht="13.2">
      <c r="A697" s="251"/>
      <c r="B697" s="251"/>
      <c r="C697" s="252"/>
      <c r="D697" s="252"/>
      <c r="E697" s="114"/>
      <c r="F697" s="252"/>
      <c r="G697" s="125" t="s">
        <v>145</v>
      </c>
      <c r="I697" s="172"/>
      <c r="J697" s="82" t="str">
        <f t="shared" ca="1" si="0"/>
        <v>#REF!</v>
      </c>
      <c r="K697" s="82" t="str">
        <f t="shared" ca="1" si="1"/>
        <v>#REF!</v>
      </c>
      <c r="L697" s="82" t="str">
        <f t="shared" ca="1" si="44"/>
        <v>#REF!</v>
      </c>
      <c r="M697" s="93"/>
      <c r="N697" s="93"/>
      <c r="O697" s="95">
        <f t="shared" si="2"/>
        <v>0</v>
      </c>
      <c r="P697" s="96">
        <f t="shared" si="3"/>
        <v>0</v>
      </c>
      <c r="Q697" s="97">
        <f t="shared" si="4"/>
        <v>0</v>
      </c>
      <c r="R697" s="97" t="str">
        <f ca="1">ROUNDUP(HLOOKUP(IF(CEILING(L697,0.5)&lt;1,0.5,CEILING(L697,0.5)),'배송비 조회'!A$44:AO$56,7,0)*B$3,-2)</f>
        <v>#REF!</v>
      </c>
      <c r="S697" s="97">
        <v>0</v>
      </c>
      <c r="T697" s="97" t="str">
        <f t="shared" ca="1" si="42"/>
        <v>#REF!</v>
      </c>
      <c r="U697" s="97" t="str">
        <f t="shared" ca="1" si="29"/>
        <v>#REF!</v>
      </c>
      <c r="V697" s="97" t="str">
        <f t="shared" ca="1" si="7"/>
        <v>#REF!</v>
      </c>
      <c r="W697" s="97" t="str">
        <f t="shared" ca="1" si="8"/>
        <v>#REF!</v>
      </c>
      <c r="X697" s="121">
        <v>0</v>
      </c>
      <c r="Y697" s="121" t="str">
        <f t="shared" ca="1" si="9"/>
        <v>#REF!</v>
      </c>
      <c r="Z697" s="121" t="str">
        <f t="shared" ca="1" si="10"/>
        <v>#REF!</v>
      </c>
      <c r="AA697" s="99" t="str">
        <f t="shared" ca="1" si="11"/>
        <v>#REF!</v>
      </c>
      <c r="AB697" s="234" t="str">
        <f t="shared" ca="1" si="12"/>
        <v>#REF!</v>
      </c>
      <c r="AC697" s="257" t="str">
        <f t="shared" ca="1" si="13"/>
        <v>#REF!</v>
      </c>
      <c r="AD697" s="234" t="str">
        <f t="shared" ca="1" si="14"/>
        <v>#REF!</v>
      </c>
      <c r="AE697" s="100" t="str">
        <f t="shared" ca="1" si="15"/>
        <v>#REF!</v>
      </c>
      <c r="AF697" s="101" t="str">
        <f t="shared" ca="1" si="16"/>
        <v>#REF!</v>
      </c>
      <c r="AG697" s="102" t="str">
        <f t="shared" ref="AG697:AH697" ca="1" si="715">AE697/V697</f>
        <v>#REF!</v>
      </c>
      <c r="AH697" s="102" t="str">
        <f t="shared" ca="1" si="715"/>
        <v>#REF!</v>
      </c>
    </row>
    <row r="698" spans="1:34" ht="13.2">
      <c r="A698" s="251"/>
      <c r="B698" s="251"/>
      <c r="C698" s="252"/>
      <c r="D698" s="252"/>
      <c r="E698" s="114"/>
      <c r="F698" s="252"/>
      <c r="G698" s="125" t="s">
        <v>145</v>
      </c>
      <c r="I698" s="172"/>
      <c r="J698" s="82" t="str">
        <f t="shared" ca="1" si="0"/>
        <v>#REF!</v>
      </c>
      <c r="K698" s="82" t="str">
        <f t="shared" ca="1" si="1"/>
        <v>#REF!</v>
      </c>
      <c r="L698" s="82" t="str">
        <f t="shared" ca="1" si="44"/>
        <v>#REF!</v>
      </c>
      <c r="M698" s="93"/>
      <c r="N698" s="93"/>
      <c r="O698" s="95">
        <f t="shared" si="2"/>
        <v>0</v>
      </c>
      <c r="P698" s="96">
        <f t="shared" si="3"/>
        <v>0</v>
      </c>
      <c r="Q698" s="97">
        <f t="shared" si="4"/>
        <v>0</v>
      </c>
      <c r="R698" s="97" t="str">
        <f ca="1">ROUNDUP(HLOOKUP(IF(CEILING(L698,0.5)&lt;1,0.5,CEILING(L698,0.5)),'배송비 조회'!A$44:AO$56,7,0)*B$3,-2)</f>
        <v>#REF!</v>
      </c>
      <c r="S698" s="97">
        <v>0</v>
      </c>
      <c r="T698" s="97" t="str">
        <f t="shared" ca="1" si="42"/>
        <v>#REF!</v>
      </c>
      <c r="U698" s="97" t="str">
        <f t="shared" ca="1" si="29"/>
        <v>#REF!</v>
      </c>
      <c r="V698" s="97" t="str">
        <f t="shared" ca="1" si="7"/>
        <v>#REF!</v>
      </c>
      <c r="W698" s="97" t="str">
        <f t="shared" ca="1" si="8"/>
        <v>#REF!</v>
      </c>
      <c r="X698" s="121">
        <v>0</v>
      </c>
      <c r="Y698" s="121" t="str">
        <f t="shared" ca="1" si="9"/>
        <v>#REF!</v>
      </c>
      <c r="Z698" s="121" t="str">
        <f t="shared" ca="1" si="10"/>
        <v>#REF!</v>
      </c>
      <c r="AA698" s="99" t="str">
        <f t="shared" ca="1" si="11"/>
        <v>#REF!</v>
      </c>
      <c r="AB698" s="234" t="str">
        <f t="shared" ca="1" si="12"/>
        <v>#REF!</v>
      </c>
      <c r="AC698" s="257" t="str">
        <f t="shared" ca="1" si="13"/>
        <v>#REF!</v>
      </c>
      <c r="AD698" s="234" t="str">
        <f t="shared" ca="1" si="14"/>
        <v>#REF!</v>
      </c>
      <c r="AE698" s="100" t="str">
        <f t="shared" ca="1" si="15"/>
        <v>#REF!</v>
      </c>
      <c r="AF698" s="101" t="str">
        <f t="shared" ca="1" si="16"/>
        <v>#REF!</v>
      </c>
      <c r="AG698" s="102" t="str">
        <f t="shared" ref="AG698:AH698" ca="1" si="716">AE698/V698</f>
        <v>#REF!</v>
      </c>
      <c r="AH698" s="102" t="str">
        <f t="shared" ca="1" si="716"/>
        <v>#REF!</v>
      </c>
    </row>
    <row r="699" spans="1:34" ht="13.2">
      <c r="A699" s="251"/>
      <c r="B699" s="251"/>
      <c r="C699" s="252"/>
      <c r="D699" s="252"/>
      <c r="E699" s="114"/>
      <c r="F699" s="252"/>
      <c r="G699" s="125" t="s">
        <v>145</v>
      </c>
      <c r="I699" s="172"/>
      <c r="J699" s="82" t="str">
        <f t="shared" ca="1" si="0"/>
        <v>#REF!</v>
      </c>
      <c r="K699" s="82" t="str">
        <f t="shared" ca="1" si="1"/>
        <v>#REF!</v>
      </c>
      <c r="L699" s="82" t="str">
        <f t="shared" ca="1" si="44"/>
        <v>#REF!</v>
      </c>
      <c r="M699" s="93"/>
      <c r="N699" s="93"/>
      <c r="O699" s="95">
        <f t="shared" si="2"/>
        <v>0</v>
      </c>
      <c r="P699" s="96">
        <f t="shared" si="3"/>
        <v>0</v>
      </c>
      <c r="Q699" s="97">
        <f t="shared" si="4"/>
        <v>0</v>
      </c>
      <c r="R699" s="97" t="str">
        <f ca="1">ROUNDUP(HLOOKUP(IF(CEILING(L699,0.5)&lt;1,0.5,CEILING(L699,0.5)),'배송비 조회'!A$44:AO$56,7,0)*B$3,-2)</f>
        <v>#REF!</v>
      </c>
      <c r="S699" s="97">
        <v>0</v>
      </c>
      <c r="T699" s="97" t="str">
        <f t="shared" ca="1" si="42"/>
        <v>#REF!</v>
      </c>
      <c r="U699" s="97" t="str">
        <f t="shared" ca="1" si="29"/>
        <v>#REF!</v>
      </c>
      <c r="V699" s="97" t="str">
        <f t="shared" ca="1" si="7"/>
        <v>#REF!</v>
      </c>
      <c r="W699" s="97" t="str">
        <f t="shared" ca="1" si="8"/>
        <v>#REF!</v>
      </c>
      <c r="X699" s="121">
        <v>0</v>
      </c>
      <c r="Y699" s="121" t="str">
        <f t="shared" ca="1" si="9"/>
        <v>#REF!</v>
      </c>
      <c r="Z699" s="121" t="str">
        <f t="shared" ca="1" si="10"/>
        <v>#REF!</v>
      </c>
      <c r="AA699" s="99" t="str">
        <f t="shared" ca="1" si="11"/>
        <v>#REF!</v>
      </c>
      <c r="AB699" s="234" t="str">
        <f t="shared" ca="1" si="12"/>
        <v>#REF!</v>
      </c>
      <c r="AC699" s="257" t="str">
        <f t="shared" ca="1" si="13"/>
        <v>#REF!</v>
      </c>
      <c r="AD699" s="234" t="str">
        <f t="shared" ca="1" si="14"/>
        <v>#REF!</v>
      </c>
      <c r="AE699" s="100" t="str">
        <f t="shared" ca="1" si="15"/>
        <v>#REF!</v>
      </c>
      <c r="AF699" s="101" t="str">
        <f t="shared" ca="1" si="16"/>
        <v>#REF!</v>
      </c>
      <c r="AG699" s="102" t="str">
        <f t="shared" ref="AG699:AH699" ca="1" si="717">AE699/V699</f>
        <v>#REF!</v>
      </c>
      <c r="AH699" s="102" t="str">
        <f t="shared" ca="1" si="717"/>
        <v>#REF!</v>
      </c>
    </row>
    <row r="700" spans="1:34" ht="13.2">
      <c r="A700" s="251"/>
      <c r="B700" s="251"/>
      <c r="C700" s="252"/>
      <c r="D700" s="252"/>
      <c r="E700" s="114"/>
      <c r="F700" s="252"/>
      <c r="G700" s="125" t="s">
        <v>145</v>
      </c>
      <c r="I700" s="172"/>
      <c r="J700" s="82" t="str">
        <f t="shared" ca="1" si="0"/>
        <v>#REF!</v>
      </c>
      <c r="K700" s="82" t="str">
        <f t="shared" ca="1" si="1"/>
        <v>#REF!</v>
      </c>
      <c r="L700" s="82" t="str">
        <f t="shared" ca="1" si="44"/>
        <v>#REF!</v>
      </c>
      <c r="M700" s="93"/>
      <c r="N700" s="93"/>
      <c r="O700" s="95">
        <f t="shared" si="2"/>
        <v>0</v>
      </c>
      <c r="P700" s="96">
        <f t="shared" si="3"/>
        <v>0</v>
      </c>
      <c r="Q700" s="97">
        <f t="shared" si="4"/>
        <v>0</v>
      </c>
      <c r="R700" s="97" t="str">
        <f ca="1">ROUNDUP(HLOOKUP(IF(CEILING(L700,0.5)&lt;1,0.5,CEILING(L700,0.5)),'배송비 조회'!A$44:AO$56,7,0)*B$3,-2)</f>
        <v>#REF!</v>
      </c>
      <c r="S700" s="97">
        <v>0</v>
      </c>
      <c r="T700" s="97" t="str">
        <f t="shared" ca="1" si="42"/>
        <v>#REF!</v>
      </c>
      <c r="U700" s="97" t="str">
        <f t="shared" ca="1" si="29"/>
        <v>#REF!</v>
      </c>
      <c r="V700" s="97" t="str">
        <f t="shared" ca="1" si="7"/>
        <v>#REF!</v>
      </c>
      <c r="W700" s="97" t="str">
        <f t="shared" ca="1" si="8"/>
        <v>#REF!</v>
      </c>
      <c r="X700" s="121">
        <v>0</v>
      </c>
      <c r="Y700" s="121" t="str">
        <f t="shared" ca="1" si="9"/>
        <v>#REF!</v>
      </c>
      <c r="Z700" s="121" t="str">
        <f t="shared" ca="1" si="10"/>
        <v>#REF!</v>
      </c>
      <c r="AA700" s="99" t="str">
        <f t="shared" ca="1" si="11"/>
        <v>#REF!</v>
      </c>
      <c r="AB700" s="234" t="str">
        <f t="shared" ca="1" si="12"/>
        <v>#REF!</v>
      </c>
      <c r="AC700" s="257" t="str">
        <f t="shared" ca="1" si="13"/>
        <v>#REF!</v>
      </c>
      <c r="AD700" s="234" t="str">
        <f t="shared" ca="1" si="14"/>
        <v>#REF!</v>
      </c>
      <c r="AE700" s="100" t="str">
        <f t="shared" ca="1" si="15"/>
        <v>#REF!</v>
      </c>
      <c r="AF700" s="101" t="str">
        <f t="shared" ca="1" si="16"/>
        <v>#REF!</v>
      </c>
      <c r="AG700" s="102" t="str">
        <f t="shared" ref="AG700:AH700" ca="1" si="718">AE700/V700</f>
        <v>#REF!</v>
      </c>
      <c r="AH700" s="102" t="str">
        <f t="shared" ca="1" si="718"/>
        <v>#REF!</v>
      </c>
    </row>
    <row r="701" spans="1:34" ht="13.2">
      <c r="A701" s="251"/>
      <c r="B701" s="251"/>
      <c r="C701" s="252"/>
      <c r="D701" s="252"/>
      <c r="E701" s="114"/>
      <c r="F701" s="252"/>
      <c r="G701" s="125" t="s">
        <v>145</v>
      </c>
      <c r="I701" s="172"/>
      <c r="J701" s="82" t="str">
        <f t="shared" ca="1" si="0"/>
        <v>#REF!</v>
      </c>
      <c r="K701" s="82" t="str">
        <f t="shared" ca="1" si="1"/>
        <v>#REF!</v>
      </c>
      <c r="L701" s="82" t="str">
        <f t="shared" ca="1" si="44"/>
        <v>#REF!</v>
      </c>
      <c r="M701" s="93"/>
      <c r="N701" s="93"/>
      <c r="O701" s="95">
        <f t="shared" si="2"/>
        <v>0</v>
      </c>
      <c r="P701" s="96">
        <f t="shared" si="3"/>
        <v>0</v>
      </c>
      <c r="Q701" s="97">
        <f t="shared" si="4"/>
        <v>0</v>
      </c>
      <c r="R701" s="97" t="str">
        <f ca="1">ROUNDUP(HLOOKUP(IF(CEILING(L701,0.5)&lt;1,0.5,CEILING(L701,0.5)),'배송비 조회'!A$44:AO$56,7,0)*B$3,-2)</f>
        <v>#REF!</v>
      </c>
      <c r="S701" s="97">
        <v>0</v>
      </c>
      <c r="T701" s="97" t="str">
        <f t="shared" ca="1" si="42"/>
        <v>#REF!</v>
      </c>
      <c r="U701" s="97" t="str">
        <f t="shared" ca="1" si="29"/>
        <v>#REF!</v>
      </c>
      <c r="V701" s="97" t="str">
        <f t="shared" ca="1" si="7"/>
        <v>#REF!</v>
      </c>
      <c r="W701" s="97" t="str">
        <f t="shared" ca="1" si="8"/>
        <v>#REF!</v>
      </c>
      <c r="X701" s="121">
        <v>0</v>
      </c>
      <c r="Y701" s="121" t="str">
        <f t="shared" ca="1" si="9"/>
        <v>#REF!</v>
      </c>
      <c r="Z701" s="121" t="str">
        <f t="shared" ca="1" si="10"/>
        <v>#REF!</v>
      </c>
      <c r="AA701" s="99" t="str">
        <f t="shared" ca="1" si="11"/>
        <v>#REF!</v>
      </c>
      <c r="AB701" s="234" t="str">
        <f t="shared" ca="1" si="12"/>
        <v>#REF!</v>
      </c>
      <c r="AC701" s="257" t="str">
        <f t="shared" ca="1" si="13"/>
        <v>#REF!</v>
      </c>
      <c r="AD701" s="234" t="str">
        <f t="shared" ca="1" si="14"/>
        <v>#REF!</v>
      </c>
      <c r="AE701" s="100" t="str">
        <f t="shared" ca="1" si="15"/>
        <v>#REF!</v>
      </c>
      <c r="AF701" s="101" t="str">
        <f t="shared" ca="1" si="16"/>
        <v>#REF!</v>
      </c>
      <c r="AG701" s="102" t="str">
        <f t="shared" ref="AG701:AH701" ca="1" si="719">AE701/V701</f>
        <v>#REF!</v>
      </c>
      <c r="AH701" s="102" t="str">
        <f t="shared" ca="1" si="719"/>
        <v>#REF!</v>
      </c>
    </row>
    <row r="702" spans="1:34" ht="13.2">
      <c r="A702" s="251"/>
      <c r="B702" s="251"/>
      <c r="C702" s="252"/>
      <c r="D702" s="252"/>
      <c r="E702" s="114"/>
      <c r="F702" s="252"/>
      <c r="G702" s="125" t="s">
        <v>145</v>
      </c>
      <c r="I702" s="172"/>
      <c r="J702" s="82" t="str">
        <f t="shared" ca="1" si="0"/>
        <v>#REF!</v>
      </c>
      <c r="K702" s="82" t="str">
        <f t="shared" ca="1" si="1"/>
        <v>#REF!</v>
      </c>
      <c r="L702" s="82" t="str">
        <f t="shared" ca="1" si="44"/>
        <v>#REF!</v>
      </c>
      <c r="M702" s="93"/>
      <c r="N702" s="93"/>
      <c r="O702" s="95">
        <f t="shared" si="2"/>
        <v>0</v>
      </c>
      <c r="P702" s="96">
        <f t="shared" si="3"/>
        <v>0</v>
      </c>
      <c r="Q702" s="97">
        <f t="shared" si="4"/>
        <v>0</v>
      </c>
      <c r="R702" s="97" t="str">
        <f ca="1">ROUNDUP(HLOOKUP(IF(CEILING(L702,0.5)&lt;1,0.5,CEILING(L702,0.5)),'배송비 조회'!A$44:AO$56,7,0)*B$3,-2)</f>
        <v>#REF!</v>
      </c>
      <c r="S702" s="97">
        <v>0</v>
      </c>
      <c r="T702" s="97" t="str">
        <f t="shared" ca="1" si="42"/>
        <v>#REF!</v>
      </c>
      <c r="U702" s="97" t="str">
        <f t="shared" ca="1" si="29"/>
        <v>#REF!</v>
      </c>
      <c r="V702" s="97" t="str">
        <f t="shared" ca="1" si="7"/>
        <v>#REF!</v>
      </c>
      <c r="W702" s="97" t="str">
        <f t="shared" ca="1" si="8"/>
        <v>#REF!</v>
      </c>
      <c r="X702" s="121">
        <v>0</v>
      </c>
      <c r="Y702" s="121" t="str">
        <f t="shared" ca="1" si="9"/>
        <v>#REF!</v>
      </c>
      <c r="Z702" s="121" t="str">
        <f t="shared" ca="1" si="10"/>
        <v>#REF!</v>
      </c>
      <c r="AA702" s="99" t="str">
        <f t="shared" ca="1" si="11"/>
        <v>#REF!</v>
      </c>
      <c r="AB702" s="234" t="str">
        <f t="shared" ca="1" si="12"/>
        <v>#REF!</v>
      </c>
      <c r="AC702" s="257" t="str">
        <f t="shared" ca="1" si="13"/>
        <v>#REF!</v>
      </c>
      <c r="AD702" s="234" t="str">
        <f t="shared" ca="1" si="14"/>
        <v>#REF!</v>
      </c>
      <c r="AE702" s="100" t="str">
        <f t="shared" ca="1" si="15"/>
        <v>#REF!</v>
      </c>
      <c r="AF702" s="101" t="str">
        <f t="shared" ca="1" si="16"/>
        <v>#REF!</v>
      </c>
      <c r="AG702" s="102" t="str">
        <f t="shared" ref="AG702:AH702" ca="1" si="720">AE702/V702</f>
        <v>#REF!</v>
      </c>
      <c r="AH702" s="102" t="str">
        <f t="shared" ca="1" si="720"/>
        <v>#REF!</v>
      </c>
    </row>
    <row r="703" spans="1:34" ht="13.2">
      <c r="A703" s="251"/>
      <c r="B703" s="251"/>
      <c r="C703" s="252"/>
      <c r="D703" s="252"/>
      <c r="E703" s="114"/>
      <c r="F703" s="252"/>
      <c r="G703" s="125" t="s">
        <v>145</v>
      </c>
      <c r="I703" s="172"/>
      <c r="J703" s="82" t="str">
        <f t="shared" ca="1" si="0"/>
        <v>#REF!</v>
      </c>
      <c r="K703" s="82" t="str">
        <f t="shared" ca="1" si="1"/>
        <v>#REF!</v>
      </c>
      <c r="L703" s="82" t="str">
        <f t="shared" ca="1" si="44"/>
        <v>#REF!</v>
      </c>
      <c r="M703" s="93"/>
      <c r="N703" s="93"/>
      <c r="O703" s="95">
        <f t="shared" si="2"/>
        <v>0</v>
      </c>
      <c r="P703" s="96">
        <f t="shared" si="3"/>
        <v>0</v>
      </c>
      <c r="Q703" s="97">
        <f t="shared" si="4"/>
        <v>0</v>
      </c>
      <c r="R703" s="97" t="str">
        <f ca="1">ROUNDUP(HLOOKUP(IF(CEILING(L703,0.5)&lt;1,0.5,CEILING(L703,0.5)),'배송비 조회'!A$44:AO$56,7,0)*B$3,-2)</f>
        <v>#REF!</v>
      </c>
      <c r="S703" s="97">
        <v>0</v>
      </c>
      <c r="T703" s="97" t="str">
        <f t="shared" ca="1" si="42"/>
        <v>#REF!</v>
      </c>
      <c r="U703" s="97" t="str">
        <f t="shared" ca="1" si="29"/>
        <v>#REF!</v>
      </c>
      <c r="V703" s="97" t="str">
        <f t="shared" ca="1" si="7"/>
        <v>#REF!</v>
      </c>
      <c r="W703" s="97" t="str">
        <f t="shared" ca="1" si="8"/>
        <v>#REF!</v>
      </c>
      <c r="X703" s="121">
        <v>0</v>
      </c>
      <c r="Y703" s="121" t="str">
        <f t="shared" ca="1" si="9"/>
        <v>#REF!</v>
      </c>
      <c r="Z703" s="121" t="str">
        <f t="shared" ca="1" si="10"/>
        <v>#REF!</v>
      </c>
      <c r="AA703" s="99" t="str">
        <f t="shared" ca="1" si="11"/>
        <v>#REF!</v>
      </c>
      <c r="AB703" s="234" t="str">
        <f t="shared" ca="1" si="12"/>
        <v>#REF!</v>
      </c>
      <c r="AC703" s="257" t="str">
        <f t="shared" ca="1" si="13"/>
        <v>#REF!</v>
      </c>
      <c r="AD703" s="234" t="str">
        <f t="shared" ca="1" si="14"/>
        <v>#REF!</v>
      </c>
      <c r="AE703" s="100" t="str">
        <f t="shared" ca="1" si="15"/>
        <v>#REF!</v>
      </c>
      <c r="AF703" s="101" t="str">
        <f t="shared" ca="1" si="16"/>
        <v>#REF!</v>
      </c>
      <c r="AG703" s="102" t="str">
        <f t="shared" ref="AG703:AH703" ca="1" si="721">AE703/V703</f>
        <v>#REF!</v>
      </c>
      <c r="AH703" s="102" t="str">
        <f t="shared" ca="1" si="721"/>
        <v>#REF!</v>
      </c>
    </row>
    <row r="704" spans="1:34" ht="13.2">
      <c r="A704" s="251"/>
      <c r="B704" s="251"/>
      <c r="C704" s="252"/>
      <c r="D704" s="252"/>
      <c r="E704" s="114"/>
      <c r="F704" s="252"/>
      <c r="G704" s="125" t="s">
        <v>145</v>
      </c>
      <c r="I704" s="172"/>
      <c r="J704" s="82" t="str">
        <f t="shared" ca="1" si="0"/>
        <v>#REF!</v>
      </c>
      <c r="K704" s="82" t="str">
        <f t="shared" ca="1" si="1"/>
        <v>#REF!</v>
      </c>
      <c r="L704" s="82" t="str">
        <f t="shared" ca="1" si="44"/>
        <v>#REF!</v>
      </c>
      <c r="M704" s="93"/>
      <c r="N704" s="93"/>
      <c r="O704" s="95">
        <f t="shared" si="2"/>
        <v>0</v>
      </c>
      <c r="P704" s="96">
        <f t="shared" si="3"/>
        <v>0</v>
      </c>
      <c r="Q704" s="97">
        <f t="shared" si="4"/>
        <v>0</v>
      </c>
      <c r="R704" s="97" t="str">
        <f ca="1">ROUNDUP(HLOOKUP(IF(CEILING(L704,0.5)&lt;1,0.5,CEILING(L704,0.5)),'배송비 조회'!A$44:AO$56,7,0)*B$3,-2)</f>
        <v>#REF!</v>
      </c>
      <c r="S704" s="97">
        <v>0</v>
      </c>
      <c r="T704" s="97" t="str">
        <f t="shared" ca="1" si="42"/>
        <v>#REF!</v>
      </c>
      <c r="U704" s="97" t="str">
        <f t="shared" ca="1" si="29"/>
        <v>#REF!</v>
      </c>
      <c r="V704" s="97" t="str">
        <f t="shared" ca="1" si="7"/>
        <v>#REF!</v>
      </c>
      <c r="W704" s="97" t="str">
        <f t="shared" ca="1" si="8"/>
        <v>#REF!</v>
      </c>
      <c r="X704" s="121">
        <v>0</v>
      </c>
      <c r="Y704" s="121" t="str">
        <f t="shared" ca="1" si="9"/>
        <v>#REF!</v>
      </c>
      <c r="Z704" s="121" t="str">
        <f t="shared" ca="1" si="10"/>
        <v>#REF!</v>
      </c>
      <c r="AA704" s="99" t="str">
        <f t="shared" ca="1" si="11"/>
        <v>#REF!</v>
      </c>
      <c r="AB704" s="234" t="str">
        <f t="shared" ca="1" si="12"/>
        <v>#REF!</v>
      </c>
      <c r="AC704" s="257" t="str">
        <f t="shared" ca="1" si="13"/>
        <v>#REF!</v>
      </c>
      <c r="AD704" s="234" t="str">
        <f t="shared" ca="1" si="14"/>
        <v>#REF!</v>
      </c>
      <c r="AE704" s="100" t="str">
        <f t="shared" ca="1" si="15"/>
        <v>#REF!</v>
      </c>
      <c r="AF704" s="101" t="str">
        <f t="shared" ca="1" si="16"/>
        <v>#REF!</v>
      </c>
      <c r="AG704" s="102" t="str">
        <f t="shared" ref="AG704:AH704" ca="1" si="722">AE704/V704</f>
        <v>#REF!</v>
      </c>
      <c r="AH704" s="102" t="str">
        <f t="shared" ca="1" si="722"/>
        <v>#REF!</v>
      </c>
    </row>
    <row r="705" spans="1:34" ht="13.2">
      <c r="A705" s="251"/>
      <c r="B705" s="251"/>
      <c r="C705" s="252"/>
      <c r="D705" s="252"/>
      <c r="E705" s="114"/>
      <c r="F705" s="252"/>
      <c r="G705" s="125" t="s">
        <v>145</v>
      </c>
      <c r="I705" s="172"/>
      <c r="J705" s="82" t="str">
        <f t="shared" ca="1" si="0"/>
        <v>#REF!</v>
      </c>
      <c r="K705" s="82" t="str">
        <f t="shared" ca="1" si="1"/>
        <v>#REF!</v>
      </c>
      <c r="L705" s="82" t="str">
        <f t="shared" ca="1" si="44"/>
        <v>#REF!</v>
      </c>
      <c r="M705" s="93"/>
      <c r="N705" s="93"/>
      <c r="O705" s="95">
        <f t="shared" si="2"/>
        <v>0</v>
      </c>
      <c r="P705" s="96">
        <f t="shared" si="3"/>
        <v>0</v>
      </c>
      <c r="Q705" s="97">
        <f t="shared" si="4"/>
        <v>0</v>
      </c>
      <c r="R705" s="97" t="str">
        <f ca="1">ROUNDUP(HLOOKUP(IF(CEILING(L705,0.5)&lt;1,0.5,CEILING(L705,0.5)),'배송비 조회'!A$44:AO$56,7,0)*B$3,-2)</f>
        <v>#REF!</v>
      </c>
      <c r="S705" s="97">
        <v>0</v>
      </c>
      <c r="T705" s="97" t="str">
        <f t="shared" ca="1" si="42"/>
        <v>#REF!</v>
      </c>
      <c r="U705" s="97" t="str">
        <f t="shared" ca="1" si="29"/>
        <v>#REF!</v>
      </c>
      <c r="V705" s="97" t="str">
        <f t="shared" ca="1" si="7"/>
        <v>#REF!</v>
      </c>
      <c r="W705" s="97" t="str">
        <f t="shared" ca="1" si="8"/>
        <v>#REF!</v>
      </c>
      <c r="X705" s="121">
        <v>0</v>
      </c>
      <c r="Y705" s="121" t="str">
        <f t="shared" ca="1" si="9"/>
        <v>#REF!</v>
      </c>
      <c r="Z705" s="121" t="str">
        <f t="shared" ca="1" si="10"/>
        <v>#REF!</v>
      </c>
      <c r="AA705" s="99" t="str">
        <f t="shared" ca="1" si="11"/>
        <v>#REF!</v>
      </c>
      <c r="AB705" s="234" t="str">
        <f t="shared" ca="1" si="12"/>
        <v>#REF!</v>
      </c>
      <c r="AC705" s="257" t="str">
        <f t="shared" ca="1" si="13"/>
        <v>#REF!</v>
      </c>
      <c r="AD705" s="234" t="str">
        <f t="shared" ca="1" si="14"/>
        <v>#REF!</v>
      </c>
      <c r="AE705" s="100" t="str">
        <f t="shared" ca="1" si="15"/>
        <v>#REF!</v>
      </c>
      <c r="AF705" s="101" t="str">
        <f t="shared" ca="1" si="16"/>
        <v>#REF!</v>
      </c>
      <c r="AG705" s="102" t="str">
        <f t="shared" ref="AG705:AH705" ca="1" si="723">AE705/V705</f>
        <v>#REF!</v>
      </c>
      <c r="AH705" s="102" t="str">
        <f t="shared" ca="1" si="723"/>
        <v>#REF!</v>
      </c>
    </row>
    <row r="706" spans="1:34" ht="13.2">
      <c r="A706" s="251"/>
      <c r="B706" s="251"/>
      <c r="C706" s="252"/>
      <c r="D706" s="252"/>
      <c r="E706" s="114"/>
      <c r="F706" s="252"/>
      <c r="G706" s="125" t="s">
        <v>145</v>
      </c>
      <c r="I706" s="172"/>
      <c r="J706" s="82" t="str">
        <f t="shared" ca="1" si="0"/>
        <v>#REF!</v>
      </c>
      <c r="K706" s="82" t="str">
        <f t="shared" ca="1" si="1"/>
        <v>#REF!</v>
      </c>
      <c r="L706" s="82" t="str">
        <f t="shared" ca="1" si="44"/>
        <v>#REF!</v>
      </c>
      <c r="M706" s="93"/>
      <c r="N706" s="93"/>
      <c r="O706" s="95">
        <f t="shared" si="2"/>
        <v>0</v>
      </c>
      <c r="P706" s="96">
        <f t="shared" si="3"/>
        <v>0</v>
      </c>
      <c r="Q706" s="97">
        <f t="shared" si="4"/>
        <v>0</v>
      </c>
      <c r="R706" s="97" t="str">
        <f ca="1">ROUNDUP(HLOOKUP(IF(CEILING(L706,0.5)&lt;1,0.5,CEILING(L706,0.5)),'배송비 조회'!A$44:AO$56,7,0)*B$3,-2)</f>
        <v>#REF!</v>
      </c>
      <c r="S706" s="97">
        <v>0</v>
      </c>
      <c r="T706" s="97" t="str">
        <f t="shared" ca="1" si="42"/>
        <v>#REF!</v>
      </c>
      <c r="U706" s="97" t="str">
        <f t="shared" ca="1" si="29"/>
        <v>#REF!</v>
      </c>
      <c r="V706" s="97" t="str">
        <f t="shared" ca="1" si="7"/>
        <v>#REF!</v>
      </c>
      <c r="W706" s="97" t="str">
        <f t="shared" ca="1" si="8"/>
        <v>#REF!</v>
      </c>
      <c r="X706" s="121">
        <v>0</v>
      </c>
      <c r="Y706" s="121" t="str">
        <f t="shared" ca="1" si="9"/>
        <v>#REF!</v>
      </c>
      <c r="Z706" s="121" t="str">
        <f t="shared" ca="1" si="10"/>
        <v>#REF!</v>
      </c>
      <c r="AA706" s="99" t="str">
        <f t="shared" ca="1" si="11"/>
        <v>#REF!</v>
      </c>
      <c r="AB706" s="234" t="str">
        <f t="shared" ca="1" si="12"/>
        <v>#REF!</v>
      </c>
      <c r="AC706" s="257" t="str">
        <f t="shared" ca="1" si="13"/>
        <v>#REF!</v>
      </c>
      <c r="AD706" s="234" t="str">
        <f t="shared" ca="1" si="14"/>
        <v>#REF!</v>
      </c>
      <c r="AE706" s="100" t="str">
        <f t="shared" ca="1" si="15"/>
        <v>#REF!</v>
      </c>
      <c r="AF706" s="101" t="str">
        <f t="shared" ca="1" si="16"/>
        <v>#REF!</v>
      </c>
      <c r="AG706" s="102" t="str">
        <f t="shared" ref="AG706:AH706" ca="1" si="724">AE706/V706</f>
        <v>#REF!</v>
      </c>
      <c r="AH706" s="102" t="str">
        <f t="shared" ca="1" si="724"/>
        <v>#REF!</v>
      </c>
    </row>
    <row r="707" spans="1:34" ht="13.2">
      <c r="A707" s="251"/>
      <c r="B707" s="251"/>
      <c r="C707" s="252"/>
      <c r="D707" s="252"/>
      <c r="E707" s="114"/>
      <c r="F707" s="252"/>
      <c r="G707" s="125" t="s">
        <v>145</v>
      </c>
      <c r="I707" s="172"/>
      <c r="J707" s="82" t="str">
        <f t="shared" ca="1" si="0"/>
        <v>#REF!</v>
      </c>
      <c r="K707" s="82" t="str">
        <f t="shared" ca="1" si="1"/>
        <v>#REF!</v>
      </c>
      <c r="L707" s="82" t="str">
        <f t="shared" ca="1" si="44"/>
        <v>#REF!</v>
      </c>
      <c r="M707" s="93"/>
      <c r="N707" s="93"/>
      <c r="O707" s="95">
        <f t="shared" si="2"/>
        <v>0</v>
      </c>
      <c r="P707" s="96">
        <f t="shared" si="3"/>
        <v>0</v>
      </c>
      <c r="Q707" s="97">
        <f t="shared" si="4"/>
        <v>0</v>
      </c>
      <c r="R707" s="97" t="str">
        <f ca="1">ROUNDUP(HLOOKUP(IF(CEILING(L707,0.5)&lt;1,0.5,CEILING(L707,0.5)),'배송비 조회'!A$44:AO$56,7,0)*B$3,-2)</f>
        <v>#REF!</v>
      </c>
      <c r="S707" s="97">
        <v>0</v>
      </c>
      <c r="T707" s="97" t="str">
        <f t="shared" ca="1" si="42"/>
        <v>#REF!</v>
      </c>
      <c r="U707" s="97" t="str">
        <f t="shared" ca="1" si="29"/>
        <v>#REF!</v>
      </c>
      <c r="V707" s="97" t="str">
        <f t="shared" ca="1" si="7"/>
        <v>#REF!</v>
      </c>
      <c r="W707" s="97" t="str">
        <f t="shared" ca="1" si="8"/>
        <v>#REF!</v>
      </c>
      <c r="X707" s="121">
        <v>0</v>
      </c>
      <c r="Y707" s="121" t="str">
        <f t="shared" ca="1" si="9"/>
        <v>#REF!</v>
      </c>
      <c r="Z707" s="121" t="str">
        <f t="shared" ca="1" si="10"/>
        <v>#REF!</v>
      </c>
      <c r="AA707" s="99" t="str">
        <f t="shared" ca="1" si="11"/>
        <v>#REF!</v>
      </c>
      <c r="AB707" s="234" t="str">
        <f t="shared" ca="1" si="12"/>
        <v>#REF!</v>
      </c>
      <c r="AC707" s="257" t="str">
        <f t="shared" ca="1" si="13"/>
        <v>#REF!</v>
      </c>
      <c r="AD707" s="234" t="str">
        <f t="shared" ca="1" si="14"/>
        <v>#REF!</v>
      </c>
      <c r="AE707" s="100" t="str">
        <f t="shared" ca="1" si="15"/>
        <v>#REF!</v>
      </c>
      <c r="AF707" s="101" t="str">
        <f t="shared" ca="1" si="16"/>
        <v>#REF!</v>
      </c>
      <c r="AG707" s="102" t="str">
        <f t="shared" ref="AG707:AH707" ca="1" si="725">AE707/V707</f>
        <v>#REF!</v>
      </c>
      <c r="AH707" s="102" t="str">
        <f t="shared" ca="1" si="725"/>
        <v>#REF!</v>
      </c>
    </row>
    <row r="708" spans="1:34" ht="13.2">
      <c r="A708" s="251"/>
      <c r="B708" s="251"/>
      <c r="C708" s="252"/>
      <c r="D708" s="252"/>
      <c r="E708" s="114"/>
      <c r="F708" s="252"/>
      <c r="G708" s="125" t="s">
        <v>145</v>
      </c>
      <c r="I708" s="172"/>
      <c r="J708" s="82" t="str">
        <f t="shared" ca="1" si="0"/>
        <v>#REF!</v>
      </c>
      <c r="K708" s="82" t="str">
        <f t="shared" ca="1" si="1"/>
        <v>#REF!</v>
      </c>
      <c r="L708" s="82" t="str">
        <f t="shared" ca="1" si="44"/>
        <v>#REF!</v>
      </c>
      <c r="M708" s="93"/>
      <c r="N708" s="93"/>
      <c r="O708" s="95">
        <f t="shared" si="2"/>
        <v>0</v>
      </c>
      <c r="P708" s="96">
        <f t="shared" si="3"/>
        <v>0</v>
      </c>
      <c r="Q708" s="97">
        <f t="shared" si="4"/>
        <v>0</v>
      </c>
      <c r="R708" s="97" t="str">
        <f ca="1">ROUNDUP(HLOOKUP(IF(CEILING(L708,0.5)&lt;1,0.5,CEILING(L708,0.5)),'배송비 조회'!A$44:AO$56,7,0)*B$3,-2)</f>
        <v>#REF!</v>
      </c>
      <c r="S708" s="97">
        <v>0</v>
      </c>
      <c r="T708" s="97" t="str">
        <f t="shared" ca="1" si="42"/>
        <v>#REF!</v>
      </c>
      <c r="U708" s="97" t="str">
        <f t="shared" ca="1" si="29"/>
        <v>#REF!</v>
      </c>
      <c r="V708" s="97" t="str">
        <f t="shared" ca="1" si="7"/>
        <v>#REF!</v>
      </c>
      <c r="W708" s="97" t="str">
        <f t="shared" ca="1" si="8"/>
        <v>#REF!</v>
      </c>
      <c r="X708" s="121">
        <v>0</v>
      </c>
      <c r="Y708" s="121" t="str">
        <f t="shared" ca="1" si="9"/>
        <v>#REF!</v>
      </c>
      <c r="Z708" s="121" t="str">
        <f t="shared" ca="1" si="10"/>
        <v>#REF!</v>
      </c>
      <c r="AA708" s="99" t="str">
        <f t="shared" ca="1" si="11"/>
        <v>#REF!</v>
      </c>
      <c r="AB708" s="234" t="str">
        <f t="shared" ca="1" si="12"/>
        <v>#REF!</v>
      </c>
      <c r="AC708" s="257" t="str">
        <f t="shared" ca="1" si="13"/>
        <v>#REF!</v>
      </c>
      <c r="AD708" s="234" t="str">
        <f t="shared" ca="1" si="14"/>
        <v>#REF!</v>
      </c>
      <c r="AE708" s="100" t="str">
        <f t="shared" ca="1" si="15"/>
        <v>#REF!</v>
      </c>
      <c r="AF708" s="101" t="str">
        <f t="shared" ca="1" si="16"/>
        <v>#REF!</v>
      </c>
      <c r="AG708" s="102" t="str">
        <f t="shared" ref="AG708:AH708" ca="1" si="726">AE708/V708</f>
        <v>#REF!</v>
      </c>
      <c r="AH708" s="102" t="str">
        <f t="shared" ca="1" si="726"/>
        <v>#REF!</v>
      </c>
    </row>
    <row r="709" spans="1:34" ht="13.2">
      <c r="A709" s="251"/>
      <c r="B709" s="251"/>
      <c r="C709" s="252"/>
      <c r="D709" s="252"/>
      <c r="E709" s="114"/>
      <c r="F709" s="252"/>
      <c r="G709" s="125" t="s">
        <v>145</v>
      </c>
      <c r="I709" s="172"/>
      <c r="J709" s="82" t="str">
        <f t="shared" ca="1" si="0"/>
        <v>#REF!</v>
      </c>
      <c r="K709" s="82" t="str">
        <f t="shared" ca="1" si="1"/>
        <v>#REF!</v>
      </c>
      <c r="L709" s="82" t="str">
        <f t="shared" ca="1" si="44"/>
        <v>#REF!</v>
      </c>
      <c r="M709" s="93"/>
      <c r="N709" s="93"/>
      <c r="O709" s="95">
        <f t="shared" si="2"/>
        <v>0</v>
      </c>
      <c r="P709" s="96">
        <f t="shared" si="3"/>
        <v>0</v>
      </c>
      <c r="Q709" s="97">
        <f t="shared" si="4"/>
        <v>0</v>
      </c>
      <c r="R709" s="97" t="str">
        <f ca="1">ROUNDUP(HLOOKUP(IF(CEILING(L709,0.5)&lt;1,0.5,CEILING(L709,0.5)),'배송비 조회'!A$44:AO$56,7,0)*B$3,-2)</f>
        <v>#REF!</v>
      </c>
      <c r="S709" s="97">
        <v>0</v>
      </c>
      <c r="T709" s="97" t="str">
        <f t="shared" ca="1" si="42"/>
        <v>#REF!</v>
      </c>
      <c r="U709" s="97" t="str">
        <f t="shared" ca="1" si="29"/>
        <v>#REF!</v>
      </c>
      <c r="V709" s="97" t="str">
        <f t="shared" ca="1" si="7"/>
        <v>#REF!</v>
      </c>
      <c r="W709" s="97" t="str">
        <f t="shared" ca="1" si="8"/>
        <v>#REF!</v>
      </c>
      <c r="X709" s="121">
        <v>0</v>
      </c>
      <c r="Y709" s="121" t="str">
        <f t="shared" ca="1" si="9"/>
        <v>#REF!</v>
      </c>
      <c r="Z709" s="121" t="str">
        <f t="shared" ca="1" si="10"/>
        <v>#REF!</v>
      </c>
      <c r="AA709" s="99" t="str">
        <f t="shared" ca="1" si="11"/>
        <v>#REF!</v>
      </c>
      <c r="AB709" s="234" t="str">
        <f t="shared" ca="1" si="12"/>
        <v>#REF!</v>
      </c>
      <c r="AC709" s="257" t="str">
        <f t="shared" ca="1" si="13"/>
        <v>#REF!</v>
      </c>
      <c r="AD709" s="234" t="str">
        <f t="shared" ca="1" si="14"/>
        <v>#REF!</v>
      </c>
      <c r="AE709" s="100" t="str">
        <f t="shared" ca="1" si="15"/>
        <v>#REF!</v>
      </c>
      <c r="AF709" s="101" t="str">
        <f t="shared" ca="1" si="16"/>
        <v>#REF!</v>
      </c>
      <c r="AG709" s="102" t="str">
        <f t="shared" ref="AG709:AH709" ca="1" si="727">AE709/V709</f>
        <v>#REF!</v>
      </c>
      <c r="AH709" s="102" t="str">
        <f t="shared" ca="1" si="727"/>
        <v>#REF!</v>
      </c>
    </row>
    <row r="710" spans="1:34" ht="13.2">
      <c r="A710" s="251"/>
      <c r="B710" s="251"/>
      <c r="C710" s="252"/>
      <c r="D710" s="252"/>
      <c r="E710" s="114"/>
      <c r="F710" s="252"/>
      <c r="G710" s="125" t="s">
        <v>145</v>
      </c>
      <c r="I710" s="172"/>
      <c r="J710" s="82" t="str">
        <f t="shared" ca="1" si="0"/>
        <v>#REF!</v>
      </c>
      <c r="K710" s="82" t="str">
        <f t="shared" ca="1" si="1"/>
        <v>#REF!</v>
      </c>
      <c r="L710" s="82" t="str">
        <f t="shared" ca="1" si="44"/>
        <v>#REF!</v>
      </c>
      <c r="M710" s="93"/>
      <c r="N710" s="93"/>
      <c r="O710" s="95">
        <f t="shared" si="2"/>
        <v>0</v>
      </c>
      <c r="P710" s="96">
        <f t="shared" si="3"/>
        <v>0</v>
      </c>
      <c r="Q710" s="97">
        <f t="shared" si="4"/>
        <v>0</v>
      </c>
      <c r="R710" s="97" t="str">
        <f ca="1">ROUNDUP(HLOOKUP(IF(CEILING(L710,0.5)&lt;1,0.5,CEILING(L710,0.5)),'배송비 조회'!A$44:AO$56,7,0)*B$3,-2)</f>
        <v>#REF!</v>
      </c>
      <c r="S710" s="97">
        <v>0</v>
      </c>
      <c r="T710" s="97" t="str">
        <f t="shared" ca="1" si="42"/>
        <v>#REF!</v>
      </c>
      <c r="U710" s="97" t="str">
        <f t="shared" ca="1" si="29"/>
        <v>#REF!</v>
      </c>
      <c r="V710" s="97" t="str">
        <f t="shared" ca="1" si="7"/>
        <v>#REF!</v>
      </c>
      <c r="W710" s="97" t="str">
        <f t="shared" ca="1" si="8"/>
        <v>#REF!</v>
      </c>
      <c r="X710" s="121">
        <v>0</v>
      </c>
      <c r="Y710" s="121" t="str">
        <f t="shared" ca="1" si="9"/>
        <v>#REF!</v>
      </c>
      <c r="Z710" s="121" t="str">
        <f t="shared" ca="1" si="10"/>
        <v>#REF!</v>
      </c>
      <c r="AA710" s="99" t="str">
        <f t="shared" ca="1" si="11"/>
        <v>#REF!</v>
      </c>
      <c r="AB710" s="234" t="str">
        <f t="shared" ca="1" si="12"/>
        <v>#REF!</v>
      </c>
      <c r="AC710" s="257" t="str">
        <f t="shared" ca="1" si="13"/>
        <v>#REF!</v>
      </c>
      <c r="AD710" s="234" t="str">
        <f t="shared" ca="1" si="14"/>
        <v>#REF!</v>
      </c>
      <c r="AE710" s="100" t="str">
        <f t="shared" ca="1" si="15"/>
        <v>#REF!</v>
      </c>
      <c r="AF710" s="101" t="str">
        <f t="shared" ca="1" si="16"/>
        <v>#REF!</v>
      </c>
      <c r="AG710" s="102" t="str">
        <f t="shared" ref="AG710:AH710" ca="1" si="728">AE710/V710</f>
        <v>#REF!</v>
      </c>
      <c r="AH710" s="102" t="str">
        <f t="shared" ca="1" si="728"/>
        <v>#REF!</v>
      </c>
    </row>
    <row r="711" spans="1:34" ht="13.2">
      <c r="A711" s="251"/>
      <c r="B711" s="251"/>
      <c r="C711" s="252"/>
      <c r="D711" s="252"/>
      <c r="E711" s="114"/>
      <c r="F711" s="252"/>
      <c r="G711" s="125" t="s">
        <v>145</v>
      </c>
      <c r="I711" s="172"/>
      <c r="J711" s="82" t="str">
        <f t="shared" ca="1" si="0"/>
        <v>#REF!</v>
      </c>
      <c r="K711" s="82" t="str">
        <f t="shared" ca="1" si="1"/>
        <v>#REF!</v>
      </c>
      <c r="L711" s="82" t="str">
        <f t="shared" ca="1" si="44"/>
        <v>#REF!</v>
      </c>
      <c r="M711" s="93"/>
      <c r="N711" s="93"/>
      <c r="O711" s="95">
        <f t="shared" si="2"/>
        <v>0</v>
      </c>
      <c r="P711" s="96">
        <f t="shared" si="3"/>
        <v>0</v>
      </c>
      <c r="Q711" s="97">
        <f t="shared" si="4"/>
        <v>0</v>
      </c>
      <c r="R711" s="97" t="str">
        <f ca="1">ROUNDUP(HLOOKUP(IF(CEILING(L711,0.5)&lt;1,0.5,CEILING(L711,0.5)),'배송비 조회'!A$44:AO$56,7,0)*B$3,-2)</f>
        <v>#REF!</v>
      </c>
      <c r="S711" s="97">
        <v>0</v>
      </c>
      <c r="T711" s="97" t="str">
        <f t="shared" ca="1" si="42"/>
        <v>#REF!</v>
      </c>
      <c r="U711" s="97" t="str">
        <f t="shared" ca="1" si="29"/>
        <v>#REF!</v>
      </c>
      <c r="V711" s="97" t="str">
        <f t="shared" ca="1" si="7"/>
        <v>#REF!</v>
      </c>
      <c r="W711" s="97" t="str">
        <f t="shared" ca="1" si="8"/>
        <v>#REF!</v>
      </c>
      <c r="X711" s="121">
        <v>0</v>
      </c>
      <c r="Y711" s="121" t="str">
        <f t="shared" ca="1" si="9"/>
        <v>#REF!</v>
      </c>
      <c r="Z711" s="121" t="str">
        <f t="shared" ca="1" si="10"/>
        <v>#REF!</v>
      </c>
      <c r="AA711" s="99" t="str">
        <f t="shared" ca="1" si="11"/>
        <v>#REF!</v>
      </c>
      <c r="AB711" s="234" t="str">
        <f t="shared" ca="1" si="12"/>
        <v>#REF!</v>
      </c>
      <c r="AC711" s="257" t="str">
        <f t="shared" ca="1" si="13"/>
        <v>#REF!</v>
      </c>
      <c r="AD711" s="234" t="str">
        <f t="shared" ca="1" si="14"/>
        <v>#REF!</v>
      </c>
      <c r="AE711" s="100" t="str">
        <f t="shared" ca="1" si="15"/>
        <v>#REF!</v>
      </c>
      <c r="AF711" s="101" t="str">
        <f t="shared" ca="1" si="16"/>
        <v>#REF!</v>
      </c>
      <c r="AG711" s="102" t="str">
        <f t="shared" ref="AG711:AH711" ca="1" si="729">AE711/V711</f>
        <v>#REF!</v>
      </c>
      <c r="AH711" s="102" t="str">
        <f t="shared" ca="1" si="729"/>
        <v>#REF!</v>
      </c>
    </row>
    <row r="712" spans="1:34" ht="13.2">
      <c r="A712" s="251"/>
      <c r="B712" s="251"/>
      <c r="C712" s="252"/>
      <c r="D712" s="252"/>
      <c r="E712" s="114"/>
      <c r="F712" s="252"/>
      <c r="G712" s="125" t="s">
        <v>145</v>
      </c>
      <c r="I712" s="172"/>
      <c r="J712" s="82" t="str">
        <f t="shared" ca="1" si="0"/>
        <v>#REF!</v>
      </c>
      <c r="K712" s="82" t="str">
        <f t="shared" ca="1" si="1"/>
        <v>#REF!</v>
      </c>
      <c r="L712" s="82" t="str">
        <f t="shared" ca="1" si="44"/>
        <v>#REF!</v>
      </c>
      <c r="M712" s="93"/>
      <c r="N712" s="93"/>
      <c r="O712" s="95">
        <f t="shared" si="2"/>
        <v>0</v>
      </c>
      <c r="P712" s="96">
        <f t="shared" si="3"/>
        <v>0</v>
      </c>
      <c r="Q712" s="97">
        <f t="shared" si="4"/>
        <v>0</v>
      </c>
      <c r="R712" s="97" t="str">
        <f ca="1">ROUNDUP(HLOOKUP(IF(CEILING(L712,0.5)&lt;1,0.5,CEILING(L712,0.5)),'배송비 조회'!A$44:AO$56,7,0)*B$3,-2)</f>
        <v>#REF!</v>
      </c>
      <c r="S712" s="97">
        <v>0</v>
      </c>
      <c r="T712" s="97" t="str">
        <f t="shared" ca="1" si="42"/>
        <v>#REF!</v>
      </c>
      <c r="U712" s="97" t="str">
        <f t="shared" ca="1" si="29"/>
        <v>#REF!</v>
      </c>
      <c r="V712" s="97" t="str">
        <f t="shared" ca="1" si="7"/>
        <v>#REF!</v>
      </c>
      <c r="W712" s="97" t="str">
        <f t="shared" ca="1" si="8"/>
        <v>#REF!</v>
      </c>
      <c r="X712" s="121">
        <v>0</v>
      </c>
      <c r="Y712" s="121" t="str">
        <f t="shared" ca="1" si="9"/>
        <v>#REF!</v>
      </c>
      <c r="Z712" s="121" t="str">
        <f t="shared" ca="1" si="10"/>
        <v>#REF!</v>
      </c>
      <c r="AA712" s="99" t="str">
        <f t="shared" ca="1" si="11"/>
        <v>#REF!</v>
      </c>
      <c r="AB712" s="234" t="str">
        <f t="shared" ca="1" si="12"/>
        <v>#REF!</v>
      </c>
      <c r="AC712" s="257" t="str">
        <f t="shared" ca="1" si="13"/>
        <v>#REF!</v>
      </c>
      <c r="AD712" s="234" t="str">
        <f t="shared" ca="1" si="14"/>
        <v>#REF!</v>
      </c>
      <c r="AE712" s="100" t="str">
        <f t="shared" ca="1" si="15"/>
        <v>#REF!</v>
      </c>
      <c r="AF712" s="101" t="str">
        <f t="shared" ca="1" si="16"/>
        <v>#REF!</v>
      </c>
      <c r="AG712" s="102" t="str">
        <f t="shared" ref="AG712:AH712" ca="1" si="730">AE712/V712</f>
        <v>#REF!</v>
      </c>
      <c r="AH712" s="102" t="str">
        <f t="shared" ca="1" si="730"/>
        <v>#REF!</v>
      </c>
    </row>
    <row r="713" spans="1:34" ht="13.2">
      <c r="A713" s="251"/>
      <c r="B713" s="251"/>
      <c r="C713" s="252"/>
      <c r="D713" s="252"/>
      <c r="E713" s="114"/>
      <c r="F713" s="252"/>
      <c r="G713" s="125" t="s">
        <v>145</v>
      </c>
      <c r="I713" s="172"/>
      <c r="J713" s="82" t="str">
        <f t="shared" ca="1" si="0"/>
        <v>#REF!</v>
      </c>
      <c r="K713" s="82" t="str">
        <f t="shared" ca="1" si="1"/>
        <v>#REF!</v>
      </c>
      <c r="L713" s="82" t="str">
        <f t="shared" ca="1" si="44"/>
        <v>#REF!</v>
      </c>
      <c r="M713" s="93"/>
      <c r="N713" s="93"/>
      <c r="O713" s="95">
        <f t="shared" si="2"/>
        <v>0</v>
      </c>
      <c r="P713" s="96">
        <f t="shared" si="3"/>
        <v>0</v>
      </c>
      <c r="Q713" s="97">
        <f t="shared" si="4"/>
        <v>0</v>
      </c>
      <c r="R713" s="97" t="str">
        <f ca="1">ROUNDUP(HLOOKUP(IF(CEILING(L713,0.5)&lt;1,0.5,CEILING(L713,0.5)),'배송비 조회'!A$44:AO$56,7,0)*B$3,-2)</f>
        <v>#REF!</v>
      </c>
      <c r="S713" s="97">
        <v>0</v>
      </c>
      <c r="T713" s="97" t="str">
        <f t="shared" ca="1" si="42"/>
        <v>#REF!</v>
      </c>
      <c r="U713" s="97" t="str">
        <f t="shared" ca="1" si="29"/>
        <v>#REF!</v>
      </c>
      <c r="V713" s="97" t="str">
        <f t="shared" ca="1" si="7"/>
        <v>#REF!</v>
      </c>
      <c r="W713" s="97" t="str">
        <f t="shared" ca="1" si="8"/>
        <v>#REF!</v>
      </c>
      <c r="X713" s="121">
        <v>0</v>
      </c>
      <c r="Y713" s="121" t="str">
        <f t="shared" ca="1" si="9"/>
        <v>#REF!</v>
      </c>
      <c r="Z713" s="121" t="str">
        <f t="shared" ca="1" si="10"/>
        <v>#REF!</v>
      </c>
      <c r="AA713" s="99" t="str">
        <f t="shared" ca="1" si="11"/>
        <v>#REF!</v>
      </c>
      <c r="AB713" s="234" t="str">
        <f t="shared" ca="1" si="12"/>
        <v>#REF!</v>
      </c>
      <c r="AC713" s="257" t="str">
        <f t="shared" ca="1" si="13"/>
        <v>#REF!</v>
      </c>
      <c r="AD713" s="234" t="str">
        <f t="shared" ca="1" si="14"/>
        <v>#REF!</v>
      </c>
      <c r="AE713" s="100" t="str">
        <f t="shared" ca="1" si="15"/>
        <v>#REF!</v>
      </c>
      <c r="AF713" s="101" t="str">
        <f t="shared" ca="1" si="16"/>
        <v>#REF!</v>
      </c>
      <c r="AG713" s="102" t="str">
        <f t="shared" ref="AG713:AH713" ca="1" si="731">AE713/V713</f>
        <v>#REF!</v>
      </c>
      <c r="AH713" s="102" t="str">
        <f t="shared" ca="1" si="731"/>
        <v>#REF!</v>
      </c>
    </row>
    <row r="714" spans="1:34" ht="13.2">
      <c r="A714" s="251"/>
      <c r="B714" s="251"/>
      <c r="C714" s="252"/>
      <c r="D714" s="252"/>
      <c r="E714" s="114"/>
      <c r="F714" s="252"/>
      <c r="G714" s="125" t="s">
        <v>145</v>
      </c>
      <c r="I714" s="172"/>
      <c r="J714" s="82" t="str">
        <f t="shared" ca="1" si="0"/>
        <v>#REF!</v>
      </c>
      <c r="K714" s="82" t="str">
        <f t="shared" ca="1" si="1"/>
        <v>#REF!</v>
      </c>
      <c r="L714" s="82" t="str">
        <f t="shared" ca="1" si="44"/>
        <v>#REF!</v>
      </c>
      <c r="M714" s="93"/>
      <c r="N714" s="93"/>
      <c r="O714" s="95">
        <f t="shared" si="2"/>
        <v>0</v>
      </c>
      <c r="P714" s="96">
        <f t="shared" si="3"/>
        <v>0</v>
      </c>
      <c r="Q714" s="97">
        <f t="shared" si="4"/>
        <v>0</v>
      </c>
      <c r="R714" s="97" t="str">
        <f ca="1">ROUNDUP(HLOOKUP(IF(CEILING(L714,0.5)&lt;1,0.5,CEILING(L714,0.5)),'배송비 조회'!A$44:AO$56,7,0)*B$3,-2)</f>
        <v>#REF!</v>
      </c>
      <c r="S714" s="97">
        <v>0</v>
      </c>
      <c r="T714" s="97" t="str">
        <f t="shared" ca="1" si="42"/>
        <v>#REF!</v>
      </c>
      <c r="U714" s="97" t="str">
        <f t="shared" ca="1" si="29"/>
        <v>#REF!</v>
      </c>
      <c r="V714" s="97" t="str">
        <f t="shared" ca="1" si="7"/>
        <v>#REF!</v>
      </c>
      <c r="W714" s="97" t="str">
        <f t="shared" ca="1" si="8"/>
        <v>#REF!</v>
      </c>
      <c r="X714" s="121">
        <v>0</v>
      </c>
      <c r="Y714" s="121" t="str">
        <f t="shared" ca="1" si="9"/>
        <v>#REF!</v>
      </c>
      <c r="Z714" s="121" t="str">
        <f t="shared" ca="1" si="10"/>
        <v>#REF!</v>
      </c>
      <c r="AA714" s="99" t="str">
        <f t="shared" ca="1" si="11"/>
        <v>#REF!</v>
      </c>
      <c r="AB714" s="234" t="str">
        <f t="shared" ca="1" si="12"/>
        <v>#REF!</v>
      </c>
      <c r="AC714" s="257" t="str">
        <f t="shared" ca="1" si="13"/>
        <v>#REF!</v>
      </c>
      <c r="AD714" s="234" t="str">
        <f t="shared" ca="1" si="14"/>
        <v>#REF!</v>
      </c>
      <c r="AE714" s="100" t="str">
        <f t="shared" ca="1" si="15"/>
        <v>#REF!</v>
      </c>
      <c r="AF714" s="101" t="str">
        <f t="shared" ca="1" si="16"/>
        <v>#REF!</v>
      </c>
      <c r="AG714" s="102" t="str">
        <f t="shared" ref="AG714:AH714" ca="1" si="732">AE714/V714</f>
        <v>#REF!</v>
      </c>
      <c r="AH714" s="102" t="str">
        <f t="shared" ca="1" si="732"/>
        <v>#REF!</v>
      </c>
    </row>
    <row r="715" spans="1:34" ht="13.2">
      <c r="A715" s="251"/>
      <c r="B715" s="251"/>
      <c r="C715" s="252"/>
      <c r="D715" s="252"/>
      <c r="E715" s="114"/>
      <c r="F715" s="252"/>
      <c r="G715" s="125" t="s">
        <v>145</v>
      </c>
      <c r="I715" s="172"/>
      <c r="J715" s="82" t="str">
        <f t="shared" ca="1" si="0"/>
        <v>#REF!</v>
      </c>
      <c r="K715" s="82" t="str">
        <f t="shared" ca="1" si="1"/>
        <v>#REF!</v>
      </c>
      <c r="L715" s="82" t="str">
        <f t="shared" ca="1" si="44"/>
        <v>#REF!</v>
      </c>
      <c r="M715" s="93"/>
      <c r="N715" s="93"/>
      <c r="O715" s="95">
        <f t="shared" si="2"/>
        <v>0</v>
      </c>
      <c r="P715" s="96">
        <f t="shared" si="3"/>
        <v>0</v>
      </c>
      <c r="Q715" s="97">
        <f t="shared" si="4"/>
        <v>0</v>
      </c>
      <c r="R715" s="97" t="str">
        <f ca="1">ROUNDUP(HLOOKUP(IF(CEILING(L715,0.5)&lt;1,0.5,CEILING(L715,0.5)),'배송비 조회'!A$44:AO$56,7,0)*B$3,-2)</f>
        <v>#REF!</v>
      </c>
      <c r="S715" s="97">
        <v>0</v>
      </c>
      <c r="T715" s="97" t="str">
        <f t="shared" ca="1" si="42"/>
        <v>#REF!</v>
      </c>
      <c r="U715" s="97" t="str">
        <f t="shared" ca="1" si="29"/>
        <v>#REF!</v>
      </c>
      <c r="V715" s="97" t="str">
        <f t="shared" ca="1" si="7"/>
        <v>#REF!</v>
      </c>
      <c r="W715" s="97" t="str">
        <f t="shared" ca="1" si="8"/>
        <v>#REF!</v>
      </c>
      <c r="X715" s="121">
        <v>0</v>
      </c>
      <c r="Y715" s="121" t="str">
        <f t="shared" ca="1" si="9"/>
        <v>#REF!</v>
      </c>
      <c r="Z715" s="121" t="str">
        <f t="shared" ca="1" si="10"/>
        <v>#REF!</v>
      </c>
      <c r="AA715" s="99" t="str">
        <f t="shared" ca="1" si="11"/>
        <v>#REF!</v>
      </c>
      <c r="AB715" s="234" t="str">
        <f t="shared" ca="1" si="12"/>
        <v>#REF!</v>
      </c>
      <c r="AC715" s="257" t="str">
        <f t="shared" ca="1" si="13"/>
        <v>#REF!</v>
      </c>
      <c r="AD715" s="234" t="str">
        <f t="shared" ca="1" si="14"/>
        <v>#REF!</v>
      </c>
      <c r="AE715" s="100" t="str">
        <f t="shared" ca="1" si="15"/>
        <v>#REF!</v>
      </c>
      <c r="AF715" s="101" t="str">
        <f t="shared" ca="1" si="16"/>
        <v>#REF!</v>
      </c>
      <c r="AG715" s="102" t="str">
        <f t="shared" ref="AG715:AH715" ca="1" si="733">AE715/V715</f>
        <v>#REF!</v>
      </c>
      <c r="AH715" s="102" t="str">
        <f t="shared" ca="1" si="733"/>
        <v>#REF!</v>
      </c>
    </row>
    <row r="716" spans="1:34" ht="13.2">
      <c r="A716" s="251"/>
      <c r="B716" s="251"/>
      <c r="C716" s="252"/>
      <c r="D716" s="252"/>
      <c r="E716" s="114"/>
      <c r="F716" s="252"/>
      <c r="G716" s="125" t="s">
        <v>145</v>
      </c>
      <c r="I716" s="172"/>
      <c r="J716" s="82" t="str">
        <f t="shared" ca="1" si="0"/>
        <v>#REF!</v>
      </c>
      <c r="K716" s="82" t="str">
        <f t="shared" ca="1" si="1"/>
        <v>#REF!</v>
      </c>
      <c r="L716" s="82" t="str">
        <f t="shared" ca="1" si="44"/>
        <v>#REF!</v>
      </c>
      <c r="M716" s="93"/>
      <c r="N716" s="93"/>
      <c r="O716" s="95">
        <f t="shared" si="2"/>
        <v>0</v>
      </c>
      <c r="P716" s="96">
        <f t="shared" si="3"/>
        <v>0</v>
      </c>
      <c r="Q716" s="97">
        <f t="shared" si="4"/>
        <v>0</v>
      </c>
      <c r="R716" s="97" t="str">
        <f ca="1">ROUNDUP(HLOOKUP(IF(CEILING(L716,0.5)&lt;1,0.5,CEILING(L716,0.5)),'배송비 조회'!A$44:AO$56,7,0)*B$3,-2)</f>
        <v>#REF!</v>
      </c>
      <c r="S716" s="97">
        <v>0</v>
      </c>
      <c r="T716" s="97" t="str">
        <f t="shared" ca="1" si="42"/>
        <v>#REF!</v>
      </c>
      <c r="U716" s="97" t="str">
        <f t="shared" ca="1" si="29"/>
        <v>#REF!</v>
      </c>
      <c r="V716" s="97" t="str">
        <f t="shared" ca="1" si="7"/>
        <v>#REF!</v>
      </c>
      <c r="W716" s="97" t="str">
        <f t="shared" ca="1" si="8"/>
        <v>#REF!</v>
      </c>
      <c r="X716" s="121">
        <v>0</v>
      </c>
      <c r="Y716" s="121" t="str">
        <f t="shared" ca="1" si="9"/>
        <v>#REF!</v>
      </c>
      <c r="Z716" s="121" t="str">
        <f t="shared" ca="1" si="10"/>
        <v>#REF!</v>
      </c>
      <c r="AA716" s="99" t="str">
        <f t="shared" ca="1" si="11"/>
        <v>#REF!</v>
      </c>
      <c r="AB716" s="234" t="str">
        <f t="shared" ca="1" si="12"/>
        <v>#REF!</v>
      </c>
      <c r="AC716" s="257" t="str">
        <f t="shared" ca="1" si="13"/>
        <v>#REF!</v>
      </c>
      <c r="AD716" s="234" t="str">
        <f t="shared" ca="1" si="14"/>
        <v>#REF!</v>
      </c>
      <c r="AE716" s="100" t="str">
        <f t="shared" ca="1" si="15"/>
        <v>#REF!</v>
      </c>
      <c r="AF716" s="101" t="str">
        <f t="shared" ca="1" si="16"/>
        <v>#REF!</v>
      </c>
      <c r="AG716" s="102" t="str">
        <f t="shared" ref="AG716:AH716" ca="1" si="734">AE716/V716</f>
        <v>#REF!</v>
      </c>
      <c r="AH716" s="102" t="str">
        <f t="shared" ca="1" si="734"/>
        <v>#REF!</v>
      </c>
    </row>
    <row r="717" spans="1:34" ht="13.2">
      <c r="A717" s="251"/>
      <c r="B717" s="251"/>
      <c r="C717" s="252"/>
      <c r="D717" s="252"/>
      <c r="E717" s="114"/>
      <c r="F717" s="252"/>
      <c r="G717" s="125" t="s">
        <v>145</v>
      </c>
      <c r="I717" s="172"/>
      <c r="J717" s="82" t="str">
        <f t="shared" ca="1" si="0"/>
        <v>#REF!</v>
      </c>
      <c r="K717" s="82" t="str">
        <f t="shared" ca="1" si="1"/>
        <v>#REF!</v>
      </c>
      <c r="L717" s="82" t="str">
        <f t="shared" ca="1" si="44"/>
        <v>#REF!</v>
      </c>
      <c r="M717" s="93"/>
      <c r="N717" s="93"/>
      <c r="O717" s="95">
        <f t="shared" si="2"/>
        <v>0</v>
      </c>
      <c r="P717" s="96">
        <f t="shared" si="3"/>
        <v>0</v>
      </c>
      <c r="Q717" s="97">
        <f t="shared" si="4"/>
        <v>0</v>
      </c>
      <c r="R717" s="97" t="str">
        <f ca="1">ROUNDUP(HLOOKUP(IF(CEILING(L717,0.5)&lt;1,0.5,CEILING(L717,0.5)),'배송비 조회'!A$44:AO$56,7,0)*B$3,-2)</f>
        <v>#REF!</v>
      </c>
      <c r="S717" s="97">
        <v>0</v>
      </c>
      <c r="T717" s="97" t="str">
        <f t="shared" ca="1" si="42"/>
        <v>#REF!</v>
      </c>
      <c r="U717" s="97" t="str">
        <f t="shared" ca="1" si="29"/>
        <v>#REF!</v>
      </c>
      <c r="V717" s="97" t="str">
        <f t="shared" ca="1" si="7"/>
        <v>#REF!</v>
      </c>
      <c r="W717" s="97" t="str">
        <f t="shared" ca="1" si="8"/>
        <v>#REF!</v>
      </c>
      <c r="X717" s="121">
        <v>0</v>
      </c>
      <c r="Y717" s="121" t="str">
        <f t="shared" ca="1" si="9"/>
        <v>#REF!</v>
      </c>
      <c r="Z717" s="121" t="str">
        <f t="shared" ca="1" si="10"/>
        <v>#REF!</v>
      </c>
      <c r="AA717" s="99" t="str">
        <f t="shared" ca="1" si="11"/>
        <v>#REF!</v>
      </c>
      <c r="AB717" s="234" t="str">
        <f t="shared" ca="1" si="12"/>
        <v>#REF!</v>
      </c>
      <c r="AC717" s="257" t="str">
        <f t="shared" ca="1" si="13"/>
        <v>#REF!</v>
      </c>
      <c r="AD717" s="234" t="str">
        <f t="shared" ca="1" si="14"/>
        <v>#REF!</v>
      </c>
      <c r="AE717" s="100" t="str">
        <f t="shared" ca="1" si="15"/>
        <v>#REF!</v>
      </c>
      <c r="AF717" s="101" t="str">
        <f t="shared" ca="1" si="16"/>
        <v>#REF!</v>
      </c>
      <c r="AG717" s="102" t="str">
        <f t="shared" ref="AG717:AH717" ca="1" si="735">AE717/V717</f>
        <v>#REF!</v>
      </c>
      <c r="AH717" s="102" t="str">
        <f t="shared" ca="1" si="735"/>
        <v>#REF!</v>
      </c>
    </row>
    <row r="718" spans="1:34" ht="13.2">
      <c r="A718" s="251"/>
      <c r="B718" s="251"/>
      <c r="C718" s="252"/>
      <c r="D718" s="252"/>
      <c r="E718" s="114"/>
      <c r="F718" s="252"/>
      <c r="G718" s="125" t="s">
        <v>145</v>
      </c>
      <c r="I718" s="172"/>
      <c r="J718" s="82" t="str">
        <f t="shared" ca="1" si="0"/>
        <v>#REF!</v>
      </c>
      <c r="K718" s="82" t="str">
        <f t="shared" ca="1" si="1"/>
        <v>#REF!</v>
      </c>
      <c r="L718" s="82" t="str">
        <f t="shared" ca="1" si="44"/>
        <v>#REF!</v>
      </c>
      <c r="M718" s="93"/>
      <c r="N718" s="93"/>
      <c r="O718" s="95">
        <f t="shared" si="2"/>
        <v>0</v>
      </c>
      <c r="P718" s="96">
        <f t="shared" si="3"/>
        <v>0</v>
      </c>
      <c r="Q718" s="97">
        <f t="shared" si="4"/>
        <v>0</v>
      </c>
      <c r="R718" s="97" t="str">
        <f ca="1">ROUNDUP(HLOOKUP(IF(CEILING(L718,0.5)&lt;1,0.5,CEILING(L718,0.5)),'배송비 조회'!A$44:AO$56,7,0)*B$3,-2)</f>
        <v>#REF!</v>
      </c>
      <c r="S718" s="97">
        <v>0</v>
      </c>
      <c r="T718" s="97" t="str">
        <f t="shared" ca="1" si="42"/>
        <v>#REF!</v>
      </c>
      <c r="U718" s="97" t="str">
        <f t="shared" ca="1" si="29"/>
        <v>#REF!</v>
      </c>
      <c r="V718" s="97" t="str">
        <f t="shared" ca="1" si="7"/>
        <v>#REF!</v>
      </c>
      <c r="W718" s="97" t="str">
        <f t="shared" ca="1" si="8"/>
        <v>#REF!</v>
      </c>
      <c r="X718" s="121">
        <v>0</v>
      </c>
      <c r="Y718" s="121" t="str">
        <f t="shared" ca="1" si="9"/>
        <v>#REF!</v>
      </c>
      <c r="Z718" s="121" t="str">
        <f t="shared" ca="1" si="10"/>
        <v>#REF!</v>
      </c>
      <c r="AA718" s="99" t="str">
        <f t="shared" ca="1" si="11"/>
        <v>#REF!</v>
      </c>
      <c r="AB718" s="234" t="str">
        <f t="shared" ca="1" si="12"/>
        <v>#REF!</v>
      </c>
      <c r="AC718" s="257" t="str">
        <f t="shared" ca="1" si="13"/>
        <v>#REF!</v>
      </c>
      <c r="AD718" s="234" t="str">
        <f t="shared" ca="1" si="14"/>
        <v>#REF!</v>
      </c>
      <c r="AE718" s="100" t="str">
        <f t="shared" ca="1" si="15"/>
        <v>#REF!</v>
      </c>
      <c r="AF718" s="101" t="str">
        <f t="shared" ca="1" si="16"/>
        <v>#REF!</v>
      </c>
      <c r="AG718" s="102" t="str">
        <f t="shared" ref="AG718:AH718" ca="1" si="736">AE718/V718</f>
        <v>#REF!</v>
      </c>
      <c r="AH718" s="102" t="str">
        <f t="shared" ca="1" si="736"/>
        <v>#REF!</v>
      </c>
    </row>
    <row r="719" spans="1:34" ht="13.2">
      <c r="A719" s="251"/>
      <c r="B719" s="251"/>
      <c r="C719" s="252"/>
      <c r="D719" s="252"/>
      <c r="E719" s="114"/>
      <c r="F719" s="252"/>
      <c r="G719" s="125" t="s">
        <v>145</v>
      </c>
      <c r="I719" s="172"/>
      <c r="J719" s="82" t="str">
        <f t="shared" ca="1" si="0"/>
        <v>#REF!</v>
      </c>
      <c r="K719" s="82" t="str">
        <f t="shared" ca="1" si="1"/>
        <v>#REF!</v>
      </c>
      <c r="L719" s="82" t="str">
        <f t="shared" ca="1" si="44"/>
        <v>#REF!</v>
      </c>
      <c r="M719" s="93"/>
      <c r="N719" s="93"/>
      <c r="O719" s="95">
        <f t="shared" si="2"/>
        <v>0</v>
      </c>
      <c r="P719" s="96">
        <f t="shared" si="3"/>
        <v>0</v>
      </c>
      <c r="Q719" s="97">
        <f t="shared" si="4"/>
        <v>0</v>
      </c>
      <c r="R719" s="97" t="str">
        <f ca="1">ROUNDUP(HLOOKUP(IF(CEILING(L719,0.5)&lt;1,0.5,CEILING(L719,0.5)),'배송비 조회'!A$44:AO$56,7,0)*B$3,-2)</f>
        <v>#REF!</v>
      </c>
      <c r="S719" s="97">
        <v>0</v>
      </c>
      <c r="T719" s="97" t="str">
        <f t="shared" ca="1" si="42"/>
        <v>#REF!</v>
      </c>
      <c r="U719" s="97" t="str">
        <f t="shared" ca="1" si="29"/>
        <v>#REF!</v>
      </c>
      <c r="V719" s="97" t="str">
        <f t="shared" ca="1" si="7"/>
        <v>#REF!</v>
      </c>
      <c r="W719" s="97" t="str">
        <f t="shared" ca="1" si="8"/>
        <v>#REF!</v>
      </c>
      <c r="X719" s="121">
        <v>0</v>
      </c>
      <c r="Y719" s="121" t="str">
        <f t="shared" ca="1" si="9"/>
        <v>#REF!</v>
      </c>
      <c r="Z719" s="121" t="str">
        <f t="shared" ca="1" si="10"/>
        <v>#REF!</v>
      </c>
      <c r="AA719" s="99" t="str">
        <f t="shared" ca="1" si="11"/>
        <v>#REF!</v>
      </c>
      <c r="AB719" s="234" t="str">
        <f t="shared" ca="1" si="12"/>
        <v>#REF!</v>
      </c>
      <c r="AC719" s="257" t="str">
        <f t="shared" ca="1" si="13"/>
        <v>#REF!</v>
      </c>
      <c r="AD719" s="234" t="str">
        <f t="shared" ca="1" si="14"/>
        <v>#REF!</v>
      </c>
      <c r="AE719" s="100" t="str">
        <f t="shared" ca="1" si="15"/>
        <v>#REF!</v>
      </c>
      <c r="AF719" s="101" t="str">
        <f t="shared" ca="1" si="16"/>
        <v>#REF!</v>
      </c>
      <c r="AG719" s="102" t="str">
        <f t="shared" ref="AG719:AH719" ca="1" si="737">AE719/V719</f>
        <v>#REF!</v>
      </c>
      <c r="AH719" s="102" t="str">
        <f t="shared" ca="1" si="737"/>
        <v>#REF!</v>
      </c>
    </row>
    <row r="720" spans="1:34" ht="13.2">
      <c r="A720" s="251"/>
      <c r="B720" s="251"/>
      <c r="C720" s="252"/>
      <c r="D720" s="252"/>
      <c r="E720" s="114"/>
      <c r="F720" s="252"/>
      <c r="G720" s="125" t="s">
        <v>145</v>
      </c>
      <c r="I720" s="172"/>
      <c r="J720" s="82" t="str">
        <f t="shared" ca="1" si="0"/>
        <v>#REF!</v>
      </c>
      <c r="K720" s="82" t="str">
        <f t="shared" ca="1" si="1"/>
        <v>#REF!</v>
      </c>
      <c r="L720" s="82" t="str">
        <f t="shared" ca="1" si="44"/>
        <v>#REF!</v>
      </c>
      <c r="M720" s="93"/>
      <c r="N720" s="93"/>
      <c r="O720" s="95">
        <f t="shared" si="2"/>
        <v>0</v>
      </c>
      <c r="P720" s="96">
        <f t="shared" si="3"/>
        <v>0</v>
      </c>
      <c r="Q720" s="97">
        <f t="shared" si="4"/>
        <v>0</v>
      </c>
      <c r="R720" s="97" t="str">
        <f ca="1">ROUNDUP(HLOOKUP(IF(CEILING(L720,0.5)&lt;1,0.5,CEILING(L720,0.5)),'배송비 조회'!A$44:AO$56,7,0)*B$3,-2)</f>
        <v>#REF!</v>
      </c>
      <c r="S720" s="97">
        <v>0</v>
      </c>
      <c r="T720" s="97" t="str">
        <f t="shared" ca="1" si="42"/>
        <v>#REF!</v>
      </c>
      <c r="U720" s="97" t="str">
        <f t="shared" ca="1" si="29"/>
        <v>#REF!</v>
      </c>
      <c r="V720" s="97" t="str">
        <f t="shared" ca="1" si="7"/>
        <v>#REF!</v>
      </c>
      <c r="W720" s="97" t="str">
        <f t="shared" ca="1" si="8"/>
        <v>#REF!</v>
      </c>
      <c r="X720" s="121">
        <v>0</v>
      </c>
      <c r="Y720" s="121" t="str">
        <f t="shared" ca="1" si="9"/>
        <v>#REF!</v>
      </c>
      <c r="Z720" s="121" t="str">
        <f t="shared" ca="1" si="10"/>
        <v>#REF!</v>
      </c>
      <c r="AA720" s="99" t="str">
        <f t="shared" ca="1" si="11"/>
        <v>#REF!</v>
      </c>
      <c r="AB720" s="234" t="str">
        <f t="shared" ca="1" si="12"/>
        <v>#REF!</v>
      </c>
      <c r="AC720" s="257" t="str">
        <f t="shared" ca="1" si="13"/>
        <v>#REF!</v>
      </c>
      <c r="AD720" s="234" t="str">
        <f t="shared" ca="1" si="14"/>
        <v>#REF!</v>
      </c>
      <c r="AE720" s="100" t="str">
        <f t="shared" ca="1" si="15"/>
        <v>#REF!</v>
      </c>
      <c r="AF720" s="101" t="str">
        <f t="shared" ca="1" si="16"/>
        <v>#REF!</v>
      </c>
      <c r="AG720" s="102" t="str">
        <f t="shared" ref="AG720:AH720" ca="1" si="738">AE720/V720</f>
        <v>#REF!</v>
      </c>
      <c r="AH720" s="102" t="str">
        <f t="shared" ca="1" si="738"/>
        <v>#REF!</v>
      </c>
    </row>
    <row r="721" spans="1:34" ht="13.2">
      <c r="A721" s="251"/>
      <c r="B721" s="251"/>
      <c r="C721" s="252"/>
      <c r="D721" s="252"/>
      <c r="E721" s="114"/>
      <c r="F721" s="252"/>
      <c r="G721" s="125" t="s">
        <v>145</v>
      </c>
      <c r="I721" s="172"/>
      <c r="J721" s="82" t="str">
        <f t="shared" ca="1" si="0"/>
        <v>#REF!</v>
      </c>
      <c r="K721" s="82" t="str">
        <f t="shared" ca="1" si="1"/>
        <v>#REF!</v>
      </c>
      <c r="L721" s="82" t="str">
        <f t="shared" ca="1" si="44"/>
        <v>#REF!</v>
      </c>
      <c r="M721" s="93"/>
      <c r="N721" s="93"/>
      <c r="O721" s="95">
        <f t="shared" si="2"/>
        <v>0</v>
      </c>
      <c r="P721" s="96">
        <f t="shared" si="3"/>
        <v>0</v>
      </c>
      <c r="Q721" s="97">
        <f t="shared" si="4"/>
        <v>0</v>
      </c>
      <c r="R721" s="97" t="str">
        <f ca="1">ROUNDUP(HLOOKUP(IF(CEILING(L721,0.5)&lt;1,0.5,CEILING(L721,0.5)),'배송비 조회'!A$44:AO$56,7,0)*B$3,-2)</f>
        <v>#REF!</v>
      </c>
      <c r="S721" s="97">
        <v>0</v>
      </c>
      <c r="T721" s="97" t="str">
        <f t="shared" ca="1" si="42"/>
        <v>#REF!</v>
      </c>
      <c r="U721" s="97" t="str">
        <f t="shared" ca="1" si="29"/>
        <v>#REF!</v>
      </c>
      <c r="V721" s="97" t="str">
        <f t="shared" ca="1" si="7"/>
        <v>#REF!</v>
      </c>
      <c r="W721" s="97" t="str">
        <f t="shared" ca="1" si="8"/>
        <v>#REF!</v>
      </c>
      <c r="X721" s="121">
        <v>0</v>
      </c>
      <c r="Y721" s="121" t="str">
        <f t="shared" ca="1" si="9"/>
        <v>#REF!</v>
      </c>
      <c r="Z721" s="121" t="str">
        <f t="shared" ca="1" si="10"/>
        <v>#REF!</v>
      </c>
      <c r="AA721" s="99" t="str">
        <f t="shared" ca="1" si="11"/>
        <v>#REF!</v>
      </c>
      <c r="AB721" s="234" t="str">
        <f t="shared" ca="1" si="12"/>
        <v>#REF!</v>
      </c>
      <c r="AC721" s="257" t="str">
        <f t="shared" ca="1" si="13"/>
        <v>#REF!</v>
      </c>
      <c r="AD721" s="234" t="str">
        <f t="shared" ca="1" si="14"/>
        <v>#REF!</v>
      </c>
      <c r="AE721" s="100" t="str">
        <f t="shared" ca="1" si="15"/>
        <v>#REF!</v>
      </c>
      <c r="AF721" s="101" t="str">
        <f t="shared" ca="1" si="16"/>
        <v>#REF!</v>
      </c>
      <c r="AG721" s="102" t="str">
        <f t="shared" ref="AG721:AH721" ca="1" si="739">AE721/V721</f>
        <v>#REF!</v>
      </c>
      <c r="AH721" s="102" t="str">
        <f t="shared" ca="1" si="739"/>
        <v>#REF!</v>
      </c>
    </row>
    <row r="722" spans="1:34" ht="13.2">
      <c r="A722" s="251"/>
      <c r="B722" s="251"/>
      <c r="C722" s="252"/>
      <c r="D722" s="252"/>
      <c r="E722" s="114"/>
      <c r="F722" s="252"/>
      <c r="G722" s="125" t="s">
        <v>145</v>
      </c>
      <c r="I722" s="172"/>
      <c r="J722" s="82" t="str">
        <f t="shared" ca="1" si="0"/>
        <v>#REF!</v>
      </c>
      <c r="K722" s="82" t="str">
        <f t="shared" ca="1" si="1"/>
        <v>#REF!</v>
      </c>
      <c r="L722" s="82" t="str">
        <f t="shared" ca="1" si="44"/>
        <v>#REF!</v>
      </c>
      <c r="M722" s="93"/>
      <c r="N722" s="93"/>
      <c r="O722" s="95">
        <f t="shared" si="2"/>
        <v>0</v>
      </c>
      <c r="P722" s="96">
        <f t="shared" si="3"/>
        <v>0</v>
      </c>
      <c r="Q722" s="97">
        <f t="shared" si="4"/>
        <v>0</v>
      </c>
      <c r="R722" s="97" t="str">
        <f ca="1">ROUNDUP(HLOOKUP(IF(CEILING(L722,0.5)&lt;1,0.5,CEILING(L722,0.5)),'배송비 조회'!A$44:AO$56,7,0)*B$3,-2)</f>
        <v>#REF!</v>
      </c>
      <c r="S722" s="97">
        <v>0</v>
      </c>
      <c r="T722" s="97" t="str">
        <f t="shared" ca="1" si="42"/>
        <v>#REF!</v>
      </c>
      <c r="U722" s="97" t="str">
        <f t="shared" ca="1" si="29"/>
        <v>#REF!</v>
      </c>
      <c r="V722" s="97" t="str">
        <f t="shared" ca="1" si="7"/>
        <v>#REF!</v>
      </c>
      <c r="W722" s="97" t="str">
        <f t="shared" ca="1" si="8"/>
        <v>#REF!</v>
      </c>
      <c r="X722" s="121">
        <v>0</v>
      </c>
      <c r="Y722" s="121" t="str">
        <f t="shared" ca="1" si="9"/>
        <v>#REF!</v>
      </c>
      <c r="Z722" s="121" t="str">
        <f t="shared" ca="1" si="10"/>
        <v>#REF!</v>
      </c>
      <c r="AA722" s="99" t="str">
        <f t="shared" ca="1" si="11"/>
        <v>#REF!</v>
      </c>
      <c r="AB722" s="234" t="str">
        <f t="shared" ca="1" si="12"/>
        <v>#REF!</v>
      </c>
      <c r="AC722" s="257" t="str">
        <f t="shared" ca="1" si="13"/>
        <v>#REF!</v>
      </c>
      <c r="AD722" s="234" t="str">
        <f t="shared" ca="1" si="14"/>
        <v>#REF!</v>
      </c>
      <c r="AE722" s="100" t="str">
        <f t="shared" ca="1" si="15"/>
        <v>#REF!</v>
      </c>
      <c r="AF722" s="101" t="str">
        <f t="shared" ca="1" si="16"/>
        <v>#REF!</v>
      </c>
      <c r="AG722" s="102" t="str">
        <f t="shared" ref="AG722:AH722" ca="1" si="740">AE722/V722</f>
        <v>#REF!</v>
      </c>
      <c r="AH722" s="102" t="str">
        <f t="shared" ca="1" si="740"/>
        <v>#REF!</v>
      </c>
    </row>
    <row r="723" spans="1:34" ht="13.2">
      <c r="A723" s="251"/>
      <c r="B723" s="251"/>
      <c r="C723" s="252"/>
      <c r="D723" s="252"/>
      <c r="E723" s="114"/>
      <c r="F723" s="252"/>
      <c r="G723" s="125" t="s">
        <v>145</v>
      </c>
      <c r="I723" s="172"/>
      <c r="J723" s="82" t="str">
        <f t="shared" ca="1" si="0"/>
        <v>#REF!</v>
      </c>
      <c r="K723" s="82" t="str">
        <f t="shared" ca="1" si="1"/>
        <v>#REF!</v>
      </c>
      <c r="L723" s="82" t="str">
        <f t="shared" ca="1" si="44"/>
        <v>#REF!</v>
      </c>
      <c r="M723" s="93"/>
      <c r="N723" s="93"/>
      <c r="O723" s="95">
        <f t="shared" si="2"/>
        <v>0</v>
      </c>
      <c r="P723" s="96">
        <f t="shared" si="3"/>
        <v>0</v>
      </c>
      <c r="Q723" s="97">
        <f t="shared" si="4"/>
        <v>0</v>
      </c>
      <c r="R723" s="97" t="str">
        <f ca="1">ROUNDUP(HLOOKUP(IF(CEILING(L723,0.5)&lt;1,0.5,CEILING(L723,0.5)),'배송비 조회'!A$44:AO$56,7,0)*B$3,-2)</f>
        <v>#REF!</v>
      </c>
      <c r="S723" s="97">
        <v>0</v>
      </c>
      <c r="T723" s="97" t="str">
        <f t="shared" ca="1" si="42"/>
        <v>#REF!</v>
      </c>
      <c r="U723" s="97" t="str">
        <f t="shared" ca="1" si="29"/>
        <v>#REF!</v>
      </c>
      <c r="V723" s="97" t="str">
        <f t="shared" ca="1" si="7"/>
        <v>#REF!</v>
      </c>
      <c r="W723" s="97" t="str">
        <f t="shared" ca="1" si="8"/>
        <v>#REF!</v>
      </c>
      <c r="X723" s="121">
        <v>0</v>
      </c>
      <c r="Y723" s="121" t="str">
        <f t="shared" ca="1" si="9"/>
        <v>#REF!</v>
      </c>
      <c r="Z723" s="121" t="str">
        <f t="shared" ca="1" si="10"/>
        <v>#REF!</v>
      </c>
      <c r="AA723" s="99" t="str">
        <f t="shared" ca="1" si="11"/>
        <v>#REF!</v>
      </c>
      <c r="AB723" s="234" t="str">
        <f t="shared" ca="1" si="12"/>
        <v>#REF!</v>
      </c>
      <c r="AC723" s="257" t="str">
        <f t="shared" ca="1" si="13"/>
        <v>#REF!</v>
      </c>
      <c r="AD723" s="234" t="str">
        <f t="shared" ca="1" si="14"/>
        <v>#REF!</v>
      </c>
      <c r="AE723" s="100" t="str">
        <f t="shared" ca="1" si="15"/>
        <v>#REF!</v>
      </c>
      <c r="AF723" s="101" t="str">
        <f t="shared" ca="1" si="16"/>
        <v>#REF!</v>
      </c>
      <c r="AG723" s="102" t="str">
        <f t="shared" ref="AG723:AH723" ca="1" si="741">AE723/V723</f>
        <v>#REF!</v>
      </c>
      <c r="AH723" s="102" t="str">
        <f t="shared" ca="1" si="741"/>
        <v>#REF!</v>
      </c>
    </row>
    <row r="724" spans="1:34" ht="13.2">
      <c r="A724" s="251"/>
      <c r="B724" s="251"/>
      <c r="C724" s="252"/>
      <c r="D724" s="252"/>
      <c r="E724" s="114"/>
      <c r="F724" s="252"/>
      <c r="G724" s="125" t="s">
        <v>145</v>
      </c>
      <c r="I724" s="172"/>
      <c r="J724" s="82" t="str">
        <f t="shared" ca="1" si="0"/>
        <v>#REF!</v>
      </c>
      <c r="K724" s="82" t="str">
        <f t="shared" ca="1" si="1"/>
        <v>#REF!</v>
      </c>
      <c r="L724" s="82" t="str">
        <f t="shared" ca="1" si="44"/>
        <v>#REF!</v>
      </c>
      <c r="M724" s="93"/>
      <c r="N724" s="93"/>
      <c r="O724" s="95">
        <f t="shared" si="2"/>
        <v>0</v>
      </c>
      <c r="P724" s="96">
        <f t="shared" si="3"/>
        <v>0</v>
      </c>
      <c r="Q724" s="97">
        <f t="shared" si="4"/>
        <v>0</v>
      </c>
      <c r="R724" s="97" t="str">
        <f ca="1">ROUNDUP(HLOOKUP(IF(CEILING(L724,0.5)&lt;1,0.5,CEILING(L724,0.5)),'배송비 조회'!A$44:AO$56,7,0)*B$3,-2)</f>
        <v>#REF!</v>
      </c>
      <c r="S724" s="97">
        <v>0</v>
      </c>
      <c r="T724" s="97" t="str">
        <f t="shared" ca="1" si="42"/>
        <v>#REF!</v>
      </c>
      <c r="U724" s="97" t="str">
        <f t="shared" ca="1" si="29"/>
        <v>#REF!</v>
      </c>
      <c r="V724" s="97" t="str">
        <f t="shared" ca="1" si="7"/>
        <v>#REF!</v>
      </c>
      <c r="W724" s="97" t="str">
        <f t="shared" ca="1" si="8"/>
        <v>#REF!</v>
      </c>
      <c r="X724" s="121">
        <v>0</v>
      </c>
      <c r="Y724" s="121" t="str">
        <f t="shared" ca="1" si="9"/>
        <v>#REF!</v>
      </c>
      <c r="Z724" s="121" t="str">
        <f t="shared" ca="1" si="10"/>
        <v>#REF!</v>
      </c>
      <c r="AA724" s="99" t="str">
        <f t="shared" ca="1" si="11"/>
        <v>#REF!</v>
      </c>
      <c r="AB724" s="234" t="str">
        <f t="shared" ca="1" si="12"/>
        <v>#REF!</v>
      </c>
      <c r="AC724" s="257" t="str">
        <f t="shared" ca="1" si="13"/>
        <v>#REF!</v>
      </c>
      <c r="AD724" s="234" t="str">
        <f t="shared" ca="1" si="14"/>
        <v>#REF!</v>
      </c>
      <c r="AE724" s="100" t="str">
        <f t="shared" ca="1" si="15"/>
        <v>#REF!</v>
      </c>
      <c r="AF724" s="101" t="str">
        <f t="shared" ca="1" si="16"/>
        <v>#REF!</v>
      </c>
      <c r="AG724" s="102" t="str">
        <f t="shared" ref="AG724:AH724" ca="1" si="742">AE724/V724</f>
        <v>#REF!</v>
      </c>
      <c r="AH724" s="102" t="str">
        <f t="shared" ca="1" si="742"/>
        <v>#REF!</v>
      </c>
    </row>
    <row r="725" spans="1:34" ht="13.2">
      <c r="A725" s="251"/>
      <c r="B725" s="251"/>
      <c r="C725" s="252"/>
      <c r="D725" s="252"/>
      <c r="E725" s="114"/>
      <c r="F725" s="252"/>
      <c r="G725" s="125" t="s">
        <v>145</v>
      </c>
      <c r="I725" s="172"/>
      <c r="J725" s="82" t="str">
        <f t="shared" ca="1" si="0"/>
        <v>#REF!</v>
      </c>
      <c r="K725" s="82" t="str">
        <f t="shared" ca="1" si="1"/>
        <v>#REF!</v>
      </c>
      <c r="L725" s="82" t="str">
        <f t="shared" ca="1" si="44"/>
        <v>#REF!</v>
      </c>
      <c r="M725" s="93"/>
      <c r="N725" s="93"/>
      <c r="O725" s="95">
        <f t="shared" si="2"/>
        <v>0</v>
      </c>
      <c r="P725" s="96">
        <f t="shared" si="3"/>
        <v>0</v>
      </c>
      <c r="Q725" s="97">
        <f t="shared" si="4"/>
        <v>0</v>
      </c>
      <c r="R725" s="97" t="str">
        <f ca="1">ROUNDUP(HLOOKUP(IF(CEILING(L725,0.5)&lt;1,0.5,CEILING(L725,0.5)),'배송비 조회'!A$44:AO$56,7,0)*B$3,-2)</f>
        <v>#REF!</v>
      </c>
      <c r="S725" s="97">
        <v>0</v>
      </c>
      <c r="T725" s="97" t="str">
        <f t="shared" ca="1" si="42"/>
        <v>#REF!</v>
      </c>
      <c r="U725" s="97" t="str">
        <f t="shared" ca="1" si="29"/>
        <v>#REF!</v>
      </c>
      <c r="V725" s="97" t="str">
        <f t="shared" ca="1" si="7"/>
        <v>#REF!</v>
      </c>
      <c r="W725" s="97" t="str">
        <f t="shared" ca="1" si="8"/>
        <v>#REF!</v>
      </c>
      <c r="X725" s="121">
        <v>0</v>
      </c>
      <c r="Y725" s="121" t="str">
        <f t="shared" ca="1" si="9"/>
        <v>#REF!</v>
      </c>
      <c r="Z725" s="121" t="str">
        <f t="shared" ca="1" si="10"/>
        <v>#REF!</v>
      </c>
      <c r="AA725" s="99" t="str">
        <f t="shared" ca="1" si="11"/>
        <v>#REF!</v>
      </c>
      <c r="AB725" s="234" t="str">
        <f t="shared" ca="1" si="12"/>
        <v>#REF!</v>
      </c>
      <c r="AC725" s="257" t="str">
        <f t="shared" ca="1" si="13"/>
        <v>#REF!</v>
      </c>
      <c r="AD725" s="234" t="str">
        <f t="shared" ca="1" si="14"/>
        <v>#REF!</v>
      </c>
      <c r="AE725" s="100" t="str">
        <f t="shared" ca="1" si="15"/>
        <v>#REF!</v>
      </c>
      <c r="AF725" s="101" t="str">
        <f t="shared" ca="1" si="16"/>
        <v>#REF!</v>
      </c>
      <c r="AG725" s="102" t="str">
        <f t="shared" ref="AG725:AH725" ca="1" si="743">AE725/V725</f>
        <v>#REF!</v>
      </c>
      <c r="AH725" s="102" t="str">
        <f t="shared" ca="1" si="743"/>
        <v>#REF!</v>
      </c>
    </row>
    <row r="726" spans="1:34" ht="13.2">
      <c r="A726" s="251"/>
      <c r="B726" s="251"/>
      <c r="C726" s="252"/>
      <c r="D726" s="252"/>
      <c r="E726" s="114"/>
      <c r="F726" s="252"/>
      <c r="G726" s="125" t="s">
        <v>145</v>
      </c>
      <c r="I726" s="172"/>
      <c r="J726" s="82" t="str">
        <f t="shared" ca="1" si="0"/>
        <v>#REF!</v>
      </c>
      <c r="K726" s="82" t="str">
        <f t="shared" ca="1" si="1"/>
        <v>#REF!</v>
      </c>
      <c r="L726" s="82" t="str">
        <f t="shared" ca="1" si="44"/>
        <v>#REF!</v>
      </c>
      <c r="M726" s="93"/>
      <c r="N726" s="93"/>
      <c r="O726" s="95">
        <f t="shared" si="2"/>
        <v>0</v>
      </c>
      <c r="P726" s="96">
        <f t="shared" si="3"/>
        <v>0</v>
      </c>
      <c r="Q726" s="97">
        <f t="shared" si="4"/>
        <v>0</v>
      </c>
      <c r="R726" s="97" t="str">
        <f ca="1">ROUNDUP(HLOOKUP(IF(CEILING(L726,0.5)&lt;1,0.5,CEILING(L726,0.5)),'배송비 조회'!A$44:AO$56,7,0)*B$3,-2)</f>
        <v>#REF!</v>
      </c>
      <c r="S726" s="97">
        <v>0</v>
      </c>
      <c r="T726" s="97" t="str">
        <f t="shared" ca="1" si="42"/>
        <v>#REF!</v>
      </c>
      <c r="U726" s="97" t="str">
        <f t="shared" ca="1" si="29"/>
        <v>#REF!</v>
      </c>
      <c r="V726" s="97" t="str">
        <f t="shared" ca="1" si="7"/>
        <v>#REF!</v>
      </c>
      <c r="W726" s="97" t="str">
        <f t="shared" ca="1" si="8"/>
        <v>#REF!</v>
      </c>
      <c r="X726" s="121">
        <v>0</v>
      </c>
      <c r="Y726" s="121" t="str">
        <f t="shared" ca="1" si="9"/>
        <v>#REF!</v>
      </c>
      <c r="Z726" s="121" t="str">
        <f t="shared" ca="1" si="10"/>
        <v>#REF!</v>
      </c>
      <c r="AA726" s="99" t="str">
        <f t="shared" ca="1" si="11"/>
        <v>#REF!</v>
      </c>
      <c r="AB726" s="234" t="str">
        <f t="shared" ca="1" si="12"/>
        <v>#REF!</v>
      </c>
      <c r="AC726" s="257" t="str">
        <f t="shared" ca="1" si="13"/>
        <v>#REF!</v>
      </c>
      <c r="AD726" s="234" t="str">
        <f t="shared" ca="1" si="14"/>
        <v>#REF!</v>
      </c>
      <c r="AE726" s="100" t="str">
        <f t="shared" ca="1" si="15"/>
        <v>#REF!</v>
      </c>
      <c r="AF726" s="101" t="str">
        <f t="shared" ca="1" si="16"/>
        <v>#REF!</v>
      </c>
      <c r="AG726" s="102" t="str">
        <f t="shared" ref="AG726:AH726" ca="1" si="744">AE726/V726</f>
        <v>#REF!</v>
      </c>
      <c r="AH726" s="102" t="str">
        <f t="shared" ca="1" si="744"/>
        <v>#REF!</v>
      </c>
    </row>
    <row r="727" spans="1:34" ht="13.2">
      <c r="A727" s="251"/>
      <c r="B727" s="251"/>
      <c r="C727" s="252"/>
      <c r="D727" s="252"/>
      <c r="E727" s="114"/>
      <c r="F727" s="252"/>
      <c r="G727" s="125" t="s">
        <v>145</v>
      </c>
      <c r="I727" s="172"/>
      <c r="J727" s="82" t="str">
        <f t="shared" ca="1" si="0"/>
        <v>#REF!</v>
      </c>
      <c r="K727" s="82" t="str">
        <f t="shared" ca="1" si="1"/>
        <v>#REF!</v>
      </c>
      <c r="L727" s="82" t="str">
        <f t="shared" ca="1" si="44"/>
        <v>#REF!</v>
      </c>
      <c r="M727" s="93"/>
      <c r="N727" s="93"/>
      <c r="O727" s="95">
        <f t="shared" si="2"/>
        <v>0</v>
      </c>
      <c r="P727" s="96">
        <f t="shared" si="3"/>
        <v>0</v>
      </c>
      <c r="Q727" s="97">
        <f t="shared" si="4"/>
        <v>0</v>
      </c>
      <c r="R727" s="97" t="str">
        <f ca="1">ROUNDUP(HLOOKUP(IF(CEILING(L727,0.5)&lt;1,0.5,CEILING(L727,0.5)),'배송비 조회'!A$44:AO$56,7,0)*B$3,-2)</f>
        <v>#REF!</v>
      </c>
      <c r="S727" s="97">
        <v>0</v>
      </c>
      <c r="T727" s="97" t="str">
        <f t="shared" ca="1" si="42"/>
        <v>#REF!</v>
      </c>
      <c r="U727" s="97" t="str">
        <f t="shared" ca="1" si="29"/>
        <v>#REF!</v>
      </c>
      <c r="V727" s="97" t="str">
        <f t="shared" ca="1" si="7"/>
        <v>#REF!</v>
      </c>
      <c r="W727" s="97" t="str">
        <f t="shared" ca="1" si="8"/>
        <v>#REF!</v>
      </c>
      <c r="X727" s="121">
        <v>0</v>
      </c>
      <c r="Y727" s="121" t="str">
        <f t="shared" ca="1" si="9"/>
        <v>#REF!</v>
      </c>
      <c r="Z727" s="121" t="str">
        <f t="shared" ca="1" si="10"/>
        <v>#REF!</v>
      </c>
      <c r="AA727" s="99" t="str">
        <f t="shared" ca="1" si="11"/>
        <v>#REF!</v>
      </c>
      <c r="AB727" s="234" t="str">
        <f t="shared" ca="1" si="12"/>
        <v>#REF!</v>
      </c>
      <c r="AC727" s="257" t="str">
        <f t="shared" ca="1" si="13"/>
        <v>#REF!</v>
      </c>
      <c r="AD727" s="234" t="str">
        <f t="shared" ca="1" si="14"/>
        <v>#REF!</v>
      </c>
      <c r="AE727" s="100" t="str">
        <f t="shared" ca="1" si="15"/>
        <v>#REF!</v>
      </c>
      <c r="AF727" s="101" t="str">
        <f t="shared" ca="1" si="16"/>
        <v>#REF!</v>
      </c>
      <c r="AG727" s="102" t="str">
        <f t="shared" ref="AG727:AH727" ca="1" si="745">AE727/V727</f>
        <v>#REF!</v>
      </c>
      <c r="AH727" s="102" t="str">
        <f t="shared" ca="1" si="745"/>
        <v>#REF!</v>
      </c>
    </row>
    <row r="728" spans="1:34" ht="13.2">
      <c r="A728" s="251"/>
      <c r="B728" s="251"/>
      <c r="C728" s="252"/>
      <c r="D728" s="252"/>
      <c r="E728" s="114"/>
      <c r="F728" s="252"/>
      <c r="G728" s="125" t="s">
        <v>145</v>
      </c>
      <c r="I728" s="172"/>
      <c r="J728" s="82" t="str">
        <f t="shared" ca="1" si="0"/>
        <v>#REF!</v>
      </c>
      <c r="K728" s="82" t="str">
        <f t="shared" ca="1" si="1"/>
        <v>#REF!</v>
      </c>
      <c r="L728" s="82" t="str">
        <f t="shared" ca="1" si="44"/>
        <v>#REF!</v>
      </c>
      <c r="M728" s="93"/>
      <c r="N728" s="93"/>
      <c r="O728" s="95">
        <f t="shared" si="2"/>
        <v>0</v>
      </c>
      <c r="P728" s="96">
        <f t="shared" si="3"/>
        <v>0</v>
      </c>
      <c r="Q728" s="97">
        <f t="shared" si="4"/>
        <v>0</v>
      </c>
      <c r="R728" s="97" t="str">
        <f ca="1">ROUNDUP(HLOOKUP(IF(CEILING(L728,0.5)&lt;1,0.5,CEILING(L728,0.5)),'배송비 조회'!A$44:AO$56,7,0)*B$3,-2)</f>
        <v>#REF!</v>
      </c>
      <c r="S728" s="97">
        <v>0</v>
      </c>
      <c r="T728" s="97" t="str">
        <f t="shared" ca="1" si="42"/>
        <v>#REF!</v>
      </c>
      <c r="U728" s="97" t="str">
        <f t="shared" ca="1" si="29"/>
        <v>#REF!</v>
      </c>
      <c r="V728" s="97" t="str">
        <f t="shared" ca="1" si="7"/>
        <v>#REF!</v>
      </c>
      <c r="W728" s="97" t="str">
        <f t="shared" ca="1" si="8"/>
        <v>#REF!</v>
      </c>
      <c r="X728" s="121">
        <v>0</v>
      </c>
      <c r="Y728" s="121" t="str">
        <f t="shared" ca="1" si="9"/>
        <v>#REF!</v>
      </c>
      <c r="Z728" s="121" t="str">
        <f t="shared" ca="1" si="10"/>
        <v>#REF!</v>
      </c>
      <c r="AA728" s="99" t="str">
        <f t="shared" ca="1" si="11"/>
        <v>#REF!</v>
      </c>
      <c r="AB728" s="234" t="str">
        <f t="shared" ca="1" si="12"/>
        <v>#REF!</v>
      </c>
      <c r="AC728" s="257" t="str">
        <f t="shared" ca="1" si="13"/>
        <v>#REF!</v>
      </c>
      <c r="AD728" s="234" t="str">
        <f t="shared" ca="1" si="14"/>
        <v>#REF!</v>
      </c>
      <c r="AE728" s="100" t="str">
        <f t="shared" ca="1" si="15"/>
        <v>#REF!</v>
      </c>
      <c r="AF728" s="101" t="str">
        <f t="shared" ca="1" si="16"/>
        <v>#REF!</v>
      </c>
      <c r="AG728" s="102" t="str">
        <f t="shared" ref="AG728:AH728" ca="1" si="746">AE728/V728</f>
        <v>#REF!</v>
      </c>
      <c r="AH728" s="102" t="str">
        <f t="shared" ca="1" si="746"/>
        <v>#REF!</v>
      </c>
    </row>
    <row r="729" spans="1:34" ht="13.2">
      <c r="A729" s="251"/>
      <c r="B729" s="251"/>
      <c r="C729" s="252"/>
      <c r="D729" s="252"/>
      <c r="E729" s="114"/>
      <c r="F729" s="252"/>
      <c r="G729" s="125" t="s">
        <v>145</v>
      </c>
      <c r="I729" s="172"/>
      <c r="J729" s="82" t="str">
        <f t="shared" ca="1" si="0"/>
        <v>#REF!</v>
      </c>
      <c r="K729" s="82" t="str">
        <f t="shared" ca="1" si="1"/>
        <v>#REF!</v>
      </c>
      <c r="L729" s="82" t="str">
        <f t="shared" ca="1" si="44"/>
        <v>#REF!</v>
      </c>
      <c r="M729" s="93"/>
      <c r="N729" s="93"/>
      <c r="O729" s="95">
        <f t="shared" si="2"/>
        <v>0</v>
      </c>
      <c r="P729" s="96">
        <f t="shared" si="3"/>
        <v>0</v>
      </c>
      <c r="Q729" s="97">
        <f t="shared" si="4"/>
        <v>0</v>
      </c>
      <c r="R729" s="97" t="str">
        <f ca="1">ROUNDUP(HLOOKUP(IF(CEILING(L729,0.5)&lt;1,0.5,CEILING(L729,0.5)),'배송비 조회'!A$44:AO$56,7,0)*B$3,-2)</f>
        <v>#REF!</v>
      </c>
      <c r="S729" s="97">
        <v>0</v>
      </c>
      <c r="T729" s="97" t="str">
        <f t="shared" ca="1" si="42"/>
        <v>#REF!</v>
      </c>
      <c r="U729" s="97" t="str">
        <f t="shared" ca="1" si="29"/>
        <v>#REF!</v>
      </c>
      <c r="V729" s="97" t="str">
        <f t="shared" ca="1" si="7"/>
        <v>#REF!</v>
      </c>
      <c r="W729" s="97" t="str">
        <f t="shared" ca="1" si="8"/>
        <v>#REF!</v>
      </c>
      <c r="X729" s="121">
        <v>0</v>
      </c>
      <c r="Y729" s="121" t="str">
        <f t="shared" ca="1" si="9"/>
        <v>#REF!</v>
      </c>
      <c r="Z729" s="121" t="str">
        <f t="shared" ca="1" si="10"/>
        <v>#REF!</v>
      </c>
      <c r="AA729" s="99" t="str">
        <f t="shared" ca="1" si="11"/>
        <v>#REF!</v>
      </c>
      <c r="AB729" s="234" t="str">
        <f t="shared" ca="1" si="12"/>
        <v>#REF!</v>
      </c>
      <c r="AC729" s="257" t="str">
        <f t="shared" ca="1" si="13"/>
        <v>#REF!</v>
      </c>
      <c r="AD729" s="234" t="str">
        <f t="shared" ca="1" si="14"/>
        <v>#REF!</v>
      </c>
      <c r="AE729" s="100" t="str">
        <f t="shared" ca="1" si="15"/>
        <v>#REF!</v>
      </c>
      <c r="AF729" s="101" t="str">
        <f t="shared" ca="1" si="16"/>
        <v>#REF!</v>
      </c>
      <c r="AG729" s="102" t="str">
        <f t="shared" ref="AG729:AH729" ca="1" si="747">AE729/V729</f>
        <v>#REF!</v>
      </c>
      <c r="AH729" s="102" t="str">
        <f t="shared" ca="1" si="747"/>
        <v>#REF!</v>
      </c>
    </row>
    <row r="730" spans="1:34" ht="13.2">
      <c r="A730" s="251"/>
      <c r="B730" s="251"/>
      <c r="C730" s="252"/>
      <c r="D730" s="252"/>
      <c r="E730" s="114"/>
      <c r="F730" s="252"/>
      <c r="G730" s="125" t="s">
        <v>145</v>
      </c>
      <c r="I730" s="172"/>
      <c r="J730" s="82" t="str">
        <f t="shared" ca="1" si="0"/>
        <v>#REF!</v>
      </c>
      <c r="K730" s="82" t="str">
        <f t="shared" ca="1" si="1"/>
        <v>#REF!</v>
      </c>
      <c r="L730" s="82" t="str">
        <f t="shared" ca="1" si="44"/>
        <v>#REF!</v>
      </c>
      <c r="M730" s="93"/>
      <c r="N730" s="93"/>
      <c r="O730" s="95">
        <f t="shared" si="2"/>
        <v>0</v>
      </c>
      <c r="P730" s="96">
        <f t="shared" si="3"/>
        <v>0</v>
      </c>
      <c r="Q730" s="97">
        <f t="shared" si="4"/>
        <v>0</v>
      </c>
      <c r="R730" s="97" t="str">
        <f ca="1">ROUNDUP(HLOOKUP(IF(CEILING(L730,0.5)&lt;1,0.5,CEILING(L730,0.5)),'배송비 조회'!A$44:AO$56,7,0)*B$3,-2)</f>
        <v>#REF!</v>
      </c>
      <c r="S730" s="97">
        <v>0</v>
      </c>
      <c r="T730" s="97" t="str">
        <f t="shared" ca="1" si="42"/>
        <v>#REF!</v>
      </c>
      <c r="U730" s="97" t="str">
        <f t="shared" ca="1" si="29"/>
        <v>#REF!</v>
      </c>
      <c r="V730" s="97" t="str">
        <f t="shared" ca="1" si="7"/>
        <v>#REF!</v>
      </c>
      <c r="W730" s="97" t="str">
        <f t="shared" ca="1" si="8"/>
        <v>#REF!</v>
      </c>
      <c r="X730" s="121">
        <v>0</v>
      </c>
      <c r="Y730" s="121" t="str">
        <f t="shared" ca="1" si="9"/>
        <v>#REF!</v>
      </c>
      <c r="Z730" s="121" t="str">
        <f t="shared" ca="1" si="10"/>
        <v>#REF!</v>
      </c>
      <c r="AA730" s="99" t="str">
        <f t="shared" ca="1" si="11"/>
        <v>#REF!</v>
      </c>
      <c r="AB730" s="234" t="str">
        <f t="shared" ca="1" si="12"/>
        <v>#REF!</v>
      </c>
      <c r="AC730" s="257" t="str">
        <f t="shared" ca="1" si="13"/>
        <v>#REF!</v>
      </c>
      <c r="AD730" s="234" t="str">
        <f t="shared" ca="1" si="14"/>
        <v>#REF!</v>
      </c>
      <c r="AE730" s="100" t="str">
        <f t="shared" ca="1" si="15"/>
        <v>#REF!</v>
      </c>
      <c r="AF730" s="101" t="str">
        <f t="shared" ca="1" si="16"/>
        <v>#REF!</v>
      </c>
      <c r="AG730" s="102" t="str">
        <f t="shared" ref="AG730:AH730" ca="1" si="748">AE730/V730</f>
        <v>#REF!</v>
      </c>
      <c r="AH730" s="102" t="str">
        <f t="shared" ca="1" si="748"/>
        <v>#REF!</v>
      </c>
    </row>
    <row r="731" spans="1:34" ht="13.2">
      <c r="A731" s="251"/>
      <c r="B731" s="251"/>
      <c r="C731" s="252"/>
      <c r="D731" s="252"/>
      <c r="E731" s="114"/>
      <c r="F731" s="252"/>
      <c r="G731" s="125" t="s">
        <v>145</v>
      </c>
      <c r="I731" s="172"/>
      <c r="J731" s="82" t="str">
        <f t="shared" ca="1" si="0"/>
        <v>#REF!</v>
      </c>
      <c r="K731" s="82" t="str">
        <f t="shared" ca="1" si="1"/>
        <v>#REF!</v>
      </c>
      <c r="L731" s="82" t="str">
        <f t="shared" ca="1" si="44"/>
        <v>#REF!</v>
      </c>
      <c r="M731" s="93"/>
      <c r="N731" s="93"/>
      <c r="O731" s="95">
        <f t="shared" si="2"/>
        <v>0</v>
      </c>
      <c r="P731" s="96">
        <f t="shared" si="3"/>
        <v>0</v>
      </c>
      <c r="Q731" s="97">
        <f t="shared" si="4"/>
        <v>0</v>
      </c>
      <c r="R731" s="97" t="str">
        <f ca="1">ROUNDUP(HLOOKUP(IF(CEILING(L731,0.5)&lt;1,0.5,CEILING(L731,0.5)),'배송비 조회'!A$44:AO$56,7,0)*B$3,-2)</f>
        <v>#REF!</v>
      </c>
      <c r="S731" s="97">
        <v>0</v>
      </c>
      <c r="T731" s="97" t="str">
        <f t="shared" ca="1" si="42"/>
        <v>#REF!</v>
      </c>
      <c r="U731" s="97" t="str">
        <f t="shared" ca="1" si="29"/>
        <v>#REF!</v>
      </c>
      <c r="V731" s="97" t="str">
        <f t="shared" ca="1" si="7"/>
        <v>#REF!</v>
      </c>
      <c r="W731" s="97" t="str">
        <f t="shared" ca="1" si="8"/>
        <v>#REF!</v>
      </c>
      <c r="X731" s="121">
        <v>0</v>
      </c>
      <c r="Y731" s="121" t="str">
        <f t="shared" ca="1" si="9"/>
        <v>#REF!</v>
      </c>
      <c r="Z731" s="121" t="str">
        <f t="shared" ca="1" si="10"/>
        <v>#REF!</v>
      </c>
      <c r="AA731" s="99" t="str">
        <f t="shared" ca="1" si="11"/>
        <v>#REF!</v>
      </c>
      <c r="AB731" s="234" t="str">
        <f t="shared" ca="1" si="12"/>
        <v>#REF!</v>
      </c>
      <c r="AC731" s="257" t="str">
        <f t="shared" ca="1" si="13"/>
        <v>#REF!</v>
      </c>
      <c r="AD731" s="234" t="str">
        <f t="shared" ca="1" si="14"/>
        <v>#REF!</v>
      </c>
      <c r="AE731" s="100" t="str">
        <f t="shared" ca="1" si="15"/>
        <v>#REF!</v>
      </c>
      <c r="AF731" s="101" t="str">
        <f t="shared" ca="1" si="16"/>
        <v>#REF!</v>
      </c>
      <c r="AG731" s="102" t="str">
        <f t="shared" ref="AG731:AH731" ca="1" si="749">AE731/V731</f>
        <v>#REF!</v>
      </c>
      <c r="AH731" s="102" t="str">
        <f t="shared" ca="1" si="749"/>
        <v>#REF!</v>
      </c>
    </row>
    <row r="732" spans="1:34" ht="13.2">
      <c r="A732" s="251"/>
      <c r="B732" s="251"/>
      <c r="C732" s="252"/>
      <c r="D732" s="252"/>
      <c r="E732" s="114"/>
      <c r="F732" s="252"/>
      <c r="G732" s="125" t="s">
        <v>145</v>
      </c>
      <c r="I732" s="172"/>
      <c r="J732" s="82" t="str">
        <f t="shared" ca="1" si="0"/>
        <v>#REF!</v>
      </c>
      <c r="K732" s="82" t="str">
        <f t="shared" ca="1" si="1"/>
        <v>#REF!</v>
      </c>
      <c r="L732" s="82" t="str">
        <f t="shared" ca="1" si="44"/>
        <v>#REF!</v>
      </c>
      <c r="M732" s="93"/>
      <c r="N732" s="93"/>
      <c r="O732" s="95">
        <f t="shared" si="2"/>
        <v>0</v>
      </c>
      <c r="P732" s="96">
        <f t="shared" si="3"/>
        <v>0</v>
      </c>
      <c r="Q732" s="97">
        <f t="shared" si="4"/>
        <v>0</v>
      </c>
      <c r="R732" s="97" t="str">
        <f ca="1">ROUNDUP(HLOOKUP(IF(CEILING(L732,0.5)&lt;1,0.5,CEILING(L732,0.5)),'배송비 조회'!A$44:AO$56,7,0)*B$3,-2)</f>
        <v>#REF!</v>
      </c>
      <c r="S732" s="97">
        <v>0</v>
      </c>
      <c r="T732" s="97" t="str">
        <f t="shared" ca="1" si="42"/>
        <v>#REF!</v>
      </c>
      <c r="U732" s="97" t="str">
        <f t="shared" ca="1" si="29"/>
        <v>#REF!</v>
      </c>
      <c r="V732" s="97" t="str">
        <f t="shared" ca="1" si="7"/>
        <v>#REF!</v>
      </c>
      <c r="W732" s="97" t="str">
        <f t="shared" ca="1" si="8"/>
        <v>#REF!</v>
      </c>
      <c r="X732" s="121">
        <v>0</v>
      </c>
      <c r="Y732" s="121" t="str">
        <f t="shared" ca="1" si="9"/>
        <v>#REF!</v>
      </c>
      <c r="Z732" s="121" t="str">
        <f t="shared" ca="1" si="10"/>
        <v>#REF!</v>
      </c>
      <c r="AA732" s="99" t="str">
        <f t="shared" ca="1" si="11"/>
        <v>#REF!</v>
      </c>
      <c r="AB732" s="234" t="str">
        <f t="shared" ca="1" si="12"/>
        <v>#REF!</v>
      </c>
      <c r="AC732" s="257" t="str">
        <f t="shared" ca="1" si="13"/>
        <v>#REF!</v>
      </c>
      <c r="AD732" s="234" t="str">
        <f t="shared" ca="1" si="14"/>
        <v>#REF!</v>
      </c>
      <c r="AE732" s="100" t="str">
        <f t="shared" ca="1" si="15"/>
        <v>#REF!</v>
      </c>
      <c r="AF732" s="101" t="str">
        <f t="shared" ca="1" si="16"/>
        <v>#REF!</v>
      </c>
      <c r="AG732" s="102" t="str">
        <f t="shared" ref="AG732:AH732" ca="1" si="750">AE732/V732</f>
        <v>#REF!</v>
      </c>
      <c r="AH732" s="102" t="str">
        <f t="shared" ca="1" si="750"/>
        <v>#REF!</v>
      </c>
    </row>
    <row r="733" spans="1:34" ht="13.2">
      <c r="A733" s="251"/>
      <c r="B733" s="251"/>
      <c r="C733" s="252"/>
      <c r="D733" s="252"/>
      <c r="E733" s="114"/>
      <c r="F733" s="252"/>
      <c r="G733" s="125" t="s">
        <v>145</v>
      </c>
      <c r="I733" s="172"/>
      <c r="J733" s="82" t="str">
        <f t="shared" ca="1" si="0"/>
        <v>#REF!</v>
      </c>
      <c r="K733" s="82" t="str">
        <f t="shared" ca="1" si="1"/>
        <v>#REF!</v>
      </c>
      <c r="L733" s="82" t="str">
        <f t="shared" ca="1" si="44"/>
        <v>#REF!</v>
      </c>
      <c r="M733" s="93"/>
      <c r="N733" s="93"/>
      <c r="O733" s="95">
        <f t="shared" si="2"/>
        <v>0</v>
      </c>
      <c r="P733" s="96">
        <f t="shared" si="3"/>
        <v>0</v>
      </c>
      <c r="Q733" s="97">
        <f t="shared" si="4"/>
        <v>0</v>
      </c>
      <c r="R733" s="97" t="str">
        <f ca="1">ROUNDUP(HLOOKUP(IF(CEILING(L733,0.5)&lt;1,0.5,CEILING(L733,0.5)),'배송비 조회'!A$44:AO$56,7,0)*B$3,-2)</f>
        <v>#REF!</v>
      </c>
      <c r="S733" s="97">
        <v>0</v>
      </c>
      <c r="T733" s="97" t="str">
        <f t="shared" ca="1" si="42"/>
        <v>#REF!</v>
      </c>
      <c r="U733" s="97" t="str">
        <f t="shared" ca="1" si="29"/>
        <v>#REF!</v>
      </c>
      <c r="V733" s="97" t="str">
        <f t="shared" ca="1" si="7"/>
        <v>#REF!</v>
      </c>
      <c r="W733" s="97" t="str">
        <f t="shared" ca="1" si="8"/>
        <v>#REF!</v>
      </c>
      <c r="X733" s="121">
        <v>0</v>
      </c>
      <c r="Y733" s="121" t="str">
        <f t="shared" ca="1" si="9"/>
        <v>#REF!</v>
      </c>
      <c r="Z733" s="121" t="str">
        <f t="shared" ca="1" si="10"/>
        <v>#REF!</v>
      </c>
      <c r="AA733" s="99" t="str">
        <f t="shared" ca="1" si="11"/>
        <v>#REF!</v>
      </c>
      <c r="AB733" s="234" t="str">
        <f t="shared" ca="1" si="12"/>
        <v>#REF!</v>
      </c>
      <c r="AC733" s="257" t="str">
        <f t="shared" ca="1" si="13"/>
        <v>#REF!</v>
      </c>
      <c r="AD733" s="234" t="str">
        <f t="shared" ca="1" si="14"/>
        <v>#REF!</v>
      </c>
      <c r="AE733" s="100" t="str">
        <f t="shared" ca="1" si="15"/>
        <v>#REF!</v>
      </c>
      <c r="AF733" s="101" t="str">
        <f t="shared" ca="1" si="16"/>
        <v>#REF!</v>
      </c>
      <c r="AG733" s="102" t="str">
        <f t="shared" ref="AG733:AH733" ca="1" si="751">AE733/V733</f>
        <v>#REF!</v>
      </c>
      <c r="AH733" s="102" t="str">
        <f t="shared" ca="1" si="751"/>
        <v>#REF!</v>
      </c>
    </row>
    <row r="734" spans="1:34" ht="13.2">
      <c r="A734" s="251"/>
      <c r="B734" s="251"/>
      <c r="C734" s="252"/>
      <c r="D734" s="252"/>
      <c r="E734" s="114"/>
      <c r="F734" s="252"/>
      <c r="G734" s="125" t="s">
        <v>145</v>
      </c>
      <c r="I734" s="172"/>
      <c r="J734" s="82" t="str">
        <f t="shared" ca="1" si="0"/>
        <v>#REF!</v>
      </c>
      <c r="K734" s="82" t="str">
        <f t="shared" ca="1" si="1"/>
        <v>#REF!</v>
      </c>
      <c r="L734" s="82" t="str">
        <f t="shared" ca="1" si="44"/>
        <v>#REF!</v>
      </c>
      <c r="M734" s="93"/>
      <c r="N734" s="93"/>
      <c r="O734" s="95">
        <f t="shared" si="2"/>
        <v>0</v>
      </c>
      <c r="P734" s="96">
        <f t="shared" si="3"/>
        <v>0</v>
      </c>
      <c r="Q734" s="97">
        <f t="shared" si="4"/>
        <v>0</v>
      </c>
      <c r="R734" s="97" t="str">
        <f ca="1">ROUNDUP(HLOOKUP(IF(CEILING(L734,0.5)&lt;1,0.5,CEILING(L734,0.5)),'배송비 조회'!A$44:AO$56,7,0)*B$3,-2)</f>
        <v>#REF!</v>
      </c>
      <c r="S734" s="97">
        <v>0</v>
      </c>
      <c r="T734" s="97" t="str">
        <f t="shared" ca="1" si="42"/>
        <v>#REF!</v>
      </c>
      <c r="U734" s="97" t="str">
        <f t="shared" ca="1" si="29"/>
        <v>#REF!</v>
      </c>
      <c r="V734" s="97" t="str">
        <f t="shared" ca="1" si="7"/>
        <v>#REF!</v>
      </c>
      <c r="W734" s="97" t="str">
        <f t="shared" ca="1" si="8"/>
        <v>#REF!</v>
      </c>
      <c r="X734" s="121">
        <v>0</v>
      </c>
      <c r="Y734" s="121" t="str">
        <f t="shared" ca="1" si="9"/>
        <v>#REF!</v>
      </c>
      <c r="Z734" s="121" t="str">
        <f t="shared" ca="1" si="10"/>
        <v>#REF!</v>
      </c>
      <c r="AA734" s="99" t="str">
        <f t="shared" ca="1" si="11"/>
        <v>#REF!</v>
      </c>
      <c r="AB734" s="234" t="str">
        <f t="shared" ca="1" si="12"/>
        <v>#REF!</v>
      </c>
      <c r="AC734" s="257" t="str">
        <f t="shared" ca="1" si="13"/>
        <v>#REF!</v>
      </c>
      <c r="AD734" s="234" t="str">
        <f t="shared" ca="1" si="14"/>
        <v>#REF!</v>
      </c>
      <c r="AE734" s="100" t="str">
        <f t="shared" ca="1" si="15"/>
        <v>#REF!</v>
      </c>
      <c r="AF734" s="101" t="str">
        <f t="shared" ca="1" si="16"/>
        <v>#REF!</v>
      </c>
      <c r="AG734" s="102" t="str">
        <f t="shared" ref="AG734:AH734" ca="1" si="752">AE734/V734</f>
        <v>#REF!</v>
      </c>
      <c r="AH734" s="102" t="str">
        <f t="shared" ca="1" si="752"/>
        <v>#REF!</v>
      </c>
    </row>
    <row r="735" spans="1:34" ht="13.2">
      <c r="A735" s="251"/>
      <c r="B735" s="251"/>
      <c r="C735" s="252"/>
      <c r="D735" s="252"/>
      <c r="E735" s="114"/>
      <c r="F735" s="252"/>
      <c r="G735" s="125" t="s">
        <v>145</v>
      </c>
      <c r="I735" s="172"/>
      <c r="J735" s="82" t="str">
        <f t="shared" ca="1" si="0"/>
        <v>#REF!</v>
      </c>
      <c r="K735" s="82" t="str">
        <f t="shared" ca="1" si="1"/>
        <v>#REF!</v>
      </c>
      <c r="L735" s="82" t="str">
        <f t="shared" ca="1" si="44"/>
        <v>#REF!</v>
      </c>
      <c r="M735" s="93"/>
      <c r="N735" s="93"/>
      <c r="O735" s="95">
        <f t="shared" si="2"/>
        <v>0</v>
      </c>
      <c r="P735" s="96">
        <f t="shared" si="3"/>
        <v>0</v>
      </c>
      <c r="Q735" s="97">
        <f t="shared" si="4"/>
        <v>0</v>
      </c>
      <c r="R735" s="97" t="str">
        <f ca="1">ROUNDUP(HLOOKUP(IF(CEILING(L735,0.5)&lt;1,0.5,CEILING(L735,0.5)),'배송비 조회'!A$44:AO$56,7,0)*B$3,-2)</f>
        <v>#REF!</v>
      </c>
      <c r="S735" s="97">
        <v>0</v>
      </c>
      <c r="T735" s="97" t="str">
        <f t="shared" ca="1" si="42"/>
        <v>#REF!</v>
      </c>
      <c r="U735" s="97" t="str">
        <f t="shared" ca="1" si="29"/>
        <v>#REF!</v>
      </c>
      <c r="V735" s="97" t="str">
        <f t="shared" ca="1" si="7"/>
        <v>#REF!</v>
      </c>
      <c r="W735" s="97" t="str">
        <f t="shared" ca="1" si="8"/>
        <v>#REF!</v>
      </c>
      <c r="X735" s="121">
        <v>0</v>
      </c>
      <c r="Y735" s="121" t="str">
        <f t="shared" ca="1" si="9"/>
        <v>#REF!</v>
      </c>
      <c r="Z735" s="121" t="str">
        <f t="shared" ca="1" si="10"/>
        <v>#REF!</v>
      </c>
      <c r="AA735" s="99" t="str">
        <f t="shared" ca="1" si="11"/>
        <v>#REF!</v>
      </c>
      <c r="AB735" s="234" t="str">
        <f t="shared" ca="1" si="12"/>
        <v>#REF!</v>
      </c>
      <c r="AC735" s="257" t="str">
        <f t="shared" ca="1" si="13"/>
        <v>#REF!</v>
      </c>
      <c r="AD735" s="234" t="str">
        <f t="shared" ca="1" si="14"/>
        <v>#REF!</v>
      </c>
      <c r="AE735" s="100" t="str">
        <f t="shared" ca="1" si="15"/>
        <v>#REF!</v>
      </c>
      <c r="AF735" s="101" t="str">
        <f t="shared" ca="1" si="16"/>
        <v>#REF!</v>
      </c>
      <c r="AG735" s="102" t="str">
        <f t="shared" ref="AG735:AH735" ca="1" si="753">AE735/V735</f>
        <v>#REF!</v>
      </c>
      <c r="AH735" s="102" t="str">
        <f t="shared" ca="1" si="753"/>
        <v>#REF!</v>
      </c>
    </row>
    <row r="736" spans="1:34" ht="13.2">
      <c r="A736" s="251"/>
      <c r="B736" s="251"/>
      <c r="C736" s="252"/>
      <c r="D736" s="252"/>
      <c r="E736" s="114"/>
      <c r="F736" s="252"/>
      <c r="G736" s="125" t="s">
        <v>145</v>
      </c>
      <c r="I736" s="172"/>
      <c r="J736" s="82" t="str">
        <f t="shared" ca="1" si="0"/>
        <v>#REF!</v>
      </c>
      <c r="K736" s="82" t="str">
        <f t="shared" ca="1" si="1"/>
        <v>#REF!</v>
      </c>
      <c r="L736" s="82" t="str">
        <f t="shared" ca="1" si="44"/>
        <v>#REF!</v>
      </c>
      <c r="M736" s="93"/>
      <c r="N736" s="93"/>
      <c r="O736" s="95">
        <f t="shared" si="2"/>
        <v>0</v>
      </c>
      <c r="P736" s="96">
        <f t="shared" si="3"/>
        <v>0</v>
      </c>
      <c r="Q736" s="97">
        <f t="shared" si="4"/>
        <v>0</v>
      </c>
      <c r="R736" s="97" t="str">
        <f ca="1">ROUNDUP(HLOOKUP(IF(CEILING(L736,0.5)&lt;1,0.5,CEILING(L736,0.5)),'배송비 조회'!A$44:AO$56,7,0)*B$3,-2)</f>
        <v>#REF!</v>
      </c>
      <c r="S736" s="97">
        <v>0</v>
      </c>
      <c r="T736" s="97" t="str">
        <f t="shared" ca="1" si="42"/>
        <v>#REF!</v>
      </c>
      <c r="U736" s="97" t="str">
        <f t="shared" ca="1" si="29"/>
        <v>#REF!</v>
      </c>
      <c r="V736" s="97" t="str">
        <f t="shared" ca="1" si="7"/>
        <v>#REF!</v>
      </c>
      <c r="W736" s="97" t="str">
        <f t="shared" ca="1" si="8"/>
        <v>#REF!</v>
      </c>
      <c r="X736" s="121">
        <v>0</v>
      </c>
      <c r="Y736" s="121" t="str">
        <f t="shared" ca="1" si="9"/>
        <v>#REF!</v>
      </c>
      <c r="Z736" s="121" t="str">
        <f t="shared" ca="1" si="10"/>
        <v>#REF!</v>
      </c>
      <c r="AA736" s="99" t="str">
        <f t="shared" ca="1" si="11"/>
        <v>#REF!</v>
      </c>
      <c r="AB736" s="234" t="str">
        <f t="shared" ca="1" si="12"/>
        <v>#REF!</v>
      </c>
      <c r="AC736" s="257" t="str">
        <f t="shared" ca="1" si="13"/>
        <v>#REF!</v>
      </c>
      <c r="AD736" s="234" t="str">
        <f t="shared" ca="1" si="14"/>
        <v>#REF!</v>
      </c>
      <c r="AE736" s="100" t="str">
        <f t="shared" ca="1" si="15"/>
        <v>#REF!</v>
      </c>
      <c r="AF736" s="101" t="str">
        <f t="shared" ca="1" si="16"/>
        <v>#REF!</v>
      </c>
      <c r="AG736" s="102" t="str">
        <f t="shared" ref="AG736:AH736" ca="1" si="754">AE736/V736</f>
        <v>#REF!</v>
      </c>
      <c r="AH736" s="102" t="str">
        <f t="shared" ca="1" si="754"/>
        <v>#REF!</v>
      </c>
    </row>
    <row r="737" spans="1:34" ht="13.2">
      <c r="A737" s="251"/>
      <c r="B737" s="251"/>
      <c r="C737" s="252"/>
      <c r="D737" s="252"/>
      <c r="E737" s="114"/>
      <c r="F737" s="252"/>
      <c r="G737" s="125" t="s">
        <v>145</v>
      </c>
      <c r="I737" s="172"/>
      <c r="J737" s="82" t="str">
        <f t="shared" ca="1" si="0"/>
        <v>#REF!</v>
      </c>
      <c r="K737" s="82" t="str">
        <f t="shared" ca="1" si="1"/>
        <v>#REF!</v>
      </c>
      <c r="L737" s="82" t="str">
        <f t="shared" ca="1" si="44"/>
        <v>#REF!</v>
      </c>
      <c r="M737" s="93"/>
      <c r="N737" s="93"/>
      <c r="O737" s="95">
        <f t="shared" si="2"/>
        <v>0</v>
      </c>
      <c r="P737" s="96">
        <f t="shared" si="3"/>
        <v>0</v>
      </c>
      <c r="Q737" s="97">
        <f t="shared" si="4"/>
        <v>0</v>
      </c>
      <c r="R737" s="97" t="str">
        <f ca="1">ROUNDUP(HLOOKUP(IF(CEILING(L737,0.5)&lt;1,0.5,CEILING(L737,0.5)),'배송비 조회'!A$44:AO$56,7,0)*B$3,-2)</f>
        <v>#REF!</v>
      </c>
      <c r="S737" s="97">
        <v>0</v>
      </c>
      <c r="T737" s="97" t="str">
        <f t="shared" ca="1" si="42"/>
        <v>#REF!</v>
      </c>
      <c r="U737" s="97" t="str">
        <f t="shared" ca="1" si="29"/>
        <v>#REF!</v>
      </c>
      <c r="V737" s="97" t="str">
        <f t="shared" ca="1" si="7"/>
        <v>#REF!</v>
      </c>
      <c r="W737" s="97" t="str">
        <f t="shared" ca="1" si="8"/>
        <v>#REF!</v>
      </c>
      <c r="X737" s="121">
        <v>0</v>
      </c>
      <c r="Y737" s="121" t="str">
        <f t="shared" ca="1" si="9"/>
        <v>#REF!</v>
      </c>
      <c r="Z737" s="121" t="str">
        <f t="shared" ca="1" si="10"/>
        <v>#REF!</v>
      </c>
      <c r="AA737" s="99" t="str">
        <f t="shared" ca="1" si="11"/>
        <v>#REF!</v>
      </c>
      <c r="AB737" s="234" t="str">
        <f t="shared" ca="1" si="12"/>
        <v>#REF!</v>
      </c>
      <c r="AC737" s="257" t="str">
        <f t="shared" ca="1" si="13"/>
        <v>#REF!</v>
      </c>
      <c r="AD737" s="234" t="str">
        <f t="shared" ca="1" si="14"/>
        <v>#REF!</v>
      </c>
      <c r="AE737" s="100" t="str">
        <f t="shared" ca="1" si="15"/>
        <v>#REF!</v>
      </c>
      <c r="AF737" s="101" t="str">
        <f t="shared" ca="1" si="16"/>
        <v>#REF!</v>
      </c>
      <c r="AG737" s="102" t="str">
        <f t="shared" ref="AG737:AH737" ca="1" si="755">AE737/V737</f>
        <v>#REF!</v>
      </c>
      <c r="AH737" s="102" t="str">
        <f t="shared" ca="1" si="755"/>
        <v>#REF!</v>
      </c>
    </row>
    <row r="738" spans="1:34" ht="13.2">
      <c r="A738" s="251"/>
      <c r="B738" s="251"/>
      <c r="C738" s="252"/>
      <c r="D738" s="252"/>
      <c r="E738" s="114"/>
      <c r="F738" s="252"/>
      <c r="G738" s="125" t="s">
        <v>145</v>
      </c>
      <c r="I738" s="172"/>
      <c r="J738" s="82" t="str">
        <f t="shared" ca="1" si="0"/>
        <v>#REF!</v>
      </c>
      <c r="K738" s="82" t="str">
        <f t="shared" ca="1" si="1"/>
        <v>#REF!</v>
      </c>
      <c r="L738" s="82" t="str">
        <f t="shared" ca="1" si="44"/>
        <v>#REF!</v>
      </c>
      <c r="M738" s="93"/>
      <c r="N738" s="93"/>
      <c r="O738" s="95">
        <f t="shared" si="2"/>
        <v>0</v>
      </c>
      <c r="P738" s="96">
        <f t="shared" si="3"/>
        <v>0</v>
      </c>
      <c r="Q738" s="97">
        <f t="shared" si="4"/>
        <v>0</v>
      </c>
      <c r="R738" s="97" t="str">
        <f ca="1">ROUNDUP(HLOOKUP(IF(CEILING(L738,0.5)&lt;1,0.5,CEILING(L738,0.5)),'배송비 조회'!A$44:AO$56,7,0)*B$3,-2)</f>
        <v>#REF!</v>
      </c>
      <c r="S738" s="97">
        <v>0</v>
      </c>
      <c r="T738" s="97" t="str">
        <f t="shared" ca="1" si="42"/>
        <v>#REF!</v>
      </c>
      <c r="U738" s="97" t="str">
        <f t="shared" ca="1" si="29"/>
        <v>#REF!</v>
      </c>
      <c r="V738" s="97" t="str">
        <f t="shared" ca="1" si="7"/>
        <v>#REF!</v>
      </c>
      <c r="W738" s="97" t="str">
        <f t="shared" ca="1" si="8"/>
        <v>#REF!</v>
      </c>
      <c r="X738" s="121">
        <v>0</v>
      </c>
      <c r="Y738" s="121" t="str">
        <f t="shared" ca="1" si="9"/>
        <v>#REF!</v>
      </c>
      <c r="Z738" s="121" t="str">
        <f t="shared" ca="1" si="10"/>
        <v>#REF!</v>
      </c>
      <c r="AA738" s="99" t="str">
        <f t="shared" ca="1" si="11"/>
        <v>#REF!</v>
      </c>
      <c r="AB738" s="234" t="str">
        <f t="shared" ca="1" si="12"/>
        <v>#REF!</v>
      </c>
      <c r="AC738" s="257" t="str">
        <f t="shared" ca="1" si="13"/>
        <v>#REF!</v>
      </c>
      <c r="AD738" s="234" t="str">
        <f t="shared" ca="1" si="14"/>
        <v>#REF!</v>
      </c>
      <c r="AE738" s="100" t="str">
        <f t="shared" ca="1" si="15"/>
        <v>#REF!</v>
      </c>
      <c r="AF738" s="101" t="str">
        <f t="shared" ca="1" si="16"/>
        <v>#REF!</v>
      </c>
      <c r="AG738" s="102" t="str">
        <f t="shared" ref="AG738:AH738" ca="1" si="756">AE738/V738</f>
        <v>#REF!</v>
      </c>
      <c r="AH738" s="102" t="str">
        <f t="shared" ca="1" si="756"/>
        <v>#REF!</v>
      </c>
    </row>
    <row r="739" spans="1:34" ht="13.2">
      <c r="A739" s="251"/>
      <c r="B739" s="251"/>
      <c r="C739" s="252"/>
      <c r="D739" s="252"/>
      <c r="E739" s="114"/>
      <c r="F739" s="252"/>
      <c r="G739" s="125" t="s">
        <v>145</v>
      </c>
      <c r="I739" s="172"/>
      <c r="J739" s="82" t="str">
        <f t="shared" ca="1" si="0"/>
        <v>#REF!</v>
      </c>
      <c r="K739" s="82" t="str">
        <f t="shared" ca="1" si="1"/>
        <v>#REF!</v>
      </c>
      <c r="L739" s="82" t="str">
        <f t="shared" ca="1" si="44"/>
        <v>#REF!</v>
      </c>
      <c r="M739" s="93"/>
      <c r="N739" s="93"/>
      <c r="O739" s="95">
        <f t="shared" si="2"/>
        <v>0</v>
      </c>
      <c r="P739" s="96">
        <f t="shared" si="3"/>
        <v>0</v>
      </c>
      <c r="Q739" s="97">
        <f t="shared" si="4"/>
        <v>0</v>
      </c>
      <c r="R739" s="97" t="str">
        <f ca="1">ROUNDUP(HLOOKUP(IF(CEILING(L739,0.5)&lt;1,0.5,CEILING(L739,0.5)),'배송비 조회'!A$44:AO$56,7,0)*B$3,-2)</f>
        <v>#REF!</v>
      </c>
      <c r="S739" s="97">
        <v>0</v>
      </c>
      <c r="T739" s="97" t="str">
        <f t="shared" ca="1" si="42"/>
        <v>#REF!</v>
      </c>
      <c r="U739" s="97" t="str">
        <f t="shared" ca="1" si="29"/>
        <v>#REF!</v>
      </c>
      <c r="V739" s="97" t="str">
        <f t="shared" ca="1" si="7"/>
        <v>#REF!</v>
      </c>
      <c r="W739" s="97" t="str">
        <f t="shared" ca="1" si="8"/>
        <v>#REF!</v>
      </c>
      <c r="X739" s="121">
        <v>0</v>
      </c>
      <c r="Y739" s="121" t="str">
        <f t="shared" ca="1" si="9"/>
        <v>#REF!</v>
      </c>
      <c r="Z739" s="121" t="str">
        <f t="shared" ca="1" si="10"/>
        <v>#REF!</v>
      </c>
      <c r="AA739" s="99" t="str">
        <f t="shared" ca="1" si="11"/>
        <v>#REF!</v>
      </c>
      <c r="AB739" s="234" t="str">
        <f t="shared" ca="1" si="12"/>
        <v>#REF!</v>
      </c>
      <c r="AC739" s="257" t="str">
        <f t="shared" ca="1" si="13"/>
        <v>#REF!</v>
      </c>
      <c r="AD739" s="234" t="str">
        <f t="shared" ca="1" si="14"/>
        <v>#REF!</v>
      </c>
      <c r="AE739" s="100" t="str">
        <f t="shared" ca="1" si="15"/>
        <v>#REF!</v>
      </c>
      <c r="AF739" s="101" t="str">
        <f t="shared" ca="1" si="16"/>
        <v>#REF!</v>
      </c>
      <c r="AG739" s="102" t="str">
        <f t="shared" ref="AG739:AH739" ca="1" si="757">AE739/V739</f>
        <v>#REF!</v>
      </c>
      <c r="AH739" s="102" t="str">
        <f t="shared" ca="1" si="757"/>
        <v>#REF!</v>
      </c>
    </row>
    <row r="740" spans="1:34" ht="13.2">
      <c r="A740" s="251"/>
      <c r="B740" s="251"/>
      <c r="C740" s="252"/>
      <c r="D740" s="252"/>
      <c r="E740" s="114"/>
      <c r="F740" s="252"/>
      <c r="G740" s="125" t="s">
        <v>145</v>
      </c>
      <c r="I740" s="172"/>
      <c r="J740" s="82" t="str">
        <f t="shared" ca="1" si="0"/>
        <v>#REF!</v>
      </c>
      <c r="K740" s="82" t="str">
        <f t="shared" ca="1" si="1"/>
        <v>#REF!</v>
      </c>
      <c r="L740" s="82" t="str">
        <f t="shared" ca="1" si="44"/>
        <v>#REF!</v>
      </c>
      <c r="M740" s="93"/>
      <c r="N740" s="93"/>
      <c r="O740" s="95">
        <f t="shared" si="2"/>
        <v>0</v>
      </c>
      <c r="P740" s="96">
        <f t="shared" si="3"/>
        <v>0</v>
      </c>
      <c r="Q740" s="97">
        <f t="shared" si="4"/>
        <v>0</v>
      </c>
      <c r="R740" s="97" t="str">
        <f ca="1">ROUNDUP(HLOOKUP(IF(CEILING(L740,0.5)&lt;1,0.5,CEILING(L740,0.5)),'배송비 조회'!A$44:AO$56,7,0)*B$3,-2)</f>
        <v>#REF!</v>
      </c>
      <c r="S740" s="97">
        <v>0</v>
      </c>
      <c r="T740" s="97" t="str">
        <f t="shared" ca="1" si="42"/>
        <v>#REF!</v>
      </c>
      <c r="U740" s="97" t="str">
        <f t="shared" ca="1" si="29"/>
        <v>#REF!</v>
      </c>
      <c r="V740" s="97" t="str">
        <f t="shared" ca="1" si="7"/>
        <v>#REF!</v>
      </c>
      <c r="W740" s="97" t="str">
        <f t="shared" ca="1" si="8"/>
        <v>#REF!</v>
      </c>
      <c r="X740" s="121">
        <v>0</v>
      </c>
      <c r="Y740" s="121" t="str">
        <f t="shared" ca="1" si="9"/>
        <v>#REF!</v>
      </c>
      <c r="Z740" s="121" t="str">
        <f t="shared" ca="1" si="10"/>
        <v>#REF!</v>
      </c>
      <c r="AA740" s="99" t="str">
        <f t="shared" ca="1" si="11"/>
        <v>#REF!</v>
      </c>
      <c r="AB740" s="234" t="str">
        <f t="shared" ca="1" si="12"/>
        <v>#REF!</v>
      </c>
      <c r="AC740" s="257" t="str">
        <f t="shared" ca="1" si="13"/>
        <v>#REF!</v>
      </c>
      <c r="AD740" s="234" t="str">
        <f t="shared" ca="1" si="14"/>
        <v>#REF!</v>
      </c>
      <c r="AE740" s="100" t="str">
        <f t="shared" ca="1" si="15"/>
        <v>#REF!</v>
      </c>
      <c r="AF740" s="101" t="str">
        <f t="shared" ca="1" si="16"/>
        <v>#REF!</v>
      </c>
      <c r="AG740" s="102" t="str">
        <f t="shared" ref="AG740:AH740" ca="1" si="758">AE740/V740</f>
        <v>#REF!</v>
      </c>
      <c r="AH740" s="102" t="str">
        <f t="shared" ca="1" si="758"/>
        <v>#REF!</v>
      </c>
    </row>
    <row r="741" spans="1:34" ht="13.2">
      <c r="A741" s="251"/>
      <c r="B741" s="251"/>
      <c r="C741" s="252"/>
      <c r="D741" s="252"/>
      <c r="E741" s="114"/>
      <c r="F741" s="252"/>
      <c r="G741" s="125" t="s">
        <v>145</v>
      </c>
      <c r="I741" s="172"/>
      <c r="J741" s="82" t="str">
        <f t="shared" ca="1" si="0"/>
        <v>#REF!</v>
      </c>
      <c r="K741" s="82" t="str">
        <f t="shared" ca="1" si="1"/>
        <v>#REF!</v>
      </c>
      <c r="L741" s="82" t="str">
        <f t="shared" ca="1" si="44"/>
        <v>#REF!</v>
      </c>
      <c r="M741" s="93"/>
      <c r="N741" s="93"/>
      <c r="O741" s="95">
        <f t="shared" si="2"/>
        <v>0</v>
      </c>
      <c r="P741" s="96">
        <f t="shared" si="3"/>
        <v>0</v>
      </c>
      <c r="Q741" s="97">
        <f t="shared" si="4"/>
        <v>0</v>
      </c>
      <c r="R741" s="97" t="str">
        <f ca="1">ROUNDUP(HLOOKUP(IF(CEILING(L741,0.5)&lt;1,0.5,CEILING(L741,0.5)),'배송비 조회'!A$44:AO$56,7,0)*B$3,-2)</f>
        <v>#REF!</v>
      </c>
      <c r="S741" s="97">
        <v>0</v>
      </c>
      <c r="T741" s="97" t="str">
        <f t="shared" ca="1" si="42"/>
        <v>#REF!</v>
      </c>
      <c r="U741" s="97" t="str">
        <f t="shared" ca="1" si="29"/>
        <v>#REF!</v>
      </c>
      <c r="V741" s="97" t="str">
        <f t="shared" ca="1" si="7"/>
        <v>#REF!</v>
      </c>
      <c r="W741" s="97" t="str">
        <f t="shared" ca="1" si="8"/>
        <v>#REF!</v>
      </c>
      <c r="X741" s="121">
        <v>0</v>
      </c>
      <c r="Y741" s="121" t="str">
        <f t="shared" ca="1" si="9"/>
        <v>#REF!</v>
      </c>
      <c r="Z741" s="121" t="str">
        <f t="shared" ca="1" si="10"/>
        <v>#REF!</v>
      </c>
      <c r="AA741" s="99" t="str">
        <f t="shared" ca="1" si="11"/>
        <v>#REF!</v>
      </c>
      <c r="AB741" s="234" t="str">
        <f t="shared" ca="1" si="12"/>
        <v>#REF!</v>
      </c>
      <c r="AC741" s="257" t="str">
        <f t="shared" ca="1" si="13"/>
        <v>#REF!</v>
      </c>
      <c r="AD741" s="234" t="str">
        <f t="shared" ca="1" si="14"/>
        <v>#REF!</v>
      </c>
      <c r="AE741" s="100" t="str">
        <f t="shared" ca="1" si="15"/>
        <v>#REF!</v>
      </c>
      <c r="AF741" s="101" t="str">
        <f t="shared" ca="1" si="16"/>
        <v>#REF!</v>
      </c>
      <c r="AG741" s="102" t="str">
        <f t="shared" ref="AG741:AH741" ca="1" si="759">AE741/V741</f>
        <v>#REF!</v>
      </c>
      <c r="AH741" s="102" t="str">
        <f t="shared" ca="1" si="759"/>
        <v>#REF!</v>
      </c>
    </row>
    <row r="742" spans="1:34" ht="13.2">
      <c r="A742" s="251"/>
      <c r="B742" s="251"/>
      <c r="C742" s="252"/>
      <c r="D742" s="252"/>
      <c r="E742" s="114"/>
      <c r="F742" s="252"/>
      <c r="G742" s="125" t="s">
        <v>145</v>
      </c>
      <c r="I742" s="172"/>
      <c r="J742" s="82" t="str">
        <f t="shared" ca="1" si="0"/>
        <v>#REF!</v>
      </c>
      <c r="K742" s="82" t="str">
        <f t="shared" ca="1" si="1"/>
        <v>#REF!</v>
      </c>
      <c r="L742" s="82" t="str">
        <f t="shared" ca="1" si="44"/>
        <v>#REF!</v>
      </c>
      <c r="M742" s="93"/>
      <c r="N742" s="93"/>
      <c r="O742" s="95">
        <f t="shared" si="2"/>
        <v>0</v>
      </c>
      <c r="P742" s="96">
        <f t="shared" si="3"/>
        <v>0</v>
      </c>
      <c r="Q742" s="97">
        <f t="shared" si="4"/>
        <v>0</v>
      </c>
      <c r="R742" s="97" t="str">
        <f ca="1">ROUNDUP(HLOOKUP(IF(CEILING(L742,0.5)&lt;1,0.5,CEILING(L742,0.5)),'배송비 조회'!A$44:AO$56,7,0)*B$3,-2)</f>
        <v>#REF!</v>
      </c>
      <c r="S742" s="97">
        <v>0</v>
      </c>
      <c r="T742" s="97" t="str">
        <f t="shared" ca="1" si="42"/>
        <v>#REF!</v>
      </c>
      <c r="U742" s="97" t="str">
        <f t="shared" ca="1" si="29"/>
        <v>#REF!</v>
      </c>
      <c r="V742" s="97" t="str">
        <f t="shared" ca="1" si="7"/>
        <v>#REF!</v>
      </c>
      <c r="W742" s="97" t="str">
        <f t="shared" ca="1" si="8"/>
        <v>#REF!</v>
      </c>
      <c r="X742" s="121">
        <v>0</v>
      </c>
      <c r="Y742" s="121" t="str">
        <f t="shared" ca="1" si="9"/>
        <v>#REF!</v>
      </c>
      <c r="Z742" s="121" t="str">
        <f t="shared" ca="1" si="10"/>
        <v>#REF!</v>
      </c>
      <c r="AA742" s="99" t="str">
        <f t="shared" ca="1" si="11"/>
        <v>#REF!</v>
      </c>
      <c r="AB742" s="234" t="str">
        <f t="shared" ca="1" si="12"/>
        <v>#REF!</v>
      </c>
      <c r="AC742" s="257" t="str">
        <f t="shared" ca="1" si="13"/>
        <v>#REF!</v>
      </c>
      <c r="AD742" s="234" t="str">
        <f t="shared" ca="1" si="14"/>
        <v>#REF!</v>
      </c>
      <c r="AE742" s="100" t="str">
        <f t="shared" ca="1" si="15"/>
        <v>#REF!</v>
      </c>
      <c r="AF742" s="101" t="str">
        <f t="shared" ca="1" si="16"/>
        <v>#REF!</v>
      </c>
      <c r="AG742" s="102" t="str">
        <f t="shared" ref="AG742:AH742" ca="1" si="760">AE742/V742</f>
        <v>#REF!</v>
      </c>
      <c r="AH742" s="102" t="str">
        <f t="shared" ca="1" si="760"/>
        <v>#REF!</v>
      </c>
    </row>
    <row r="743" spans="1:34" ht="13.2">
      <c r="A743" s="251"/>
      <c r="B743" s="251"/>
      <c r="C743" s="252"/>
      <c r="D743" s="252"/>
      <c r="E743" s="114"/>
      <c r="F743" s="252"/>
      <c r="G743" s="125" t="s">
        <v>145</v>
      </c>
      <c r="I743" s="172"/>
      <c r="J743" s="82" t="str">
        <f t="shared" ca="1" si="0"/>
        <v>#REF!</v>
      </c>
      <c r="K743" s="82" t="str">
        <f t="shared" ca="1" si="1"/>
        <v>#REF!</v>
      </c>
      <c r="L743" s="82" t="str">
        <f t="shared" ca="1" si="44"/>
        <v>#REF!</v>
      </c>
      <c r="M743" s="93"/>
      <c r="N743" s="93"/>
      <c r="O743" s="95">
        <f t="shared" si="2"/>
        <v>0</v>
      </c>
      <c r="P743" s="96">
        <f t="shared" si="3"/>
        <v>0</v>
      </c>
      <c r="Q743" s="97">
        <f t="shared" si="4"/>
        <v>0</v>
      </c>
      <c r="R743" s="97" t="str">
        <f ca="1">ROUNDUP(HLOOKUP(IF(CEILING(L743,0.5)&lt;1,0.5,CEILING(L743,0.5)),'배송비 조회'!A$44:AO$56,7,0)*B$3,-2)</f>
        <v>#REF!</v>
      </c>
      <c r="S743" s="97">
        <v>0</v>
      </c>
      <c r="T743" s="97" t="str">
        <f t="shared" ca="1" si="42"/>
        <v>#REF!</v>
      </c>
      <c r="U743" s="97" t="str">
        <f t="shared" ca="1" si="29"/>
        <v>#REF!</v>
      </c>
      <c r="V743" s="97" t="str">
        <f t="shared" ca="1" si="7"/>
        <v>#REF!</v>
      </c>
      <c r="W743" s="97" t="str">
        <f t="shared" ca="1" si="8"/>
        <v>#REF!</v>
      </c>
      <c r="X743" s="121">
        <v>0</v>
      </c>
      <c r="Y743" s="121" t="str">
        <f t="shared" ca="1" si="9"/>
        <v>#REF!</v>
      </c>
      <c r="Z743" s="121" t="str">
        <f t="shared" ca="1" si="10"/>
        <v>#REF!</v>
      </c>
      <c r="AA743" s="99" t="str">
        <f t="shared" ca="1" si="11"/>
        <v>#REF!</v>
      </c>
      <c r="AB743" s="234" t="str">
        <f t="shared" ca="1" si="12"/>
        <v>#REF!</v>
      </c>
      <c r="AC743" s="257" t="str">
        <f t="shared" ca="1" si="13"/>
        <v>#REF!</v>
      </c>
      <c r="AD743" s="234" t="str">
        <f t="shared" ca="1" si="14"/>
        <v>#REF!</v>
      </c>
      <c r="AE743" s="100" t="str">
        <f t="shared" ca="1" si="15"/>
        <v>#REF!</v>
      </c>
      <c r="AF743" s="101" t="str">
        <f t="shared" ca="1" si="16"/>
        <v>#REF!</v>
      </c>
      <c r="AG743" s="102" t="str">
        <f t="shared" ref="AG743:AH743" ca="1" si="761">AE743/V743</f>
        <v>#REF!</v>
      </c>
      <c r="AH743" s="102" t="str">
        <f t="shared" ca="1" si="761"/>
        <v>#REF!</v>
      </c>
    </row>
    <row r="744" spans="1:34" ht="13.2">
      <c r="A744" s="251"/>
      <c r="B744" s="251"/>
      <c r="C744" s="252"/>
      <c r="D744" s="252"/>
      <c r="E744" s="114"/>
      <c r="F744" s="252"/>
      <c r="G744" s="125" t="s">
        <v>145</v>
      </c>
      <c r="I744" s="172"/>
      <c r="J744" s="82" t="str">
        <f t="shared" ca="1" si="0"/>
        <v>#REF!</v>
      </c>
      <c r="K744" s="82" t="str">
        <f t="shared" ca="1" si="1"/>
        <v>#REF!</v>
      </c>
      <c r="L744" s="82" t="str">
        <f t="shared" ca="1" si="44"/>
        <v>#REF!</v>
      </c>
      <c r="M744" s="93"/>
      <c r="N744" s="93"/>
      <c r="O744" s="95">
        <f t="shared" si="2"/>
        <v>0</v>
      </c>
      <c r="P744" s="96">
        <f t="shared" si="3"/>
        <v>0</v>
      </c>
      <c r="Q744" s="97">
        <f t="shared" si="4"/>
        <v>0</v>
      </c>
      <c r="R744" s="97" t="str">
        <f ca="1">ROUNDUP(HLOOKUP(IF(CEILING(L744,0.5)&lt;1,0.5,CEILING(L744,0.5)),'배송비 조회'!A$44:AO$56,7,0)*B$3,-2)</f>
        <v>#REF!</v>
      </c>
      <c r="S744" s="97">
        <v>0</v>
      </c>
      <c r="T744" s="97" t="str">
        <f t="shared" ca="1" si="42"/>
        <v>#REF!</v>
      </c>
      <c r="U744" s="97" t="str">
        <f t="shared" ca="1" si="29"/>
        <v>#REF!</v>
      </c>
      <c r="V744" s="97" t="str">
        <f t="shared" ca="1" si="7"/>
        <v>#REF!</v>
      </c>
      <c r="W744" s="97" t="str">
        <f t="shared" ca="1" si="8"/>
        <v>#REF!</v>
      </c>
      <c r="X744" s="121">
        <v>0</v>
      </c>
      <c r="Y744" s="121" t="str">
        <f t="shared" ca="1" si="9"/>
        <v>#REF!</v>
      </c>
      <c r="Z744" s="121" t="str">
        <f t="shared" ca="1" si="10"/>
        <v>#REF!</v>
      </c>
      <c r="AA744" s="99" t="str">
        <f t="shared" ca="1" si="11"/>
        <v>#REF!</v>
      </c>
      <c r="AB744" s="234" t="str">
        <f t="shared" ca="1" si="12"/>
        <v>#REF!</v>
      </c>
      <c r="AC744" s="257" t="str">
        <f t="shared" ca="1" si="13"/>
        <v>#REF!</v>
      </c>
      <c r="AD744" s="234" t="str">
        <f t="shared" ca="1" si="14"/>
        <v>#REF!</v>
      </c>
      <c r="AE744" s="100" t="str">
        <f t="shared" ca="1" si="15"/>
        <v>#REF!</v>
      </c>
      <c r="AF744" s="101" t="str">
        <f t="shared" ca="1" si="16"/>
        <v>#REF!</v>
      </c>
      <c r="AG744" s="102" t="str">
        <f t="shared" ref="AG744:AH744" ca="1" si="762">AE744/V744</f>
        <v>#REF!</v>
      </c>
      <c r="AH744" s="102" t="str">
        <f t="shared" ca="1" si="762"/>
        <v>#REF!</v>
      </c>
    </row>
    <row r="745" spans="1:34" ht="13.2">
      <c r="A745" s="251"/>
      <c r="B745" s="251"/>
      <c r="C745" s="252"/>
      <c r="D745" s="252"/>
      <c r="E745" s="114"/>
      <c r="F745" s="252"/>
      <c r="G745" s="125" t="s">
        <v>145</v>
      </c>
      <c r="I745" s="172"/>
      <c r="J745" s="82" t="str">
        <f t="shared" ca="1" si="0"/>
        <v>#REF!</v>
      </c>
      <c r="K745" s="82" t="str">
        <f t="shared" ca="1" si="1"/>
        <v>#REF!</v>
      </c>
      <c r="L745" s="82" t="str">
        <f t="shared" ca="1" si="44"/>
        <v>#REF!</v>
      </c>
      <c r="M745" s="93"/>
      <c r="N745" s="93"/>
      <c r="O745" s="95">
        <f t="shared" si="2"/>
        <v>0</v>
      </c>
      <c r="P745" s="96">
        <f t="shared" si="3"/>
        <v>0</v>
      </c>
      <c r="Q745" s="97">
        <f t="shared" si="4"/>
        <v>0</v>
      </c>
      <c r="R745" s="97" t="str">
        <f ca="1">ROUNDUP(HLOOKUP(IF(CEILING(L745,0.5)&lt;1,0.5,CEILING(L745,0.5)),'배송비 조회'!A$44:AO$56,7,0)*B$3,-2)</f>
        <v>#REF!</v>
      </c>
      <c r="S745" s="97">
        <v>0</v>
      </c>
      <c r="T745" s="97" t="str">
        <f t="shared" ca="1" si="42"/>
        <v>#REF!</v>
      </c>
      <c r="U745" s="97" t="str">
        <f t="shared" ca="1" si="29"/>
        <v>#REF!</v>
      </c>
      <c r="V745" s="97" t="str">
        <f t="shared" ca="1" si="7"/>
        <v>#REF!</v>
      </c>
      <c r="W745" s="97" t="str">
        <f t="shared" ca="1" si="8"/>
        <v>#REF!</v>
      </c>
      <c r="X745" s="121">
        <v>0</v>
      </c>
      <c r="Y745" s="121" t="str">
        <f t="shared" ca="1" si="9"/>
        <v>#REF!</v>
      </c>
      <c r="Z745" s="121" t="str">
        <f t="shared" ca="1" si="10"/>
        <v>#REF!</v>
      </c>
      <c r="AA745" s="99" t="str">
        <f t="shared" ca="1" si="11"/>
        <v>#REF!</v>
      </c>
      <c r="AB745" s="234" t="str">
        <f t="shared" ca="1" si="12"/>
        <v>#REF!</v>
      </c>
      <c r="AC745" s="257" t="str">
        <f t="shared" ca="1" si="13"/>
        <v>#REF!</v>
      </c>
      <c r="AD745" s="234" t="str">
        <f t="shared" ca="1" si="14"/>
        <v>#REF!</v>
      </c>
      <c r="AE745" s="100" t="str">
        <f t="shared" ca="1" si="15"/>
        <v>#REF!</v>
      </c>
      <c r="AF745" s="101" t="str">
        <f t="shared" ca="1" si="16"/>
        <v>#REF!</v>
      </c>
      <c r="AG745" s="102" t="str">
        <f t="shared" ref="AG745:AH745" ca="1" si="763">AE745/V745</f>
        <v>#REF!</v>
      </c>
      <c r="AH745" s="102" t="str">
        <f t="shared" ca="1" si="763"/>
        <v>#REF!</v>
      </c>
    </row>
    <row r="746" spans="1:34" ht="13.2">
      <c r="A746" s="251"/>
      <c r="B746" s="251"/>
      <c r="C746" s="252"/>
      <c r="D746" s="252"/>
      <c r="E746" s="114"/>
      <c r="F746" s="252"/>
      <c r="G746" s="125" t="s">
        <v>145</v>
      </c>
      <c r="I746" s="172"/>
      <c r="J746" s="82" t="str">
        <f t="shared" ca="1" si="0"/>
        <v>#REF!</v>
      </c>
      <c r="K746" s="82" t="str">
        <f t="shared" ca="1" si="1"/>
        <v>#REF!</v>
      </c>
      <c r="L746" s="82" t="str">
        <f t="shared" ca="1" si="44"/>
        <v>#REF!</v>
      </c>
      <c r="M746" s="93"/>
      <c r="N746" s="93"/>
      <c r="O746" s="95">
        <f t="shared" si="2"/>
        <v>0</v>
      </c>
      <c r="P746" s="96">
        <f t="shared" si="3"/>
        <v>0</v>
      </c>
      <c r="Q746" s="97">
        <f t="shared" si="4"/>
        <v>0</v>
      </c>
      <c r="R746" s="97" t="str">
        <f ca="1">ROUNDUP(HLOOKUP(IF(CEILING(L746,0.5)&lt;1,0.5,CEILING(L746,0.5)),'배송비 조회'!A$44:AO$56,7,0)*B$3,-2)</f>
        <v>#REF!</v>
      </c>
      <c r="S746" s="97">
        <v>0</v>
      </c>
      <c r="T746" s="97" t="str">
        <f t="shared" ca="1" si="42"/>
        <v>#REF!</v>
      </c>
      <c r="U746" s="97" t="str">
        <f t="shared" ca="1" si="29"/>
        <v>#REF!</v>
      </c>
      <c r="V746" s="97" t="str">
        <f t="shared" ca="1" si="7"/>
        <v>#REF!</v>
      </c>
      <c r="W746" s="97" t="str">
        <f t="shared" ca="1" si="8"/>
        <v>#REF!</v>
      </c>
      <c r="X746" s="121">
        <v>0</v>
      </c>
      <c r="Y746" s="121" t="str">
        <f t="shared" ca="1" si="9"/>
        <v>#REF!</v>
      </c>
      <c r="Z746" s="121" t="str">
        <f t="shared" ca="1" si="10"/>
        <v>#REF!</v>
      </c>
      <c r="AA746" s="99" t="str">
        <f t="shared" ca="1" si="11"/>
        <v>#REF!</v>
      </c>
      <c r="AB746" s="234" t="str">
        <f t="shared" ca="1" si="12"/>
        <v>#REF!</v>
      </c>
      <c r="AC746" s="257" t="str">
        <f t="shared" ca="1" si="13"/>
        <v>#REF!</v>
      </c>
      <c r="AD746" s="234" t="str">
        <f t="shared" ca="1" si="14"/>
        <v>#REF!</v>
      </c>
      <c r="AE746" s="100" t="str">
        <f t="shared" ca="1" si="15"/>
        <v>#REF!</v>
      </c>
      <c r="AF746" s="101" t="str">
        <f t="shared" ca="1" si="16"/>
        <v>#REF!</v>
      </c>
      <c r="AG746" s="102" t="str">
        <f t="shared" ref="AG746:AH746" ca="1" si="764">AE746/V746</f>
        <v>#REF!</v>
      </c>
      <c r="AH746" s="102" t="str">
        <f t="shared" ca="1" si="764"/>
        <v>#REF!</v>
      </c>
    </row>
    <row r="747" spans="1:34" ht="13.2">
      <c r="A747" s="251"/>
      <c r="B747" s="251"/>
      <c r="C747" s="252"/>
      <c r="D747" s="252"/>
      <c r="E747" s="114"/>
      <c r="F747" s="252"/>
      <c r="G747" s="125" t="s">
        <v>145</v>
      </c>
      <c r="I747" s="172"/>
      <c r="J747" s="82" t="str">
        <f t="shared" ca="1" si="0"/>
        <v>#REF!</v>
      </c>
      <c r="K747" s="82" t="str">
        <f t="shared" ca="1" si="1"/>
        <v>#REF!</v>
      </c>
      <c r="L747" s="82" t="str">
        <f t="shared" ca="1" si="44"/>
        <v>#REF!</v>
      </c>
      <c r="M747" s="93"/>
      <c r="N747" s="93"/>
      <c r="O747" s="95">
        <f t="shared" si="2"/>
        <v>0</v>
      </c>
      <c r="P747" s="96">
        <f t="shared" si="3"/>
        <v>0</v>
      </c>
      <c r="Q747" s="97">
        <f t="shared" si="4"/>
        <v>0</v>
      </c>
      <c r="R747" s="97" t="str">
        <f ca="1">ROUNDUP(HLOOKUP(IF(CEILING(L747,0.5)&lt;1,0.5,CEILING(L747,0.5)),'배송비 조회'!A$44:AO$56,7,0)*B$3,-2)</f>
        <v>#REF!</v>
      </c>
      <c r="S747" s="97">
        <v>0</v>
      </c>
      <c r="T747" s="97" t="str">
        <f t="shared" ca="1" si="42"/>
        <v>#REF!</v>
      </c>
      <c r="U747" s="97" t="str">
        <f t="shared" ca="1" si="29"/>
        <v>#REF!</v>
      </c>
      <c r="V747" s="97" t="str">
        <f t="shared" ca="1" si="7"/>
        <v>#REF!</v>
      </c>
      <c r="W747" s="97" t="str">
        <f t="shared" ca="1" si="8"/>
        <v>#REF!</v>
      </c>
      <c r="X747" s="121">
        <v>0</v>
      </c>
      <c r="Y747" s="121" t="str">
        <f t="shared" ca="1" si="9"/>
        <v>#REF!</v>
      </c>
      <c r="Z747" s="121" t="str">
        <f t="shared" ca="1" si="10"/>
        <v>#REF!</v>
      </c>
      <c r="AA747" s="99" t="str">
        <f t="shared" ca="1" si="11"/>
        <v>#REF!</v>
      </c>
      <c r="AB747" s="234" t="str">
        <f t="shared" ca="1" si="12"/>
        <v>#REF!</v>
      </c>
      <c r="AC747" s="257" t="str">
        <f t="shared" ca="1" si="13"/>
        <v>#REF!</v>
      </c>
      <c r="AD747" s="234" t="str">
        <f t="shared" ca="1" si="14"/>
        <v>#REF!</v>
      </c>
      <c r="AE747" s="100" t="str">
        <f t="shared" ca="1" si="15"/>
        <v>#REF!</v>
      </c>
      <c r="AF747" s="101" t="str">
        <f t="shared" ca="1" si="16"/>
        <v>#REF!</v>
      </c>
      <c r="AG747" s="102" t="str">
        <f t="shared" ref="AG747:AH747" ca="1" si="765">AE747/V747</f>
        <v>#REF!</v>
      </c>
      <c r="AH747" s="102" t="str">
        <f t="shared" ca="1" si="765"/>
        <v>#REF!</v>
      </c>
    </row>
    <row r="748" spans="1:34" ht="13.2">
      <c r="A748" s="251"/>
      <c r="B748" s="251"/>
      <c r="C748" s="252"/>
      <c r="D748" s="252"/>
      <c r="E748" s="114"/>
      <c r="F748" s="252"/>
      <c r="G748" s="125" t="s">
        <v>145</v>
      </c>
      <c r="I748" s="172"/>
      <c r="J748" s="82" t="str">
        <f t="shared" ca="1" si="0"/>
        <v>#REF!</v>
      </c>
      <c r="K748" s="82" t="str">
        <f t="shared" ca="1" si="1"/>
        <v>#REF!</v>
      </c>
      <c r="L748" s="82" t="str">
        <f t="shared" ca="1" si="44"/>
        <v>#REF!</v>
      </c>
      <c r="M748" s="93"/>
      <c r="N748" s="93"/>
      <c r="O748" s="95">
        <f t="shared" si="2"/>
        <v>0</v>
      </c>
      <c r="P748" s="96">
        <f t="shared" si="3"/>
        <v>0</v>
      </c>
      <c r="Q748" s="97">
        <f t="shared" si="4"/>
        <v>0</v>
      </c>
      <c r="R748" s="97" t="str">
        <f ca="1">ROUNDUP(HLOOKUP(IF(CEILING(L748,0.5)&lt;1,0.5,CEILING(L748,0.5)),'배송비 조회'!A$44:AO$56,7,0)*B$3,-2)</f>
        <v>#REF!</v>
      </c>
      <c r="S748" s="97">
        <v>0</v>
      </c>
      <c r="T748" s="97" t="str">
        <f t="shared" ca="1" si="42"/>
        <v>#REF!</v>
      </c>
      <c r="U748" s="97" t="str">
        <f t="shared" ca="1" si="29"/>
        <v>#REF!</v>
      </c>
      <c r="V748" s="97" t="str">
        <f t="shared" ca="1" si="7"/>
        <v>#REF!</v>
      </c>
      <c r="W748" s="97" t="str">
        <f t="shared" ca="1" si="8"/>
        <v>#REF!</v>
      </c>
      <c r="X748" s="121">
        <v>0</v>
      </c>
      <c r="Y748" s="121" t="str">
        <f t="shared" ca="1" si="9"/>
        <v>#REF!</v>
      </c>
      <c r="Z748" s="121" t="str">
        <f t="shared" ca="1" si="10"/>
        <v>#REF!</v>
      </c>
      <c r="AA748" s="99" t="str">
        <f t="shared" ca="1" si="11"/>
        <v>#REF!</v>
      </c>
      <c r="AB748" s="234" t="str">
        <f t="shared" ca="1" si="12"/>
        <v>#REF!</v>
      </c>
      <c r="AC748" s="257" t="str">
        <f t="shared" ca="1" si="13"/>
        <v>#REF!</v>
      </c>
      <c r="AD748" s="234" t="str">
        <f t="shared" ca="1" si="14"/>
        <v>#REF!</v>
      </c>
      <c r="AE748" s="100" t="str">
        <f t="shared" ca="1" si="15"/>
        <v>#REF!</v>
      </c>
      <c r="AF748" s="101" t="str">
        <f t="shared" ca="1" si="16"/>
        <v>#REF!</v>
      </c>
      <c r="AG748" s="102" t="str">
        <f t="shared" ref="AG748:AH748" ca="1" si="766">AE748/V748</f>
        <v>#REF!</v>
      </c>
      <c r="AH748" s="102" t="str">
        <f t="shared" ca="1" si="766"/>
        <v>#REF!</v>
      </c>
    </row>
    <row r="749" spans="1:34" ht="13.2">
      <c r="A749" s="251"/>
      <c r="B749" s="251"/>
      <c r="C749" s="252"/>
      <c r="D749" s="252"/>
      <c r="E749" s="114"/>
      <c r="F749" s="252"/>
      <c r="G749" s="125" t="s">
        <v>145</v>
      </c>
      <c r="I749" s="172"/>
      <c r="J749" s="82" t="str">
        <f t="shared" ca="1" si="0"/>
        <v>#REF!</v>
      </c>
      <c r="K749" s="82" t="str">
        <f t="shared" ca="1" si="1"/>
        <v>#REF!</v>
      </c>
      <c r="L749" s="82" t="str">
        <f t="shared" ca="1" si="44"/>
        <v>#REF!</v>
      </c>
      <c r="M749" s="93"/>
      <c r="N749" s="93"/>
      <c r="O749" s="95">
        <f t="shared" si="2"/>
        <v>0</v>
      </c>
      <c r="P749" s="96">
        <f t="shared" si="3"/>
        <v>0</v>
      </c>
      <c r="Q749" s="97">
        <f t="shared" si="4"/>
        <v>0</v>
      </c>
      <c r="R749" s="97" t="str">
        <f ca="1">ROUNDUP(HLOOKUP(IF(CEILING(L749,0.5)&lt;1,0.5,CEILING(L749,0.5)),'배송비 조회'!A$44:AO$56,7,0)*B$3,-2)</f>
        <v>#REF!</v>
      </c>
      <c r="S749" s="97">
        <v>0</v>
      </c>
      <c r="T749" s="97" t="str">
        <f t="shared" ca="1" si="42"/>
        <v>#REF!</v>
      </c>
      <c r="U749" s="97" t="str">
        <f t="shared" ca="1" si="29"/>
        <v>#REF!</v>
      </c>
      <c r="V749" s="97" t="str">
        <f t="shared" ca="1" si="7"/>
        <v>#REF!</v>
      </c>
      <c r="W749" s="97" t="str">
        <f t="shared" ca="1" si="8"/>
        <v>#REF!</v>
      </c>
      <c r="X749" s="121">
        <v>0</v>
      </c>
      <c r="Y749" s="121" t="str">
        <f t="shared" ca="1" si="9"/>
        <v>#REF!</v>
      </c>
      <c r="Z749" s="121" t="str">
        <f t="shared" ca="1" si="10"/>
        <v>#REF!</v>
      </c>
      <c r="AA749" s="99" t="str">
        <f t="shared" ca="1" si="11"/>
        <v>#REF!</v>
      </c>
      <c r="AB749" s="234" t="str">
        <f t="shared" ca="1" si="12"/>
        <v>#REF!</v>
      </c>
      <c r="AC749" s="257" t="str">
        <f t="shared" ca="1" si="13"/>
        <v>#REF!</v>
      </c>
      <c r="AD749" s="234" t="str">
        <f t="shared" ca="1" si="14"/>
        <v>#REF!</v>
      </c>
      <c r="AE749" s="100" t="str">
        <f t="shared" ca="1" si="15"/>
        <v>#REF!</v>
      </c>
      <c r="AF749" s="101" t="str">
        <f t="shared" ca="1" si="16"/>
        <v>#REF!</v>
      </c>
      <c r="AG749" s="102" t="str">
        <f t="shared" ref="AG749:AH749" ca="1" si="767">AE749/V749</f>
        <v>#REF!</v>
      </c>
      <c r="AH749" s="102" t="str">
        <f t="shared" ca="1" si="767"/>
        <v>#REF!</v>
      </c>
    </row>
    <row r="750" spans="1:34" ht="13.2">
      <c r="A750" s="251"/>
      <c r="B750" s="251"/>
      <c r="C750" s="252"/>
      <c r="D750" s="252"/>
      <c r="E750" s="114"/>
      <c r="F750" s="252"/>
      <c r="G750" s="125" t="s">
        <v>145</v>
      </c>
      <c r="I750" s="172"/>
      <c r="J750" s="82" t="str">
        <f t="shared" ca="1" si="0"/>
        <v>#REF!</v>
      </c>
      <c r="K750" s="82" t="str">
        <f t="shared" ca="1" si="1"/>
        <v>#REF!</v>
      </c>
      <c r="L750" s="82" t="str">
        <f t="shared" ca="1" si="44"/>
        <v>#REF!</v>
      </c>
      <c r="M750" s="93"/>
      <c r="N750" s="93"/>
      <c r="O750" s="95">
        <f t="shared" si="2"/>
        <v>0</v>
      </c>
      <c r="P750" s="96">
        <f t="shared" si="3"/>
        <v>0</v>
      </c>
      <c r="Q750" s="97">
        <f t="shared" si="4"/>
        <v>0</v>
      </c>
      <c r="R750" s="97" t="str">
        <f ca="1">ROUNDUP(HLOOKUP(IF(CEILING(L750,0.5)&lt;1,0.5,CEILING(L750,0.5)),'배송비 조회'!A$44:AO$56,7,0)*B$3,-2)</f>
        <v>#REF!</v>
      </c>
      <c r="S750" s="97">
        <v>0</v>
      </c>
      <c r="T750" s="97" t="str">
        <f t="shared" ca="1" si="42"/>
        <v>#REF!</v>
      </c>
      <c r="U750" s="97" t="str">
        <f t="shared" ca="1" si="29"/>
        <v>#REF!</v>
      </c>
      <c r="V750" s="97" t="str">
        <f t="shared" ca="1" si="7"/>
        <v>#REF!</v>
      </c>
      <c r="W750" s="97" t="str">
        <f t="shared" ca="1" si="8"/>
        <v>#REF!</v>
      </c>
      <c r="X750" s="121">
        <v>0</v>
      </c>
      <c r="Y750" s="121" t="str">
        <f t="shared" ca="1" si="9"/>
        <v>#REF!</v>
      </c>
      <c r="Z750" s="121" t="str">
        <f t="shared" ca="1" si="10"/>
        <v>#REF!</v>
      </c>
      <c r="AA750" s="99" t="str">
        <f t="shared" ca="1" si="11"/>
        <v>#REF!</v>
      </c>
      <c r="AB750" s="234" t="str">
        <f t="shared" ca="1" si="12"/>
        <v>#REF!</v>
      </c>
      <c r="AC750" s="257" t="str">
        <f t="shared" ca="1" si="13"/>
        <v>#REF!</v>
      </c>
      <c r="AD750" s="234" t="str">
        <f t="shared" ca="1" si="14"/>
        <v>#REF!</v>
      </c>
      <c r="AE750" s="100" t="str">
        <f t="shared" ca="1" si="15"/>
        <v>#REF!</v>
      </c>
      <c r="AF750" s="101" t="str">
        <f t="shared" ca="1" si="16"/>
        <v>#REF!</v>
      </c>
      <c r="AG750" s="102" t="str">
        <f t="shared" ref="AG750:AH750" ca="1" si="768">AE750/V750</f>
        <v>#REF!</v>
      </c>
      <c r="AH750" s="102" t="str">
        <f t="shared" ca="1" si="768"/>
        <v>#REF!</v>
      </c>
    </row>
    <row r="751" spans="1:34" ht="13.2">
      <c r="A751" s="251"/>
      <c r="B751" s="251"/>
      <c r="C751" s="252"/>
      <c r="D751" s="252"/>
      <c r="E751" s="114"/>
      <c r="F751" s="252"/>
      <c r="G751" s="125" t="s">
        <v>145</v>
      </c>
      <c r="I751" s="172"/>
      <c r="J751" s="82" t="str">
        <f t="shared" ca="1" si="0"/>
        <v>#REF!</v>
      </c>
      <c r="K751" s="82" t="str">
        <f t="shared" ca="1" si="1"/>
        <v>#REF!</v>
      </c>
      <c r="L751" s="82" t="str">
        <f t="shared" ca="1" si="44"/>
        <v>#REF!</v>
      </c>
      <c r="M751" s="93"/>
      <c r="N751" s="93"/>
      <c r="O751" s="95">
        <f t="shared" si="2"/>
        <v>0</v>
      </c>
      <c r="P751" s="96">
        <f t="shared" si="3"/>
        <v>0</v>
      </c>
      <c r="Q751" s="97">
        <f t="shared" si="4"/>
        <v>0</v>
      </c>
      <c r="R751" s="97" t="str">
        <f ca="1">ROUNDUP(HLOOKUP(IF(CEILING(L751,0.5)&lt;1,0.5,CEILING(L751,0.5)),'배송비 조회'!A$44:AO$56,7,0)*B$3,-2)</f>
        <v>#REF!</v>
      </c>
      <c r="S751" s="97">
        <v>0</v>
      </c>
      <c r="T751" s="97" t="str">
        <f t="shared" ca="1" si="42"/>
        <v>#REF!</v>
      </c>
      <c r="U751" s="97" t="str">
        <f t="shared" ca="1" si="29"/>
        <v>#REF!</v>
      </c>
      <c r="V751" s="97" t="str">
        <f t="shared" ca="1" si="7"/>
        <v>#REF!</v>
      </c>
      <c r="W751" s="97" t="str">
        <f t="shared" ca="1" si="8"/>
        <v>#REF!</v>
      </c>
      <c r="X751" s="121">
        <v>0</v>
      </c>
      <c r="Y751" s="121" t="str">
        <f t="shared" ca="1" si="9"/>
        <v>#REF!</v>
      </c>
      <c r="Z751" s="121" t="str">
        <f t="shared" ca="1" si="10"/>
        <v>#REF!</v>
      </c>
      <c r="AA751" s="99" t="str">
        <f t="shared" ca="1" si="11"/>
        <v>#REF!</v>
      </c>
      <c r="AB751" s="234" t="str">
        <f t="shared" ca="1" si="12"/>
        <v>#REF!</v>
      </c>
      <c r="AC751" s="257" t="str">
        <f t="shared" ca="1" si="13"/>
        <v>#REF!</v>
      </c>
      <c r="AD751" s="234" t="str">
        <f t="shared" ca="1" si="14"/>
        <v>#REF!</v>
      </c>
      <c r="AE751" s="100" t="str">
        <f t="shared" ca="1" si="15"/>
        <v>#REF!</v>
      </c>
      <c r="AF751" s="101" t="str">
        <f t="shared" ca="1" si="16"/>
        <v>#REF!</v>
      </c>
      <c r="AG751" s="102" t="str">
        <f t="shared" ref="AG751:AH751" ca="1" si="769">AE751/V751</f>
        <v>#REF!</v>
      </c>
      <c r="AH751" s="102" t="str">
        <f t="shared" ca="1" si="769"/>
        <v>#REF!</v>
      </c>
    </row>
    <row r="752" spans="1:34" ht="13.2">
      <c r="A752" s="251"/>
      <c r="B752" s="251"/>
      <c r="C752" s="252"/>
      <c r="D752" s="252"/>
      <c r="E752" s="114"/>
      <c r="F752" s="252"/>
      <c r="G752" s="125" t="s">
        <v>145</v>
      </c>
      <c r="I752" s="172"/>
      <c r="J752" s="82" t="str">
        <f t="shared" ca="1" si="0"/>
        <v>#REF!</v>
      </c>
      <c r="K752" s="82" t="str">
        <f t="shared" ca="1" si="1"/>
        <v>#REF!</v>
      </c>
      <c r="L752" s="82" t="str">
        <f t="shared" ca="1" si="44"/>
        <v>#REF!</v>
      </c>
      <c r="M752" s="93"/>
      <c r="N752" s="93"/>
      <c r="O752" s="95">
        <f t="shared" si="2"/>
        <v>0</v>
      </c>
      <c r="P752" s="96">
        <f t="shared" si="3"/>
        <v>0</v>
      </c>
      <c r="Q752" s="97">
        <f t="shared" si="4"/>
        <v>0</v>
      </c>
      <c r="R752" s="97" t="str">
        <f ca="1">ROUNDUP(HLOOKUP(IF(CEILING(L752,0.5)&lt;1,0.5,CEILING(L752,0.5)),'배송비 조회'!A$44:AO$56,7,0)*B$3,-2)</f>
        <v>#REF!</v>
      </c>
      <c r="S752" s="97">
        <v>0</v>
      </c>
      <c r="T752" s="97" t="str">
        <f t="shared" ca="1" si="42"/>
        <v>#REF!</v>
      </c>
      <c r="U752" s="97" t="str">
        <f t="shared" ca="1" si="29"/>
        <v>#REF!</v>
      </c>
      <c r="V752" s="97" t="str">
        <f t="shared" ca="1" si="7"/>
        <v>#REF!</v>
      </c>
      <c r="W752" s="97" t="str">
        <f t="shared" ca="1" si="8"/>
        <v>#REF!</v>
      </c>
      <c r="X752" s="121">
        <v>0</v>
      </c>
      <c r="Y752" s="121" t="str">
        <f t="shared" ca="1" si="9"/>
        <v>#REF!</v>
      </c>
      <c r="Z752" s="121" t="str">
        <f t="shared" ca="1" si="10"/>
        <v>#REF!</v>
      </c>
      <c r="AA752" s="99" t="str">
        <f t="shared" ca="1" si="11"/>
        <v>#REF!</v>
      </c>
      <c r="AB752" s="234" t="str">
        <f t="shared" ca="1" si="12"/>
        <v>#REF!</v>
      </c>
      <c r="AC752" s="257" t="str">
        <f t="shared" ca="1" si="13"/>
        <v>#REF!</v>
      </c>
      <c r="AD752" s="234" t="str">
        <f t="shared" ca="1" si="14"/>
        <v>#REF!</v>
      </c>
      <c r="AE752" s="100" t="str">
        <f t="shared" ca="1" si="15"/>
        <v>#REF!</v>
      </c>
      <c r="AF752" s="101" t="str">
        <f t="shared" ca="1" si="16"/>
        <v>#REF!</v>
      </c>
      <c r="AG752" s="102" t="str">
        <f t="shared" ref="AG752:AH752" ca="1" si="770">AE752/V752</f>
        <v>#REF!</v>
      </c>
      <c r="AH752" s="102" t="str">
        <f t="shared" ca="1" si="770"/>
        <v>#REF!</v>
      </c>
    </row>
    <row r="753" spans="1:34" ht="13.2">
      <c r="A753" s="251"/>
      <c r="B753" s="251"/>
      <c r="C753" s="252"/>
      <c r="D753" s="252"/>
      <c r="E753" s="114"/>
      <c r="F753" s="252"/>
      <c r="G753" s="125" t="s">
        <v>145</v>
      </c>
      <c r="I753" s="172"/>
      <c r="J753" s="82" t="str">
        <f t="shared" ca="1" si="0"/>
        <v>#REF!</v>
      </c>
      <c r="K753" s="82" t="str">
        <f t="shared" ca="1" si="1"/>
        <v>#REF!</v>
      </c>
      <c r="L753" s="82" t="str">
        <f t="shared" ca="1" si="44"/>
        <v>#REF!</v>
      </c>
      <c r="M753" s="93"/>
      <c r="N753" s="93"/>
      <c r="O753" s="95">
        <f t="shared" si="2"/>
        <v>0</v>
      </c>
      <c r="P753" s="96">
        <f t="shared" si="3"/>
        <v>0</v>
      </c>
      <c r="Q753" s="97">
        <f t="shared" si="4"/>
        <v>0</v>
      </c>
      <c r="R753" s="97" t="str">
        <f ca="1">ROUNDUP(HLOOKUP(IF(CEILING(L753,0.5)&lt;1,0.5,CEILING(L753,0.5)),'배송비 조회'!A$44:AO$56,7,0)*B$3,-2)</f>
        <v>#REF!</v>
      </c>
      <c r="S753" s="97">
        <v>0</v>
      </c>
      <c r="T753" s="97" t="str">
        <f t="shared" ca="1" si="42"/>
        <v>#REF!</v>
      </c>
      <c r="U753" s="97" t="str">
        <f t="shared" ca="1" si="29"/>
        <v>#REF!</v>
      </c>
      <c r="V753" s="97" t="str">
        <f t="shared" ca="1" si="7"/>
        <v>#REF!</v>
      </c>
      <c r="W753" s="97" t="str">
        <f t="shared" ca="1" si="8"/>
        <v>#REF!</v>
      </c>
      <c r="X753" s="121">
        <v>0</v>
      </c>
      <c r="Y753" s="121" t="str">
        <f t="shared" ca="1" si="9"/>
        <v>#REF!</v>
      </c>
      <c r="Z753" s="121" t="str">
        <f t="shared" ca="1" si="10"/>
        <v>#REF!</v>
      </c>
      <c r="AA753" s="99" t="str">
        <f t="shared" ca="1" si="11"/>
        <v>#REF!</v>
      </c>
      <c r="AB753" s="234" t="str">
        <f t="shared" ca="1" si="12"/>
        <v>#REF!</v>
      </c>
      <c r="AC753" s="257" t="str">
        <f t="shared" ca="1" si="13"/>
        <v>#REF!</v>
      </c>
      <c r="AD753" s="234" t="str">
        <f t="shared" ca="1" si="14"/>
        <v>#REF!</v>
      </c>
      <c r="AE753" s="100" t="str">
        <f t="shared" ca="1" si="15"/>
        <v>#REF!</v>
      </c>
      <c r="AF753" s="101" t="str">
        <f t="shared" ca="1" si="16"/>
        <v>#REF!</v>
      </c>
      <c r="AG753" s="102" t="str">
        <f t="shared" ref="AG753:AH753" ca="1" si="771">AE753/V753</f>
        <v>#REF!</v>
      </c>
      <c r="AH753" s="102" t="str">
        <f t="shared" ca="1" si="771"/>
        <v>#REF!</v>
      </c>
    </row>
    <row r="754" spans="1:34" ht="13.2">
      <c r="A754" s="251"/>
      <c r="B754" s="251"/>
      <c r="C754" s="252"/>
      <c r="D754" s="252"/>
      <c r="E754" s="114"/>
      <c r="F754" s="252"/>
      <c r="G754" s="125" t="s">
        <v>145</v>
      </c>
      <c r="I754" s="172"/>
      <c r="J754" s="82" t="str">
        <f t="shared" ca="1" si="0"/>
        <v>#REF!</v>
      </c>
      <c r="K754" s="82" t="str">
        <f t="shared" ca="1" si="1"/>
        <v>#REF!</v>
      </c>
      <c r="L754" s="82" t="str">
        <f t="shared" ca="1" si="44"/>
        <v>#REF!</v>
      </c>
      <c r="M754" s="93"/>
      <c r="N754" s="93"/>
      <c r="O754" s="95">
        <f t="shared" si="2"/>
        <v>0</v>
      </c>
      <c r="P754" s="96">
        <f t="shared" si="3"/>
        <v>0</v>
      </c>
      <c r="Q754" s="97">
        <f t="shared" si="4"/>
        <v>0</v>
      </c>
      <c r="R754" s="97" t="str">
        <f ca="1">ROUNDUP(HLOOKUP(IF(CEILING(L754,0.5)&lt;1,0.5,CEILING(L754,0.5)),'배송비 조회'!A$44:AO$56,7,0)*B$3,-2)</f>
        <v>#REF!</v>
      </c>
      <c r="S754" s="97">
        <v>0</v>
      </c>
      <c r="T754" s="97" t="str">
        <f t="shared" ca="1" si="42"/>
        <v>#REF!</v>
      </c>
      <c r="U754" s="97" t="str">
        <f t="shared" ca="1" si="29"/>
        <v>#REF!</v>
      </c>
      <c r="V754" s="97" t="str">
        <f t="shared" ca="1" si="7"/>
        <v>#REF!</v>
      </c>
      <c r="W754" s="97" t="str">
        <f t="shared" ca="1" si="8"/>
        <v>#REF!</v>
      </c>
      <c r="X754" s="121">
        <v>0</v>
      </c>
      <c r="Y754" s="121" t="str">
        <f t="shared" ca="1" si="9"/>
        <v>#REF!</v>
      </c>
      <c r="Z754" s="121" t="str">
        <f t="shared" ca="1" si="10"/>
        <v>#REF!</v>
      </c>
      <c r="AA754" s="99" t="str">
        <f t="shared" ca="1" si="11"/>
        <v>#REF!</v>
      </c>
      <c r="AB754" s="234" t="str">
        <f t="shared" ca="1" si="12"/>
        <v>#REF!</v>
      </c>
      <c r="AC754" s="257" t="str">
        <f t="shared" ca="1" si="13"/>
        <v>#REF!</v>
      </c>
      <c r="AD754" s="234" t="str">
        <f t="shared" ca="1" si="14"/>
        <v>#REF!</v>
      </c>
      <c r="AE754" s="100" t="str">
        <f t="shared" ca="1" si="15"/>
        <v>#REF!</v>
      </c>
      <c r="AF754" s="101" t="str">
        <f t="shared" ca="1" si="16"/>
        <v>#REF!</v>
      </c>
      <c r="AG754" s="102" t="str">
        <f t="shared" ref="AG754:AH754" ca="1" si="772">AE754/V754</f>
        <v>#REF!</v>
      </c>
      <c r="AH754" s="102" t="str">
        <f t="shared" ca="1" si="772"/>
        <v>#REF!</v>
      </c>
    </row>
    <row r="755" spans="1:34" ht="13.2">
      <c r="A755" s="251"/>
      <c r="B755" s="251"/>
      <c r="C755" s="252"/>
      <c r="D755" s="252"/>
      <c r="E755" s="114"/>
      <c r="F755" s="252"/>
      <c r="G755" s="125" t="s">
        <v>145</v>
      </c>
      <c r="I755" s="172"/>
      <c r="J755" s="82" t="str">
        <f t="shared" ca="1" si="0"/>
        <v>#REF!</v>
      </c>
      <c r="K755" s="82" t="str">
        <f t="shared" ca="1" si="1"/>
        <v>#REF!</v>
      </c>
      <c r="L755" s="82" t="str">
        <f t="shared" ca="1" si="44"/>
        <v>#REF!</v>
      </c>
      <c r="M755" s="93"/>
      <c r="N755" s="93"/>
      <c r="O755" s="95">
        <f t="shared" si="2"/>
        <v>0</v>
      </c>
      <c r="P755" s="96">
        <f t="shared" si="3"/>
        <v>0</v>
      </c>
      <c r="Q755" s="97">
        <f t="shared" si="4"/>
        <v>0</v>
      </c>
      <c r="R755" s="97" t="str">
        <f ca="1">ROUNDUP(HLOOKUP(IF(CEILING(L755,0.5)&lt;1,0.5,CEILING(L755,0.5)),'배송비 조회'!A$44:AO$56,7,0)*B$3,-2)</f>
        <v>#REF!</v>
      </c>
      <c r="S755" s="97">
        <v>0</v>
      </c>
      <c r="T755" s="97" t="str">
        <f t="shared" ca="1" si="42"/>
        <v>#REF!</v>
      </c>
      <c r="U755" s="97" t="str">
        <f t="shared" ca="1" si="29"/>
        <v>#REF!</v>
      </c>
      <c r="V755" s="97" t="str">
        <f t="shared" ca="1" si="7"/>
        <v>#REF!</v>
      </c>
      <c r="W755" s="97" t="str">
        <f t="shared" ca="1" si="8"/>
        <v>#REF!</v>
      </c>
      <c r="X755" s="121">
        <v>0</v>
      </c>
      <c r="Y755" s="121" t="str">
        <f t="shared" ca="1" si="9"/>
        <v>#REF!</v>
      </c>
      <c r="Z755" s="121" t="str">
        <f t="shared" ca="1" si="10"/>
        <v>#REF!</v>
      </c>
      <c r="AA755" s="99" t="str">
        <f t="shared" ca="1" si="11"/>
        <v>#REF!</v>
      </c>
      <c r="AB755" s="234" t="str">
        <f t="shared" ca="1" si="12"/>
        <v>#REF!</v>
      </c>
      <c r="AC755" s="257" t="str">
        <f t="shared" ca="1" si="13"/>
        <v>#REF!</v>
      </c>
      <c r="AD755" s="234" t="str">
        <f t="shared" ca="1" si="14"/>
        <v>#REF!</v>
      </c>
      <c r="AE755" s="100" t="str">
        <f t="shared" ca="1" si="15"/>
        <v>#REF!</v>
      </c>
      <c r="AF755" s="101" t="str">
        <f t="shared" ca="1" si="16"/>
        <v>#REF!</v>
      </c>
      <c r="AG755" s="102" t="str">
        <f t="shared" ref="AG755:AH755" ca="1" si="773">AE755/V755</f>
        <v>#REF!</v>
      </c>
      <c r="AH755" s="102" t="str">
        <f t="shared" ca="1" si="773"/>
        <v>#REF!</v>
      </c>
    </row>
    <row r="756" spans="1:34" ht="13.2">
      <c r="A756" s="251"/>
      <c r="B756" s="251"/>
      <c r="C756" s="252"/>
      <c r="D756" s="252"/>
      <c r="E756" s="114"/>
      <c r="F756" s="252"/>
      <c r="G756" s="125" t="s">
        <v>145</v>
      </c>
      <c r="I756" s="172"/>
      <c r="J756" s="82" t="str">
        <f t="shared" ca="1" si="0"/>
        <v>#REF!</v>
      </c>
      <c r="K756" s="82" t="str">
        <f t="shared" ca="1" si="1"/>
        <v>#REF!</v>
      </c>
      <c r="L756" s="82" t="str">
        <f t="shared" ca="1" si="44"/>
        <v>#REF!</v>
      </c>
      <c r="M756" s="93"/>
      <c r="N756" s="93"/>
      <c r="O756" s="95">
        <f t="shared" si="2"/>
        <v>0</v>
      </c>
      <c r="P756" s="96">
        <f t="shared" si="3"/>
        <v>0</v>
      </c>
      <c r="Q756" s="97">
        <f t="shared" si="4"/>
        <v>0</v>
      </c>
      <c r="R756" s="97" t="str">
        <f ca="1">ROUNDUP(HLOOKUP(IF(CEILING(L756,0.5)&lt;1,0.5,CEILING(L756,0.5)),'배송비 조회'!A$44:AO$56,7,0)*B$3,-2)</f>
        <v>#REF!</v>
      </c>
      <c r="S756" s="97">
        <v>0</v>
      </c>
      <c r="T756" s="97" t="str">
        <f t="shared" ca="1" si="42"/>
        <v>#REF!</v>
      </c>
      <c r="U756" s="97" t="str">
        <f t="shared" ca="1" si="29"/>
        <v>#REF!</v>
      </c>
      <c r="V756" s="97" t="str">
        <f t="shared" ca="1" si="7"/>
        <v>#REF!</v>
      </c>
      <c r="W756" s="97" t="str">
        <f t="shared" ca="1" si="8"/>
        <v>#REF!</v>
      </c>
      <c r="X756" s="121">
        <v>0</v>
      </c>
      <c r="Y756" s="121" t="str">
        <f t="shared" ca="1" si="9"/>
        <v>#REF!</v>
      </c>
      <c r="Z756" s="121" t="str">
        <f t="shared" ca="1" si="10"/>
        <v>#REF!</v>
      </c>
      <c r="AA756" s="99" t="str">
        <f t="shared" ca="1" si="11"/>
        <v>#REF!</v>
      </c>
      <c r="AB756" s="234" t="str">
        <f t="shared" ca="1" si="12"/>
        <v>#REF!</v>
      </c>
      <c r="AC756" s="257" t="str">
        <f t="shared" ca="1" si="13"/>
        <v>#REF!</v>
      </c>
      <c r="AD756" s="234" t="str">
        <f t="shared" ca="1" si="14"/>
        <v>#REF!</v>
      </c>
      <c r="AE756" s="100" t="str">
        <f t="shared" ca="1" si="15"/>
        <v>#REF!</v>
      </c>
      <c r="AF756" s="101" t="str">
        <f t="shared" ca="1" si="16"/>
        <v>#REF!</v>
      </c>
      <c r="AG756" s="102" t="str">
        <f t="shared" ref="AG756:AH756" ca="1" si="774">AE756/V756</f>
        <v>#REF!</v>
      </c>
      <c r="AH756" s="102" t="str">
        <f t="shared" ca="1" si="774"/>
        <v>#REF!</v>
      </c>
    </row>
    <row r="757" spans="1:34" ht="13.2">
      <c r="A757" s="251"/>
      <c r="B757" s="251"/>
      <c r="C757" s="252"/>
      <c r="D757" s="252"/>
      <c r="E757" s="114"/>
      <c r="F757" s="252"/>
      <c r="G757" s="125" t="s">
        <v>145</v>
      </c>
      <c r="I757" s="172"/>
      <c r="J757" s="82" t="str">
        <f t="shared" ca="1" si="0"/>
        <v>#REF!</v>
      </c>
      <c r="K757" s="82" t="str">
        <f t="shared" ca="1" si="1"/>
        <v>#REF!</v>
      </c>
      <c r="L757" s="82" t="str">
        <f t="shared" ca="1" si="44"/>
        <v>#REF!</v>
      </c>
      <c r="M757" s="93"/>
      <c r="N757" s="93"/>
      <c r="O757" s="95">
        <f t="shared" si="2"/>
        <v>0</v>
      </c>
      <c r="P757" s="96">
        <f t="shared" si="3"/>
        <v>0</v>
      </c>
      <c r="Q757" s="97">
        <f t="shared" si="4"/>
        <v>0</v>
      </c>
      <c r="R757" s="97" t="str">
        <f ca="1">ROUNDUP(HLOOKUP(IF(CEILING(L757,0.5)&lt;1,0.5,CEILING(L757,0.5)),'배송비 조회'!A$44:AO$56,7,0)*B$3,-2)</f>
        <v>#REF!</v>
      </c>
      <c r="S757" s="97">
        <v>0</v>
      </c>
      <c r="T757" s="97" t="str">
        <f t="shared" ca="1" si="42"/>
        <v>#REF!</v>
      </c>
      <c r="U757" s="97" t="str">
        <f t="shared" ca="1" si="29"/>
        <v>#REF!</v>
      </c>
      <c r="V757" s="97" t="str">
        <f t="shared" ca="1" si="7"/>
        <v>#REF!</v>
      </c>
      <c r="W757" s="97" t="str">
        <f t="shared" ca="1" si="8"/>
        <v>#REF!</v>
      </c>
      <c r="X757" s="121">
        <v>0</v>
      </c>
      <c r="Y757" s="121" t="str">
        <f t="shared" ca="1" si="9"/>
        <v>#REF!</v>
      </c>
      <c r="Z757" s="121" t="str">
        <f t="shared" ca="1" si="10"/>
        <v>#REF!</v>
      </c>
      <c r="AA757" s="99" t="str">
        <f t="shared" ca="1" si="11"/>
        <v>#REF!</v>
      </c>
      <c r="AB757" s="234" t="str">
        <f t="shared" ca="1" si="12"/>
        <v>#REF!</v>
      </c>
      <c r="AC757" s="257" t="str">
        <f t="shared" ca="1" si="13"/>
        <v>#REF!</v>
      </c>
      <c r="AD757" s="234" t="str">
        <f t="shared" ca="1" si="14"/>
        <v>#REF!</v>
      </c>
      <c r="AE757" s="100" t="str">
        <f t="shared" ca="1" si="15"/>
        <v>#REF!</v>
      </c>
      <c r="AF757" s="101" t="str">
        <f t="shared" ca="1" si="16"/>
        <v>#REF!</v>
      </c>
      <c r="AG757" s="102" t="str">
        <f t="shared" ref="AG757:AH757" ca="1" si="775">AE757/V757</f>
        <v>#REF!</v>
      </c>
      <c r="AH757" s="102" t="str">
        <f t="shared" ca="1" si="775"/>
        <v>#REF!</v>
      </c>
    </row>
    <row r="758" spans="1:34" ht="13.2">
      <c r="A758" s="251"/>
      <c r="B758" s="251"/>
      <c r="C758" s="252"/>
      <c r="D758" s="252"/>
      <c r="E758" s="114"/>
      <c r="F758" s="252"/>
      <c r="G758" s="125" t="s">
        <v>145</v>
      </c>
      <c r="I758" s="172"/>
      <c r="J758" s="82" t="str">
        <f t="shared" ca="1" si="0"/>
        <v>#REF!</v>
      </c>
      <c r="K758" s="82" t="str">
        <f t="shared" ca="1" si="1"/>
        <v>#REF!</v>
      </c>
      <c r="L758" s="82" t="str">
        <f t="shared" ca="1" si="44"/>
        <v>#REF!</v>
      </c>
      <c r="M758" s="93"/>
      <c r="N758" s="93"/>
      <c r="O758" s="95">
        <f t="shared" si="2"/>
        <v>0</v>
      </c>
      <c r="P758" s="96">
        <f t="shared" si="3"/>
        <v>0</v>
      </c>
      <c r="Q758" s="97">
        <f t="shared" si="4"/>
        <v>0</v>
      </c>
      <c r="R758" s="97" t="str">
        <f ca="1">ROUNDUP(HLOOKUP(IF(CEILING(L758,0.5)&lt;1,0.5,CEILING(L758,0.5)),'배송비 조회'!A$44:AO$56,7,0)*B$3,-2)</f>
        <v>#REF!</v>
      </c>
      <c r="S758" s="97">
        <v>0</v>
      </c>
      <c r="T758" s="97" t="str">
        <f t="shared" ca="1" si="42"/>
        <v>#REF!</v>
      </c>
      <c r="U758" s="97" t="str">
        <f t="shared" ca="1" si="29"/>
        <v>#REF!</v>
      </c>
      <c r="V758" s="97" t="str">
        <f t="shared" ca="1" si="7"/>
        <v>#REF!</v>
      </c>
      <c r="W758" s="97" t="str">
        <f t="shared" ca="1" si="8"/>
        <v>#REF!</v>
      </c>
      <c r="X758" s="121">
        <v>0</v>
      </c>
      <c r="Y758" s="121" t="str">
        <f t="shared" ca="1" si="9"/>
        <v>#REF!</v>
      </c>
      <c r="Z758" s="121" t="str">
        <f t="shared" ca="1" si="10"/>
        <v>#REF!</v>
      </c>
      <c r="AA758" s="99" t="str">
        <f t="shared" ca="1" si="11"/>
        <v>#REF!</v>
      </c>
      <c r="AB758" s="234" t="str">
        <f t="shared" ca="1" si="12"/>
        <v>#REF!</v>
      </c>
      <c r="AC758" s="257" t="str">
        <f t="shared" ca="1" si="13"/>
        <v>#REF!</v>
      </c>
      <c r="AD758" s="234" t="str">
        <f t="shared" ca="1" si="14"/>
        <v>#REF!</v>
      </c>
      <c r="AE758" s="100" t="str">
        <f t="shared" ca="1" si="15"/>
        <v>#REF!</v>
      </c>
      <c r="AF758" s="101" t="str">
        <f t="shared" ca="1" si="16"/>
        <v>#REF!</v>
      </c>
      <c r="AG758" s="102" t="str">
        <f t="shared" ref="AG758:AH758" ca="1" si="776">AE758/V758</f>
        <v>#REF!</v>
      </c>
      <c r="AH758" s="102" t="str">
        <f t="shared" ca="1" si="776"/>
        <v>#REF!</v>
      </c>
    </row>
    <row r="759" spans="1:34" ht="13.2">
      <c r="A759" s="251"/>
      <c r="B759" s="251"/>
      <c r="C759" s="252"/>
      <c r="D759" s="252"/>
      <c r="E759" s="114"/>
      <c r="F759" s="252"/>
      <c r="G759" s="125" t="s">
        <v>145</v>
      </c>
      <c r="I759" s="172"/>
      <c r="J759" s="82" t="str">
        <f t="shared" ca="1" si="0"/>
        <v>#REF!</v>
      </c>
      <c r="K759" s="82" t="str">
        <f t="shared" ca="1" si="1"/>
        <v>#REF!</v>
      </c>
      <c r="L759" s="82" t="str">
        <f t="shared" ca="1" si="44"/>
        <v>#REF!</v>
      </c>
      <c r="M759" s="93"/>
      <c r="N759" s="93"/>
      <c r="O759" s="95">
        <f t="shared" si="2"/>
        <v>0</v>
      </c>
      <c r="P759" s="96">
        <f t="shared" si="3"/>
        <v>0</v>
      </c>
      <c r="Q759" s="97">
        <f t="shared" si="4"/>
        <v>0</v>
      </c>
      <c r="R759" s="97" t="str">
        <f ca="1">ROUNDUP(HLOOKUP(IF(CEILING(L759,0.5)&lt;1,0.5,CEILING(L759,0.5)),'배송비 조회'!A$44:AO$56,7,0)*B$3,-2)</f>
        <v>#REF!</v>
      </c>
      <c r="S759" s="97">
        <v>0</v>
      </c>
      <c r="T759" s="97" t="str">
        <f t="shared" ca="1" si="42"/>
        <v>#REF!</v>
      </c>
      <c r="U759" s="97" t="str">
        <f t="shared" ca="1" si="29"/>
        <v>#REF!</v>
      </c>
      <c r="V759" s="97" t="str">
        <f t="shared" ca="1" si="7"/>
        <v>#REF!</v>
      </c>
      <c r="W759" s="97" t="str">
        <f t="shared" ca="1" si="8"/>
        <v>#REF!</v>
      </c>
      <c r="X759" s="121">
        <v>0</v>
      </c>
      <c r="Y759" s="121" t="str">
        <f t="shared" ca="1" si="9"/>
        <v>#REF!</v>
      </c>
      <c r="Z759" s="121" t="str">
        <f t="shared" ca="1" si="10"/>
        <v>#REF!</v>
      </c>
      <c r="AA759" s="99" t="str">
        <f t="shared" ca="1" si="11"/>
        <v>#REF!</v>
      </c>
      <c r="AB759" s="234" t="str">
        <f t="shared" ca="1" si="12"/>
        <v>#REF!</v>
      </c>
      <c r="AC759" s="257" t="str">
        <f t="shared" ca="1" si="13"/>
        <v>#REF!</v>
      </c>
      <c r="AD759" s="234" t="str">
        <f t="shared" ca="1" si="14"/>
        <v>#REF!</v>
      </c>
      <c r="AE759" s="100" t="str">
        <f t="shared" ca="1" si="15"/>
        <v>#REF!</v>
      </c>
      <c r="AF759" s="101" t="str">
        <f t="shared" ca="1" si="16"/>
        <v>#REF!</v>
      </c>
      <c r="AG759" s="102" t="str">
        <f t="shared" ref="AG759:AH759" ca="1" si="777">AE759/V759</f>
        <v>#REF!</v>
      </c>
      <c r="AH759" s="102" t="str">
        <f t="shared" ca="1" si="777"/>
        <v>#REF!</v>
      </c>
    </row>
    <row r="760" spans="1:34" ht="13.2">
      <c r="A760" s="251"/>
      <c r="B760" s="251"/>
      <c r="C760" s="252"/>
      <c r="D760" s="252"/>
      <c r="E760" s="114"/>
      <c r="F760" s="252"/>
      <c r="G760" s="125" t="s">
        <v>145</v>
      </c>
      <c r="I760" s="172"/>
      <c r="J760" s="82" t="str">
        <f t="shared" ca="1" si="0"/>
        <v>#REF!</v>
      </c>
      <c r="K760" s="82" t="str">
        <f t="shared" ca="1" si="1"/>
        <v>#REF!</v>
      </c>
      <c r="L760" s="82" t="str">
        <f t="shared" ca="1" si="44"/>
        <v>#REF!</v>
      </c>
      <c r="M760" s="93"/>
      <c r="N760" s="93"/>
      <c r="O760" s="95">
        <f t="shared" si="2"/>
        <v>0</v>
      </c>
      <c r="P760" s="96">
        <f t="shared" si="3"/>
        <v>0</v>
      </c>
      <c r="Q760" s="97">
        <f t="shared" si="4"/>
        <v>0</v>
      </c>
      <c r="R760" s="97" t="str">
        <f ca="1">ROUNDUP(HLOOKUP(IF(CEILING(L760,0.5)&lt;1,0.5,CEILING(L760,0.5)),'배송비 조회'!A$44:AO$56,7,0)*B$3,-2)</f>
        <v>#REF!</v>
      </c>
      <c r="S760" s="97">
        <v>0</v>
      </c>
      <c r="T760" s="97" t="str">
        <f t="shared" ca="1" si="42"/>
        <v>#REF!</v>
      </c>
      <c r="U760" s="97" t="str">
        <f t="shared" ca="1" si="29"/>
        <v>#REF!</v>
      </c>
      <c r="V760" s="97" t="str">
        <f t="shared" ca="1" si="7"/>
        <v>#REF!</v>
      </c>
      <c r="W760" s="97" t="str">
        <f t="shared" ca="1" si="8"/>
        <v>#REF!</v>
      </c>
      <c r="X760" s="121">
        <v>0</v>
      </c>
      <c r="Y760" s="121" t="str">
        <f t="shared" ca="1" si="9"/>
        <v>#REF!</v>
      </c>
      <c r="Z760" s="121" t="str">
        <f t="shared" ca="1" si="10"/>
        <v>#REF!</v>
      </c>
      <c r="AA760" s="99" t="str">
        <f t="shared" ca="1" si="11"/>
        <v>#REF!</v>
      </c>
      <c r="AB760" s="234" t="str">
        <f t="shared" ca="1" si="12"/>
        <v>#REF!</v>
      </c>
      <c r="AC760" s="257" t="str">
        <f t="shared" ca="1" si="13"/>
        <v>#REF!</v>
      </c>
      <c r="AD760" s="234" t="str">
        <f t="shared" ca="1" si="14"/>
        <v>#REF!</v>
      </c>
      <c r="AE760" s="100" t="str">
        <f t="shared" ca="1" si="15"/>
        <v>#REF!</v>
      </c>
      <c r="AF760" s="101" t="str">
        <f t="shared" ca="1" si="16"/>
        <v>#REF!</v>
      </c>
      <c r="AG760" s="102" t="str">
        <f t="shared" ref="AG760:AH760" ca="1" si="778">AE760/V760</f>
        <v>#REF!</v>
      </c>
      <c r="AH760" s="102" t="str">
        <f t="shared" ca="1" si="778"/>
        <v>#REF!</v>
      </c>
    </row>
    <row r="761" spans="1:34" ht="13.2">
      <c r="A761" s="251"/>
      <c r="B761" s="251"/>
      <c r="C761" s="252"/>
      <c r="D761" s="252"/>
      <c r="E761" s="114"/>
      <c r="F761" s="252"/>
      <c r="G761" s="125" t="s">
        <v>145</v>
      </c>
      <c r="I761" s="172"/>
      <c r="J761" s="82" t="str">
        <f t="shared" ca="1" si="0"/>
        <v>#REF!</v>
      </c>
      <c r="K761" s="82" t="str">
        <f t="shared" ca="1" si="1"/>
        <v>#REF!</v>
      </c>
      <c r="L761" s="82" t="str">
        <f t="shared" ca="1" si="44"/>
        <v>#REF!</v>
      </c>
      <c r="M761" s="93"/>
      <c r="N761" s="93"/>
      <c r="O761" s="95">
        <f t="shared" si="2"/>
        <v>0</v>
      </c>
      <c r="P761" s="96">
        <f t="shared" si="3"/>
        <v>0</v>
      </c>
      <c r="Q761" s="97">
        <f t="shared" si="4"/>
        <v>0</v>
      </c>
      <c r="R761" s="97" t="str">
        <f ca="1">ROUNDUP(HLOOKUP(IF(CEILING(L761,0.5)&lt;1,0.5,CEILING(L761,0.5)),'배송비 조회'!A$44:AO$56,7,0)*B$3,-2)</f>
        <v>#REF!</v>
      </c>
      <c r="S761" s="97">
        <v>0</v>
      </c>
      <c r="T761" s="97" t="str">
        <f t="shared" ca="1" si="42"/>
        <v>#REF!</v>
      </c>
      <c r="U761" s="97" t="str">
        <f t="shared" ca="1" si="29"/>
        <v>#REF!</v>
      </c>
      <c r="V761" s="97" t="str">
        <f t="shared" ca="1" si="7"/>
        <v>#REF!</v>
      </c>
      <c r="W761" s="97" t="str">
        <f t="shared" ca="1" si="8"/>
        <v>#REF!</v>
      </c>
      <c r="X761" s="121">
        <v>0</v>
      </c>
      <c r="Y761" s="121" t="str">
        <f t="shared" ca="1" si="9"/>
        <v>#REF!</v>
      </c>
      <c r="Z761" s="121" t="str">
        <f t="shared" ca="1" si="10"/>
        <v>#REF!</v>
      </c>
      <c r="AA761" s="99" t="str">
        <f t="shared" ca="1" si="11"/>
        <v>#REF!</v>
      </c>
      <c r="AB761" s="234" t="str">
        <f t="shared" ca="1" si="12"/>
        <v>#REF!</v>
      </c>
      <c r="AC761" s="257" t="str">
        <f t="shared" ca="1" si="13"/>
        <v>#REF!</v>
      </c>
      <c r="AD761" s="234" t="str">
        <f t="shared" ca="1" si="14"/>
        <v>#REF!</v>
      </c>
      <c r="AE761" s="100" t="str">
        <f t="shared" ca="1" si="15"/>
        <v>#REF!</v>
      </c>
      <c r="AF761" s="101" t="str">
        <f t="shared" ca="1" si="16"/>
        <v>#REF!</v>
      </c>
      <c r="AG761" s="102" t="str">
        <f t="shared" ref="AG761:AH761" ca="1" si="779">AE761/V761</f>
        <v>#REF!</v>
      </c>
      <c r="AH761" s="102" t="str">
        <f t="shared" ca="1" si="779"/>
        <v>#REF!</v>
      </c>
    </row>
    <row r="762" spans="1:34" ht="13.2">
      <c r="A762" s="251"/>
      <c r="B762" s="251"/>
      <c r="C762" s="252"/>
      <c r="D762" s="252"/>
      <c r="E762" s="114"/>
      <c r="F762" s="252"/>
      <c r="G762" s="125" t="s">
        <v>145</v>
      </c>
      <c r="I762" s="172"/>
      <c r="J762" s="82" t="str">
        <f t="shared" ca="1" si="0"/>
        <v>#REF!</v>
      </c>
      <c r="K762" s="82" t="str">
        <f t="shared" ca="1" si="1"/>
        <v>#REF!</v>
      </c>
      <c r="L762" s="82" t="str">
        <f t="shared" ca="1" si="44"/>
        <v>#REF!</v>
      </c>
      <c r="M762" s="93"/>
      <c r="N762" s="93"/>
      <c r="O762" s="95">
        <f t="shared" si="2"/>
        <v>0</v>
      </c>
      <c r="P762" s="96">
        <f t="shared" si="3"/>
        <v>0</v>
      </c>
      <c r="Q762" s="97">
        <f t="shared" si="4"/>
        <v>0</v>
      </c>
      <c r="R762" s="97" t="str">
        <f ca="1">ROUNDUP(HLOOKUP(IF(CEILING(L762,0.5)&lt;1,0.5,CEILING(L762,0.5)),'배송비 조회'!A$44:AO$56,7,0)*B$3,-2)</f>
        <v>#REF!</v>
      </c>
      <c r="S762" s="97">
        <v>0</v>
      </c>
      <c r="T762" s="97" t="str">
        <f t="shared" ca="1" si="42"/>
        <v>#REF!</v>
      </c>
      <c r="U762" s="97" t="str">
        <f t="shared" ca="1" si="29"/>
        <v>#REF!</v>
      </c>
      <c r="V762" s="97" t="str">
        <f t="shared" ca="1" si="7"/>
        <v>#REF!</v>
      </c>
      <c r="W762" s="97" t="str">
        <f t="shared" ca="1" si="8"/>
        <v>#REF!</v>
      </c>
      <c r="X762" s="121">
        <v>0</v>
      </c>
      <c r="Y762" s="121" t="str">
        <f t="shared" ca="1" si="9"/>
        <v>#REF!</v>
      </c>
      <c r="Z762" s="121" t="str">
        <f t="shared" ca="1" si="10"/>
        <v>#REF!</v>
      </c>
      <c r="AA762" s="99" t="str">
        <f t="shared" ca="1" si="11"/>
        <v>#REF!</v>
      </c>
      <c r="AB762" s="234" t="str">
        <f t="shared" ca="1" si="12"/>
        <v>#REF!</v>
      </c>
      <c r="AC762" s="257" t="str">
        <f t="shared" ca="1" si="13"/>
        <v>#REF!</v>
      </c>
      <c r="AD762" s="234" t="str">
        <f t="shared" ca="1" si="14"/>
        <v>#REF!</v>
      </c>
      <c r="AE762" s="100" t="str">
        <f t="shared" ca="1" si="15"/>
        <v>#REF!</v>
      </c>
      <c r="AF762" s="101" t="str">
        <f t="shared" ca="1" si="16"/>
        <v>#REF!</v>
      </c>
      <c r="AG762" s="102" t="str">
        <f t="shared" ref="AG762:AH762" ca="1" si="780">AE762/V762</f>
        <v>#REF!</v>
      </c>
      <c r="AH762" s="102" t="str">
        <f t="shared" ca="1" si="780"/>
        <v>#REF!</v>
      </c>
    </row>
    <row r="763" spans="1:34" ht="13.2">
      <c r="A763" s="251"/>
      <c r="B763" s="251"/>
      <c r="C763" s="252"/>
      <c r="D763" s="252"/>
      <c r="E763" s="114"/>
      <c r="F763" s="252"/>
      <c r="G763" s="125" t="s">
        <v>145</v>
      </c>
      <c r="I763" s="172"/>
      <c r="J763" s="82" t="str">
        <f t="shared" ca="1" si="0"/>
        <v>#REF!</v>
      </c>
      <c r="K763" s="82" t="str">
        <f t="shared" ca="1" si="1"/>
        <v>#REF!</v>
      </c>
      <c r="L763" s="82" t="str">
        <f t="shared" ca="1" si="44"/>
        <v>#REF!</v>
      </c>
      <c r="M763" s="93"/>
      <c r="N763" s="93"/>
      <c r="O763" s="95">
        <f t="shared" si="2"/>
        <v>0</v>
      </c>
      <c r="P763" s="96">
        <f t="shared" si="3"/>
        <v>0</v>
      </c>
      <c r="Q763" s="97">
        <f t="shared" si="4"/>
        <v>0</v>
      </c>
      <c r="R763" s="97" t="str">
        <f ca="1">ROUNDUP(HLOOKUP(IF(CEILING(L763,0.5)&lt;1,0.5,CEILING(L763,0.5)),'배송비 조회'!A$44:AO$56,7,0)*B$3,-2)</f>
        <v>#REF!</v>
      </c>
      <c r="S763" s="97">
        <v>0</v>
      </c>
      <c r="T763" s="97" t="str">
        <f t="shared" ca="1" si="42"/>
        <v>#REF!</v>
      </c>
      <c r="U763" s="97" t="str">
        <f t="shared" ca="1" si="29"/>
        <v>#REF!</v>
      </c>
      <c r="V763" s="97" t="str">
        <f t="shared" ca="1" si="7"/>
        <v>#REF!</v>
      </c>
      <c r="W763" s="97" t="str">
        <f t="shared" ca="1" si="8"/>
        <v>#REF!</v>
      </c>
      <c r="X763" s="121">
        <v>0</v>
      </c>
      <c r="Y763" s="121" t="str">
        <f t="shared" ca="1" si="9"/>
        <v>#REF!</v>
      </c>
      <c r="Z763" s="121" t="str">
        <f t="shared" ca="1" si="10"/>
        <v>#REF!</v>
      </c>
      <c r="AA763" s="99" t="str">
        <f t="shared" ca="1" si="11"/>
        <v>#REF!</v>
      </c>
      <c r="AB763" s="234" t="str">
        <f t="shared" ca="1" si="12"/>
        <v>#REF!</v>
      </c>
      <c r="AC763" s="257" t="str">
        <f t="shared" ca="1" si="13"/>
        <v>#REF!</v>
      </c>
      <c r="AD763" s="234" t="str">
        <f t="shared" ca="1" si="14"/>
        <v>#REF!</v>
      </c>
      <c r="AE763" s="100" t="str">
        <f t="shared" ca="1" si="15"/>
        <v>#REF!</v>
      </c>
      <c r="AF763" s="101" t="str">
        <f t="shared" ca="1" si="16"/>
        <v>#REF!</v>
      </c>
      <c r="AG763" s="102" t="str">
        <f t="shared" ref="AG763:AH763" ca="1" si="781">AE763/V763</f>
        <v>#REF!</v>
      </c>
      <c r="AH763" s="102" t="str">
        <f t="shared" ca="1" si="781"/>
        <v>#REF!</v>
      </c>
    </row>
    <row r="764" spans="1:34" ht="13.2">
      <c r="A764" s="251"/>
      <c r="B764" s="251"/>
      <c r="C764" s="252"/>
      <c r="D764" s="252"/>
      <c r="E764" s="114"/>
      <c r="F764" s="252"/>
      <c r="G764" s="125" t="s">
        <v>145</v>
      </c>
      <c r="I764" s="172"/>
      <c r="J764" s="82" t="str">
        <f t="shared" ca="1" si="0"/>
        <v>#REF!</v>
      </c>
      <c r="K764" s="82" t="str">
        <f t="shared" ca="1" si="1"/>
        <v>#REF!</v>
      </c>
      <c r="L764" s="82" t="str">
        <f t="shared" ca="1" si="44"/>
        <v>#REF!</v>
      </c>
      <c r="M764" s="93"/>
      <c r="N764" s="93"/>
      <c r="O764" s="95">
        <f t="shared" si="2"/>
        <v>0</v>
      </c>
      <c r="P764" s="96">
        <f t="shared" si="3"/>
        <v>0</v>
      </c>
      <c r="Q764" s="97">
        <f t="shared" si="4"/>
        <v>0</v>
      </c>
      <c r="R764" s="97" t="str">
        <f ca="1">ROUNDUP(HLOOKUP(IF(CEILING(L764,0.5)&lt;1,0.5,CEILING(L764,0.5)),'배송비 조회'!A$44:AO$56,7,0)*B$3,-2)</f>
        <v>#REF!</v>
      </c>
      <c r="S764" s="97">
        <v>0</v>
      </c>
      <c r="T764" s="97" t="str">
        <f t="shared" ca="1" si="42"/>
        <v>#REF!</v>
      </c>
      <c r="U764" s="97" t="str">
        <f t="shared" ca="1" si="29"/>
        <v>#REF!</v>
      </c>
      <c r="V764" s="97" t="str">
        <f t="shared" ca="1" si="7"/>
        <v>#REF!</v>
      </c>
      <c r="W764" s="97" t="str">
        <f t="shared" ca="1" si="8"/>
        <v>#REF!</v>
      </c>
      <c r="X764" s="121">
        <v>0</v>
      </c>
      <c r="Y764" s="121" t="str">
        <f t="shared" ca="1" si="9"/>
        <v>#REF!</v>
      </c>
      <c r="Z764" s="121" t="str">
        <f t="shared" ca="1" si="10"/>
        <v>#REF!</v>
      </c>
      <c r="AA764" s="99" t="str">
        <f t="shared" ca="1" si="11"/>
        <v>#REF!</v>
      </c>
      <c r="AB764" s="234" t="str">
        <f t="shared" ca="1" si="12"/>
        <v>#REF!</v>
      </c>
      <c r="AC764" s="257" t="str">
        <f t="shared" ca="1" si="13"/>
        <v>#REF!</v>
      </c>
      <c r="AD764" s="234" t="str">
        <f t="shared" ca="1" si="14"/>
        <v>#REF!</v>
      </c>
      <c r="AE764" s="100" t="str">
        <f t="shared" ca="1" si="15"/>
        <v>#REF!</v>
      </c>
      <c r="AF764" s="101" t="str">
        <f t="shared" ca="1" si="16"/>
        <v>#REF!</v>
      </c>
      <c r="AG764" s="102" t="str">
        <f t="shared" ref="AG764:AH764" ca="1" si="782">AE764/V764</f>
        <v>#REF!</v>
      </c>
      <c r="AH764" s="102" t="str">
        <f t="shared" ca="1" si="782"/>
        <v>#REF!</v>
      </c>
    </row>
    <row r="765" spans="1:34" ht="13.2">
      <c r="A765" s="251"/>
      <c r="B765" s="251"/>
      <c r="C765" s="252"/>
      <c r="D765" s="252"/>
      <c r="E765" s="114"/>
      <c r="F765" s="252"/>
      <c r="G765" s="125" t="s">
        <v>145</v>
      </c>
      <c r="I765" s="172"/>
      <c r="J765" s="82" t="str">
        <f t="shared" ca="1" si="0"/>
        <v>#REF!</v>
      </c>
      <c r="K765" s="82" t="str">
        <f t="shared" ca="1" si="1"/>
        <v>#REF!</v>
      </c>
      <c r="L765" s="82" t="str">
        <f t="shared" ca="1" si="44"/>
        <v>#REF!</v>
      </c>
      <c r="M765" s="93"/>
      <c r="N765" s="93"/>
      <c r="O765" s="95">
        <f t="shared" si="2"/>
        <v>0</v>
      </c>
      <c r="P765" s="96">
        <f t="shared" si="3"/>
        <v>0</v>
      </c>
      <c r="Q765" s="97">
        <f t="shared" si="4"/>
        <v>0</v>
      </c>
      <c r="R765" s="97" t="str">
        <f ca="1">ROUNDUP(HLOOKUP(IF(CEILING(L765,0.5)&lt;1,0.5,CEILING(L765,0.5)),'배송비 조회'!A$44:AO$56,7,0)*B$3,-2)</f>
        <v>#REF!</v>
      </c>
      <c r="S765" s="97">
        <v>0</v>
      </c>
      <c r="T765" s="97" t="str">
        <f t="shared" ca="1" si="42"/>
        <v>#REF!</v>
      </c>
      <c r="U765" s="97" t="str">
        <f t="shared" ca="1" si="29"/>
        <v>#REF!</v>
      </c>
      <c r="V765" s="97" t="str">
        <f t="shared" ca="1" si="7"/>
        <v>#REF!</v>
      </c>
      <c r="W765" s="97" t="str">
        <f t="shared" ca="1" si="8"/>
        <v>#REF!</v>
      </c>
      <c r="X765" s="121">
        <v>0</v>
      </c>
      <c r="Y765" s="121" t="str">
        <f t="shared" ca="1" si="9"/>
        <v>#REF!</v>
      </c>
      <c r="Z765" s="121" t="str">
        <f t="shared" ca="1" si="10"/>
        <v>#REF!</v>
      </c>
      <c r="AA765" s="99" t="str">
        <f t="shared" ca="1" si="11"/>
        <v>#REF!</v>
      </c>
      <c r="AB765" s="234" t="str">
        <f t="shared" ca="1" si="12"/>
        <v>#REF!</v>
      </c>
      <c r="AC765" s="257" t="str">
        <f t="shared" ca="1" si="13"/>
        <v>#REF!</v>
      </c>
      <c r="AD765" s="234" t="str">
        <f t="shared" ca="1" si="14"/>
        <v>#REF!</v>
      </c>
      <c r="AE765" s="100" t="str">
        <f t="shared" ca="1" si="15"/>
        <v>#REF!</v>
      </c>
      <c r="AF765" s="101" t="str">
        <f t="shared" ca="1" si="16"/>
        <v>#REF!</v>
      </c>
      <c r="AG765" s="102" t="str">
        <f t="shared" ref="AG765:AH765" ca="1" si="783">AE765/V765</f>
        <v>#REF!</v>
      </c>
      <c r="AH765" s="102" t="str">
        <f t="shared" ca="1" si="783"/>
        <v>#REF!</v>
      </c>
    </row>
    <row r="766" spans="1:34" ht="13.2">
      <c r="A766" s="251"/>
      <c r="B766" s="251"/>
      <c r="C766" s="252"/>
      <c r="D766" s="252"/>
      <c r="E766" s="114"/>
      <c r="F766" s="252"/>
      <c r="G766" s="125" t="s">
        <v>145</v>
      </c>
      <c r="I766" s="172"/>
      <c r="J766" s="82" t="str">
        <f t="shared" ca="1" si="0"/>
        <v>#REF!</v>
      </c>
      <c r="K766" s="82" t="str">
        <f t="shared" ca="1" si="1"/>
        <v>#REF!</v>
      </c>
      <c r="L766" s="82" t="str">
        <f t="shared" ca="1" si="44"/>
        <v>#REF!</v>
      </c>
      <c r="M766" s="93"/>
      <c r="N766" s="93"/>
      <c r="O766" s="95">
        <f t="shared" si="2"/>
        <v>0</v>
      </c>
      <c r="P766" s="96">
        <f t="shared" si="3"/>
        <v>0</v>
      </c>
      <c r="Q766" s="97">
        <f t="shared" si="4"/>
        <v>0</v>
      </c>
      <c r="R766" s="97" t="str">
        <f ca="1">ROUNDUP(HLOOKUP(IF(CEILING(L766,0.5)&lt;1,0.5,CEILING(L766,0.5)),'배송비 조회'!A$44:AO$56,7,0)*B$3,-2)</f>
        <v>#REF!</v>
      </c>
      <c r="S766" s="97">
        <v>0</v>
      </c>
      <c r="T766" s="97" t="str">
        <f t="shared" ca="1" si="42"/>
        <v>#REF!</v>
      </c>
      <c r="U766" s="97" t="str">
        <f t="shared" ca="1" si="29"/>
        <v>#REF!</v>
      </c>
      <c r="V766" s="97" t="str">
        <f t="shared" ca="1" si="7"/>
        <v>#REF!</v>
      </c>
      <c r="W766" s="97" t="str">
        <f t="shared" ca="1" si="8"/>
        <v>#REF!</v>
      </c>
      <c r="X766" s="121">
        <v>0</v>
      </c>
      <c r="Y766" s="121" t="str">
        <f t="shared" ca="1" si="9"/>
        <v>#REF!</v>
      </c>
      <c r="Z766" s="121" t="str">
        <f t="shared" ca="1" si="10"/>
        <v>#REF!</v>
      </c>
      <c r="AA766" s="99" t="str">
        <f t="shared" ca="1" si="11"/>
        <v>#REF!</v>
      </c>
      <c r="AB766" s="234" t="str">
        <f t="shared" ca="1" si="12"/>
        <v>#REF!</v>
      </c>
      <c r="AC766" s="257" t="str">
        <f t="shared" ca="1" si="13"/>
        <v>#REF!</v>
      </c>
      <c r="AD766" s="234" t="str">
        <f t="shared" ca="1" si="14"/>
        <v>#REF!</v>
      </c>
      <c r="AE766" s="100" t="str">
        <f t="shared" ca="1" si="15"/>
        <v>#REF!</v>
      </c>
      <c r="AF766" s="101" t="str">
        <f t="shared" ca="1" si="16"/>
        <v>#REF!</v>
      </c>
      <c r="AG766" s="102" t="str">
        <f t="shared" ref="AG766:AH766" ca="1" si="784">AE766/V766</f>
        <v>#REF!</v>
      </c>
      <c r="AH766" s="102" t="str">
        <f t="shared" ca="1" si="784"/>
        <v>#REF!</v>
      </c>
    </row>
    <row r="767" spans="1:34" ht="13.2">
      <c r="A767" s="251"/>
      <c r="B767" s="251"/>
      <c r="C767" s="252"/>
      <c r="D767" s="252"/>
      <c r="E767" s="114"/>
      <c r="F767" s="252"/>
      <c r="G767" s="125" t="s">
        <v>145</v>
      </c>
      <c r="I767" s="172"/>
      <c r="J767" s="82" t="str">
        <f t="shared" ca="1" si="0"/>
        <v>#REF!</v>
      </c>
      <c r="K767" s="82" t="str">
        <f t="shared" ca="1" si="1"/>
        <v>#REF!</v>
      </c>
      <c r="L767" s="82" t="str">
        <f t="shared" ca="1" si="44"/>
        <v>#REF!</v>
      </c>
      <c r="M767" s="93"/>
      <c r="N767" s="93"/>
      <c r="O767" s="95">
        <f t="shared" si="2"/>
        <v>0</v>
      </c>
      <c r="P767" s="96">
        <f t="shared" si="3"/>
        <v>0</v>
      </c>
      <c r="Q767" s="97">
        <f t="shared" si="4"/>
        <v>0</v>
      </c>
      <c r="R767" s="97" t="str">
        <f ca="1">ROUNDUP(HLOOKUP(IF(CEILING(L767,0.5)&lt;1,0.5,CEILING(L767,0.5)),'배송비 조회'!A$44:AO$56,7,0)*B$3,-2)</f>
        <v>#REF!</v>
      </c>
      <c r="S767" s="97">
        <v>0</v>
      </c>
      <c r="T767" s="97" t="str">
        <f t="shared" ca="1" si="42"/>
        <v>#REF!</v>
      </c>
      <c r="U767" s="97" t="str">
        <f t="shared" ca="1" si="29"/>
        <v>#REF!</v>
      </c>
      <c r="V767" s="97" t="str">
        <f t="shared" ca="1" si="7"/>
        <v>#REF!</v>
      </c>
      <c r="W767" s="97" t="str">
        <f t="shared" ca="1" si="8"/>
        <v>#REF!</v>
      </c>
      <c r="X767" s="121">
        <v>0</v>
      </c>
      <c r="Y767" s="121" t="str">
        <f t="shared" ca="1" si="9"/>
        <v>#REF!</v>
      </c>
      <c r="Z767" s="121" t="str">
        <f t="shared" ca="1" si="10"/>
        <v>#REF!</v>
      </c>
      <c r="AA767" s="99" t="str">
        <f t="shared" ca="1" si="11"/>
        <v>#REF!</v>
      </c>
      <c r="AB767" s="234" t="str">
        <f t="shared" ca="1" si="12"/>
        <v>#REF!</v>
      </c>
      <c r="AC767" s="257" t="str">
        <f t="shared" ca="1" si="13"/>
        <v>#REF!</v>
      </c>
      <c r="AD767" s="234" t="str">
        <f t="shared" ca="1" si="14"/>
        <v>#REF!</v>
      </c>
      <c r="AE767" s="100" t="str">
        <f t="shared" ca="1" si="15"/>
        <v>#REF!</v>
      </c>
      <c r="AF767" s="101" t="str">
        <f t="shared" ca="1" si="16"/>
        <v>#REF!</v>
      </c>
      <c r="AG767" s="102" t="str">
        <f t="shared" ref="AG767:AH767" ca="1" si="785">AE767/V767</f>
        <v>#REF!</v>
      </c>
      <c r="AH767" s="102" t="str">
        <f t="shared" ca="1" si="785"/>
        <v>#REF!</v>
      </c>
    </row>
    <row r="768" spans="1:34" ht="13.2">
      <c r="A768" s="251"/>
      <c r="B768" s="251"/>
      <c r="C768" s="252"/>
      <c r="D768" s="252"/>
      <c r="E768" s="114"/>
      <c r="F768" s="252"/>
      <c r="G768" s="125" t="s">
        <v>145</v>
      </c>
      <c r="I768" s="172"/>
      <c r="J768" s="82" t="str">
        <f t="shared" ca="1" si="0"/>
        <v>#REF!</v>
      </c>
      <c r="K768" s="82" t="str">
        <f t="shared" ca="1" si="1"/>
        <v>#REF!</v>
      </c>
      <c r="L768" s="82" t="str">
        <f t="shared" ca="1" si="44"/>
        <v>#REF!</v>
      </c>
      <c r="M768" s="93"/>
      <c r="N768" s="93"/>
      <c r="O768" s="95">
        <f t="shared" si="2"/>
        <v>0</v>
      </c>
      <c r="P768" s="96">
        <f t="shared" si="3"/>
        <v>0</v>
      </c>
      <c r="Q768" s="97">
        <f t="shared" si="4"/>
        <v>0</v>
      </c>
      <c r="R768" s="97" t="str">
        <f ca="1">ROUNDUP(HLOOKUP(IF(CEILING(L768,0.5)&lt;1,0.5,CEILING(L768,0.5)),'배송비 조회'!A$44:AO$56,7,0)*B$3,-2)</f>
        <v>#REF!</v>
      </c>
      <c r="S768" s="97">
        <v>0</v>
      </c>
      <c r="T768" s="97" t="str">
        <f t="shared" ca="1" si="42"/>
        <v>#REF!</v>
      </c>
      <c r="U768" s="97" t="str">
        <f t="shared" ca="1" si="29"/>
        <v>#REF!</v>
      </c>
      <c r="V768" s="97" t="str">
        <f t="shared" ca="1" si="7"/>
        <v>#REF!</v>
      </c>
      <c r="W768" s="97" t="str">
        <f t="shared" ca="1" si="8"/>
        <v>#REF!</v>
      </c>
      <c r="X768" s="121">
        <v>0</v>
      </c>
      <c r="Y768" s="121" t="str">
        <f t="shared" ca="1" si="9"/>
        <v>#REF!</v>
      </c>
      <c r="Z768" s="121" t="str">
        <f t="shared" ca="1" si="10"/>
        <v>#REF!</v>
      </c>
      <c r="AA768" s="99" t="str">
        <f t="shared" ca="1" si="11"/>
        <v>#REF!</v>
      </c>
      <c r="AB768" s="234" t="str">
        <f t="shared" ca="1" si="12"/>
        <v>#REF!</v>
      </c>
      <c r="AC768" s="257" t="str">
        <f t="shared" ca="1" si="13"/>
        <v>#REF!</v>
      </c>
      <c r="AD768" s="234" t="str">
        <f t="shared" ca="1" si="14"/>
        <v>#REF!</v>
      </c>
      <c r="AE768" s="100" t="str">
        <f t="shared" ca="1" si="15"/>
        <v>#REF!</v>
      </c>
      <c r="AF768" s="101" t="str">
        <f t="shared" ca="1" si="16"/>
        <v>#REF!</v>
      </c>
      <c r="AG768" s="102" t="str">
        <f t="shared" ref="AG768:AH768" ca="1" si="786">AE768/V768</f>
        <v>#REF!</v>
      </c>
      <c r="AH768" s="102" t="str">
        <f t="shared" ca="1" si="786"/>
        <v>#REF!</v>
      </c>
    </row>
    <row r="769" spans="1:34" ht="13.2">
      <c r="A769" s="251"/>
      <c r="B769" s="251"/>
      <c r="C769" s="252"/>
      <c r="D769" s="252"/>
      <c r="E769" s="114"/>
      <c r="F769" s="252"/>
      <c r="G769" s="125" t="s">
        <v>145</v>
      </c>
      <c r="I769" s="172"/>
      <c r="J769" s="82" t="str">
        <f t="shared" ca="1" si="0"/>
        <v>#REF!</v>
      </c>
      <c r="K769" s="82" t="str">
        <f t="shared" ca="1" si="1"/>
        <v>#REF!</v>
      </c>
      <c r="L769" s="82" t="str">
        <f t="shared" ca="1" si="44"/>
        <v>#REF!</v>
      </c>
      <c r="M769" s="93"/>
      <c r="N769" s="93"/>
      <c r="O769" s="95">
        <f t="shared" si="2"/>
        <v>0</v>
      </c>
      <c r="P769" s="96">
        <f t="shared" si="3"/>
        <v>0</v>
      </c>
      <c r="Q769" s="97">
        <f t="shared" si="4"/>
        <v>0</v>
      </c>
      <c r="R769" s="97" t="str">
        <f ca="1">ROUNDUP(HLOOKUP(IF(CEILING(L769,0.5)&lt;1,0.5,CEILING(L769,0.5)),'배송비 조회'!A$44:AO$56,7,0)*B$3,-2)</f>
        <v>#REF!</v>
      </c>
      <c r="S769" s="97">
        <v>0</v>
      </c>
      <c r="T769" s="97" t="str">
        <f t="shared" ca="1" si="42"/>
        <v>#REF!</v>
      </c>
      <c r="U769" s="97" t="str">
        <f t="shared" ca="1" si="29"/>
        <v>#REF!</v>
      </c>
      <c r="V769" s="97" t="str">
        <f t="shared" ca="1" si="7"/>
        <v>#REF!</v>
      </c>
      <c r="W769" s="97" t="str">
        <f t="shared" ca="1" si="8"/>
        <v>#REF!</v>
      </c>
      <c r="X769" s="121">
        <v>0</v>
      </c>
      <c r="Y769" s="121" t="str">
        <f t="shared" ca="1" si="9"/>
        <v>#REF!</v>
      </c>
      <c r="Z769" s="121" t="str">
        <f t="shared" ca="1" si="10"/>
        <v>#REF!</v>
      </c>
      <c r="AA769" s="99" t="str">
        <f t="shared" ca="1" si="11"/>
        <v>#REF!</v>
      </c>
      <c r="AB769" s="234" t="str">
        <f t="shared" ca="1" si="12"/>
        <v>#REF!</v>
      </c>
      <c r="AC769" s="257" t="str">
        <f t="shared" ca="1" si="13"/>
        <v>#REF!</v>
      </c>
      <c r="AD769" s="234" t="str">
        <f t="shared" ca="1" si="14"/>
        <v>#REF!</v>
      </c>
      <c r="AE769" s="100" t="str">
        <f t="shared" ca="1" si="15"/>
        <v>#REF!</v>
      </c>
      <c r="AF769" s="101" t="str">
        <f t="shared" ca="1" si="16"/>
        <v>#REF!</v>
      </c>
      <c r="AG769" s="102" t="str">
        <f t="shared" ref="AG769:AH769" ca="1" si="787">AE769/V769</f>
        <v>#REF!</v>
      </c>
      <c r="AH769" s="102" t="str">
        <f t="shared" ca="1" si="787"/>
        <v>#REF!</v>
      </c>
    </row>
    <row r="770" spans="1:34" ht="13.2">
      <c r="A770" s="251"/>
      <c r="B770" s="251"/>
      <c r="C770" s="252"/>
      <c r="D770" s="252"/>
      <c r="E770" s="114"/>
      <c r="F770" s="252"/>
      <c r="G770" s="125" t="s">
        <v>145</v>
      </c>
      <c r="I770" s="172"/>
      <c r="J770" s="82" t="str">
        <f t="shared" ca="1" si="0"/>
        <v>#REF!</v>
      </c>
      <c r="K770" s="82" t="str">
        <f t="shared" ca="1" si="1"/>
        <v>#REF!</v>
      </c>
      <c r="L770" s="82" t="str">
        <f t="shared" ca="1" si="44"/>
        <v>#REF!</v>
      </c>
      <c r="M770" s="93"/>
      <c r="N770" s="93"/>
      <c r="O770" s="95">
        <f t="shared" si="2"/>
        <v>0</v>
      </c>
      <c r="P770" s="96">
        <f t="shared" si="3"/>
        <v>0</v>
      </c>
      <c r="Q770" s="97">
        <f t="shared" si="4"/>
        <v>0</v>
      </c>
      <c r="R770" s="97" t="str">
        <f ca="1">ROUNDUP(HLOOKUP(IF(CEILING(L770,0.5)&lt;1,0.5,CEILING(L770,0.5)),'배송비 조회'!A$44:AO$56,7,0)*B$3,-2)</f>
        <v>#REF!</v>
      </c>
      <c r="S770" s="97">
        <v>0</v>
      </c>
      <c r="T770" s="97" t="str">
        <f t="shared" ca="1" si="42"/>
        <v>#REF!</v>
      </c>
      <c r="U770" s="97" t="str">
        <f t="shared" ca="1" si="29"/>
        <v>#REF!</v>
      </c>
      <c r="V770" s="97" t="str">
        <f t="shared" ca="1" si="7"/>
        <v>#REF!</v>
      </c>
      <c r="W770" s="97" t="str">
        <f t="shared" ca="1" si="8"/>
        <v>#REF!</v>
      </c>
      <c r="X770" s="121">
        <v>0</v>
      </c>
      <c r="Y770" s="121" t="str">
        <f t="shared" ca="1" si="9"/>
        <v>#REF!</v>
      </c>
      <c r="Z770" s="121" t="str">
        <f t="shared" ca="1" si="10"/>
        <v>#REF!</v>
      </c>
      <c r="AA770" s="99" t="str">
        <f t="shared" ca="1" si="11"/>
        <v>#REF!</v>
      </c>
      <c r="AB770" s="234" t="str">
        <f t="shared" ca="1" si="12"/>
        <v>#REF!</v>
      </c>
      <c r="AC770" s="257" t="str">
        <f t="shared" ca="1" si="13"/>
        <v>#REF!</v>
      </c>
      <c r="AD770" s="234" t="str">
        <f t="shared" ca="1" si="14"/>
        <v>#REF!</v>
      </c>
      <c r="AE770" s="100" t="str">
        <f t="shared" ca="1" si="15"/>
        <v>#REF!</v>
      </c>
      <c r="AF770" s="101" t="str">
        <f t="shared" ca="1" si="16"/>
        <v>#REF!</v>
      </c>
      <c r="AG770" s="102" t="str">
        <f t="shared" ref="AG770:AH770" ca="1" si="788">AE770/V770</f>
        <v>#REF!</v>
      </c>
      <c r="AH770" s="102" t="str">
        <f t="shared" ca="1" si="788"/>
        <v>#REF!</v>
      </c>
    </row>
    <row r="771" spans="1:34" ht="13.2">
      <c r="A771" s="251"/>
      <c r="B771" s="251"/>
      <c r="C771" s="252"/>
      <c r="D771" s="252"/>
      <c r="E771" s="114"/>
      <c r="F771" s="252"/>
      <c r="G771" s="125" t="s">
        <v>145</v>
      </c>
      <c r="I771" s="172"/>
      <c r="J771" s="82" t="str">
        <f t="shared" ca="1" si="0"/>
        <v>#REF!</v>
      </c>
      <c r="K771" s="82" t="str">
        <f t="shared" ca="1" si="1"/>
        <v>#REF!</v>
      </c>
      <c r="L771" s="82" t="str">
        <f t="shared" ca="1" si="44"/>
        <v>#REF!</v>
      </c>
      <c r="M771" s="93"/>
      <c r="N771" s="93"/>
      <c r="O771" s="95">
        <f t="shared" si="2"/>
        <v>0</v>
      </c>
      <c r="P771" s="96">
        <f t="shared" si="3"/>
        <v>0</v>
      </c>
      <c r="Q771" s="97">
        <f t="shared" si="4"/>
        <v>0</v>
      </c>
      <c r="R771" s="97" t="str">
        <f ca="1">ROUNDUP(HLOOKUP(IF(CEILING(L771,0.5)&lt;1,0.5,CEILING(L771,0.5)),'배송비 조회'!A$44:AO$56,7,0)*B$3,-2)</f>
        <v>#REF!</v>
      </c>
      <c r="S771" s="97">
        <v>0</v>
      </c>
      <c r="T771" s="97" t="str">
        <f t="shared" ca="1" si="42"/>
        <v>#REF!</v>
      </c>
      <c r="U771" s="97" t="str">
        <f t="shared" ca="1" si="29"/>
        <v>#REF!</v>
      </c>
      <c r="V771" s="97" t="str">
        <f t="shared" ca="1" si="7"/>
        <v>#REF!</v>
      </c>
      <c r="W771" s="97" t="str">
        <f t="shared" ca="1" si="8"/>
        <v>#REF!</v>
      </c>
      <c r="X771" s="121">
        <v>0</v>
      </c>
      <c r="Y771" s="121" t="str">
        <f t="shared" ca="1" si="9"/>
        <v>#REF!</v>
      </c>
      <c r="Z771" s="121" t="str">
        <f t="shared" ca="1" si="10"/>
        <v>#REF!</v>
      </c>
      <c r="AA771" s="99" t="str">
        <f t="shared" ca="1" si="11"/>
        <v>#REF!</v>
      </c>
      <c r="AB771" s="234" t="str">
        <f t="shared" ca="1" si="12"/>
        <v>#REF!</v>
      </c>
      <c r="AC771" s="257" t="str">
        <f t="shared" ca="1" si="13"/>
        <v>#REF!</v>
      </c>
      <c r="AD771" s="234" t="str">
        <f t="shared" ca="1" si="14"/>
        <v>#REF!</v>
      </c>
      <c r="AE771" s="100" t="str">
        <f t="shared" ca="1" si="15"/>
        <v>#REF!</v>
      </c>
      <c r="AF771" s="101" t="str">
        <f t="shared" ca="1" si="16"/>
        <v>#REF!</v>
      </c>
      <c r="AG771" s="102" t="str">
        <f t="shared" ref="AG771:AH771" ca="1" si="789">AE771/V771</f>
        <v>#REF!</v>
      </c>
      <c r="AH771" s="102" t="str">
        <f t="shared" ca="1" si="789"/>
        <v>#REF!</v>
      </c>
    </row>
    <row r="772" spans="1:34" ht="13.2">
      <c r="A772" s="251"/>
      <c r="B772" s="251"/>
      <c r="C772" s="252"/>
      <c r="D772" s="252"/>
      <c r="E772" s="114"/>
      <c r="F772" s="252"/>
      <c r="G772" s="125" t="s">
        <v>145</v>
      </c>
      <c r="I772" s="172"/>
      <c r="J772" s="82" t="str">
        <f t="shared" ca="1" si="0"/>
        <v>#REF!</v>
      </c>
      <c r="K772" s="82" t="str">
        <f t="shared" ca="1" si="1"/>
        <v>#REF!</v>
      </c>
      <c r="L772" s="82" t="str">
        <f t="shared" ca="1" si="44"/>
        <v>#REF!</v>
      </c>
      <c r="M772" s="93"/>
      <c r="N772" s="93"/>
      <c r="O772" s="95">
        <f t="shared" si="2"/>
        <v>0</v>
      </c>
      <c r="P772" s="96">
        <f t="shared" si="3"/>
        <v>0</v>
      </c>
      <c r="Q772" s="97">
        <f t="shared" si="4"/>
        <v>0</v>
      </c>
      <c r="R772" s="97" t="str">
        <f ca="1">ROUNDUP(HLOOKUP(IF(CEILING(L772,0.5)&lt;1,0.5,CEILING(L772,0.5)),'배송비 조회'!A$44:AO$56,7,0)*B$3,-2)</f>
        <v>#REF!</v>
      </c>
      <c r="S772" s="97">
        <v>0</v>
      </c>
      <c r="T772" s="97" t="str">
        <f t="shared" ca="1" si="42"/>
        <v>#REF!</v>
      </c>
      <c r="U772" s="97" t="str">
        <f t="shared" ca="1" si="29"/>
        <v>#REF!</v>
      </c>
      <c r="V772" s="97" t="str">
        <f t="shared" ca="1" si="7"/>
        <v>#REF!</v>
      </c>
      <c r="W772" s="97" t="str">
        <f t="shared" ca="1" si="8"/>
        <v>#REF!</v>
      </c>
      <c r="X772" s="121">
        <v>0</v>
      </c>
      <c r="Y772" s="121" t="str">
        <f t="shared" ca="1" si="9"/>
        <v>#REF!</v>
      </c>
      <c r="Z772" s="121" t="str">
        <f t="shared" ca="1" si="10"/>
        <v>#REF!</v>
      </c>
      <c r="AA772" s="99" t="str">
        <f t="shared" ca="1" si="11"/>
        <v>#REF!</v>
      </c>
      <c r="AB772" s="234" t="str">
        <f t="shared" ca="1" si="12"/>
        <v>#REF!</v>
      </c>
      <c r="AC772" s="257" t="str">
        <f t="shared" ca="1" si="13"/>
        <v>#REF!</v>
      </c>
      <c r="AD772" s="234" t="str">
        <f t="shared" ca="1" si="14"/>
        <v>#REF!</v>
      </c>
      <c r="AE772" s="100" t="str">
        <f t="shared" ca="1" si="15"/>
        <v>#REF!</v>
      </c>
      <c r="AF772" s="101" t="str">
        <f t="shared" ca="1" si="16"/>
        <v>#REF!</v>
      </c>
      <c r="AG772" s="102" t="str">
        <f t="shared" ref="AG772:AH772" ca="1" si="790">AE772/V772</f>
        <v>#REF!</v>
      </c>
      <c r="AH772" s="102" t="str">
        <f t="shared" ca="1" si="790"/>
        <v>#REF!</v>
      </c>
    </row>
    <row r="773" spans="1:34" ht="13.2">
      <c r="A773" s="251"/>
      <c r="B773" s="251"/>
      <c r="C773" s="252"/>
      <c r="D773" s="252"/>
      <c r="E773" s="114"/>
      <c r="F773" s="252"/>
      <c r="G773" s="125" t="s">
        <v>145</v>
      </c>
      <c r="I773" s="172"/>
      <c r="J773" s="82" t="str">
        <f t="shared" ca="1" si="0"/>
        <v>#REF!</v>
      </c>
      <c r="K773" s="82" t="str">
        <f t="shared" ca="1" si="1"/>
        <v>#REF!</v>
      </c>
      <c r="L773" s="82" t="str">
        <f t="shared" ca="1" si="44"/>
        <v>#REF!</v>
      </c>
      <c r="M773" s="93"/>
      <c r="N773" s="93"/>
      <c r="O773" s="95">
        <f t="shared" si="2"/>
        <v>0</v>
      </c>
      <c r="P773" s="96">
        <f t="shared" si="3"/>
        <v>0</v>
      </c>
      <c r="Q773" s="97">
        <f t="shared" si="4"/>
        <v>0</v>
      </c>
      <c r="R773" s="97" t="str">
        <f ca="1">ROUNDUP(HLOOKUP(IF(CEILING(L773,0.5)&lt;1,0.5,CEILING(L773,0.5)),'배송비 조회'!A$44:AO$56,7,0)*B$3,-2)</f>
        <v>#REF!</v>
      </c>
      <c r="S773" s="97">
        <v>0</v>
      </c>
      <c r="T773" s="97" t="str">
        <f t="shared" ca="1" si="42"/>
        <v>#REF!</v>
      </c>
      <c r="U773" s="97" t="str">
        <f t="shared" ca="1" si="29"/>
        <v>#REF!</v>
      </c>
      <c r="V773" s="97" t="str">
        <f t="shared" ca="1" si="7"/>
        <v>#REF!</v>
      </c>
      <c r="W773" s="97" t="str">
        <f t="shared" ca="1" si="8"/>
        <v>#REF!</v>
      </c>
      <c r="X773" s="121">
        <v>0</v>
      </c>
      <c r="Y773" s="121" t="str">
        <f t="shared" ca="1" si="9"/>
        <v>#REF!</v>
      </c>
      <c r="Z773" s="121" t="str">
        <f t="shared" ca="1" si="10"/>
        <v>#REF!</v>
      </c>
      <c r="AA773" s="99" t="str">
        <f t="shared" ca="1" si="11"/>
        <v>#REF!</v>
      </c>
      <c r="AB773" s="234" t="str">
        <f t="shared" ca="1" si="12"/>
        <v>#REF!</v>
      </c>
      <c r="AC773" s="257" t="str">
        <f t="shared" ca="1" si="13"/>
        <v>#REF!</v>
      </c>
      <c r="AD773" s="234" t="str">
        <f t="shared" ca="1" si="14"/>
        <v>#REF!</v>
      </c>
      <c r="AE773" s="100" t="str">
        <f t="shared" ca="1" si="15"/>
        <v>#REF!</v>
      </c>
      <c r="AF773" s="101" t="str">
        <f t="shared" ca="1" si="16"/>
        <v>#REF!</v>
      </c>
      <c r="AG773" s="102" t="str">
        <f t="shared" ref="AG773:AH773" ca="1" si="791">AE773/V773</f>
        <v>#REF!</v>
      </c>
      <c r="AH773" s="102" t="str">
        <f t="shared" ca="1" si="791"/>
        <v>#REF!</v>
      </c>
    </row>
    <row r="774" spans="1:34" ht="13.2">
      <c r="A774" s="251"/>
      <c r="B774" s="251"/>
      <c r="C774" s="252"/>
      <c r="D774" s="252"/>
      <c r="E774" s="114"/>
      <c r="F774" s="252"/>
      <c r="G774" s="125" t="s">
        <v>145</v>
      </c>
      <c r="I774" s="172"/>
      <c r="J774" s="82" t="str">
        <f t="shared" ca="1" si="0"/>
        <v>#REF!</v>
      </c>
      <c r="K774" s="82" t="str">
        <f t="shared" ca="1" si="1"/>
        <v>#REF!</v>
      </c>
      <c r="L774" s="82" t="str">
        <f t="shared" ca="1" si="44"/>
        <v>#REF!</v>
      </c>
      <c r="M774" s="93"/>
      <c r="N774" s="93"/>
      <c r="O774" s="95">
        <f t="shared" si="2"/>
        <v>0</v>
      </c>
      <c r="P774" s="96">
        <f t="shared" si="3"/>
        <v>0</v>
      </c>
      <c r="Q774" s="97">
        <f t="shared" si="4"/>
        <v>0</v>
      </c>
      <c r="R774" s="97" t="str">
        <f ca="1">ROUNDUP(HLOOKUP(IF(CEILING(L774,0.5)&lt;1,0.5,CEILING(L774,0.5)),'배송비 조회'!A$44:AO$56,7,0)*B$3,-2)</f>
        <v>#REF!</v>
      </c>
      <c r="S774" s="97">
        <v>0</v>
      </c>
      <c r="T774" s="97" t="str">
        <f t="shared" ca="1" si="42"/>
        <v>#REF!</v>
      </c>
      <c r="U774" s="97" t="str">
        <f t="shared" ca="1" si="29"/>
        <v>#REF!</v>
      </c>
      <c r="V774" s="97" t="str">
        <f t="shared" ca="1" si="7"/>
        <v>#REF!</v>
      </c>
      <c r="W774" s="97" t="str">
        <f t="shared" ca="1" si="8"/>
        <v>#REF!</v>
      </c>
      <c r="X774" s="121">
        <v>0</v>
      </c>
      <c r="Y774" s="121" t="str">
        <f t="shared" ca="1" si="9"/>
        <v>#REF!</v>
      </c>
      <c r="Z774" s="121" t="str">
        <f t="shared" ca="1" si="10"/>
        <v>#REF!</v>
      </c>
      <c r="AA774" s="99" t="str">
        <f t="shared" ca="1" si="11"/>
        <v>#REF!</v>
      </c>
      <c r="AB774" s="234" t="str">
        <f t="shared" ca="1" si="12"/>
        <v>#REF!</v>
      </c>
      <c r="AC774" s="257" t="str">
        <f t="shared" ca="1" si="13"/>
        <v>#REF!</v>
      </c>
      <c r="AD774" s="234" t="str">
        <f t="shared" ca="1" si="14"/>
        <v>#REF!</v>
      </c>
      <c r="AE774" s="100" t="str">
        <f t="shared" ca="1" si="15"/>
        <v>#REF!</v>
      </c>
      <c r="AF774" s="101" t="str">
        <f t="shared" ca="1" si="16"/>
        <v>#REF!</v>
      </c>
      <c r="AG774" s="102" t="str">
        <f t="shared" ref="AG774:AH774" ca="1" si="792">AE774/V774</f>
        <v>#REF!</v>
      </c>
      <c r="AH774" s="102" t="str">
        <f t="shared" ca="1" si="792"/>
        <v>#REF!</v>
      </c>
    </row>
    <row r="775" spans="1:34" ht="13.2">
      <c r="A775" s="251"/>
      <c r="B775" s="251"/>
      <c r="C775" s="252"/>
      <c r="D775" s="252"/>
      <c r="E775" s="114"/>
      <c r="F775" s="252"/>
      <c r="G775" s="125" t="s">
        <v>145</v>
      </c>
      <c r="I775" s="172"/>
      <c r="J775" s="82" t="str">
        <f t="shared" ca="1" si="0"/>
        <v>#REF!</v>
      </c>
      <c r="K775" s="82" t="str">
        <f t="shared" ca="1" si="1"/>
        <v>#REF!</v>
      </c>
      <c r="L775" s="82" t="str">
        <f t="shared" ca="1" si="44"/>
        <v>#REF!</v>
      </c>
      <c r="M775" s="93"/>
      <c r="N775" s="93"/>
      <c r="O775" s="95">
        <f t="shared" si="2"/>
        <v>0</v>
      </c>
      <c r="P775" s="96">
        <f t="shared" si="3"/>
        <v>0</v>
      </c>
      <c r="Q775" s="97">
        <f t="shared" si="4"/>
        <v>0</v>
      </c>
      <c r="R775" s="97" t="str">
        <f ca="1">ROUNDUP(HLOOKUP(IF(CEILING(L775,0.5)&lt;1,0.5,CEILING(L775,0.5)),'배송비 조회'!A$44:AO$56,7,0)*B$3,-2)</f>
        <v>#REF!</v>
      </c>
      <c r="S775" s="97">
        <v>0</v>
      </c>
      <c r="T775" s="97" t="str">
        <f t="shared" ca="1" si="42"/>
        <v>#REF!</v>
      </c>
      <c r="U775" s="97" t="str">
        <f t="shared" ca="1" si="29"/>
        <v>#REF!</v>
      </c>
      <c r="V775" s="97" t="str">
        <f t="shared" ca="1" si="7"/>
        <v>#REF!</v>
      </c>
      <c r="W775" s="97" t="str">
        <f t="shared" ca="1" si="8"/>
        <v>#REF!</v>
      </c>
      <c r="X775" s="121">
        <v>0</v>
      </c>
      <c r="Y775" s="121" t="str">
        <f t="shared" ca="1" si="9"/>
        <v>#REF!</v>
      </c>
      <c r="Z775" s="121" t="str">
        <f t="shared" ca="1" si="10"/>
        <v>#REF!</v>
      </c>
      <c r="AA775" s="99" t="str">
        <f t="shared" ca="1" si="11"/>
        <v>#REF!</v>
      </c>
      <c r="AB775" s="234" t="str">
        <f t="shared" ca="1" si="12"/>
        <v>#REF!</v>
      </c>
      <c r="AC775" s="257" t="str">
        <f t="shared" ca="1" si="13"/>
        <v>#REF!</v>
      </c>
      <c r="AD775" s="234" t="str">
        <f t="shared" ca="1" si="14"/>
        <v>#REF!</v>
      </c>
      <c r="AE775" s="100" t="str">
        <f t="shared" ca="1" si="15"/>
        <v>#REF!</v>
      </c>
      <c r="AF775" s="101" t="str">
        <f t="shared" ca="1" si="16"/>
        <v>#REF!</v>
      </c>
      <c r="AG775" s="102" t="str">
        <f t="shared" ref="AG775:AH775" ca="1" si="793">AE775/V775</f>
        <v>#REF!</v>
      </c>
      <c r="AH775" s="102" t="str">
        <f t="shared" ca="1" si="793"/>
        <v>#REF!</v>
      </c>
    </row>
    <row r="776" spans="1:34" ht="13.2">
      <c r="A776" s="251"/>
      <c r="B776" s="251"/>
      <c r="C776" s="252"/>
      <c r="D776" s="252"/>
      <c r="E776" s="114"/>
      <c r="F776" s="252"/>
      <c r="G776" s="125" t="s">
        <v>145</v>
      </c>
      <c r="I776" s="172"/>
      <c r="J776" s="82" t="str">
        <f t="shared" ca="1" si="0"/>
        <v>#REF!</v>
      </c>
      <c r="K776" s="82" t="str">
        <f t="shared" ca="1" si="1"/>
        <v>#REF!</v>
      </c>
      <c r="L776" s="82" t="str">
        <f t="shared" ca="1" si="44"/>
        <v>#REF!</v>
      </c>
      <c r="M776" s="93"/>
      <c r="N776" s="93"/>
      <c r="O776" s="95">
        <f t="shared" si="2"/>
        <v>0</v>
      </c>
      <c r="P776" s="96">
        <f t="shared" si="3"/>
        <v>0</v>
      </c>
      <c r="Q776" s="97">
        <f t="shared" si="4"/>
        <v>0</v>
      </c>
      <c r="R776" s="97" t="str">
        <f ca="1">ROUNDUP(HLOOKUP(IF(CEILING(L776,0.5)&lt;1,0.5,CEILING(L776,0.5)),'배송비 조회'!A$44:AO$56,7,0)*B$3,-2)</f>
        <v>#REF!</v>
      </c>
      <c r="S776" s="97">
        <v>0</v>
      </c>
      <c r="T776" s="97" t="str">
        <f t="shared" ca="1" si="42"/>
        <v>#REF!</v>
      </c>
      <c r="U776" s="97" t="str">
        <f t="shared" ca="1" si="29"/>
        <v>#REF!</v>
      </c>
      <c r="V776" s="97" t="str">
        <f t="shared" ca="1" si="7"/>
        <v>#REF!</v>
      </c>
      <c r="W776" s="97" t="str">
        <f t="shared" ca="1" si="8"/>
        <v>#REF!</v>
      </c>
      <c r="X776" s="121">
        <v>0</v>
      </c>
      <c r="Y776" s="121" t="str">
        <f t="shared" ca="1" si="9"/>
        <v>#REF!</v>
      </c>
      <c r="Z776" s="121" t="str">
        <f t="shared" ca="1" si="10"/>
        <v>#REF!</v>
      </c>
      <c r="AA776" s="99" t="str">
        <f t="shared" ca="1" si="11"/>
        <v>#REF!</v>
      </c>
      <c r="AB776" s="234" t="str">
        <f t="shared" ca="1" si="12"/>
        <v>#REF!</v>
      </c>
      <c r="AC776" s="257" t="str">
        <f t="shared" ca="1" si="13"/>
        <v>#REF!</v>
      </c>
      <c r="AD776" s="234" t="str">
        <f t="shared" ca="1" si="14"/>
        <v>#REF!</v>
      </c>
      <c r="AE776" s="100" t="str">
        <f t="shared" ca="1" si="15"/>
        <v>#REF!</v>
      </c>
      <c r="AF776" s="101" t="str">
        <f t="shared" ca="1" si="16"/>
        <v>#REF!</v>
      </c>
      <c r="AG776" s="102" t="str">
        <f t="shared" ref="AG776:AH776" ca="1" si="794">AE776/V776</f>
        <v>#REF!</v>
      </c>
      <c r="AH776" s="102" t="str">
        <f t="shared" ca="1" si="794"/>
        <v>#REF!</v>
      </c>
    </row>
    <row r="777" spans="1:34" ht="13.2">
      <c r="A777" s="251"/>
      <c r="B777" s="251"/>
      <c r="C777" s="252"/>
      <c r="D777" s="252"/>
      <c r="E777" s="114"/>
      <c r="F777" s="252"/>
      <c r="G777" s="125" t="s">
        <v>145</v>
      </c>
      <c r="I777" s="172"/>
      <c r="J777" s="82" t="str">
        <f t="shared" ca="1" si="0"/>
        <v>#REF!</v>
      </c>
      <c r="K777" s="82" t="str">
        <f t="shared" ca="1" si="1"/>
        <v>#REF!</v>
      </c>
      <c r="L777" s="82" t="str">
        <f t="shared" ca="1" si="44"/>
        <v>#REF!</v>
      </c>
      <c r="M777" s="93"/>
      <c r="N777" s="93"/>
      <c r="O777" s="95">
        <f t="shared" si="2"/>
        <v>0</v>
      </c>
      <c r="P777" s="96">
        <f t="shared" si="3"/>
        <v>0</v>
      </c>
      <c r="Q777" s="97">
        <f t="shared" si="4"/>
        <v>0</v>
      </c>
      <c r="R777" s="97" t="str">
        <f ca="1">ROUNDUP(HLOOKUP(IF(CEILING(L777,0.5)&lt;1,0.5,CEILING(L777,0.5)),'배송비 조회'!A$44:AO$56,7,0)*B$3,-2)</f>
        <v>#REF!</v>
      </c>
      <c r="S777" s="97">
        <v>0</v>
      </c>
      <c r="T777" s="97" t="str">
        <f t="shared" ca="1" si="42"/>
        <v>#REF!</v>
      </c>
      <c r="U777" s="97" t="str">
        <f t="shared" ca="1" si="29"/>
        <v>#REF!</v>
      </c>
      <c r="V777" s="97" t="str">
        <f t="shared" ca="1" si="7"/>
        <v>#REF!</v>
      </c>
      <c r="W777" s="97" t="str">
        <f t="shared" ca="1" si="8"/>
        <v>#REF!</v>
      </c>
      <c r="X777" s="121">
        <v>0</v>
      </c>
      <c r="Y777" s="121" t="str">
        <f t="shared" ca="1" si="9"/>
        <v>#REF!</v>
      </c>
      <c r="Z777" s="121" t="str">
        <f t="shared" ca="1" si="10"/>
        <v>#REF!</v>
      </c>
      <c r="AA777" s="99" t="str">
        <f t="shared" ca="1" si="11"/>
        <v>#REF!</v>
      </c>
      <c r="AB777" s="234" t="str">
        <f t="shared" ca="1" si="12"/>
        <v>#REF!</v>
      </c>
      <c r="AC777" s="257" t="str">
        <f t="shared" ca="1" si="13"/>
        <v>#REF!</v>
      </c>
      <c r="AD777" s="234" t="str">
        <f t="shared" ca="1" si="14"/>
        <v>#REF!</v>
      </c>
      <c r="AE777" s="100" t="str">
        <f t="shared" ca="1" si="15"/>
        <v>#REF!</v>
      </c>
      <c r="AF777" s="101" t="str">
        <f t="shared" ca="1" si="16"/>
        <v>#REF!</v>
      </c>
      <c r="AG777" s="102" t="str">
        <f t="shared" ref="AG777:AH777" ca="1" si="795">AE777/V777</f>
        <v>#REF!</v>
      </c>
      <c r="AH777" s="102" t="str">
        <f t="shared" ca="1" si="795"/>
        <v>#REF!</v>
      </c>
    </row>
    <row r="778" spans="1:34" ht="13.2">
      <c r="A778" s="251"/>
      <c r="B778" s="251"/>
      <c r="C778" s="252"/>
      <c r="D778" s="252"/>
      <c r="E778" s="114"/>
      <c r="F778" s="252"/>
      <c r="G778" s="125" t="s">
        <v>145</v>
      </c>
      <c r="I778" s="172"/>
      <c r="J778" s="82" t="str">
        <f t="shared" ca="1" si="0"/>
        <v>#REF!</v>
      </c>
      <c r="K778" s="82" t="str">
        <f t="shared" ca="1" si="1"/>
        <v>#REF!</v>
      </c>
      <c r="L778" s="82" t="str">
        <f t="shared" ca="1" si="44"/>
        <v>#REF!</v>
      </c>
      <c r="M778" s="93"/>
      <c r="N778" s="93"/>
      <c r="O778" s="95">
        <f t="shared" si="2"/>
        <v>0</v>
      </c>
      <c r="P778" s="96">
        <f t="shared" si="3"/>
        <v>0</v>
      </c>
      <c r="Q778" s="97">
        <f t="shared" si="4"/>
        <v>0</v>
      </c>
      <c r="R778" s="97" t="str">
        <f ca="1">ROUNDUP(HLOOKUP(IF(CEILING(L778,0.5)&lt;1,0.5,CEILING(L778,0.5)),'배송비 조회'!A$44:AO$56,7,0)*B$3,-2)</f>
        <v>#REF!</v>
      </c>
      <c r="S778" s="97">
        <v>0</v>
      </c>
      <c r="T778" s="97" t="str">
        <f t="shared" ca="1" si="42"/>
        <v>#REF!</v>
      </c>
      <c r="U778" s="97" t="str">
        <f t="shared" ca="1" si="29"/>
        <v>#REF!</v>
      </c>
      <c r="V778" s="97" t="str">
        <f t="shared" ca="1" si="7"/>
        <v>#REF!</v>
      </c>
      <c r="W778" s="97" t="str">
        <f t="shared" ca="1" si="8"/>
        <v>#REF!</v>
      </c>
      <c r="X778" s="121">
        <v>0</v>
      </c>
      <c r="Y778" s="121" t="str">
        <f t="shared" ca="1" si="9"/>
        <v>#REF!</v>
      </c>
      <c r="Z778" s="121" t="str">
        <f t="shared" ca="1" si="10"/>
        <v>#REF!</v>
      </c>
      <c r="AA778" s="99" t="str">
        <f t="shared" ca="1" si="11"/>
        <v>#REF!</v>
      </c>
      <c r="AB778" s="234" t="str">
        <f t="shared" ca="1" si="12"/>
        <v>#REF!</v>
      </c>
      <c r="AC778" s="257" t="str">
        <f t="shared" ca="1" si="13"/>
        <v>#REF!</v>
      </c>
      <c r="AD778" s="234" t="str">
        <f t="shared" ca="1" si="14"/>
        <v>#REF!</v>
      </c>
      <c r="AE778" s="100" t="str">
        <f t="shared" ca="1" si="15"/>
        <v>#REF!</v>
      </c>
      <c r="AF778" s="101" t="str">
        <f t="shared" ca="1" si="16"/>
        <v>#REF!</v>
      </c>
      <c r="AG778" s="102" t="str">
        <f t="shared" ref="AG778:AH778" ca="1" si="796">AE778/V778</f>
        <v>#REF!</v>
      </c>
      <c r="AH778" s="102" t="str">
        <f t="shared" ca="1" si="796"/>
        <v>#REF!</v>
      </c>
    </row>
    <row r="779" spans="1:34" ht="13.2">
      <c r="A779" s="251"/>
      <c r="B779" s="251"/>
      <c r="C779" s="252"/>
      <c r="D779" s="252"/>
      <c r="E779" s="114"/>
      <c r="F779" s="252"/>
      <c r="G779" s="125" t="s">
        <v>145</v>
      </c>
      <c r="I779" s="172"/>
      <c r="J779" s="82" t="str">
        <f t="shared" ca="1" si="0"/>
        <v>#REF!</v>
      </c>
      <c r="K779" s="82" t="str">
        <f t="shared" ca="1" si="1"/>
        <v>#REF!</v>
      </c>
      <c r="L779" s="82" t="str">
        <f t="shared" ca="1" si="44"/>
        <v>#REF!</v>
      </c>
      <c r="M779" s="93"/>
      <c r="N779" s="93"/>
      <c r="O779" s="95">
        <f t="shared" si="2"/>
        <v>0</v>
      </c>
      <c r="P779" s="96">
        <f t="shared" si="3"/>
        <v>0</v>
      </c>
      <c r="Q779" s="97">
        <f t="shared" si="4"/>
        <v>0</v>
      </c>
      <c r="R779" s="97" t="str">
        <f ca="1">ROUNDUP(HLOOKUP(IF(CEILING(L779,0.5)&lt;1,0.5,CEILING(L779,0.5)),'배송비 조회'!A$44:AO$56,7,0)*B$3,-2)</f>
        <v>#REF!</v>
      </c>
      <c r="S779" s="97">
        <v>0</v>
      </c>
      <c r="T779" s="97" t="str">
        <f t="shared" ca="1" si="42"/>
        <v>#REF!</v>
      </c>
      <c r="U779" s="97" t="str">
        <f t="shared" ca="1" si="29"/>
        <v>#REF!</v>
      </c>
      <c r="V779" s="97" t="str">
        <f t="shared" ca="1" si="7"/>
        <v>#REF!</v>
      </c>
      <c r="W779" s="97" t="str">
        <f t="shared" ca="1" si="8"/>
        <v>#REF!</v>
      </c>
      <c r="X779" s="121">
        <v>0</v>
      </c>
      <c r="Y779" s="121" t="str">
        <f t="shared" ca="1" si="9"/>
        <v>#REF!</v>
      </c>
      <c r="Z779" s="121" t="str">
        <f t="shared" ca="1" si="10"/>
        <v>#REF!</v>
      </c>
      <c r="AA779" s="99" t="str">
        <f t="shared" ca="1" si="11"/>
        <v>#REF!</v>
      </c>
      <c r="AB779" s="234" t="str">
        <f t="shared" ca="1" si="12"/>
        <v>#REF!</v>
      </c>
      <c r="AC779" s="257" t="str">
        <f t="shared" ca="1" si="13"/>
        <v>#REF!</v>
      </c>
      <c r="AD779" s="234" t="str">
        <f t="shared" ca="1" si="14"/>
        <v>#REF!</v>
      </c>
      <c r="AE779" s="100" t="str">
        <f t="shared" ca="1" si="15"/>
        <v>#REF!</v>
      </c>
      <c r="AF779" s="101" t="str">
        <f t="shared" ca="1" si="16"/>
        <v>#REF!</v>
      </c>
      <c r="AG779" s="102" t="str">
        <f t="shared" ref="AG779:AH779" ca="1" si="797">AE779/V779</f>
        <v>#REF!</v>
      </c>
      <c r="AH779" s="102" t="str">
        <f t="shared" ca="1" si="797"/>
        <v>#REF!</v>
      </c>
    </row>
    <row r="780" spans="1:34" ht="13.2">
      <c r="A780" s="251"/>
      <c r="B780" s="251"/>
      <c r="C780" s="252"/>
      <c r="D780" s="252"/>
      <c r="E780" s="114"/>
      <c r="F780" s="252"/>
      <c r="G780" s="125" t="s">
        <v>145</v>
      </c>
      <c r="I780" s="172"/>
      <c r="J780" s="82" t="str">
        <f t="shared" ca="1" si="0"/>
        <v>#REF!</v>
      </c>
      <c r="K780" s="82" t="str">
        <f t="shared" ca="1" si="1"/>
        <v>#REF!</v>
      </c>
      <c r="L780" s="82" t="str">
        <f t="shared" ca="1" si="44"/>
        <v>#REF!</v>
      </c>
      <c r="M780" s="93"/>
      <c r="N780" s="93"/>
      <c r="O780" s="95">
        <f t="shared" si="2"/>
        <v>0</v>
      </c>
      <c r="P780" s="96">
        <f t="shared" si="3"/>
        <v>0</v>
      </c>
      <c r="Q780" s="97">
        <f t="shared" si="4"/>
        <v>0</v>
      </c>
      <c r="R780" s="97" t="str">
        <f ca="1">ROUNDUP(HLOOKUP(IF(CEILING(L780,0.5)&lt;1,0.5,CEILING(L780,0.5)),'배송비 조회'!A$44:AO$56,7,0)*B$3,-2)</f>
        <v>#REF!</v>
      </c>
      <c r="S780" s="97">
        <v>0</v>
      </c>
      <c r="T780" s="97" t="str">
        <f t="shared" ca="1" si="42"/>
        <v>#REF!</v>
      </c>
      <c r="U780" s="97" t="str">
        <f t="shared" ca="1" si="29"/>
        <v>#REF!</v>
      </c>
      <c r="V780" s="97" t="str">
        <f t="shared" ca="1" si="7"/>
        <v>#REF!</v>
      </c>
      <c r="W780" s="97" t="str">
        <f t="shared" ca="1" si="8"/>
        <v>#REF!</v>
      </c>
      <c r="X780" s="121">
        <v>0</v>
      </c>
      <c r="Y780" s="121" t="str">
        <f t="shared" ca="1" si="9"/>
        <v>#REF!</v>
      </c>
      <c r="Z780" s="121" t="str">
        <f t="shared" ca="1" si="10"/>
        <v>#REF!</v>
      </c>
      <c r="AA780" s="99" t="str">
        <f t="shared" ca="1" si="11"/>
        <v>#REF!</v>
      </c>
      <c r="AB780" s="234" t="str">
        <f t="shared" ca="1" si="12"/>
        <v>#REF!</v>
      </c>
      <c r="AC780" s="257" t="str">
        <f t="shared" ca="1" si="13"/>
        <v>#REF!</v>
      </c>
      <c r="AD780" s="234" t="str">
        <f t="shared" ca="1" si="14"/>
        <v>#REF!</v>
      </c>
      <c r="AE780" s="100" t="str">
        <f t="shared" ca="1" si="15"/>
        <v>#REF!</v>
      </c>
      <c r="AF780" s="101" t="str">
        <f t="shared" ca="1" si="16"/>
        <v>#REF!</v>
      </c>
      <c r="AG780" s="102" t="str">
        <f t="shared" ref="AG780:AH780" ca="1" si="798">AE780/V780</f>
        <v>#REF!</v>
      </c>
      <c r="AH780" s="102" t="str">
        <f t="shared" ca="1" si="798"/>
        <v>#REF!</v>
      </c>
    </row>
    <row r="781" spans="1:34" ht="13.2">
      <c r="A781" s="251"/>
      <c r="B781" s="251"/>
      <c r="C781" s="252"/>
      <c r="D781" s="252"/>
      <c r="E781" s="114"/>
      <c r="F781" s="252"/>
      <c r="G781" s="125" t="s">
        <v>145</v>
      </c>
      <c r="I781" s="172"/>
      <c r="J781" s="82" t="str">
        <f t="shared" ca="1" si="0"/>
        <v>#REF!</v>
      </c>
      <c r="K781" s="82" t="str">
        <f t="shared" ca="1" si="1"/>
        <v>#REF!</v>
      </c>
      <c r="L781" s="82" t="str">
        <f t="shared" ca="1" si="44"/>
        <v>#REF!</v>
      </c>
      <c r="M781" s="93"/>
      <c r="N781" s="93"/>
      <c r="O781" s="95">
        <f t="shared" si="2"/>
        <v>0</v>
      </c>
      <c r="P781" s="96">
        <f t="shared" si="3"/>
        <v>0</v>
      </c>
      <c r="Q781" s="97">
        <f t="shared" si="4"/>
        <v>0</v>
      </c>
      <c r="R781" s="97" t="str">
        <f ca="1">ROUNDUP(HLOOKUP(IF(CEILING(L781,0.5)&lt;1,0.5,CEILING(L781,0.5)),'배송비 조회'!A$44:AO$56,7,0)*B$3,-2)</f>
        <v>#REF!</v>
      </c>
      <c r="S781" s="97">
        <v>0</v>
      </c>
      <c r="T781" s="97" t="str">
        <f t="shared" ca="1" si="42"/>
        <v>#REF!</v>
      </c>
      <c r="U781" s="97" t="str">
        <f t="shared" ca="1" si="29"/>
        <v>#REF!</v>
      </c>
      <c r="V781" s="97" t="str">
        <f t="shared" ca="1" si="7"/>
        <v>#REF!</v>
      </c>
      <c r="W781" s="97" t="str">
        <f t="shared" ca="1" si="8"/>
        <v>#REF!</v>
      </c>
      <c r="X781" s="121">
        <v>0</v>
      </c>
      <c r="Y781" s="121" t="str">
        <f t="shared" ca="1" si="9"/>
        <v>#REF!</v>
      </c>
      <c r="Z781" s="121" t="str">
        <f t="shared" ca="1" si="10"/>
        <v>#REF!</v>
      </c>
      <c r="AA781" s="99" t="str">
        <f t="shared" ca="1" si="11"/>
        <v>#REF!</v>
      </c>
      <c r="AB781" s="234" t="str">
        <f t="shared" ca="1" si="12"/>
        <v>#REF!</v>
      </c>
      <c r="AC781" s="257" t="str">
        <f t="shared" ca="1" si="13"/>
        <v>#REF!</v>
      </c>
      <c r="AD781" s="234" t="str">
        <f t="shared" ca="1" si="14"/>
        <v>#REF!</v>
      </c>
      <c r="AE781" s="100" t="str">
        <f t="shared" ca="1" si="15"/>
        <v>#REF!</v>
      </c>
      <c r="AF781" s="101" t="str">
        <f t="shared" ca="1" si="16"/>
        <v>#REF!</v>
      </c>
      <c r="AG781" s="102" t="str">
        <f t="shared" ref="AG781:AH781" ca="1" si="799">AE781/V781</f>
        <v>#REF!</v>
      </c>
      <c r="AH781" s="102" t="str">
        <f t="shared" ca="1" si="799"/>
        <v>#REF!</v>
      </c>
    </row>
    <row r="782" spans="1:34" ht="13.2">
      <c r="A782" s="251"/>
      <c r="B782" s="251"/>
      <c r="C782" s="252"/>
      <c r="D782" s="252"/>
      <c r="E782" s="114"/>
      <c r="F782" s="252"/>
      <c r="G782" s="125" t="s">
        <v>145</v>
      </c>
      <c r="I782" s="172"/>
      <c r="J782" s="82" t="str">
        <f t="shared" ca="1" si="0"/>
        <v>#REF!</v>
      </c>
      <c r="K782" s="82" t="str">
        <f t="shared" ca="1" si="1"/>
        <v>#REF!</v>
      </c>
      <c r="L782" s="82" t="str">
        <f t="shared" ca="1" si="44"/>
        <v>#REF!</v>
      </c>
      <c r="M782" s="93"/>
      <c r="N782" s="93"/>
      <c r="O782" s="95">
        <f t="shared" si="2"/>
        <v>0</v>
      </c>
      <c r="P782" s="96">
        <f t="shared" si="3"/>
        <v>0</v>
      </c>
      <c r="Q782" s="97">
        <f t="shared" si="4"/>
        <v>0</v>
      </c>
      <c r="R782" s="97" t="str">
        <f ca="1">ROUNDUP(HLOOKUP(IF(CEILING(L782,0.5)&lt;1,0.5,CEILING(L782,0.5)),'배송비 조회'!A$44:AO$56,7,0)*B$3,-2)</f>
        <v>#REF!</v>
      </c>
      <c r="S782" s="97">
        <v>0</v>
      </c>
      <c r="T782" s="97" t="str">
        <f t="shared" ca="1" si="42"/>
        <v>#REF!</v>
      </c>
      <c r="U782" s="97" t="str">
        <f t="shared" ca="1" si="29"/>
        <v>#REF!</v>
      </c>
      <c r="V782" s="97" t="str">
        <f t="shared" ca="1" si="7"/>
        <v>#REF!</v>
      </c>
      <c r="W782" s="97" t="str">
        <f t="shared" ca="1" si="8"/>
        <v>#REF!</v>
      </c>
      <c r="X782" s="121">
        <v>0</v>
      </c>
      <c r="Y782" s="121" t="str">
        <f t="shared" ca="1" si="9"/>
        <v>#REF!</v>
      </c>
      <c r="Z782" s="121" t="str">
        <f t="shared" ca="1" si="10"/>
        <v>#REF!</v>
      </c>
      <c r="AA782" s="99" t="str">
        <f t="shared" ca="1" si="11"/>
        <v>#REF!</v>
      </c>
      <c r="AB782" s="234" t="str">
        <f t="shared" ca="1" si="12"/>
        <v>#REF!</v>
      </c>
      <c r="AC782" s="257" t="str">
        <f t="shared" ca="1" si="13"/>
        <v>#REF!</v>
      </c>
      <c r="AD782" s="234" t="str">
        <f t="shared" ca="1" si="14"/>
        <v>#REF!</v>
      </c>
      <c r="AE782" s="100" t="str">
        <f t="shared" ca="1" si="15"/>
        <v>#REF!</v>
      </c>
      <c r="AF782" s="101" t="str">
        <f t="shared" ca="1" si="16"/>
        <v>#REF!</v>
      </c>
      <c r="AG782" s="102" t="str">
        <f t="shared" ref="AG782:AH782" ca="1" si="800">AE782/V782</f>
        <v>#REF!</v>
      </c>
      <c r="AH782" s="102" t="str">
        <f t="shared" ca="1" si="800"/>
        <v>#REF!</v>
      </c>
    </row>
    <row r="783" spans="1:34" ht="13.2">
      <c r="A783" s="251"/>
      <c r="B783" s="251"/>
      <c r="C783" s="252"/>
      <c r="D783" s="252"/>
      <c r="E783" s="114"/>
      <c r="F783" s="252"/>
      <c r="G783" s="125" t="s">
        <v>145</v>
      </c>
      <c r="I783" s="172"/>
      <c r="J783" s="82" t="str">
        <f t="shared" ca="1" si="0"/>
        <v>#REF!</v>
      </c>
      <c r="K783" s="82" t="str">
        <f t="shared" ca="1" si="1"/>
        <v>#REF!</v>
      </c>
      <c r="L783" s="82" t="str">
        <f t="shared" ca="1" si="44"/>
        <v>#REF!</v>
      </c>
      <c r="M783" s="93"/>
      <c r="N783" s="93"/>
      <c r="O783" s="95">
        <f t="shared" si="2"/>
        <v>0</v>
      </c>
      <c r="P783" s="96">
        <f t="shared" si="3"/>
        <v>0</v>
      </c>
      <c r="Q783" s="97">
        <f t="shared" si="4"/>
        <v>0</v>
      </c>
      <c r="R783" s="97" t="str">
        <f ca="1">ROUNDUP(HLOOKUP(IF(CEILING(L783,0.5)&lt;1,0.5,CEILING(L783,0.5)),'배송비 조회'!A$44:AO$56,7,0)*B$3,-2)</f>
        <v>#REF!</v>
      </c>
      <c r="S783" s="97">
        <v>0</v>
      </c>
      <c r="T783" s="97" t="str">
        <f t="shared" ca="1" si="42"/>
        <v>#REF!</v>
      </c>
      <c r="U783" s="97" t="str">
        <f t="shared" ca="1" si="29"/>
        <v>#REF!</v>
      </c>
      <c r="V783" s="97" t="str">
        <f t="shared" ca="1" si="7"/>
        <v>#REF!</v>
      </c>
      <c r="W783" s="97" t="str">
        <f t="shared" ca="1" si="8"/>
        <v>#REF!</v>
      </c>
      <c r="X783" s="121">
        <v>0</v>
      </c>
      <c r="Y783" s="121" t="str">
        <f t="shared" ca="1" si="9"/>
        <v>#REF!</v>
      </c>
      <c r="Z783" s="121" t="str">
        <f t="shared" ca="1" si="10"/>
        <v>#REF!</v>
      </c>
      <c r="AA783" s="99" t="str">
        <f t="shared" ca="1" si="11"/>
        <v>#REF!</v>
      </c>
      <c r="AB783" s="234" t="str">
        <f t="shared" ca="1" si="12"/>
        <v>#REF!</v>
      </c>
      <c r="AC783" s="257" t="str">
        <f t="shared" ca="1" si="13"/>
        <v>#REF!</v>
      </c>
      <c r="AD783" s="234" t="str">
        <f t="shared" ca="1" si="14"/>
        <v>#REF!</v>
      </c>
      <c r="AE783" s="100" t="str">
        <f t="shared" ca="1" si="15"/>
        <v>#REF!</v>
      </c>
      <c r="AF783" s="101" t="str">
        <f t="shared" ca="1" si="16"/>
        <v>#REF!</v>
      </c>
      <c r="AG783" s="102" t="str">
        <f t="shared" ref="AG783:AH783" ca="1" si="801">AE783/V783</f>
        <v>#REF!</v>
      </c>
      <c r="AH783" s="102" t="str">
        <f t="shared" ca="1" si="801"/>
        <v>#REF!</v>
      </c>
    </row>
    <row r="784" spans="1:34" ht="13.2">
      <c r="A784" s="251"/>
      <c r="B784" s="251"/>
      <c r="C784" s="252"/>
      <c r="D784" s="252"/>
      <c r="E784" s="114"/>
      <c r="F784" s="252"/>
      <c r="G784" s="125" t="s">
        <v>145</v>
      </c>
      <c r="I784" s="172"/>
      <c r="J784" s="82" t="str">
        <f t="shared" ca="1" si="0"/>
        <v>#REF!</v>
      </c>
      <c r="K784" s="82" t="str">
        <f t="shared" ca="1" si="1"/>
        <v>#REF!</v>
      </c>
      <c r="L784" s="82" t="str">
        <f t="shared" ca="1" si="44"/>
        <v>#REF!</v>
      </c>
      <c r="M784" s="93"/>
      <c r="N784" s="93"/>
      <c r="O784" s="95">
        <f t="shared" si="2"/>
        <v>0</v>
      </c>
      <c r="P784" s="96">
        <f t="shared" si="3"/>
        <v>0</v>
      </c>
      <c r="Q784" s="97">
        <f t="shared" si="4"/>
        <v>0</v>
      </c>
      <c r="R784" s="97" t="str">
        <f ca="1">ROUNDUP(HLOOKUP(IF(CEILING(L784,0.5)&lt;1,0.5,CEILING(L784,0.5)),'배송비 조회'!A$44:AO$56,7,0)*B$3,-2)</f>
        <v>#REF!</v>
      </c>
      <c r="S784" s="97">
        <v>0</v>
      </c>
      <c r="T784" s="97" t="str">
        <f t="shared" ca="1" si="42"/>
        <v>#REF!</v>
      </c>
      <c r="U784" s="97" t="str">
        <f t="shared" ca="1" si="29"/>
        <v>#REF!</v>
      </c>
      <c r="V784" s="97" t="str">
        <f t="shared" ca="1" si="7"/>
        <v>#REF!</v>
      </c>
      <c r="W784" s="97" t="str">
        <f t="shared" ca="1" si="8"/>
        <v>#REF!</v>
      </c>
      <c r="X784" s="121">
        <v>0</v>
      </c>
      <c r="Y784" s="121" t="str">
        <f t="shared" ca="1" si="9"/>
        <v>#REF!</v>
      </c>
      <c r="Z784" s="121" t="str">
        <f t="shared" ca="1" si="10"/>
        <v>#REF!</v>
      </c>
      <c r="AA784" s="99" t="str">
        <f t="shared" ca="1" si="11"/>
        <v>#REF!</v>
      </c>
      <c r="AB784" s="234" t="str">
        <f t="shared" ca="1" si="12"/>
        <v>#REF!</v>
      </c>
      <c r="AC784" s="257" t="str">
        <f t="shared" ca="1" si="13"/>
        <v>#REF!</v>
      </c>
      <c r="AD784" s="234" t="str">
        <f t="shared" ca="1" si="14"/>
        <v>#REF!</v>
      </c>
      <c r="AE784" s="100" t="str">
        <f t="shared" ca="1" si="15"/>
        <v>#REF!</v>
      </c>
      <c r="AF784" s="101" t="str">
        <f t="shared" ca="1" si="16"/>
        <v>#REF!</v>
      </c>
      <c r="AG784" s="102" t="str">
        <f t="shared" ref="AG784:AH784" ca="1" si="802">AE784/V784</f>
        <v>#REF!</v>
      </c>
      <c r="AH784" s="102" t="str">
        <f t="shared" ca="1" si="802"/>
        <v>#REF!</v>
      </c>
    </row>
    <row r="785" spans="1:34" ht="13.2">
      <c r="A785" s="251"/>
      <c r="B785" s="251"/>
      <c r="C785" s="252"/>
      <c r="D785" s="252"/>
      <c r="E785" s="114"/>
      <c r="F785" s="252"/>
      <c r="G785" s="125" t="s">
        <v>145</v>
      </c>
      <c r="I785" s="172"/>
      <c r="J785" s="82" t="str">
        <f t="shared" ca="1" si="0"/>
        <v>#REF!</v>
      </c>
      <c r="K785" s="82" t="str">
        <f t="shared" ca="1" si="1"/>
        <v>#REF!</v>
      </c>
      <c r="L785" s="82" t="str">
        <f t="shared" ca="1" si="44"/>
        <v>#REF!</v>
      </c>
      <c r="M785" s="93"/>
      <c r="N785" s="93"/>
      <c r="O785" s="95">
        <f t="shared" si="2"/>
        <v>0</v>
      </c>
      <c r="P785" s="96">
        <f t="shared" si="3"/>
        <v>0</v>
      </c>
      <c r="Q785" s="97">
        <f t="shared" si="4"/>
        <v>0</v>
      </c>
      <c r="R785" s="97" t="str">
        <f ca="1">ROUNDUP(HLOOKUP(IF(CEILING(L785,0.5)&lt;1,0.5,CEILING(L785,0.5)),'배송비 조회'!A$44:AO$56,7,0)*B$3,-2)</f>
        <v>#REF!</v>
      </c>
      <c r="S785" s="97">
        <v>0</v>
      </c>
      <c r="T785" s="97" t="str">
        <f t="shared" ca="1" si="42"/>
        <v>#REF!</v>
      </c>
      <c r="U785" s="97" t="str">
        <f t="shared" ca="1" si="29"/>
        <v>#REF!</v>
      </c>
      <c r="V785" s="97" t="str">
        <f t="shared" ca="1" si="7"/>
        <v>#REF!</v>
      </c>
      <c r="W785" s="97" t="str">
        <f t="shared" ca="1" si="8"/>
        <v>#REF!</v>
      </c>
      <c r="X785" s="121">
        <v>0</v>
      </c>
      <c r="Y785" s="121" t="str">
        <f t="shared" ca="1" si="9"/>
        <v>#REF!</v>
      </c>
      <c r="Z785" s="121" t="str">
        <f t="shared" ca="1" si="10"/>
        <v>#REF!</v>
      </c>
      <c r="AA785" s="99" t="str">
        <f t="shared" ca="1" si="11"/>
        <v>#REF!</v>
      </c>
      <c r="AB785" s="234" t="str">
        <f t="shared" ca="1" si="12"/>
        <v>#REF!</v>
      </c>
      <c r="AC785" s="257" t="str">
        <f t="shared" ca="1" si="13"/>
        <v>#REF!</v>
      </c>
      <c r="AD785" s="234" t="str">
        <f t="shared" ca="1" si="14"/>
        <v>#REF!</v>
      </c>
      <c r="AE785" s="100" t="str">
        <f t="shared" ca="1" si="15"/>
        <v>#REF!</v>
      </c>
      <c r="AF785" s="101" t="str">
        <f t="shared" ca="1" si="16"/>
        <v>#REF!</v>
      </c>
      <c r="AG785" s="102" t="str">
        <f t="shared" ref="AG785:AH785" ca="1" si="803">AE785/V785</f>
        <v>#REF!</v>
      </c>
      <c r="AH785" s="102" t="str">
        <f t="shared" ca="1" si="803"/>
        <v>#REF!</v>
      </c>
    </row>
    <row r="786" spans="1:34" ht="13.2">
      <c r="A786" s="251"/>
      <c r="B786" s="251"/>
      <c r="C786" s="252"/>
      <c r="D786" s="252"/>
      <c r="E786" s="114"/>
      <c r="F786" s="252"/>
      <c r="G786" s="125" t="s">
        <v>145</v>
      </c>
      <c r="I786" s="172"/>
      <c r="J786" s="82" t="str">
        <f t="shared" ca="1" si="0"/>
        <v>#REF!</v>
      </c>
      <c r="K786" s="82" t="str">
        <f t="shared" ca="1" si="1"/>
        <v>#REF!</v>
      </c>
      <c r="L786" s="82" t="str">
        <f t="shared" ca="1" si="44"/>
        <v>#REF!</v>
      </c>
      <c r="M786" s="93"/>
      <c r="N786" s="93"/>
      <c r="O786" s="95">
        <f t="shared" si="2"/>
        <v>0</v>
      </c>
      <c r="P786" s="96">
        <f t="shared" si="3"/>
        <v>0</v>
      </c>
      <c r="Q786" s="97">
        <f t="shared" si="4"/>
        <v>0</v>
      </c>
      <c r="R786" s="97" t="str">
        <f ca="1">ROUNDUP(HLOOKUP(IF(CEILING(L786,0.5)&lt;1,0.5,CEILING(L786,0.5)),'배송비 조회'!A$44:AO$56,7,0)*B$3,-2)</f>
        <v>#REF!</v>
      </c>
      <c r="S786" s="97">
        <v>0</v>
      </c>
      <c r="T786" s="97" t="str">
        <f t="shared" ca="1" si="42"/>
        <v>#REF!</v>
      </c>
      <c r="U786" s="97" t="str">
        <f t="shared" ca="1" si="29"/>
        <v>#REF!</v>
      </c>
      <c r="V786" s="97" t="str">
        <f t="shared" ca="1" si="7"/>
        <v>#REF!</v>
      </c>
      <c r="W786" s="97" t="str">
        <f t="shared" ca="1" si="8"/>
        <v>#REF!</v>
      </c>
      <c r="X786" s="121">
        <v>0</v>
      </c>
      <c r="Y786" s="121" t="str">
        <f t="shared" ca="1" si="9"/>
        <v>#REF!</v>
      </c>
      <c r="Z786" s="121" t="str">
        <f t="shared" ca="1" si="10"/>
        <v>#REF!</v>
      </c>
      <c r="AA786" s="99" t="str">
        <f t="shared" ca="1" si="11"/>
        <v>#REF!</v>
      </c>
      <c r="AB786" s="234" t="str">
        <f t="shared" ca="1" si="12"/>
        <v>#REF!</v>
      </c>
      <c r="AC786" s="257" t="str">
        <f t="shared" ca="1" si="13"/>
        <v>#REF!</v>
      </c>
      <c r="AD786" s="234" t="str">
        <f t="shared" ca="1" si="14"/>
        <v>#REF!</v>
      </c>
      <c r="AE786" s="100" t="str">
        <f t="shared" ca="1" si="15"/>
        <v>#REF!</v>
      </c>
      <c r="AF786" s="101" t="str">
        <f t="shared" ca="1" si="16"/>
        <v>#REF!</v>
      </c>
      <c r="AG786" s="102" t="str">
        <f t="shared" ref="AG786:AH786" ca="1" si="804">AE786/V786</f>
        <v>#REF!</v>
      </c>
      <c r="AH786" s="102" t="str">
        <f t="shared" ca="1" si="804"/>
        <v>#REF!</v>
      </c>
    </row>
    <row r="787" spans="1:34" ht="13.2">
      <c r="A787" s="251"/>
      <c r="B787" s="251"/>
      <c r="C787" s="252"/>
      <c r="D787" s="252"/>
      <c r="E787" s="114"/>
      <c r="F787" s="252"/>
      <c r="G787" s="125" t="s">
        <v>145</v>
      </c>
      <c r="I787" s="172"/>
      <c r="J787" s="82" t="str">
        <f t="shared" ca="1" si="0"/>
        <v>#REF!</v>
      </c>
      <c r="K787" s="82" t="str">
        <f t="shared" ca="1" si="1"/>
        <v>#REF!</v>
      </c>
      <c r="L787" s="82" t="str">
        <f t="shared" ca="1" si="44"/>
        <v>#REF!</v>
      </c>
      <c r="M787" s="93"/>
      <c r="N787" s="93"/>
      <c r="O787" s="95">
        <f t="shared" si="2"/>
        <v>0</v>
      </c>
      <c r="P787" s="96">
        <f t="shared" si="3"/>
        <v>0</v>
      </c>
      <c r="Q787" s="97">
        <f t="shared" si="4"/>
        <v>0</v>
      </c>
      <c r="R787" s="97" t="str">
        <f ca="1">ROUNDUP(HLOOKUP(IF(CEILING(L787,0.5)&lt;1,0.5,CEILING(L787,0.5)),'배송비 조회'!A$44:AO$56,7,0)*B$3,-2)</f>
        <v>#REF!</v>
      </c>
      <c r="S787" s="97">
        <v>0</v>
      </c>
      <c r="T787" s="97" t="str">
        <f t="shared" ca="1" si="42"/>
        <v>#REF!</v>
      </c>
      <c r="U787" s="97" t="str">
        <f t="shared" ca="1" si="29"/>
        <v>#REF!</v>
      </c>
      <c r="V787" s="97" t="str">
        <f t="shared" ca="1" si="7"/>
        <v>#REF!</v>
      </c>
      <c r="W787" s="97" t="str">
        <f t="shared" ca="1" si="8"/>
        <v>#REF!</v>
      </c>
      <c r="X787" s="121">
        <v>0</v>
      </c>
      <c r="Y787" s="121" t="str">
        <f t="shared" ca="1" si="9"/>
        <v>#REF!</v>
      </c>
      <c r="Z787" s="121" t="str">
        <f t="shared" ca="1" si="10"/>
        <v>#REF!</v>
      </c>
      <c r="AA787" s="99" t="str">
        <f t="shared" ca="1" si="11"/>
        <v>#REF!</v>
      </c>
      <c r="AB787" s="234" t="str">
        <f t="shared" ca="1" si="12"/>
        <v>#REF!</v>
      </c>
      <c r="AC787" s="257" t="str">
        <f t="shared" ca="1" si="13"/>
        <v>#REF!</v>
      </c>
      <c r="AD787" s="234" t="str">
        <f t="shared" ca="1" si="14"/>
        <v>#REF!</v>
      </c>
      <c r="AE787" s="100" t="str">
        <f t="shared" ca="1" si="15"/>
        <v>#REF!</v>
      </c>
      <c r="AF787" s="101" t="str">
        <f t="shared" ca="1" si="16"/>
        <v>#REF!</v>
      </c>
      <c r="AG787" s="102" t="str">
        <f t="shared" ref="AG787:AH787" ca="1" si="805">AE787/V787</f>
        <v>#REF!</v>
      </c>
      <c r="AH787" s="102" t="str">
        <f t="shared" ca="1" si="805"/>
        <v>#REF!</v>
      </c>
    </row>
    <row r="788" spans="1:34" ht="13.2">
      <c r="A788" s="251"/>
      <c r="B788" s="251"/>
      <c r="C788" s="252"/>
      <c r="D788" s="252"/>
      <c r="E788" s="114"/>
      <c r="F788" s="252"/>
      <c r="G788" s="125" t="s">
        <v>145</v>
      </c>
      <c r="I788" s="172"/>
      <c r="J788" s="82" t="str">
        <f t="shared" ca="1" si="0"/>
        <v>#REF!</v>
      </c>
      <c r="K788" s="82" t="str">
        <f t="shared" ca="1" si="1"/>
        <v>#REF!</v>
      </c>
      <c r="L788" s="82" t="str">
        <f t="shared" ca="1" si="44"/>
        <v>#REF!</v>
      </c>
      <c r="M788" s="93"/>
      <c r="N788" s="93"/>
      <c r="O788" s="95">
        <f t="shared" si="2"/>
        <v>0</v>
      </c>
      <c r="P788" s="96">
        <f t="shared" si="3"/>
        <v>0</v>
      </c>
      <c r="Q788" s="97">
        <f t="shared" si="4"/>
        <v>0</v>
      </c>
      <c r="R788" s="97" t="str">
        <f ca="1">ROUNDUP(HLOOKUP(IF(CEILING(L788,0.5)&lt;1,0.5,CEILING(L788,0.5)),'배송비 조회'!A$44:AO$56,7,0)*B$3,-2)</f>
        <v>#REF!</v>
      </c>
      <c r="S788" s="97">
        <v>0</v>
      </c>
      <c r="T788" s="97" t="str">
        <f t="shared" ca="1" si="42"/>
        <v>#REF!</v>
      </c>
      <c r="U788" s="97" t="str">
        <f t="shared" ca="1" si="29"/>
        <v>#REF!</v>
      </c>
      <c r="V788" s="97" t="str">
        <f t="shared" ca="1" si="7"/>
        <v>#REF!</v>
      </c>
      <c r="W788" s="97" t="str">
        <f t="shared" ca="1" si="8"/>
        <v>#REF!</v>
      </c>
      <c r="X788" s="121">
        <v>0</v>
      </c>
      <c r="Y788" s="121" t="str">
        <f t="shared" ca="1" si="9"/>
        <v>#REF!</v>
      </c>
      <c r="Z788" s="121" t="str">
        <f t="shared" ca="1" si="10"/>
        <v>#REF!</v>
      </c>
      <c r="AA788" s="99" t="str">
        <f t="shared" ca="1" si="11"/>
        <v>#REF!</v>
      </c>
      <c r="AB788" s="234" t="str">
        <f t="shared" ca="1" si="12"/>
        <v>#REF!</v>
      </c>
      <c r="AC788" s="257" t="str">
        <f t="shared" ca="1" si="13"/>
        <v>#REF!</v>
      </c>
      <c r="AD788" s="234" t="str">
        <f t="shared" ca="1" si="14"/>
        <v>#REF!</v>
      </c>
      <c r="AE788" s="100" t="str">
        <f t="shared" ca="1" si="15"/>
        <v>#REF!</v>
      </c>
      <c r="AF788" s="101" t="str">
        <f t="shared" ca="1" si="16"/>
        <v>#REF!</v>
      </c>
      <c r="AG788" s="102" t="str">
        <f t="shared" ref="AG788:AH788" ca="1" si="806">AE788/V788</f>
        <v>#REF!</v>
      </c>
      <c r="AH788" s="102" t="str">
        <f t="shared" ca="1" si="806"/>
        <v>#REF!</v>
      </c>
    </row>
    <row r="789" spans="1:34" ht="13.2">
      <c r="A789" s="251"/>
      <c r="B789" s="251"/>
      <c r="C789" s="252"/>
      <c r="D789" s="252"/>
      <c r="E789" s="114"/>
      <c r="F789" s="252"/>
      <c r="G789" s="125" t="s">
        <v>145</v>
      </c>
      <c r="I789" s="172"/>
      <c r="J789" s="82" t="str">
        <f t="shared" ca="1" si="0"/>
        <v>#REF!</v>
      </c>
      <c r="K789" s="82" t="str">
        <f t="shared" ca="1" si="1"/>
        <v>#REF!</v>
      </c>
      <c r="L789" s="82" t="str">
        <f t="shared" ca="1" si="44"/>
        <v>#REF!</v>
      </c>
      <c r="M789" s="93"/>
      <c r="N789" s="93"/>
      <c r="O789" s="95">
        <f t="shared" si="2"/>
        <v>0</v>
      </c>
      <c r="P789" s="96">
        <f t="shared" si="3"/>
        <v>0</v>
      </c>
      <c r="Q789" s="97">
        <f t="shared" si="4"/>
        <v>0</v>
      </c>
      <c r="R789" s="97" t="str">
        <f ca="1">ROUNDUP(HLOOKUP(IF(CEILING(L789,0.5)&lt;1,0.5,CEILING(L789,0.5)),'배송비 조회'!A$44:AO$56,7,0)*B$3,-2)</f>
        <v>#REF!</v>
      </c>
      <c r="S789" s="97">
        <v>0</v>
      </c>
      <c r="T789" s="97" t="str">
        <f t="shared" ca="1" si="42"/>
        <v>#REF!</v>
      </c>
      <c r="U789" s="97" t="str">
        <f t="shared" ca="1" si="29"/>
        <v>#REF!</v>
      </c>
      <c r="V789" s="97" t="str">
        <f t="shared" ca="1" si="7"/>
        <v>#REF!</v>
      </c>
      <c r="W789" s="97" t="str">
        <f t="shared" ca="1" si="8"/>
        <v>#REF!</v>
      </c>
      <c r="X789" s="121">
        <v>0</v>
      </c>
      <c r="Y789" s="121" t="str">
        <f t="shared" ca="1" si="9"/>
        <v>#REF!</v>
      </c>
      <c r="Z789" s="121" t="str">
        <f t="shared" ca="1" si="10"/>
        <v>#REF!</v>
      </c>
      <c r="AA789" s="99" t="str">
        <f t="shared" ca="1" si="11"/>
        <v>#REF!</v>
      </c>
      <c r="AB789" s="234" t="str">
        <f t="shared" ca="1" si="12"/>
        <v>#REF!</v>
      </c>
      <c r="AC789" s="257" t="str">
        <f t="shared" ca="1" si="13"/>
        <v>#REF!</v>
      </c>
      <c r="AD789" s="234" t="str">
        <f t="shared" ca="1" si="14"/>
        <v>#REF!</v>
      </c>
      <c r="AE789" s="100" t="str">
        <f t="shared" ca="1" si="15"/>
        <v>#REF!</v>
      </c>
      <c r="AF789" s="101" t="str">
        <f t="shared" ca="1" si="16"/>
        <v>#REF!</v>
      </c>
      <c r="AG789" s="102" t="str">
        <f t="shared" ref="AG789:AH789" ca="1" si="807">AE789/V789</f>
        <v>#REF!</v>
      </c>
      <c r="AH789" s="102" t="str">
        <f t="shared" ca="1" si="807"/>
        <v>#REF!</v>
      </c>
    </row>
    <row r="790" spans="1:34" ht="13.2">
      <c r="A790" s="251"/>
      <c r="B790" s="251"/>
      <c r="C790" s="252"/>
      <c r="D790" s="252"/>
      <c r="E790" s="114"/>
      <c r="F790" s="252"/>
      <c r="G790" s="125" t="s">
        <v>145</v>
      </c>
      <c r="I790" s="172"/>
      <c r="J790" s="82" t="str">
        <f t="shared" ca="1" si="0"/>
        <v>#REF!</v>
      </c>
      <c r="K790" s="82" t="str">
        <f t="shared" ca="1" si="1"/>
        <v>#REF!</v>
      </c>
      <c r="L790" s="82" t="str">
        <f t="shared" ca="1" si="44"/>
        <v>#REF!</v>
      </c>
      <c r="M790" s="93"/>
      <c r="N790" s="93"/>
      <c r="O790" s="95">
        <f t="shared" si="2"/>
        <v>0</v>
      </c>
      <c r="P790" s="96">
        <f t="shared" si="3"/>
        <v>0</v>
      </c>
      <c r="Q790" s="97">
        <f t="shared" si="4"/>
        <v>0</v>
      </c>
      <c r="R790" s="97" t="str">
        <f ca="1">ROUNDUP(HLOOKUP(IF(CEILING(L790,0.5)&lt;1,0.5,CEILING(L790,0.5)),'배송비 조회'!A$44:AO$56,7,0)*B$3,-2)</f>
        <v>#REF!</v>
      </c>
      <c r="S790" s="97">
        <v>0</v>
      </c>
      <c r="T790" s="97" t="str">
        <f t="shared" ca="1" si="42"/>
        <v>#REF!</v>
      </c>
      <c r="U790" s="97" t="str">
        <f t="shared" ca="1" si="29"/>
        <v>#REF!</v>
      </c>
      <c r="V790" s="97" t="str">
        <f t="shared" ca="1" si="7"/>
        <v>#REF!</v>
      </c>
      <c r="W790" s="97" t="str">
        <f t="shared" ca="1" si="8"/>
        <v>#REF!</v>
      </c>
      <c r="X790" s="121">
        <v>0</v>
      </c>
      <c r="Y790" s="121" t="str">
        <f t="shared" ca="1" si="9"/>
        <v>#REF!</v>
      </c>
      <c r="Z790" s="121" t="str">
        <f t="shared" ca="1" si="10"/>
        <v>#REF!</v>
      </c>
      <c r="AA790" s="99" t="str">
        <f t="shared" ca="1" si="11"/>
        <v>#REF!</v>
      </c>
      <c r="AB790" s="234" t="str">
        <f t="shared" ca="1" si="12"/>
        <v>#REF!</v>
      </c>
      <c r="AC790" s="257" t="str">
        <f t="shared" ca="1" si="13"/>
        <v>#REF!</v>
      </c>
      <c r="AD790" s="234" t="str">
        <f t="shared" ca="1" si="14"/>
        <v>#REF!</v>
      </c>
      <c r="AE790" s="100" t="str">
        <f t="shared" ca="1" si="15"/>
        <v>#REF!</v>
      </c>
      <c r="AF790" s="101" t="str">
        <f t="shared" ca="1" si="16"/>
        <v>#REF!</v>
      </c>
      <c r="AG790" s="102" t="str">
        <f t="shared" ref="AG790:AH790" ca="1" si="808">AE790/V790</f>
        <v>#REF!</v>
      </c>
      <c r="AH790" s="102" t="str">
        <f t="shared" ca="1" si="808"/>
        <v>#REF!</v>
      </c>
    </row>
    <row r="791" spans="1:34" ht="13.2">
      <c r="A791" s="251"/>
      <c r="B791" s="251"/>
      <c r="C791" s="252"/>
      <c r="D791" s="252"/>
      <c r="E791" s="114"/>
      <c r="F791" s="252"/>
      <c r="G791" s="125" t="s">
        <v>145</v>
      </c>
      <c r="I791" s="172"/>
      <c r="J791" s="82" t="str">
        <f t="shared" ca="1" si="0"/>
        <v>#REF!</v>
      </c>
      <c r="K791" s="82" t="str">
        <f t="shared" ca="1" si="1"/>
        <v>#REF!</v>
      </c>
      <c r="L791" s="82" t="str">
        <f t="shared" ca="1" si="44"/>
        <v>#REF!</v>
      </c>
      <c r="M791" s="93"/>
      <c r="N791" s="93"/>
      <c r="O791" s="95">
        <f t="shared" si="2"/>
        <v>0</v>
      </c>
      <c r="P791" s="96">
        <f t="shared" si="3"/>
        <v>0</v>
      </c>
      <c r="Q791" s="97">
        <f t="shared" si="4"/>
        <v>0</v>
      </c>
      <c r="R791" s="97" t="str">
        <f ca="1">ROUNDUP(HLOOKUP(IF(CEILING(L791,0.5)&lt;1,0.5,CEILING(L791,0.5)),'배송비 조회'!A$44:AO$56,7,0)*B$3,-2)</f>
        <v>#REF!</v>
      </c>
      <c r="S791" s="97">
        <v>0</v>
      </c>
      <c r="T791" s="97" t="str">
        <f t="shared" ca="1" si="42"/>
        <v>#REF!</v>
      </c>
      <c r="U791" s="97" t="str">
        <f t="shared" ca="1" si="29"/>
        <v>#REF!</v>
      </c>
      <c r="V791" s="97" t="str">
        <f t="shared" ca="1" si="7"/>
        <v>#REF!</v>
      </c>
      <c r="W791" s="97" t="str">
        <f t="shared" ca="1" si="8"/>
        <v>#REF!</v>
      </c>
      <c r="X791" s="121">
        <v>0</v>
      </c>
      <c r="Y791" s="121" t="str">
        <f t="shared" ca="1" si="9"/>
        <v>#REF!</v>
      </c>
      <c r="Z791" s="121" t="str">
        <f t="shared" ca="1" si="10"/>
        <v>#REF!</v>
      </c>
      <c r="AA791" s="99" t="str">
        <f t="shared" ca="1" si="11"/>
        <v>#REF!</v>
      </c>
      <c r="AB791" s="234" t="str">
        <f t="shared" ca="1" si="12"/>
        <v>#REF!</v>
      </c>
      <c r="AC791" s="257" t="str">
        <f t="shared" ca="1" si="13"/>
        <v>#REF!</v>
      </c>
      <c r="AD791" s="234" t="str">
        <f t="shared" ca="1" si="14"/>
        <v>#REF!</v>
      </c>
      <c r="AE791" s="100" t="str">
        <f t="shared" ca="1" si="15"/>
        <v>#REF!</v>
      </c>
      <c r="AF791" s="101" t="str">
        <f t="shared" ca="1" si="16"/>
        <v>#REF!</v>
      </c>
      <c r="AG791" s="102" t="str">
        <f t="shared" ref="AG791:AH791" ca="1" si="809">AE791/V791</f>
        <v>#REF!</v>
      </c>
      <c r="AH791" s="102" t="str">
        <f t="shared" ca="1" si="809"/>
        <v>#REF!</v>
      </c>
    </row>
    <row r="792" spans="1:34" ht="13.2">
      <c r="A792" s="251"/>
      <c r="B792" s="251"/>
      <c r="C792" s="252"/>
      <c r="D792" s="252"/>
      <c r="E792" s="114"/>
      <c r="F792" s="252"/>
      <c r="G792" s="125" t="s">
        <v>145</v>
      </c>
      <c r="I792" s="172"/>
      <c r="J792" s="82" t="str">
        <f t="shared" ca="1" si="0"/>
        <v>#REF!</v>
      </c>
      <c r="K792" s="82" t="str">
        <f t="shared" ca="1" si="1"/>
        <v>#REF!</v>
      </c>
      <c r="L792" s="82" t="str">
        <f t="shared" ca="1" si="44"/>
        <v>#REF!</v>
      </c>
      <c r="M792" s="93"/>
      <c r="N792" s="93"/>
      <c r="O792" s="95">
        <f t="shared" si="2"/>
        <v>0</v>
      </c>
      <c r="P792" s="96">
        <f t="shared" si="3"/>
        <v>0</v>
      </c>
      <c r="Q792" s="97">
        <f t="shared" si="4"/>
        <v>0</v>
      </c>
      <c r="R792" s="97" t="str">
        <f ca="1">ROUNDUP(HLOOKUP(IF(CEILING(L792,0.5)&lt;1,0.5,CEILING(L792,0.5)),'배송비 조회'!A$44:AO$56,7,0)*B$3,-2)</f>
        <v>#REF!</v>
      </c>
      <c r="S792" s="97">
        <v>0</v>
      </c>
      <c r="T792" s="97" t="str">
        <f t="shared" ca="1" si="42"/>
        <v>#REF!</v>
      </c>
      <c r="U792" s="97" t="str">
        <f t="shared" ca="1" si="29"/>
        <v>#REF!</v>
      </c>
      <c r="V792" s="97" t="str">
        <f t="shared" ca="1" si="7"/>
        <v>#REF!</v>
      </c>
      <c r="W792" s="97" t="str">
        <f t="shared" ca="1" si="8"/>
        <v>#REF!</v>
      </c>
      <c r="X792" s="121">
        <v>0</v>
      </c>
      <c r="Y792" s="121" t="str">
        <f t="shared" ca="1" si="9"/>
        <v>#REF!</v>
      </c>
      <c r="Z792" s="121" t="str">
        <f t="shared" ca="1" si="10"/>
        <v>#REF!</v>
      </c>
      <c r="AA792" s="99" t="str">
        <f t="shared" ca="1" si="11"/>
        <v>#REF!</v>
      </c>
      <c r="AB792" s="234" t="str">
        <f t="shared" ca="1" si="12"/>
        <v>#REF!</v>
      </c>
      <c r="AC792" s="257" t="str">
        <f t="shared" ca="1" si="13"/>
        <v>#REF!</v>
      </c>
      <c r="AD792" s="234" t="str">
        <f t="shared" ca="1" si="14"/>
        <v>#REF!</v>
      </c>
      <c r="AE792" s="100" t="str">
        <f t="shared" ca="1" si="15"/>
        <v>#REF!</v>
      </c>
      <c r="AF792" s="101" t="str">
        <f t="shared" ca="1" si="16"/>
        <v>#REF!</v>
      </c>
      <c r="AG792" s="102" t="str">
        <f t="shared" ref="AG792:AH792" ca="1" si="810">AE792/V792</f>
        <v>#REF!</v>
      </c>
      <c r="AH792" s="102" t="str">
        <f t="shared" ca="1" si="810"/>
        <v>#REF!</v>
      </c>
    </row>
    <row r="793" spans="1:34" ht="13.2">
      <c r="A793" s="251"/>
      <c r="B793" s="251"/>
      <c r="C793" s="252"/>
      <c r="D793" s="252"/>
      <c r="E793" s="114"/>
      <c r="F793" s="252"/>
      <c r="G793" s="125" t="s">
        <v>145</v>
      </c>
      <c r="I793" s="172"/>
      <c r="J793" s="82" t="str">
        <f t="shared" ca="1" si="0"/>
        <v>#REF!</v>
      </c>
      <c r="K793" s="82" t="str">
        <f t="shared" ca="1" si="1"/>
        <v>#REF!</v>
      </c>
      <c r="L793" s="82" t="str">
        <f t="shared" ca="1" si="44"/>
        <v>#REF!</v>
      </c>
      <c r="M793" s="93"/>
      <c r="N793" s="93"/>
      <c r="O793" s="95">
        <f t="shared" si="2"/>
        <v>0</v>
      </c>
      <c r="P793" s="96">
        <f t="shared" si="3"/>
        <v>0</v>
      </c>
      <c r="Q793" s="97">
        <f t="shared" si="4"/>
        <v>0</v>
      </c>
      <c r="R793" s="97" t="str">
        <f ca="1">ROUNDUP(HLOOKUP(IF(CEILING(L793,0.5)&lt;1,0.5,CEILING(L793,0.5)),'배송비 조회'!A$44:AO$56,7,0)*B$3,-2)</f>
        <v>#REF!</v>
      </c>
      <c r="S793" s="97">
        <v>0</v>
      </c>
      <c r="T793" s="97" t="str">
        <f t="shared" ca="1" si="42"/>
        <v>#REF!</v>
      </c>
      <c r="U793" s="97" t="str">
        <f t="shared" ca="1" si="29"/>
        <v>#REF!</v>
      </c>
      <c r="V793" s="97" t="str">
        <f t="shared" ca="1" si="7"/>
        <v>#REF!</v>
      </c>
      <c r="W793" s="97" t="str">
        <f t="shared" ca="1" si="8"/>
        <v>#REF!</v>
      </c>
      <c r="X793" s="121">
        <v>0</v>
      </c>
      <c r="Y793" s="121" t="str">
        <f t="shared" ca="1" si="9"/>
        <v>#REF!</v>
      </c>
      <c r="Z793" s="121" t="str">
        <f t="shared" ca="1" si="10"/>
        <v>#REF!</v>
      </c>
      <c r="AA793" s="99" t="str">
        <f t="shared" ca="1" si="11"/>
        <v>#REF!</v>
      </c>
      <c r="AB793" s="234" t="str">
        <f t="shared" ca="1" si="12"/>
        <v>#REF!</v>
      </c>
      <c r="AC793" s="257" t="str">
        <f t="shared" ca="1" si="13"/>
        <v>#REF!</v>
      </c>
      <c r="AD793" s="234" t="str">
        <f t="shared" ca="1" si="14"/>
        <v>#REF!</v>
      </c>
      <c r="AE793" s="100" t="str">
        <f t="shared" ca="1" si="15"/>
        <v>#REF!</v>
      </c>
      <c r="AF793" s="101" t="str">
        <f t="shared" ca="1" si="16"/>
        <v>#REF!</v>
      </c>
      <c r="AG793" s="102" t="str">
        <f t="shared" ref="AG793:AH793" ca="1" si="811">AE793/V793</f>
        <v>#REF!</v>
      </c>
      <c r="AH793" s="102" t="str">
        <f t="shared" ca="1" si="811"/>
        <v>#REF!</v>
      </c>
    </row>
    <row r="794" spans="1:34" ht="13.2">
      <c r="A794" s="251"/>
      <c r="B794" s="251"/>
      <c r="C794" s="252"/>
      <c r="D794" s="252"/>
      <c r="E794" s="114"/>
      <c r="F794" s="252"/>
      <c r="G794" s="125" t="s">
        <v>145</v>
      </c>
      <c r="I794" s="172"/>
      <c r="J794" s="82" t="str">
        <f t="shared" ca="1" si="0"/>
        <v>#REF!</v>
      </c>
      <c r="K794" s="82" t="str">
        <f t="shared" ca="1" si="1"/>
        <v>#REF!</v>
      </c>
      <c r="L794" s="82" t="str">
        <f t="shared" ca="1" si="44"/>
        <v>#REF!</v>
      </c>
      <c r="M794" s="93"/>
      <c r="N794" s="93"/>
      <c r="O794" s="95">
        <f t="shared" si="2"/>
        <v>0</v>
      </c>
      <c r="P794" s="96">
        <f t="shared" si="3"/>
        <v>0</v>
      </c>
      <c r="Q794" s="97">
        <f t="shared" si="4"/>
        <v>0</v>
      </c>
      <c r="R794" s="97" t="str">
        <f ca="1">ROUNDUP(HLOOKUP(IF(CEILING(L794,0.5)&lt;1,0.5,CEILING(L794,0.5)),'배송비 조회'!A$44:AO$56,7,0)*B$3,-2)</f>
        <v>#REF!</v>
      </c>
      <c r="S794" s="97">
        <v>0</v>
      </c>
      <c r="T794" s="97" t="str">
        <f t="shared" ca="1" si="42"/>
        <v>#REF!</v>
      </c>
      <c r="U794" s="97" t="str">
        <f t="shared" ca="1" si="29"/>
        <v>#REF!</v>
      </c>
      <c r="V794" s="97" t="str">
        <f t="shared" ca="1" si="7"/>
        <v>#REF!</v>
      </c>
      <c r="W794" s="97" t="str">
        <f t="shared" ca="1" si="8"/>
        <v>#REF!</v>
      </c>
      <c r="X794" s="121">
        <v>0</v>
      </c>
      <c r="Y794" s="121" t="str">
        <f t="shared" ca="1" si="9"/>
        <v>#REF!</v>
      </c>
      <c r="Z794" s="121" t="str">
        <f t="shared" ca="1" si="10"/>
        <v>#REF!</v>
      </c>
      <c r="AA794" s="99" t="str">
        <f t="shared" ca="1" si="11"/>
        <v>#REF!</v>
      </c>
      <c r="AB794" s="234" t="str">
        <f t="shared" ca="1" si="12"/>
        <v>#REF!</v>
      </c>
      <c r="AC794" s="257" t="str">
        <f t="shared" ca="1" si="13"/>
        <v>#REF!</v>
      </c>
      <c r="AD794" s="234" t="str">
        <f t="shared" ca="1" si="14"/>
        <v>#REF!</v>
      </c>
      <c r="AE794" s="100" t="str">
        <f t="shared" ca="1" si="15"/>
        <v>#REF!</v>
      </c>
      <c r="AF794" s="101" t="str">
        <f t="shared" ca="1" si="16"/>
        <v>#REF!</v>
      </c>
      <c r="AG794" s="102" t="str">
        <f t="shared" ref="AG794:AH794" ca="1" si="812">AE794/V794</f>
        <v>#REF!</v>
      </c>
      <c r="AH794" s="102" t="str">
        <f t="shared" ca="1" si="812"/>
        <v>#REF!</v>
      </c>
    </row>
    <row r="795" spans="1:34" ht="13.2">
      <c r="A795" s="251"/>
      <c r="B795" s="251"/>
      <c r="C795" s="252"/>
      <c r="D795" s="252"/>
      <c r="E795" s="114"/>
      <c r="F795" s="252"/>
      <c r="G795" s="125" t="s">
        <v>145</v>
      </c>
      <c r="I795" s="172"/>
      <c r="J795" s="82" t="str">
        <f t="shared" ca="1" si="0"/>
        <v>#REF!</v>
      </c>
      <c r="K795" s="82" t="str">
        <f t="shared" ca="1" si="1"/>
        <v>#REF!</v>
      </c>
      <c r="L795" s="82" t="str">
        <f t="shared" ca="1" si="44"/>
        <v>#REF!</v>
      </c>
      <c r="M795" s="93"/>
      <c r="N795" s="93"/>
      <c r="O795" s="95">
        <f t="shared" si="2"/>
        <v>0</v>
      </c>
      <c r="P795" s="96">
        <f t="shared" si="3"/>
        <v>0</v>
      </c>
      <c r="Q795" s="97">
        <f t="shared" si="4"/>
        <v>0</v>
      </c>
      <c r="R795" s="97" t="str">
        <f ca="1">ROUNDUP(HLOOKUP(IF(CEILING(L795,0.5)&lt;1,0.5,CEILING(L795,0.5)),'배송비 조회'!A$44:AO$56,7,0)*B$3,-2)</f>
        <v>#REF!</v>
      </c>
      <c r="S795" s="97">
        <v>0</v>
      </c>
      <c r="T795" s="97" t="str">
        <f t="shared" ca="1" si="42"/>
        <v>#REF!</v>
      </c>
      <c r="U795" s="97" t="str">
        <f t="shared" ca="1" si="29"/>
        <v>#REF!</v>
      </c>
      <c r="V795" s="97" t="str">
        <f t="shared" ca="1" si="7"/>
        <v>#REF!</v>
      </c>
      <c r="W795" s="97" t="str">
        <f t="shared" ca="1" si="8"/>
        <v>#REF!</v>
      </c>
      <c r="X795" s="121">
        <v>0</v>
      </c>
      <c r="Y795" s="121" t="str">
        <f t="shared" ca="1" si="9"/>
        <v>#REF!</v>
      </c>
      <c r="Z795" s="121" t="str">
        <f t="shared" ca="1" si="10"/>
        <v>#REF!</v>
      </c>
      <c r="AA795" s="99" t="str">
        <f t="shared" ca="1" si="11"/>
        <v>#REF!</v>
      </c>
      <c r="AB795" s="234" t="str">
        <f t="shared" ca="1" si="12"/>
        <v>#REF!</v>
      </c>
      <c r="AC795" s="257" t="str">
        <f t="shared" ca="1" si="13"/>
        <v>#REF!</v>
      </c>
      <c r="AD795" s="234" t="str">
        <f t="shared" ca="1" si="14"/>
        <v>#REF!</v>
      </c>
      <c r="AE795" s="100" t="str">
        <f t="shared" ca="1" si="15"/>
        <v>#REF!</v>
      </c>
      <c r="AF795" s="101" t="str">
        <f t="shared" ca="1" si="16"/>
        <v>#REF!</v>
      </c>
      <c r="AG795" s="102" t="str">
        <f t="shared" ref="AG795:AH795" ca="1" si="813">AE795/V795</f>
        <v>#REF!</v>
      </c>
      <c r="AH795" s="102" t="str">
        <f t="shared" ca="1" si="813"/>
        <v>#REF!</v>
      </c>
    </row>
    <row r="796" spans="1:34" ht="13.2">
      <c r="A796" s="251"/>
      <c r="B796" s="251"/>
      <c r="C796" s="252"/>
      <c r="D796" s="252"/>
      <c r="E796" s="114"/>
      <c r="F796" s="252"/>
      <c r="G796" s="125" t="s">
        <v>145</v>
      </c>
      <c r="I796" s="172"/>
      <c r="J796" s="82" t="str">
        <f t="shared" ca="1" si="0"/>
        <v>#REF!</v>
      </c>
      <c r="K796" s="82" t="str">
        <f t="shared" ca="1" si="1"/>
        <v>#REF!</v>
      </c>
      <c r="L796" s="82" t="str">
        <f t="shared" ca="1" si="44"/>
        <v>#REF!</v>
      </c>
      <c r="M796" s="93"/>
      <c r="N796" s="93"/>
      <c r="O796" s="95">
        <f t="shared" si="2"/>
        <v>0</v>
      </c>
      <c r="P796" s="96">
        <f t="shared" si="3"/>
        <v>0</v>
      </c>
      <c r="Q796" s="97">
        <f t="shared" si="4"/>
        <v>0</v>
      </c>
      <c r="R796" s="97" t="str">
        <f ca="1">ROUNDUP(HLOOKUP(IF(CEILING(L796,0.5)&lt;1,0.5,CEILING(L796,0.5)),'배송비 조회'!A$44:AO$56,7,0)*B$3,-2)</f>
        <v>#REF!</v>
      </c>
      <c r="S796" s="97">
        <v>0</v>
      </c>
      <c r="T796" s="97" t="str">
        <f t="shared" ca="1" si="42"/>
        <v>#REF!</v>
      </c>
      <c r="U796" s="97" t="str">
        <f t="shared" ca="1" si="29"/>
        <v>#REF!</v>
      </c>
      <c r="V796" s="97" t="str">
        <f t="shared" ca="1" si="7"/>
        <v>#REF!</v>
      </c>
      <c r="W796" s="97" t="str">
        <f t="shared" ca="1" si="8"/>
        <v>#REF!</v>
      </c>
      <c r="X796" s="121">
        <v>0</v>
      </c>
      <c r="Y796" s="121" t="str">
        <f t="shared" ca="1" si="9"/>
        <v>#REF!</v>
      </c>
      <c r="Z796" s="121" t="str">
        <f t="shared" ca="1" si="10"/>
        <v>#REF!</v>
      </c>
      <c r="AA796" s="99" t="str">
        <f t="shared" ca="1" si="11"/>
        <v>#REF!</v>
      </c>
      <c r="AB796" s="234" t="str">
        <f t="shared" ca="1" si="12"/>
        <v>#REF!</v>
      </c>
      <c r="AC796" s="257" t="str">
        <f t="shared" ca="1" si="13"/>
        <v>#REF!</v>
      </c>
      <c r="AD796" s="234" t="str">
        <f t="shared" ca="1" si="14"/>
        <v>#REF!</v>
      </c>
      <c r="AE796" s="100" t="str">
        <f t="shared" ca="1" si="15"/>
        <v>#REF!</v>
      </c>
      <c r="AF796" s="101" t="str">
        <f t="shared" ca="1" si="16"/>
        <v>#REF!</v>
      </c>
      <c r="AG796" s="102" t="str">
        <f t="shared" ref="AG796:AH796" ca="1" si="814">AE796/V796</f>
        <v>#REF!</v>
      </c>
      <c r="AH796" s="102" t="str">
        <f t="shared" ca="1" si="814"/>
        <v>#REF!</v>
      </c>
    </row>
    <row r="797" spans="1:34" ht="13.2">
      <c r="A797" s="251"/>
      <c r="B797" s="251"/>
      <c r="C797" s="252"/>
      <c r="D797" s="252"/>
      <c r="E797" s="114"/>
      <c r="F797" s="252"/>
      <c r="G797" s="125" t="s">
        <v>145</v>
      </c>
      <c r="I797" s="172"/>
      <c r="J797" s="82" t="str">
        <f t="shared" ca="1" si="0"/>
        <v>#REF!</v>
      </c>
      <c r="K797" s="82" t="str">
        <f t="shared" ca="1" si="1"/>
        <v>#REF!</v>
      </c>
      <c r="L797" s="82" t="str">
        <f t="shared" ca="1" si="44"/>
        <v>#REF!</v>
      </c>
      <c r="M797" s="93"/>
      <c r="N797" s="93"/>
      <c r="O797" s="95">
        <f t="shared" si="2"/>
        <v>0</v>
      </c>
      <c r="P797" s="96">
        <f t="shared" si="3"/>
        <v>0</v>
      </c>
      <c r="Q797" s="97">
        <f t="shared" si="4"/>
        <v>0</v>
      </c>
      <c r="R797" s="97" t="str">
        <f ca="1">ROUNDUP(HLOOKUP(IF(CEILING(L797,0.5)&lt;1,0.5,CEILING(L797,0.5)),'배송비 조회'!A$44:AO$56,7,0)*B$3,-2)</f>
        <v>#REF!</v>
      </c>
      <c r="S797" s="97">
        <v>0</v>
      </c>
      <c r="T797" s="97" t="str">
        <f t="shared" ca="1" si="42"/>
        <v>#REF!</v>
      </c>
      <c r="U797" s="97" t="str">
        <f t="shared" ca="1" si="29"/>
        <v>#REF!</v>
      </c>
      <c r="V797" s="97" t="str">
        <f t="shared" ca="1" si="7"/>
        <v>#REF!</v>
      </c>
      <c r="W797" s="97" t="str">
        <f t="shared" ca="1" si="8"/>
        <v>#REF!</v>
      </c>
      <c r="X797" s="121">
        <v>0</v>
      </c>
      <c r="Y797" s="121" t="str">
        <f t="shared" ca="1" si="9"/>
        <v>#REF!</v>
      </c>
      <c r="Z797" s="121" t="str">
        <f t="shared" ca="1" si="10"/>
        <v>#REF!</v>
      </c>
      <c r="AA797" s="99" t="str">
        <f t="shared" ca="1" si="11"/>
        <v>#REF!</v>
      </c>
      <c r="AB797" s="234" t="str">
        <f t="shared" ca="1" si="12"/>
        <v>#REF!</v>
      </c>
      <c r="AC797" s="257" t="str">
        <f t="shared" ca="1" si="13"/>
        <v>#REF!</v>
      </c>
      <c r="AD797" s="234" t="str">
        <f t="shared" ca="1" si="14"/>
        <v>#REF!</v>
      </c>
      <c r="AE797" s="100" t="str">
        <f t="shared" ca="1" si="15"/>
        <v>#REF!</v>
      </c>
      <c r="AF797" s="101" t="str">
        <f t="shared" ca="1" si="16"/>
        <v>#REF!</v>
      </c>
      <c r="AG797" s="102" t="str">
        <f t="shared" ref="AG797:AH797" ca="1" si="815">AE797/V797</f>
        <v>#REF!</v>
      </c>
      <c r="AH797" s="102" t="str">
        <f t="shared" ca="1" si="815"/>
        <v>#REF!</v>
      </c>
    </row>
    <row r="798" spans="1:34" ht="13.2">
      <c r="A798" s="251"/>
      <c r="B798" s="251"/>
      <c r="C798" s="252"/>
      <c r="D798" s="252"/>
      <c r="E798" s="114"/>
      <c r="F798" s="252"/>
      <c r="G798" s="125" t="s">
        <v>145</v>
      </c>
      <c r="I798" s="172"/>
      <c r="J798" s="82" t="str">
        <f t="shared" ca="1" si="0"/>
        <v>#REF!</v>
      </c>
      <c r="K798" s="82" t="str">
        <f t="shared" ca="1" si="1"/>
        <v>#REF!</v>
      </c>
      <c r="L798" s="82" t="str">
        <f t="shared" ca="1" si="44"/>
        <v>#REF!</v>
      </c>
      <c r="M798" s="93"/>
      <c r="N798" s="93"/>
      <c r="O798" s="95">
        <f t="shared" si="2"/>
        <v>0</v>
      </c>
      <c r="P798" s="96">
        <f t="shared" si="3"/>
        <v>0</v>
      </c>
      <c r="Q798" s="97">
        <f t="shared" si="4"/>
        <v>0</v>
      </c>
      <c r="R798" s="97" t="str">
        <f ca="1">ROUNDUP(HLOOKUP(IF(CEILING(L798,0.5)&lt;1,0.5,CEILING(L798,0.5)),'배송비 조회'!A$44:AO$56,7,0)*B$3,-2)</f>
        <v>#REF!</v>
      </c>
      <c r="S798" s="97">
        <v>0</v>
      </c>
      <c r="T798" s="97" t="str">
        <f t="shared" ca="1" si="42"/>
        <v>#REF!</v>
      </c>
      <c r="U798" s="97" t="str">
        <f t="shared" ca="1" si="29"/>
        <v>#REF!</v>
      </c>
      <c r="V798" s="97" t="str">
        <f t="shared" ca="1" si="7"/>
        <v>#REF!</v>
      </c>
      <c r="W798" s="97" t="str">
        <f t="shared" ca="1" si="8"/>
        <v>#REF!</v>
      </c>
      <c r="X798" s="121">
        <v>0</v>
      </c>
      <c r="Y798" s="121" t="str">
        <f t="shared" ca="1" si="9"/>
        <v>#REF!</v>
      </c>
      <c r="Z798" s="121" t="str">
        <f t="shared" ca="1" si="10"/>
        <v>#REF!</v>
      </c>
      <c r="AA798" s="99" t="str">
        <f t="shared" ca="1" si="11"/>
        <v>#REF!</v>
      </c>
      <c r="AB798" s="234" t="str">
        <f t="shared" ca="1" si="12"/>
        <v>#REF!</v>
      </c>
      <c r="AC798" s="257" t="str">
        <f t="shared" ca="1" si="13"/>
        <v>#REF!</v>
      </c>
      <c r="AD798" s="234" t="str">
        <f t="shared" ca="1" si="14"/>
        <v>#REF!</v>
      </c>
      <c r="AE798" s="100" t="str">
        <f t="shared" ca="1" si="15"/>
        <v>#REF!</v>
      </c>
      <c r="AF798" s="101" t="str">
        <f t="shared" ca="1" si="16"/>
        <v>#REF!</v>
      </c>
      <c r="AG798" s="102" t="str">
        <f t="shared" ref="AG798:AH798" ca="1" si="816">AE798/V798</f>
        <v>#REF!</v>
      </c>
      <c r="AH798" s="102" t="str">
        <f t="shared" ca="1" si="816"/>
        <v>#REF!</v>
      </c>
    </row>
    <row r="799" spans="1:34" ht="13.2">
      <c r="A799" s="251"/>
      <c r="B799" s="251"/>
      <c r="C799" s="252"/>
      <c r="D799" s="252"/>
      <c r="E799" s="114"/>
      <c r="F799" s="252"/>
      <c r="G799" s="125" t="s">
        <v>145</v>
      </c>
      <c r="I799" s="172"/>
      <c r="J799" s="82" t="str">
        <f t="shared" ca="1" si="0"/>
        <v>#REF!</v>
      </c>
      <c r="K799" s="82" t="str">
        <f t="shared" ca="1" si="1"/>
        <v>#REF!</v>
      </c>
      <c r="L799" s="82" t="str">
        <f t="shared" ca="1" si="44"/>
        <v>#REF!</v>
      </c>
      <c r="M799" s="93"/>
      <c r="N799" s="93"/>
      <c r="O799" s="95">
        <f t="shared" si="2"/>
        <v>0</v>
      </c>
      <c r="P799" s="96">
        <f t="shared" si="3"/>
        <v>0</v>
      </c>
      <c r="Q799" s="97">
        <f t="shared" si="4"/>
        <v>0</v>
      </c>
      <c r="R799" s="97" t="str">
        <f ca="1">ROUNDUP(HLOOKUP(IF(CEILING(L799,0.5)&lt;1,0.5,CEILING(L799,0.5)),'배송비 조회'!A$44:AO$56,7,0)*B$3,-2)</f>
        <v>#REF!</v>
      </c>
      <c r="S799" s="97">
        <v>0</v>
      </c>
      <c r="T799" s="97" t="str">
        <f t="shared" ca="1" si="42"/>
        <v>#REF!</v>
      </c>
      <c r="U799" s="97" t="str">
        <f t="shared" ca="1" si="29"/>
        <v>#REF!</v>
      </c>
      <c r="V799" s="97" t="str">
        <f t="shared" ca="1" si="7"/>
        <v>#REF!</v>
      </c>
      <c r="W799" s="97" t="str">
        <f t="shared" ca="1" si="8"/>
        <v>#REF!</v>
      </c>
      <c r="X799" s="121">
        <v>0</v>
      </c>
      <c r="Y799" s="121" t="str">
        <f t="shared" ca="1" si="9"/>
        <v>#REF!</v>
      </c>
      <c r="Z799" s="121" t="str">
        <f t="shared" ca="1" si="10"/>
        <v>#REF!</v>
      </c>
      <c r="AA799" s="99" t="str">
        <f t="shared" ca="1" si="11"/>
        <v>#REF!</v>
      </c>
      <c r="AB799" s="234" t="str">
        <f t="shared" ca="1" si="12"/>
        <v>#REF!</v>
      </c>
      <c r="AC799" s="257" t="str">
        <f t="shared" ca="1" si="13"/>
        <v>#REF!</v>
      </c>
      <c r="AD799" s="234" t="str">
        <f t="shared" ca="1" si="14"/>
        <v>#REF!</v>
      </c>
      <c r="AE799" s="100" t="str">
        <f t="shared" ca="1" si="15"/>
        <v>#REF!</v>
      </c>
      <c r="AF799" s="101" t="str">
        <f t="shared" ca="1" si="16"/>
        <v>#REF!</v>
      </c>
      <c r="AG799" s="102" t="str">
        <f t="shared" ref="AG799:AH799" ca="1" si="817">AE799/V799</f>
        <v>#REF!</v>
      </c>
      <c r="AH799" s="102" t="str">
        <f t="shared" ca="1" si="817"/>
        <v>#REF!</v>
      </c>
    </row>
    <row r="800" spans="1:34" ht="13.2">
      <c r="A800" s="251"/>
      <c r="B800" s="251"/>
      <c r="C800" s="252"/>
      <c r="D800" s="252"/>
      <c r="E800" s="114"/>
      <c r="F800" s="252"/>
      <c r="G800" s="125" t="s">
        <v>145</v>
      </c>
      <c r="I800" s="172"/>
      <c r="J800" s="82" t="str">
        <f t="shared" ca="1" si="0"/>
        <v>#REF!</v>
      </c>
      <c r="K800" s="82" t="str">
        <f t="shared" ca="1" si="1"/>
        <v>#REF!</v>
      </c>
      <c r="L800" s="82" t="str">
        <f t="shared" ca="1" si="44"/>
        <v>#REF!</v>
      </c>
      <c r="M800" s="93"/>
      <c r="N800" s="93"/>
      <c r="O800" s="95">
        <f t="shared" si="2"/>
        <v>0</v>
      </c>
      <c r="P800" s="96">
        <f t="shared" si="3"/>
        <v>0</v>
      </c>
      <c r="Q800" s="97">
        <f t="shared" si="4"/>
        <v>0</v>
      </c>
      <c r="R800" s="97" t="str">
        <f ca="1">ROUNDUP(HLOOKUP(IF(CEILING(L800,0.5)&lt;1,0.5,CEILING(L800,0.5)),'배송비 조회'!A$44:AO$56,7,0)*B$3,-2)</f>
        <v>#REF!</v>
      </c>
      <c r="S800" s="97">
        <v>0</v>
      </c>
      <c r="T800" s="97" t="str">
        <f t="shared" ca="1" si="42"/>
        <v>#REF!</v>
      </c>
      <c r="U800" s="97" t="str">
        <f t="shared" ca="1" si="29"/>
        <v>#REF!</v>
      </c>
      <c r="V800" s="97" t="str">
        <f t="shared" ca="1" si="7"/>
        <v>#REF!</v>
      </c>
      <c r="W800" s="97" t="str">
        <f t="shared" ca="1" si="8"/>
        <v>#REF!</v>
      </c>
      <c r="X800" s="121">
        <v>0</v>
      </c>
      <c r="Y800" s="121" t="str">
        <f t="shared" ca="1" si="9"/>
        <v>#REF!</v>
      </c>
      <c r="Z800" s="121" t="str">
        <f t="shared" ca="1" si="10"/>
        <v>#REF!</v>
      </c>
      <c r="AA800" s="99" t="str">
        <f t="shared" ca="1" si="11"/>
        <v>#REF!</v>
      </c>
      <c r="AB800" s="234" t="str">
        <f t="shared" ca="1" si="12"/>
        <v>#REF!</v>
      </c>
      <c r="AC800" s="257" t="str">
        <f t="shared" ca="1" si="13"/>
        <v>#REF!</v>
      </c>
      <c r="AD800" s="234" t="str">
        <f t="shared" ca="1" si="14"/>
        <v>#REF!</v>
      </c>
      <c r="AE800" s="100" t="str">
        <f t="shared" ca="1" si="15"/>
        <v>#REF!</v>
      </c>
      <c r="AF800" s="101" t="str">
        <f t="shared" ca="1" si="16"/>
        <v>#REF!</v>
      </c>
      <c r="AG800" s="102" t="str">
        <f t="shared" ref="AG800:AH800" ca="1" si="818">AE800/V800</f>
        <v>#REF!</v>
      </c>
      <c r="AH800" s="102" t="str">
        <f t="shared" ca="1" si="818"/>
        <v>#REF!</v>
      </c>
    </row>
    <row r="801" spans="1:34" ht="13.2">
      <c r="A801" s="251"/>
      <c r="B801" s="251"/>
      <c r="C801" s="252"/>
      <c r="D801" s="252"/>
      <c r="E801" s="114"/>
      <c r="F801" s="252"/>
      <c r="G801" s="125" t="s">
        <v>145</v>
      </c>
      <c r="I801" s="172"/>
      <c r="J801" s="82" t="str">
        <f t="shared" ca="1" si="0"/>
        <v>#REF!</v>
      </c>
      <c r="K801" s="82" t="str">
        <f t="shared" ca="1" si="1"/>
        <v>#REF!</v>
      </c>
      <c r="L801" s="82" t="str">
        <f t="shared" ca="1" si="44"/>
        <v>#REF!</v>
      </c>
      <c r="M801" s="93"/>
      <c r="N801" s="93"/>
      <c r="O801" s="95">
        <f t="shared" si="2"/>
        <v>0</v>
      </c>
      <c r="P801" s="96">
        <f t="shared" si="3"/>
        <v>0</v>
      </c>
      <c r="Q801" s="97">
        <f t="shared" si="4"/>
        <v>0</v>
      </c>
      <c r="R801" s="97" t="str">
        <f ca="1">ROUNDUP(HLOOKUP(IF(CEILING(L801,0.5)&lt;1,0.5,CEILING(L801,0.5)),'배송비 조회'!A$44:AO$56,7,0)*B$3,-2)</f>
        <v>#REF!</v>
      </c>
      <c r="S801" s="97">
        <v>0</v>
      </c>
      <c r="T801" s="97" t="str">
        <f t="shared" ca="1" si="42"/>
        <v>#REF!</v>
      </c>
      <c r="U801" s="97" t="str">
        <f t="shared" ca="1" si="29"/>
        <v>#REF!</v>
      </c>
      <c r="V801" s="97" t="str">
        <f t="shared" ca="1" si="7"/>
        <v>#REF!</v>
      </c>
      <c r="W801" s="97" t="str">
        <f t="shared" ca="1" si="8"/>
        <v>#REF!</v>
      </c>
      <c r="X801" s="121">
        <v>0</v>
      </c>
      <c r="Y801" s="121" t="str">
        <f t="shared" ca="1" si="9"/>
        <v>#REF!</v>
      </c>
      <c r="Z801" s="121" t="str">
        <f t="shared" ca="1" si="10"/>
        <v>#REF!</v>
      </c>
      <c r="AA801" s="99" t="str">
        <f t="shared" ca="1" si="11"/>
        <v>#REF!</v>
      </c>
      <c r="AB801" s="234" t="str">
        <f t="shared" ca="1" si="12"/>
        <v>#REF!</v>
      </c>
      <c r="AC801" s="257" t="str">
        <f t="shared" ca="1" si="13"/>
        <v>#REF!</v>
      </c>
      <c r="AD801" s="234" t="str">
        <f t="shared" ca="1" si="14"/>
        <v>#REF!</v>
      </c>
      <c r="AE801" s="100" t="str">
        <f t="shared" ca="1" si="15"/>
        <v>#REF!</v>
      </c>
      <c r="AF801" s="101" t="str">
        <f t="shared" ca="1" si="16"/>
        <v>#REF!</v>
      </c>
      <c r="AG801" s="102" t="str">
        <f t="shared" ref="AG801:AH801" ca="1" si="819">AE801/V801</f>
        <v>#REF!</v>
      </c>
      <c r="AH801" s="102" t="str">
        <f t="shared" ca="1" si="819"/>
        <v>#REF!</v>
      </c>
    </row>
    <row r="802" spans="1:34" ht="13.2">
      <c r="A802" s="251"/>
      <c r="B802" s="251"/>
      <c r="C802" s="252"/>
      <c r="D802" s="252"/>
      <c r="E802" s="114"/>
      <c r="F802" s="252"/>
      <c r="G802" s="125" t="s">
        <v>145</v>
      </c>
      <c r="I802" s="172"/>
      <c r="J802" s="82" t="str">
        <f t="shared" ca="1" si="0"/>
        <v>#REF!</v>
      </c>
      <c r="K802" s="82" t="str">
        <f t="shared" ca="1" si="1"/>
        <v>#REF!</v>
      </c>
      <c r="L802" s="82" t="str">
        <f t="shared" ca="1" si="44"/>
        <v>#REF!</v>
      </c>
      <c r="M802" s="93"/>
      <c r="N802" s="93"/>
      <c r="O802" s="95">
        <f t="shared" si="2"/>
        <v>0</v>
      </c>
      <c r="P802" s="96">
        <f t="shared" si="3"/>
        <v>0</v>
      </c>
      <c r="Q802" s="97">
        <f t="shared" si="4"/>
        <v>0</v>
      </c>
      <c r="R802" s="97" t="str">
        <f ca="1">ROUNDUP(HLOOKUP(IF(CEILING(L802,0.5)&lt;1,0.5,CEILING(L802,0.5)),'배송비 조회'!A$44:AO$56,7,0)*B$3,-2)</f>
        <v>#REF!</v>
      </c>
      <c r="S802" s="97">
        <v>0</v>
      </c>
      <c r="T802" s="97" t="str">
        <f t="shared" ca="1" si="42"/>
        <v>#REF!</v>
      </c>
      <c r="U802" s="97" t="str">
        <f t="shared" ca="1" si="29"/>
        <v>#REF!</v>
      </c>
      <c r="V802" s="97" t="str">
        <f t="shared" ca="1" si="7"/>
        <v>#REF!</v>
      </c>
      <c r="W802" s="97" t="str">
        <f t="shared" ca="1" si="8"/>
        <v>#REF!</v>
      </c>
      <c r="X802" s="121">
        <v>0</v>
      </c>
      <c r="Y802" s="121" t="str">
        <f t="shared" ca="1" si="9"/>
        <v>#REF!</v>
      </c>
      <c r="Z802" s="121" t="str">
        <f t="shared" ca="1" si="10"/>
        <v>#REF!</v>
      </c>
      <c r="AA802" s="99" t="str">
        <f t="shared" ca="1" si="11"/>
        <v>#REF!</v>
      </c>
      <c r="AB802" s="234" t="str">
        <f t="shared" ca="1" si="12"/>
        <v>#REF!</v>
      </c>
      <c r="AC802" s="257" t="str">
        <f t="shared" ca="1" si="13"/>
        <v>#REF!</v>
      </c>
      <c r="AD802" s="234" t="str">
        <f t="shared" ca="1" si="14"/>
        <v>#REF!</v>
      </c>
      <c r="AE802" s="100" t="str">
        <f t="shared" ca="1" si="15"/>
        <v>#REF!</v>
      </c>
      <c r="AF802" s="101" t="str">
        <f t="shared" ca="1" si="16"/>
        <v>#REF!</v>
      </c>
      <c r="AG802" s="102" t="str">
        <f t="shared" ref="AG802:AH802" ca="1" si="820">AE802/V802</f>
        <v>#REF!</v>
      </c>
      <c r="AH802" s="102" t="str">
        <f t="shared" ca="1" si="820"/>
        <v>#REF!</v>
      </c>
    </row>
    <row r="803" spans="1:34" ht="13.2">
      <c r="A803" s="251"/>
      <c r="B803" s="251"/>
      <c r="C803" s="252"/>
      <c r="D803" s="252"/>
      <c r="E803" s="114"/>
      <c r="F803" s="252"/>
      <c r="G803" s="125" t="s">
        <v>145</v>
      </c>
      <c r="I803" s="172"/>
      <c r="J803" s="82" t="str">
        <f t="shared" ca="1" si="0"/>
        <v>#REF!</v>
      </c>
      <c r="K803" s="82" t="str">
        <f t="shared" ca="1" si="1"/>
        <v>#REF!</v>
      </c>
      <c r="L803" s="82" t="str">
        <f t="shared" ca="1" si="44"/>
        <v>#REF!</v>
      </c>
      <c r="M803" s="93"/>
      <c r="N803" s="93"/>
      <c r="O803" s="95">
        <f t="shared" si="2"/>
        <v>0</v>
      </c>
      <c r="P803" s="96">
        <f t="shared" si="3"/>
        <v>0</v>
      </c>
      <c r="Q803" s="97">
        <f t="shared" si="4"/>
        <v>0</v>
      </c>
      <c r="R803" s="97" t="str">
        <f ca="1">ROUNDUP(HLOOKUP(IF(CEILING(L803,0.5)&lt;1,0.5,CEILING(L803,0.5)),'배송비 조회'!A$44:AO$56,7,0)*B$3,-2)</f>
        <v>#REF!</v>
      </c>
      <c r="S803" s="97">
        <v>0</v>
      </c>
      <c r="T803" s="97" t="str">
        <f t="shared" ca="1" si="42"/>
        <v>#REF!</v>
      </c>
      <c r="U803" s="97" t="str">
        <f t="shared" ca="1" si="29"/>
        <v>#REF!</v>
      </c>
      <c r="V803" s="97" t="str">
        <f t="shared" ca="1" si="7"/>
        <v>#REF!</v>
      </c>
      <c r="W803" s="97" t="str">
        <f t="shared" ca="1" si="8"/>
        <v>#REF!</v>
      </c>
      <c r="X803" s="121">
        <v>0</v>
      </c>
      <c r="Y803" s="121" t="str">
        <f t="shared" ca="1" si="9"/>
        <v>#REF!</v>
      </c>
      <c r="Z803" s="121" t="str">
        <f t="shared" ca="1" si="10"/>
        <v>#REF!</v>
      </c>
      <c r="AA803" s="99" t="str">
        <f t="shared" ca="1" si="11"/>
        <v>#REF!</v>
      </c>
      <c r="AB803" s="234" t="str">
        <f t="shared" ca="1" si="12"/>
        <v>#REF!</v>
      </c>
      <c r="AC803" s="257" t="str">
        <f t="shared" ca="1" si="13"/>
        <v>#REF!</v>
      </c>
      <c r="AD803" s="234" t="str">
        <f t="shared" ca="1" si="14"/>
        <v>#REF!</v>
      </c>
      <c r="AE803" s="100" t="str">
        <f t="shared" ca="1" si="15"/>
        <v>#REF!</v>
      </c>
      <c r="AF803" s="101" t="str">
        <f t="shared" ca="1" si="16"/>
        <v>#REF!</v>
      </c>
      <c r="AG803" s="102" t="str">
        <f t="shared" ref="AG803:AH803" ca="1" si="821">AE803/V803</f>
        <v>#REF!</v>
      </c>
      <c r="AH803" s="102" t="str">
        <f t="shared" ca="1" si="821"/>
        <v>#REF!</v>
      </c>
    </row>
    <row r="804" spans="1:34" ht="13.2">
      <c r="A804" s="251"/>
      <c r="B804" s="251"/>
      <c r="C804" s="252"/>
      <c r="D804" s="252"/>
      <c r="E804" s="114"/>
      <c r="F804" s="252"/>
      <c r="G804" s="125" t="s">
        <v>145</v>
      </c>
      <c r="I804" s="172"/>
      <c r="J804" s="82" t="str">
        <f t="shared" ca="1" si="0"/>
        <v>#REF!</v>
      </c>
      <c r="K804" s="82" t="str">
        <f t="shared" ca="1" si="1"/>
        <v>#REF!</v>
      </c>
      <c r="L804" s="82" t="str">
        <f t="shared" ca="1" si="44"/>
        <v>#REF!</v>
      </c>
      <c r="M804" s="93"/>
      <c r="N804" s="93"/>
      <c r="O804" s="95">
        <f t="shared" si="2"/>
        <v>0</v>
      </c>
      <c r="P804" s="96">
        <f t="shared" si="3"/>
        <v>0</v>
      </c>
      <c r="Q804" s="97">
        <f t="shared" si="4"/>
        <v>0</v>
      </c>
      <c r="R804" s="97" t="str">
        <f ca="1">ROUNDUP(HLOOKUP(IF(CEILING(L804,0.5)&lt;1,0.5,CEILING(L804,0.5)),'배송비 조회'!A$44:AO$56,7,0)*B$3,-2)</f>
        <v>#REF!</v>
      </c>
      <c r="S804" s="97">
        <v>0</v>
      </c>
      <c r="T804" s="97" t="str">
        <f t="shared" ca="1" si="42"/>
        <v>#REF!</v>
      </c>
      <c r="U804" s="97" t="str">
        <f t="shared" ca="1" si="29"/>
        <v>#REF!</v>
      </c>
      <c r="V804" s="97" t="str">
        <f t="shared" ca="1" si="7"/>
        <v>#REF!</v>
      </c>
      <c r="W804" s="97" t="str">
        <f t="shared" ca="1" si="8"/>
        <v>#REF!</v>
      </c>
      <c r="X804" s="121">
        <v>0</v>
      </c>
      <c r="Y804" s="121" t="str">
        <f t="shared" ca="1" si="9"/>
        <v>#REF!</v>
      </c>
      <c r="Z804" s="121" t="str">
        <f t="shared" ca="1" si="10"/>
        <v>#REF!</v>
      </c>
      <c r="AA804" s="99" t="str">
        <f t="shared" ca="1" si="11"/>
        <v>#REF!</v>
      </c>
      <c r="AB804" s="234" t="str">
        <f t="shared" ca="1" si="12"/>
        <v>#REF!</v>
      </c>
      <c r="AC804" s="257" t="str">
        <f t="shared" ca="1" si="13"/>
        <v>#REF!</v>
      </c>
      <c r="AD804" s="234" t="str">
        <f t="shared" ca="1" si="14"/>
        <v>#REF!</v>
      </c>
      <c r="AE804" s="100" t="str">
        <f t="shared" ca="1" si="15"/>
        <v>#REF!</v>
      </c>
      <c r="AF804" s="101" t="str">
        <f t="shared" ca="1" si="16"/>
        <v>#REF!</v>
      </c>
      <c r="AG804" s="102" t="str">
        <f t="shared" ref="AG804:AH804" ca="1" si="822">AE804/V804</f>
        <v>#REF!</v>
      </c>
      <c r="AH804" s="102" t="str">
        <f t="shared" ca="1" si="822"/>
        <v>#REF!</v>
      </c>
    </row>
    <row r="805" spans="1:34" ht="13.2">
      <c r="A805" s="251"/>
      <c r="B805" s="251"/>
      <c r="C805" s="252"/>
      <c r="D805" s="252"/>
      <c r="E805" s="114"/>
      <c r="F805" s="252"/>
      <c r="G805" s="125" t="s">
        <v>145</v>
      </c>
      <c r="I805" s="172"/>
      <c r="J805" s="82" t="str">
        <f t="shared" ca="1" si="0"/>
        <v>#REF!</v>
      </c>
      <c r="K805" s="82" t="str">
        <f t="shared" ca="1" si="1"/>
        <v>#REF!</v>
      </c>
      <c r="L805" s="82" t="str">
        <f t="shared" ca="1" si="44"/>
        <v>#REF!</v>
      </c>
      <c r="M805" s="93"/>
      <c r="N805" s="93"/>
      <c r="O805" s="95">
        <f t="shared" si="2"/>
        <v>0</v>
      </c>
      <c r="P805" s="96">
        <f t="shared" si="3"/>
        <v>0</v>
      </c>
      <c r="Q805" s="97">
        <f t="shared" si="4"/>
        <v>0</v>
      </c>
      <c r="R805" s="97" t="str">
        <f ca="1">ROUNDUP(HLOOKUP(IF(CEILING(L805,0.5)&lt;1,0.5,CEILING(L805,0.5)),'배송비 조회'!A$44:AO$56,7,0)*B$3,-2)</f>
        <v>#REF!</v>
      </c>
      <c r="S805" s="97">
        <v>0</v>
      </c>
      <c r="T805" s="97" t="str">
        <f t="shared" ca="1" si="42"/>
        <v>#REF!</v>
      </c>
      <c r="U805" s="97" t="str">
        <f t="shared" ca="1" si="29"/>
        <v>#REF!</v>
      </c>
      <c r="V805" s="97" t="str">
        <f t="shared" ca="1" si="7"/>
        <v>#REF!</v>
      </c>
      <c r="W805" s="97" t="str">
        <f t="shared" ca="1" si="8"/>
        <v>#REF!</v>
      </c>
      <c r="X805" s="121">
        <v>0</v>
      </c>
      <c r="Y805" s="121" t="str">
        <f t="shared" ca="1" si="9"/>
        <v>#REF!</v>
      </c>
      <c r="Z805" s="121" t="str">
        <f t="shared" ca="1" si="10"/>
        <v>#REF!</v>
      </c>
      <c r="AA805" s="99" t="str">
        <f t="shared" ca="1" si="11"/>
        <v>#REF!</v>
      </c>
      <c r="AB805" s="234" t="str">
        <f t="shared" ca="1" si="12"/>
        <v>#REF!</v>
      </c>
      <c r="AC805" s="257" t="str">
        <f t="shared" ca="1" si="13"/>
        <v>#REF!</v>
      </c>
      <c r="AD805" s="234" t="str">
        <f t="shared" ca="1" si="14"/>
        <v>#REF!</v>
      </c>
      <c r="AE805" s="100" t="str">
        <f t="shared" ca="1" si="15"/>
        <v>#REF!</v>
      </c>
      <c r="AF805" s="101" t="str">
        <f t="shared" ca="1" si="16"/>
        <v>#REF!</v>
      </c>
      <c r="AG805" s="102" t="str">
        <f t="shared" ref="AG805:AH805" ca="1" si="823">AE805/V805</f>
        <v>#REF!</v>
      </c>
      <c r="AH805" s="102" t="str">
        <f t="shared" ca="1" si="823"/>
        <v>#REF!</v>
      </c>
    </row>
    <row r="806" spans="1:34" ht="13.2">
      <c r="A806" s="251"/>
      <c r="B806" s="251"/>
      <c r="C806" s="252"/>
      <c r="D806" s="252"/>
      <c r="E806" s="114"/>
      <c r="F806" s="252"/>
      <c r="G806" s="125" t="s">
        <v>145</v>
      </c>
      <c r="I806" s="172"/>
      <c r="J806" s="82" t="str">
        <f t="shared" ca="1" si="0"/>
        <v>#REF!</v>
      </c>
      <c r="K806" s="82" t="str">
        <f t="shared" ca="1" si="1"/>
        <v>#REF!</v>
      </c>
      <c r="L806" s="82" t="str">
        <f t="shared" ca="1" si="44"/>
        <v>#REF!</v>
      </c>
      <c r="M806" s="93"/>
      <c r="N806" s="93"/>
      <c r="O806" s="95">
        <f t="shared" si="2"/>
        <v>0</v>
      </c>
      <c r="P806" s="96">
        <f t="shared" si="3"/>
        <v>0</v>
      </c>
      <c r="Q806" s="97">
        <f t="shared" si="4"/>
        <v>0</v>
      </c>
      <c r="R806" s="97" t="str">
        <f ca="1">ROUNDUP(HLOOKUP(IF(CEILING(L806,0.5)&lt;1,0.5,CEILING(L806,0.5)),'배송비 조회'!A$44:AO$56,7,0)*B$3,-2)</f>
        <v>#REF!</v>
      </c>
      <c r="S806" s="97">
        <v>0</v>
      </c>
      <c r="T806" s="97" t="str">
        <f t="shared" ca="1" si="42"/>
        <v>#REF!</v>
      </c>
      <c r="U806" s="97" t="str">
        <f t="shared" ca="1" si="29"/>
        <v>#REF!</v>
      </c>
      <c r="V806" s="97" t="str">
        <f t="shared" ca="1" si="7"/>
        <v>#REF!</v>
      </c>
      <c r="W806" s="97" t="str">
        <f t="shared" ca="1" si="8"/>
        <v>#REF!</v>
      </c>
      <c r="X806" s="121">
        <v>0</v>
      </c>
      <c r="Y806" s="121" t="str">
        <f t="shared" ca="1" si="9"/>
        <v>#REF!</v>
      </c>
      <c r="Z806" s="121" t="str">
        <f t="shared" ca="1" si="10"/>
        <v>#REF!</v>
      </c>
      <c r="AA806" s="99" t="str">
        <f t="shared" ca="1" si="11"/>
        <v>#REF!</v>
      </c>
      <c r="AB806" s="234" t="str">
        <f t="shared" ca="1" si="12"/>
        <v>#REF!</v>
      </c>
      <c r="AC806" s="257" t="str">
        <f t="shared" ca="1" si="13"/>
        <v>#REF!</v>
      </c>
      <c r="AD806" s="234" t="str">
        <f t="shared" ca="1" si="14"/>
        <v>#REF!</v>
      </c>
      <c r="AE806" s="100" t="str">
        <f t="shared" ca="1" si="15"/>
        <v>#REF!</v>
      </c>
      <c r="AF806" s="101" t="str">
        <f t="shared" ca="1" si="16"/>
        <v>#REF!</v>
      </c>
      <c r="AG806" s="102" t="str">
        <f t="shared" ref="AG806:AH806" ca="1" si="824">AE806/V806</f>
        <v>#REF!</v>
      </c>
      <c r="AH806" s="102" t="str">
        <f t="shared" ca="1" si="824"/>
        <v>#REF!</v>
      </c>
    </row>
    <row r="807" spans="1:34" ht="13.2">
      <c r="A807" s="251"/>
      <c r="B807" s="251"/>
      <c r="C807" s="252"/>
      <c r="D807" s="252"/>
      <c r="E807" s="114"/>
      <c r="F807" s="252"/>
      <c r="G807" s="125" t="s">
        <v>145</v>
      </c>
      <c r="I807" s="172"/>
      <c r="J807" s="82" t="str">
        <f t="shared" ca="1" si="0"/>
        <v>#REF!</v>
      </c>
      <c r="K807" s="82" t="str">
        <f t="shared" ca="1" si="1"/>
        <v>#REF!</v>
      </c>
      <c r="L807" s="82" t="str">
        <f t="shared" ca="1" si="44"/>
        <v>#REF!</v>
      </c>
      <c r="M807" s="93"/>
      <c r="N807" s="93"/>
      <c r="O807" s="95">
        <f t="shared" si="2"/>
        <v>0</v>
      </c>
      <c r="P807" s="96">
        <f t="shared" si="3"/>
        <v>0</v>
      </c>
      <c r="Q807" s="97">
        <f t="shared" si="4"/>
        <v>0</v>
      </c>
      <c r="R807" s="97" t="str">
        <f ca="1">ROUNDUP(HLOOKUP(IF(CEILING(L807,0.5)&lt;1,0.5,CEILING(L807,0.5)),'배송비 조회'!A$44:AO$56,7,0)*B$3,-2)</f>
        <v>#REF!</v>
      </c>
      <c r="S807" s="97">
        <v>0</v>
      </c>
      <c r="T807" s="97" t="str">
        <f t="shared" ca="1" si="42"/>
        <v>#REF!</v>
      </c>
      <c r="U807" s="97" t="str">
        <f t="shared" ca="1" si="29"/>
        <v>#REF!</v>
      </c>
      <c r="V807" s="97" t="str">
        <f t="shared" ca="1" si="7"/>
        <v>#REF!</v>
      </c>
      <c r="W807" s="97" t="str">
        <f t="shared" ca="1" si="8"/>
        <v>#REF!</v>
      </c>
      <c r="X807" s="121">
        <v>0</v>
      </c>
      <c r="Y807" s="121" t="str">
        <f t="shared" ca="1" si="9"/>
        <v>#REF!</v>
      </c>
      <c r="Z807" s="121" t="str">
        <f t="shared" ca="1" si="10"/>
        <v>#REF!</v>
      </c>
      <c r="AA807" s="99" t="str">
        <f t="shared" ca="1" si="11"/>
        <v>#REF!</v>
      </c>
      <c r="AB807" s="234" t="str">
        <f t="shared" ca="1" si="12"/>
        <v>#REF!</v>
      </c>
      <c r="AC807" s="257" t="str">
        <f t="shared" ca="1" si="13"/>
        <v>#REF!</v>
      </c>
      <c r="AD807" s="234" t="str">
        <f t="shared" ca="1" si="14"/>
        <v>#REF!</v>
      </c>
      <c r="AE807" s="100" t="str">
        <f t="shared" ca="1" si="15"/>
        <v>#REF!</v>
      </c>
      <c r="AF807" s="101" t="str">
        <f t="shared" ca="1" si="16"/>
        <v>#REF!</v>
      </c>
      <c r="AG807" s="102" t="str">
        <f t="shared" ref="AG807:AH807" ca="1" si="825">AE807/V807</f>
        <v>#REF!</v>
      </c>
      <c r="AH807" s="102" t="str">
        <f t="shared" ca="1" si="825"/>
        <v>#REF!</v>
      </c>
    </row>
    <row r="808" spans="1:34" ht="13.2">
      <c r="A808" s="251"/>
      <c r="B808" s="251"/>
      <c r="C808" s="252"/>
      <c r="D808" s="252"/>
      <c r="E808" s="114"/>
      <c r="F808" s="252"/>
      <c r="G808" s="125" t="s">
        <v>145</v>
      </c>
      <c r="I808" s="172"/>
      <c r="J808" s="82" t="str">
        <f t="shared" ca="1" si="0"/>
        <v>#REF!</v>
      </c>
      <c r="K808" s="82" t="str">
        <f t="shared" ca="1" si="1"/>
        <v>#REF!</v>
      </c>
      <c r="L808" s="82" t="str">
        <f t="shared" ca="1" si="44"/>
        <v>#REF!</v>
      </c>
      <c r="M808" s="93"/>
      <c r="N808" s="93"/>
      <c r="O808" s="95">
        <f t="shared" si="2"/>
        <v>0</v>
      </c>
      <c r="P808" s="96">
        <f t="shared" si="3"/>
        <v>0</v>
      </c>
      <c r="Q808" s="97">
        <f t="shared" si="4"/>
        <v>0</v>
      </c>
      <c r="R808" s="97" t="str">
        <f ca="1">ROUNDUP(HLOOKUP(IF(CEILING(L808,0.5)&lt;1,0.5,CEILING(L808,0.5)),'배송비 조회'!A$44:AO$56,7,0)*B$3,-2)</f>
        <v>#REF!</v>
      </c>
      <c r="S808" s="97">
        <v>0</v>
      </c>
      <c r="T808" s="97" t="str">
        <f t="shared" ca="1" si="42"/>
        <v>#REF!</v>
      </c>
      <c r="U808" s="97" t="str">
        <f t="shared" ca="1" si="29"/>
        <v>#REF!</v>
      </c>
      <c r="V808" s="97" t="str">
        <f t="shared" ca="1" si="7"/>
        <v>#REF!</v>
      </c>
      <c r="W808" s="97" t="str">
        <f t="shared" ca="1" si="8"/>
        <v>#REF!</v>
      </c>
      <c r="X808" s="121">
        <v>0</v>
      </c>
      <c r="Y808" s="121" t="str">
        <f t="shared" ca="1" si="9"/>
        <v>#REF!</v>
      </c>
      <c r="Z808" s="121" t="str">
        <f t="shared" ca="1" si="10"/>
        <v>#REF!</v>
      </c>
      <c r="AA808" s="99" t="str">
        <f t="shared" ca="1" si="11"/>
        <v>#REF!</v>
      </c>
      <c r="AB808" s="234" t="str">
        <f t="shared" ca="1" si="12"/>
        <v>#REF!</v>
      </c>
      <c r="AC808" s="257" t="str">
        <f t="shared" ca="1" si="13"/>
        <v>#REF!</v>
      </c>
      <c r="AD808" s="234" t="str">
        <f t="shared" ca="1" si="14"/>
        <v>#REF!</v>
      </c>
      <c r="AE808" s="100" t="str">
        <f t="shared" ca="1" si="15"/>
        <v>#REF!</v>
      </c>
      <c r="AF808" s="101" t="str">
        <f t="shared" ca="1" si="16"/>
        <v>#REF!</v>
      </c>
      <c r="AG808" s="102" t="str">
        <f t="shared" ref="AG808:AH808" ca="1" si="826">AE808/V808</f>
        <v>#REF!</v>
      </c>
      <c r="AH808" s="102" t="str">
        <f t="shared" ca="1" si="826"/>
        <v>#REF!</v>
      </c>
    </row>
    <row r="809" spans="1:34" ht="13.2">
      <c r="A809" s="251"/>
      <c r="B809" s="251"/>
      <c r="C809" s="252"/>
      <c r="D809" s="252"/>
      <c r="E809" s="114"/>
      <c r="F809" s="252"/>
      <c r="G809" s="125" t="s">
        <v>145</v>
      </c>
      <c r="I809" s="172"/>
      <c r="J809" s="82" t="str">
        <f t="shared" ca="1" si="0"/>
        <v>#REF!</v>
      </c>
      <c r="K809" s="82" t="str">
        <f t="shared" ca="1" si="1"/>
        <v>#REF!</v>
      </c>
      <c r="L809" s="82" t="str">
        <f t="shared" ca="1" si="44"/>
        <v>#REF!</v>
      </c>
      <c r="M809" s="93"/>
      <c r="N809" s="93"/>
      <c r="O809" s="95">
        <f t="shared" si="2"/>
        <v>0</v>
      </c>
      <c r="P809" s="96">
        <f t="shared" si="3"/>
        <v>0</v>
      </c>
      <c r="Q809" s="97">
        <f t="shared" si="4"/>
        <v>0</v>
      </c>
      <c r="R809" s="97" t="str">
        <f ca="1">ROUNDUP(HLOOKUP(IF(CEILING(L809,0.5)&lt;1,0.5,CEILING(L809,0.5)),'배송비 조회'!A$44:AO$56,7,0)*B$3,-2)</f>
        <v>#REF!</v>
      </c>
      <c r="S809" s="97">
        <v>0</v>
      </c>
      <c r="T809" s="97" t="str">
        <f t="shared" ca="1" si="42"/>
        <v>#REF!</v>
      </c>
      <c r="U809" s="97" t="str">
        <f t="shared" ca="1" si="29"/>
        <v>#REF!</v>
      </c>
      <c r="V809" s="97" t="str">
        <f t="shared" ca="1" si="7"/>
        <v>#REF!</v>
      </c>
      <c r="W809" s="97" t="str">
        <f t="shared" ca="1" si="8"/>
        <v>#REF!</v>
      </c>
      <c r="X809" s="121">
        <v>0</v>
      </c>
      <c r="Y809" s="121" t="str">
        <f t="shared" ca="1" si="9"/>
        <v>#REF!</v>
      </c>
      <c r="Z809" s="121" t="str">
        <f t="shared" ca="1" si="10"/>
        <v>#REF!</v>
      </c>
      <c r="AA809" s="99" t="str">
        <f t="shared" ca="1" si="11"/>
        <v>#REF!</v>
      </c>
      <c r="AB809" s="234" t="str">
        <f t="shared" ca="1" si="12"/>
        <v>#REF!</v>
      </c>
      <c r="AC809" s="257" t="str">
        <f t="shared" ca="1" si="13"/>
        <v>#REF!</v>
      </c>
      <c r="AD809" s="234" t="str">
        <f t="shared" ca="1" si="14"/>
        <v>#REF!</v>
      </c>
      <c r="AE809" s="100" t="str">
        <f t="shared" ca="1" si="15"/>
        <v>#REF!</v>
      </c>
      <c r="AF809" s="101" t="str">
        <f t="shared" ca="1" si="16"/>
        <v>#REF!</v>
      </c>
      <c r="AG809" s="102" t="str">
        <f t="shared" ref="AG809:AH809" ca="1" si="827">AE809/V809</f>
        <v>#REF!</v>
      </c>
      <c r="AH809" s="102" t="str">
        <f t="shared" ca="1" si="827"/>
        <v>#REF!</v>
      </c>
    </row>
    <row r="810" spans="1:34" ht="13.2">
      <c r="A810" s="251"/>
      <c r="B810" s="251"/>
      <c r="C810" s="252"/>
      <c r="D810" s="252"/>
      <c r="E810" s="114"/>
      <c r="F810" s="252"/>
      <c r="G810" s="125" t="s">
        <v>145</v>
      </c>
      <c r="I810" s="172"/>
      <c r="J810" s="82" t="str">
        <f t="shared" ca="1" si="0"/>
        <v>#REF!</v>
      </c>
      <c r="K810" s="82" t="str">
        <f t="shared" ca="1" si="1"/>
        <v>#REF!</v>
      </c>
      <c r="L810" s="82" t="str">
        <f t="shared" ca="1" si="44"/>
        <v>#REF!</v>
      </c>
      <c r="M810" s="93"/>
      <c r="N810" s="93"/>
      <c r="O810" s="95">
        <f t="shared" si="2"/>
        <v>0</v>
      </c>
      <c r="P810" s="96">
        <f t="shared" si="3"/>
        <v>0</v>
      </c>
      <c r="Q810" s="97">
        <f t="shared" si="4"/>
        <v>0</v>
      </c>
      <c r="R810" s="97" t="str">
        <f ca="1">ROUNDUP(HLOOKUP(IF(CEILING(L810,0.5)&lt;1,0.5,CEILING(L810,0.5)),'배송비 조회'!A$44:AO$56,7,0)*B$3,-2)</f>
        <v>#REF!</v>
      </c>
      <c r="S810" s="97">
        <v>0</v>
      </c>
      <c r="T810" s="97" t="str">
        <f t="shared" ca="1" si="42"/>
        <v>#REF!</v>
      </c>
      <c r="U810" s="97" t="str">
        <f t="shared" ca="1" si="29"/>
        <v>#REF!</v>
      </c>
      <c r="V810" s="97" t="str">
        <f t="shared" ca="1" si="7"/>
        <v>#REF!</v>
      </c>
      <c r="W810" s="97" t="str">
        <f t="shared" ca="1" si="8"/>
        <v>#REF!</v>
      </c>
      <c r="X810" s="121">
        <v>0</v>
      </c>
      <c r="Y810" s="121" t="str">
        <f t="shared" ca="1" si="9"/>
        <v>#REF!</v>
      </c>
      <c r="Z810" s="121" t="str">
        <f t="shared" ca="1" si="10"/>
        <v>#REF!</v>
      </c>
      <c r="AA810" s="99" t="str">
        <f t="shared" ca="1" si="11"/>
        <v>#REF!</v>
      </c>
      <c r="AB810" s="234" t="str">
        <f t="shared" ca="1" si="12"/>
        <v>#REF!</v>
      </c>
      <c r="AC810" s="257" t="str">
        <f t="shared" ca="1" si="13"/>
        <v>#REF!</v>
      </c>
      <c r="AD810" s="234" t="str">
        <f t="shared" ca="1" si="14"/>
        <v>#REF!</v>
      </c>
      <c r="AE810" s="100" t="str">
        <f t="shared" ca="1" si="15"/>
        <v>#REF!</v>
      </c>
      <c r="AF810" s="101" t="str">
        <f t="shared" ca="1" si="16"/>
        <v>#REF!</v>
      </c>
      <c r="AG810" s="102" t="str">
        <f t="shared" ref="AG810:AH810" ca="1" si="828">AE810/V810</f>
        <v>#REF!</v>
      </c>
      <c r="AH810" s="102" t="str">
        <f t="shared" ca="1" si="828"/>
        <v>#REF!</v>
      </c>
    </row>
    <row r="811" spans="1:34" ht="13.2">
      <c r="A811" s="251"/>
      <c r="B811" s="251"/>
      <c r="C811" s="252"/>
      <c r="D811" s="252"/>
      <c r="E811" s="114"/>
      <c r="F811" s="252"/>
      <c r="G811" s="125" t="s">
        <v>145</v>
      </c>
      <c r="I811" s="172"/>
      <c r="J811" s="82" t="str">
        <f t="shared" ca="1" si="0"/>
        <v>#REF!</v>
      </c>
      <c r="K811" s="82" t="str">
        <f t="shared" ca="1" si="1"/>
        <v>#REF!</v>
      </c>
      <c r="L811" s="82" t="str">
        <f t="shared" ca="1" si="44"/>
        <v>#REF!</v>
      </c>
      <c r="M811" s="93"/>
      <c r="N811" s="93"/>
      <c r="O811" s="95">
        <f t="shared" si="2"/>
        <v>0</v>
      </c>
      <c r="P811" s="96">
        <f t="shared" si="3"/>
        <v>0</v>
      </c>
      <c r="Q811" s="97">
        <f t="shared" si="4"/>
        <v>0</v>
      </c>
      <c r="R811" s="97" t="str">
        <f ca="1">ROUNDUP(HLOOKUP(IF(CEILING(L811,0.5)&lt;1,0.5,CEILING(L811,0.5)),'배송비 조회'!A$44:AO$56,7,0)*B$3,-2)</f>
        <v>#REF!</v>
      </c>
      <c r="S811" s="97">
        <v>0</v>
      </c>
      <c r="T811" s="97" t="str">
        <f t="shared" ca="1" si="42"/>
        <v>#REF!</v>
      </c>
      <c r="U811" s="97" t="str">
        <f t="shared" ca="1" si="29"/>
        <v>#REF!</v>
      </c>
      <c r="V811" s="97" t="str">
        <f t="shared" ca="1" si="7"/>
        <v>#REF!</v>
      </c>
      <c r="W811" s="97" t="str">
        <f t="shared" ca="1" si="8"/>
        <v>#REF!</v>
      </c>
      <c r="X811" s="121">
        <v>0</v>
      </c>
      <c r="Y811" s="121" t="str">
        <f t="shared" ca="1" si="9"/>
        <v>#REF!</v>
      </c>
      <c r="Z811" s="121" t="str">
        <f t="shared" ca="1" si="10"/>
        <v>#REF!</v>
      </c>
      <c r="AA811" s="99" t="str">
        <f t="shared" ca="1" si="11"/>
        <v>#REF!</v>
      </c>
      <c r="AB811" s="234" t="str">
        <f t="shared" ca="1" si="12"/>
        <v>#REF!</v>
      </c>
      <c r="AC811" s="257" t="str">
        <f t="shared" ca="1" si="13"/>
        <v>#REF!</v>
      </c>
      <c r="AD811" s="234" t="str">
        <f t="shared" ca="1" si="14"/>
        <v>#REF!</v>
      </c>
      <c r="AE811" s="100" t="str">
        <f t="shared" ca="1" si="15"/>
        <v>#REF!</v>
      </c>
      <c r="AF811" s="101" t="str">
        <f t="shared" ca="1" si="16"/>
        <v>#REF!</v>
      </c>
      <c r="AG811" s="102" t="str">
        <f t="shared" ref="AG811:AH811" ca="1" si="829">AE811/V811</f>
        <v>#REF!</v>
      </c>
      <c r="AH811" s="102" t="str">
        <f t="shared" ca="1" si="829"/>
        <v>#REF!</v>
      </c>
    </row>
    <row r="812" spans="1:34" ht="13.2">
      <c r="A812" s="251"/>
      <c r="B812" s="251"/>
      <c r="C812" s="252"/>
      <c r="D812" s="252"/>
      <c r="E812" s="114"/>
      <c r="F812" s="252"/>
      <c r="G812" s="125" t="s">
        <v>145</v>
      </c>
      <c r="I812" s="172"/>
      <c r="J812" s="82" t="str">
        <f t="shared" ca="1" si="0"/>
        <v>#REF!</v>
      </c>
      <c r="K812" s="82" t="str">
        <f t="shared" ca="1" si="1"/>
        <v>#REF!</v>
      </c>
      <c r="L812" s="82" t="str">
        <f t="shared" ca="1" si="44"/>
        <v>#REF!</v>
      </c>
      <c r="M812" s="93"/>
      <c r="N812" s="93"/>
      <c r="O812" s="95">
        <f t="shared" si="2"/>
        <v>0</v>
      </c>
      <c r="P812" s="96">
        <f t="shared" si="3"/>
        <v>0</v>
      </c>
      <c r="Q812" s="97">
        <f t="shared" si="4"/>
        <v>0</v>
      </c>
      <c r="R812" s="97" t="str">
        <f ca="1">ROUNDUP(HLOOKUP(IF(CEILING(L812,0.5)&lt;1,0.5,CEILING(L812,0.5)),'배송비 조회'!A$44:AO$56,7,0)*B$3,-2)</f>
        <v>#REF!</v>
      </c>
      <c r="S812" s="97">
        <v>0</v>
      </c>
      <c r="T812" s="97" t="str">
        <f t="shared" ca="1" si="42"/>
        <v>#REF!</v>
      </c>
      <c r="U812" s="97" t="str">
        <f t="shared" ca="1" si="29"/>
        <v>#REF!</v>
      </c>
      <c r="V812" s="97" t="str">
        <f t="shared" ca="1" si="7"/>
        <v>#REF!</v>
      </c>
      <c r="W812" s="97" t="str">
        <f t="shared" ca="1" si="8"/>
        <v>#REF!</v>
      </c>
      <c r="X812" s="121">
        <v>0</v>
      </c>
      <c r="Y812" s="121" t="str">
        <f t="shared" ca="1" si="9"/>
        <v>#REF!</v>
      </c>
      <c r="Z812" s="121" t="str">
        <f t="shared" ca="1" si="10"/>
        <v>#REF!</v>
      </c>
      <c r="AA812" s="99" t="str">
        <f t="shared" ca="1" si="11"/>
        <v>#REF!</v>
      </c>
      <c r="AB812" s="234" t="str">
        <f t="shared" ca="1" si="12"/>
        <v>#REF!</v>
      </c>
      <c r="AC812" s="257" t="str">
        <f t="shared" ca="1" si="13"/>
        <v>#REF!</v>
      </c>
      <c r="AD812" s="234" t="str">
        <f t="shared" ca="1" si="14"/>
        <v>#REF!</v>
      </c>
      <c r="AE812" s="100" t="str">
        <f t="shared" ca="1" si="15"/>
        <v>#REF!</v>
      </c>
      <c r="AF812" s="101" t="str">
        <f t="shared" ca="1" si="16"/>
        <v>#REF!</v>
      </c>
      <c r="AG812" s="102" t="str">
        <f t="shared" ref="AG812:AH812" ca="1" si="830">AE812/V812</f>
        <v>#REF!</v>
      </c>
      <c r="AH812" s="102" t="str">
        <f t="shared" ca="1" si="830"/>
        <v>#REF!</v>
      </c>
    </row>
    <row r="813" spans="1:34" ht="13.2">
      <c r="A813" s="251"/>
      <c r="B813" s="251"/>
      <c r="C813" s="252"/>
      <c r="D813" s="252"/>
      <c r="E813" s="114"/>
      <c r="F813" s="252"/>
      <c r="G813" s="125" t="s">
        <v>145</v>
      </c>
      <c r="I813" s="172"/>
      <c r="J813" s="82" t="str">
        <f t="shared" ca="1" si="0"/>
        <v>#REF!</v>
      </c>
      <c r="K813" s="82" t="str">
        <f t="shared" ca="1" si="1"/>
        <v>#REF!</v>
      </c>
      <c r="L813" s="82" t="str">
        <f t="shared" ca="1" si="44"/>
        <v>#REF!</v>
      </c>
      <c r="M813" s="93"/>
      <c r="N813" s="93"/>
      <c r="O813" s="95">
        <f t="shared" si="2"/>
        <v>0</v>
      </c>
      <c r="P813" s="96">
        <f t="shared" si="3"/>
        <v>0</v>
      </c>
      <c r="Q813" s="97">
        <f t="shared" si="4"/>
        <v>0</v>
      </c>
      <c r="R813" s="97" t="str">
        <f ca="1">ROUNDUP(HLOOKUP(IF(CEILING(L813,0.5)&lt;1,0.5,CEILING(L813,0.5)),'배송비 조회'!A$44:AO$56,7,0)*B$3,-2)</f>
        <v>#REF!</v>
      </c>
      <c r="S813" s="97">
        <v>0</v>
      </c>
      <c r="T813" s="97" t="str">
        <f t="shared" ca="1" si="42"/>
        <v>#REF!</v>
      </c>
      <c r="U813" s="97" t="str">
        <f t="shared" ca="1" si="29"/>
        <v>#REF!</v>
      </c>
      <c r="V813" s="97" t="str">
        <f t="shared" ca="1" si="7"/>
        <v>#REF!</v>
      </c>
      <c r="W813" s="97" t="str">
        <f t="shared" ca="1" si="8"/>
        <v>#REF!</v>
      </c>
      <c r="X813" s="121">
        <v>0</v>
      </c>
      <c r="Y813" s="121" t="str">
        <f t="shared" ca="1" si="9"/>
        <v>#REF!</v>
      </c>
      <c r="Z813" s="121" t="str">
        <f t="shared" ca="1" si="10"/>
        <v>#REF!</v>
      </c>
      <c r="AA813" s="99" t="str">
        <f t="shared" ca="1" si="11"/>
        <v>#REF!</v>
      </c>
      <c r="AB813" s="234" t="str">
        <f t="shared" ca="1" si="12"/>
        <v>#REF!</v>
      </c>
      <c r="AC813" s="257" t="str">
        <f t="shared" ca="1" si="13"/>
        <v>#REF!</v>
      </c>
      <c r="AD813" s="234" t="str">
        <f t="shared" ca="1" si="14"/>
        <v>#REF!</v>
      </c>
      <c r="AE813" s="100" t="str">
        <f t="shared" ca="1" si="15"/>
        <v>#REF!</v>
      </c>
      <c r="AF813" s="101" t="str">
        <f t="shared" ca="1" si="16"/>
        <v>#REF!</v>
      </c>
      <c r="AG813" s="102" t="str">
        <f t="shared" ref="AG813:AH813" ca="1" si="831">AE813/V813</f>
        <v>#REF!</v>
      </c>
      <c r="AH813" s="102" t="str">
        <f t="shared" ca="1" si="831"/>
        <v>#REF!</v>
      </c>
    </row>
    <row r="814" spans="1:34" ht="13.2">
      <c r="A814" s="251"/>
      <c r="B814" s="251"/>
      <c r="C814" s="252"/>
      <c r="D814" s="252"/>
      <c r="E814" s="114"/>
      <c r="F814" s="252"/>
      <c r="G814" s="125" t="s">
        <v>145</v>
      </c>
      <c r="I814" s="172"/>
      <c r="J814" s="82" t="str">
        <f t="shared" ca="1" si="0"/>
        <v>#REF!</v>
      </c>
      <c r="K814" s="82" t="str">
        <f t="shared" ca="1" si="1"/>
        <v>#REF!</v>
      </c>
      <c r="L814" s="82" t="str">
        <f t="shared" ca="1" si="44"/>
        <v>#REF!</v>
      </c>
      <c r="M814" s="93"/>
      <c r="N814" s="93"/>
      <c r="O814" s="95">
        <f t="shared" si="2"/>
        <v>0</v>
      </c>
      <c r="P814" s="96">
        <f t="shared" si="3"/>
        <v>0</v>
      </c>
      <c r="Q814" s="97">
        <f t="shared" si="4"/>
        <v>0</v>
      </c>
      <c r="R814" s="97" t="str">
        <f ca="1">ROUNDUP(HLOOKUP(IF(CEILING(L814,0.5)&lt;1,0.5,CEILING(L814,0.5)),'배송비 조회'!A$44:AO$56,7,0)*B$3,-2)</f>
        <v>#REF!</v>
      </c>
      <c r="S814" s="97">
        <v>0</v>
      </c>
      <c r="T814" s="97" t="str">
        <f t="shared" ca="1" si="42"/>
        <v>#REF!</v>
      </c>
      <c r="U814" s="97" t="str">
        <f t="shared" ca="1" si="29"/>
        <v>#REF!</v>
      </c>
      <c r="V814" s="97" t="str">
        <f t="shared" ca="1" si="7"/>
        <v>#REF!</v>
      </c>
      <c r="W814" s="97" t="str">
        <f t="shared" ca="1" si="8"/>
        <v>#REF!</v>
      </c>
      <c r="X814" s="121">
        <v>0</v>
      </c>
      <c r="Y814" s="121" t="str">
        <f t="shared" ca="1" si="9"/>
        <v>#REF!</v>
      </c>
      <c r="Z814" s="121" t="str">
        <f t="shared" ca="1" si="10"/>
        <v>#REF!</v>
      </c>
      <c r="AA814" s="99" t="str">
        <f t="shared" ca="1" si="11"/>
        <v>#REF!</v>
      </c>
      <c r="AB814" s="234" t="str">
        <f t="shared" ca="1" si="12"/>
        <v>#REF!</v>
      </c>
      <c r="AC814" s="257" t="str">
        <f t="shared" ca="1" si="13"/>
        <v>#REF!</v>
      </c>
      <c r="AD814" s="234" t="str">
        <f t="shared" ca="1" si="14"/>
        <v>#REF!</v>
      </c>
      <c r="AE814" s="100" t="str">
        <f t="shared" ca="1" si="15"/>
        <v>#REF!</v>
      </c>
      <c r="AF814" s="101" t="str">
        <f t="shared" ca="1" si="16"/>
        <v>#REF!</v>
      </c>
      <c r="AG814" s="102" t="str">
        <f t="shared" ref="AG814:AH814" ca="1" si="832">AE814/V814</f>
        <v>#REF!</v>
      </c>
      <c r="AH814" s="102" t="str">
        <f t="shared" ca="1" si="832"/>
        <v>#REF!</v>
      </c>
    </row>
    <row r="815" spans="1:34" ht="13.2">
      <c r="A815" s="251"/>
      <c r="B815" s="251"/>
      <c r="C815" s="252"/>
      <c r="D815" s="252"/>
      <c r="E815" s="114"/>
      <c r="F815" s="252"/>
      <c r="G815" s="125" t="s">
        <v>145</v>
      </c>
      <c r="I815" s="172"/>
      <c r="J815" s="82" t="str">
        <f t="shared" ca="1" si="0"/>
        <v>#REF!</v>
      </c>
      <c r="K815" s="82" t="str">
        <f t="shared" ca="1" si="1"/>
        <v>#REF!</v>
      </c>
      <c r="L815" s="82" t="str">
        <f t="shared" ca="1" si="44"/>
        <v>#REF!</v>
      </c>
      <c r="M815" s="93"/>
      <c r="N815" s="93"/>
      <c r="O815" s="95">
        <f t="shared" si="2"/>
        <v>0</v>
      </c>
      <c r="P815" s="96">
        <f t="shared" si="3"/>
        <v>0</v>
      </c>
      <c r="Q815" s="97">
        <f t="shared" si="4"/>
        <v>0</v>
      </c>
      <c r="R815" s="97" t="str">
        <f ca="1">ROUNDUP(HLOOKUP(IF(CEILING(L815,0.5)&lt;1,0.5,CEILING(L815,0.5)),'배송비 조회'!A$44:AO$56,7,0)*B$3,-2)</f>
        <v>#REF!</v>
      </c>
      <c r="S815" s="97">
        <v>0</v>
      </c>
      <c r="T815" s="97" t="str">
        <f t="shared" ca="1" si="42"/>
        <v>#REF!</v>
      </c>
      <c r="U815" s="97" t="str">
        <f t="shared" ca="1" si="29"/>
        <v>#REF!</v>
      </c>
      <c r="V815" s="97" t="str">
        <f t="shared" ca="1" si="7"/>
        <v>#REF!</v>
      </c>
      <c r="W815" s="97" t="str">
        <f t="shared" ca="1" si="8"/>
        <v>#REF!</v>
      </c>
      <c r="X815" s="121">
        <v>0</v>
      </c>
      <c r="Y815" s="121" t="str">
        <f t="shared" ca="1" si="9"/>
        <v>#REF!</v>
      </c>
      <c r="Z815" s="121" t="str">
        <f t="shared" ca="1" si="10"/>
        <v>#REF!</v>
      </c>
      <c r="AA815" s="99" t="str">
        <f t="shared" ca="1" si="11"/>
        <v>#REF!</v>
      </c>
      <c r="AB815" s="234" t="str">
        <f t="shared" ca="1" si="12"/>
        <v>#REF!</v>
      </c>
      <c r="AC815" s="257" t="str">
        <f t="shared" ca="1" si="13"/>
        <v>#REF!</v>
      </c>
      <c r="AD815" s="234" t="str">
        <f t="shared" ca="1" si="14"/>
        <v>#REF!</v>
      </c>
      <c r="AE815" s="100" t="str">
        <f t="shared" ca="1" si="15"/>
        <v>#REF!</v>
      </c>
      <c r="AF815" s="101" t="str">
        <f t="shared" ca="1" si="16"/>
        <v>#REF!</v>
      </c>
      <c r="AG815" s="102" t="str">
        <f t="shared" ref="AG815:AH815" ca="1" si="833">AE815/V815</f>
        <v>#REF!</v>
      </c>
      <c r="AH815" s="102" t="str">
        <f t="shared" ca="1" si="833"/>
        <v>#REF!</v>
      </c>
    </row>
    <row r="816" spans="1:34" ht="13.2">
      <c r="A816" s="251"/>
      <c r="B816" s="251"/>
      <c r="C816" s="252"/>
      <c r="D816" s="252"/>
      <c r="E816" s="114"/>
      <c r="F816" s="252"/>
      <c r="G816" s="125" t="s">
        <v>145</v>
      </c>
      <c r="I816" s="172"/>
      <c r="J816" s="82" t="str">
        <f t="shared" ca="1" si="0"/>
        <v>#REF!</v>
      </c>
      <c r="K816" s="82" t="str">
        <f t="shared" ca="1" si="1"/>
        <v>#REF!</v>
      </c>
      <c r="L816" s="82" t="str">
        <f t="shared" ca="1" si="44"/>
        <v>#REF!</v>
      </c>
      <c r="M816" s="93"/>
      <c r="N816" s="93"/>
      <c r="O816" s="95">
        <f t="shared" si="2"/>
        <v>0</v>
      </c>
      <c r="P816" s="96">
        <f t="shared" si="3"/>
        <v>0</v>
      </c>
      <c r="Q816" s="97">
        <f t="shared" si="4"/>
        <v>0</v>
      </c>
      <c r="R816" s="97" t="str">
        <f ca="1">ROUNDUP(HLOOKUP(IF(CEILING(L816,0.5)&lt;1,0.5,CEILING(L816,0.5)),'배송비 조회'!A$44:AO$56,7,0)*B$3,-2)</f>
        <v>#REF!</v>
      </c>
      <c r="S816" s="97">
        <v>0</v>
      </c>
      <c r="T816" s="97" t="str">
        <f t="shared" ca="1" si="42"/>
        <v>#REF!</v>
      </c>
      <c r="U816" s="97" t="str">
        <f t="shared" ca="1" si="29"/>
        <v>#REF!</v>
      </c>
      <c r="V816" s="97" t="str">
        <f t="shared" ca="1" si="7"/>
        <v>#REF!</v>
      </c>
      <c r="W816" s="97" t="str">
        <f t="shared" ca="1" si="8"/>
        <v>#REF!</v>
      </c>
      <c r="X816" s="121">
        <v>0</v>
      </c>
      <c r="Y816" s="121" t="str">
        <f t="shared" ca="1" si="9"/>
        <v>#REF!</v>
      </c>
      <c r="Z816" s="121" t="str">
        <f t="shared" ca="1" si="10"/>
        <v>#REF!</v>
      </c>
      <c r="AA816" s="99" t="str">
        <f t="shared" ca="1" si="11"/>
        <v>#REF!</v>
      </c>
      <c r="AB816" s="234" t="str">
        <f t="shared" ca="1" si="12"/>
        <v>#REF!</v>
      </c>
      <c r="AC816" s="257" t="str">
        <f t="shared" ca="1" si="13"/>
        <v>#REF!</v>
      </c>
      <c r="AD816" s="234" t="str">
        <f t="shared" ca="1" si="14"/>
        <v>#REF!</v>
      </c>
      <c r="AE816" s="100" t="str">
        <f t="shared" ca="1" si="15"/>
        <v>#REF!</v>
      </c>
      <c r="AF816" s="101" t="str">
        <f t="shared" ca="1" si="16"/>
        <v>#REF!</v>
      </c>
      <c r="AG816" s="102" t="str">
        <f t="shared" ref="AG816:AH816" ca="1" si="834">AE816/V816</f>
        <v>#REF!</v>
      </c>
      <c r="AH816" s="102" t="str">
        <f t="shared" ca="1" si="834"/>
        <v>#REF!</v>
      </c>
    </row>
    <row r="817" spans="1:34" ht="13.2">
      <c r="A817" s="251"/>
      <c r="B817" s="251"/>
      <c r="C817" s="252"/>
      <c r="D817" s="252"/>
      <c r="E817" s="114"/>
      <c r="F817" s="252"/>
      <c r="G817" s="125" t="s">
        <v>145</v>
      </c>
      <c r="I817" s="172"/>
      <c r="J817" s="82" t="str">
        <f t="shared" ca="1" si="0"/>
        <v>#REF!</v>
      </c>
      <c r="K817" s="82" t="str">
        <f t="shared" ca="1" si="1"/>
        <v>#REF!</v>
      </c>
      <c r="L817" s="82" t="str">
        <f t="shared" ca="1" si="44"/>
        <v>#REF!</v>
      </c>
      <c r="M817" s="93"/>
      <c r="N817" s="93"/>
      <c r="O817" s="95">
        <f t="shared" si="2"/>
        <v>0</v>
      </c>
      <c r="P817" s="96">
        <f t="shared" si="3"/>
        <v>0</v>
      </c>
      <c r="Q817" s="97">
        <f t="shared" si="4"/>
        <v>0</v>
      </c>
      <c r="R817" s="97" t="str">
        <f ca="1">ROUNDUP(HLOOKUP(IF(CEILING(L817,0.5)&lt;1,0.5,CEILING(L817,0.5)),'배송비 조회'!A$44:AO$56,7,0)*B$3,-2)</f>
        <v>#REF!</v>
      </c>
      <c r="S817" s="97">
        <v>0</v>
      </c>
      <c r="T817" s="97" t="str">
        <f t="shared" ca="1" si="42"/>
        <v>#REF!</v>
      </c>
      <c r="U817" s="97" t="str">
        <f t="shared" ca="1" si="29"/>
        <v>#REF!</v>
      </c>
      <c r="V817" s="97" t="str">
        <f t="shared" ca="1" si="7"/>
        <v>#REF!</v>
      </c>
      <c r="W817" s="97" t="str">
        <f t="shared" ca="1" si="8"/>
        <v>#REF!</v>
      </c>
      <c r="X817" s="121">
        <v>0</v>
      </c>
      <c r="Y817" s="121" t="str">
        <f t="shared" ca="1" si="9"/>
        <v>#REF!</v>
      </c>
      <c r="Z817" s="121" t="str">
        <f t="shared" ca="1" si="10"/>
        <v>#REF!</v>
      </c>
      <c r="AA817" s="99" t="str">
        <f t="shared" ca="1" si="11"/>
        <v>#REF!</v>
      </c>
      <c r="AB817" s="234" t="str">
        <f t="shared" ca="1" si="12"/>
        <v>#REF!</v>
      </c>
      <c r="AC817" s="257" t="str">
        <f t="shared" ca="1" si="13"/>
        <v>#REF!</v>
      </c>
      <c r="AD817" s="234" t="str">
        <f t="shared" ca="1" si="14"/>
        <v>#REF!</v>
      </c>
      <c r="AE817" s="100" t="str">
        <f t="shared" ca="1" si="15"/>
        <v>#REF!</v>
      </c>
      <c r="AF817" s="101" t="str">
        <f t="shared" ca="1" si="16"/>
        <v>#REF!</v>
      </c>
      <c r="AG817" s="102" t="str">
        <f t="shared" ref="AG817:AH817" ca="1" si="835">AE817/V817</f>
        <v>#REF!</v>
      </c>
      <c r="AH817" s="102" t="str">
        <f t="shared" ca="1" si="835"/>
        <v>#REF!</v>
      </c>
    </row>
    <row r="818" spans="1:34" ht="13.2">
      <c r="A818" s="251"/>
      <c r="B818" s="251"/>
      <c r="C818" s="252"/>
      <c r="D818" s="252"/>
      <c r="E818" s="114"/>
      <c r="F818" s="252"/>
      <c r="G818" s="125" t="s">
        <v>145</v>
      </c>
      <c r="I818" s="172"/>
      <c r="J818" s="82" t="str">
        <f t="shared" ca="1" si="0"/>
        <v>#REF!</v>
      </c>
      <c r="K818" s="82" t="str">
        <f t="shared" ca="1" si="1"/>
        <v>#REF!</v>
      </c>
      <c r="L818" s="82" t="str">
        <f t="shared" ca="1" si="44"/>
        <v>#REF!</v>
      </c>
      <c r="M818" s="93"/>
      <c r="N818" s="93"/>
      <c r="O818" s="95">
        <f t="shared" si="2"/>
        <v>0</v>
      </c>
      <c r="P818" s="96">
        <f t="shared" si="3"/>
        <v>0</v>
      </c>
      <c r="Q818" s="97">
        <f t="shared" si="4"/>
        <v>0</v>
      </c>
      <c r="R818" s="97" t="str">
        <f ca="1">ROUNDUP(HLOOKUP(IF(CEILING(L818,0.5)&lt;1,0.5,CEILING(L818,0.5)),'배송비 조회'!A$44:AO$56,7,0)*B$3,-2)</f>
        <v>#REF!</v>
      </c>
      <c r="S818" s="97">
        <v>0</v>
      </c>
      <c r="T818" s="97" t="str">
        <f t="shared" ca="1" si="42"/>
        <v>#REF!</v>
      </c>
      <c r="U818" s="97" t="str">
        <f t="shared" ca="1" si="29"/>
        <v>#REF!</v>
      </c>
      <c r="V818" s="97" t="str">
        <f t="shared" ca="1" si="7"/>
        <v>#REF!</v>
      </c>
      <c r="W818" s="97" t="str">
        <f t="shared" ca="1" si="8"/>
        <v>#REF!</v>
      </c>
      <c r="X818" s="121">
        <v>0</v>
      </c>
      <c r="Y818" s="121" t="str">
        <f t="shared" ca="1" si="9"/>
        <v>#REF!</v>
      </c>
      <c r="Z818" s="121" t="str">
        <f t="shared" ca="1" si="10"/>
        <v>#REF!</v>
      </c>
      <c r="AA818" s="99" t="str">
        <f t="shared" ca="1" si="11"/>
        <v>#REF!</v>
      </c>
      <c r="AB818" s="234" t="str">
        <f t="shared" ca="1" si="12"/>
        <v>#REF!</v>
      </c>
      <c r="AC818" s="257" t="str">
        <f t="shared" ca="1" si="13"/>
        <v>#REF!</v>
      </c>
      <c r="AD818" s="234" t="str">
        <f t="shared" ca="1" si="14"/>
        <v>#REF!</v>
      </c>
      <c r="AE818" s="100" t="str">
        <f t="shared" ca="1" si="15"/>
        <v>#REF!</v>
      </c>
      <c r="AF818" s="101" t="str">
        <f t="shared" ca="1" si="16"/>
        <v>#REF!</v>
      </c>
      <c r="AG818" s="102" t="str">
        <f t="shared" ref="AG818:AH818" ca="1" si="836">AE818/V818</f>
        <v>#REF!</v>
      </c>
      <c r="AH818" s="102" t="str">
        <f t="shared" ca="1" si="836"/>
        <v>#REF!</v>
      </c>
    </row>
    <row r="819" spans="1:34" ht="13.2">
      <c r="A819" s="251"/>
      <c r="B819" s="251"/>
      <c r="C819" s="252"/>
      <c r="D819" s="252"/>
      <c r="E819" s="114"/>
      <c r="F819" s="252"/>
      <c r="G819" s="125" t="s">
        <v>145</v>
      </c>
      <c r="I819" s="172"/>
      <c r="J819" s="82" t="str">
        <f t="shared" ca="1" si="0"/>
        <v>#REF!</v>
      </c>
      <c r="K819" s="82" t="str">
        <f t="shared" ca="1" si="1"/>
        <v>#REF!</v>
      </c>
      <c r="L819" s="82" t="str">
        <f t="shared" ca="1" si="44"/>
        <v>#REF!</v>
      </c>
      <c r="M819" s="93"/>
      <c r="N819" s="93"/>
      <c r="O819" s="95">
        <f t="shared" si="2"/>
        <v>0</v>
      </c>
      <c r="P819" s="96">
        <f t="shared" si="3"/>
        <v>0</v>
      </c>
      <c r="Q819" s="97">
        <f t="shared" si="4"/>
        <v>0</v>
      </c>
      <c r="R819" s="97" t="str">
        <f ca="1">ROUNDUP(HLOOKUP(IF(CEILING(L819,0.5)&lt;1,0.5,CEILING(L819,0.5)),'배송비 조회'!A$44:AO$56,7,0)*B$3,-2)</f>
        <v>#REF!</v>
      </c>
      <c r="S819" s="97">
        <v>0</v>
      </c>
      <c r="T819" s="97" t="str">
        <f t="shared" ca="1" si="42"/>
        <v>#REF!</v>
      </c>
      <c r="U819" s="97" t="str">
        <f t="shared" ca="1" si="29"/>
        <v>#REF!</v>
      </c>
      <c r="V819" s="97" t="str">
        <f t="shared" ca="1" si="7"/>
        <v>#REF!</v>
      </c>
      <c r="W819" s="97" t="str">
        <f t="shared" ca="1" si="8"/>
        <v>#REF!</v>
      </c>
      <c r="X819" s="121">
        <v>0</v>
      </c>
      <c r="Y819" s="121" t="str">
        <f t="shared" ca="1" si="9"/>
        <v>#REF!</v>
      </c>
      <c r="Z819" s="121" t="str">
        <f t="shared" ca="1" si="10"/>
        <v>#REF!</v>
      </c>
      <c r="AA819" s="99" t="str">
        <f t="shared" ca="1" si="11"/>
        <v>#REF!</v>
      </c>
      <c r="AB819" s="234" t="str">
        <f t="shared" ca="1" si="12"/>
        <v>#REF!</v>
      </c>
      <c r="AC819" s="257" t="str">
        <f t="shared" ca="1" si="13"/>
        <v>#REF!</v>
      </c>
      <c r="AD819" s="234" t="str">
        <f t="shared" ca="1" si="14"/>
        <v>#REF!</v>
      </c>
      <c r="AE819" s="100" t="str">
        <f t="shared" ca="1" si="15"/>
        <v>#REF!</v>
      </c>
      <c r="AF819" s="101" t="str">
        <f t="shared" ca="1" si="16"/>
        <v>#REF!</v>
      </c>
      <c r="AG819" s="102" t="str">
        <f t="shared" ref="AG819:AH819" ca="1" si="837">AE819/V819</f>
        <v>#REF!</v>
      </c>
      <c r="AH819" s="102" t="str">
        <f t="shared" ca="1" si="837"/>
        <v>#REF!</v>
      </c>
    </row>
    <row r="820" spans="1:34" ht="13.2">
      <c r="A820" s="251"/>
      <c r="B820" s="251"/>
      <c r="C820" s="252"/>
      <c r="D820" s="252"/>
      <c r="E820" s="114"/>
      <c r="F820" s="252"/>
      <c r="G820" s="125" t="s">
        <v>145</v>
      </c>
      <c r="I820" s="172"/>
      <c r="J820" s="82" t="str">
        <f t="shared" ca="1" si="0"/>
        <v>#REF!</v>
      </c>
      <c r="K820" s="82" t="str">
        <f t="shared" ca="1" si="1"/>
        <v>#REF!</v>
      </c>
      <c r="L820" s="82" t="str">
        <f t="shared" ca="1" si="44"/>
        <v>#REF!</v>
      </c>
      <c r="M820" s="93"/>
      <c r="N820" s="93"/>
      <c r="O820" s="95">
        <f t="shared" si="2"/>
        <v>0</v>
      </c>
      <c r="P820" s="96">
        <f t="shared" si="3"/>
        <v>0</v>
      </c>
      <c r="Q820" s="97">
        <f t="shared" si="4"/>
        <v>0</v>
      </c>
      <c r="R820" s="97" t="str">
        <f ca="1">ROUNDUP(HLOOKUP(IF(CEILING(L820,0.5)&lt;1,0.5,CEILING(L820,0.5)),'배송비 조회'!A$44:AO$56,7,0)*B$3,-2)</f>
        <v>#REF!</v>
      </c>
      <c r="S820" s="97">
        <v>0</v>
      </c>
      <c r="T820" s="97" t="str">
        <f t="shared" ca="1" si="42"/>
        <v>#REF!</v>
      </c>
      <c r="U820" s="97" t="str">
        <f t="shared" ca="1" si="29"/>
        <v>#REF!</v>
      </c>
      <c r="V820" s="97" t="str">
        <f t="shared" ca="1" si="7"/>
        <v>#REF!</v>
      </c>
      <c r="W820" s="97" t="str">
        <f t="shared" ca="1" si="8"/>
        <v>#REF!</v>
      </c>
      <c r="X820" s="121">
        <v>0</v>
      </c>
      <c r="Y820" s="121" t="str">
        <f t="shared" ca="1" si="9"/>
        <v>#REF!</v>
      </c>
      <c r="Z820" s="121" t="str">
        <f t="shared" ca="1" si="10"/>
        <v>#REF!</v>
      </c>
      <c r="AA820" s="99" t="str">
        <f t="shared" ca="1" si="11"/>
        <v>#REF!</v>
      </c>
      <c r="AB820" s="234" t="str">
        <f t="shared" ca="1" si="12"/>
        <v>#REF!</v>
      </c>
      <c r="AC820" s="257" t="str">
        <f t="shared" ca="1" si="13"/>
        <v>#REF!</v>
      </c>
      <c r="AD820" s="234" t="str">
        <f t="shared" ca="1" si="14"/>
        <v>#REF!</v>
      </c>
      <c r="AE820" s="100" t="str">
        <f t="shared" ca="1" si="15"/>
        <v>#REF!</v>
      </c>
      <c r="AF820" s="101" t="str">
        <f t="shared" ca="1" si="16"/>
        <v>#REF!</v>
      </c>
      <c r="AG820" s="102" t="str">
        <f t="shared" ref="AG820:AH820" ca="1" si="838">AE820/V820</f>
        <v>#REF!</v>
      </c>
      <c r="AH820" s="102" t="str">
        <f t="shared" ca="1" si="838"/>
        <v>#REF!</v>
      </c>
    </row>
    <row r="821" spans="1:34" ht="13.2">
      <c r="A821" s="251"/>
      <c r="B821" s="251"/>
      <c r="C821" s="252"/>
      <c r="D821" s="252"/>
      <c r="E821" s="114"/>
      <c r="F821" s="252"/>
      <c r="G821" s="125" t="s">
        <v>145</v>
      </c>
      <c r="I821" s="172"/>
      <c r="J821" s="82" t="str">
        <f t="shared" ca="1" si="0"/>
        <v>#REF!</v>
      </c>
      <c r="K821" s="82" t="str">
        <f t="shared" ca="1" si="1"/>
        <v>#REF!</v>
      </c>
      <c r="L821" s="82" t="str">
        <f t="shared" ca="1" si="44"/>
        <v>#REF!</v>
      </c>
      <c r="M821" s="93"/>
      <c r="N821" s="93"/>
      <c r="O821" s="95">
        <f t="shared" si="2"/>
        <v>0</v>
      </c>
      <c r="P821" s="96">
        <f t="shared" si="3"/>
        <v>0</v>
      </c>
      <c r="Q821" s="97">
        <f t="shared" si="4"/>
        <v>0</v>
      </c>
      <c r="R821" s="97" t="str">
        <f ca="1">ROUNDUP(HLOOKUP(IF(CEILING(L821,0.5)&lt;1,0.5,CEILING(L821,0.5)),'배송비 조회'!A$44:AO$56,7,0)*B$3,-2)</f>
        <v>#REF!</v>
      </c>
      <c r="S821" s="97">
        <v>0</v>
      </c>
      <c r="T821" s="97" t="str">
        <f t="shared" ca="1" si="42"/>
        <v>#REF!</v>
      </c>
      <c r="U821" s="97" t="str">
        <f t="shared" ca="1" si="29"/>
        <v>#REF!</v>
      </c>
      <c r="V821" s="97" t="str">
        <f t="shared" ca="1" si="7"/>
        <v>#REF!</v>
      </c>
      <c r="W821" s="97" t="str">
        <f t="shared" ca="1" si="8"/>
        <v>#REF!</v>
      </c>
      <c r="X821" s="121">
        <v>0</v>
      </c>
      <c r="Y821" s="121" t="str">
        <f t="shared" ca="1" si="9"/>
        <v>#REF!</v>
      </c>
      <c r="Z821" s="121" t="str">
        <f t="shared" ca="1" si="10"/>
        <v>#REF!</v>
      </c>
      <c r="AA821" s="99" t="str">
        <f t="shared" ca="1" si="11"/>
        <v>#REF!</v>
      </c>
      <c r="AB821" s="234" t="str">
        <f t="shared" ca="1" si="12"/>
        <v>#REF!</v>
      </c>
      <c r="AC821" s="257" t="str">
        <f t="shared" ca="1" si="13"/>
        <v>#REF!</v>
      </c>
      <c r="AD821" s="234" t="str">
        <f t="shared" ca="1" si="14"/>
        <v>#REF!</v>
      </c>
      <c r="AE821" s="100" t="str">
        <f t="shared" ca="1" si="15"/>
        <v>#REF!</v>
      </c>
      <c r="AF821" s="101" t="str">
        <f t="shared" ca="1" si="16"/>
        <v>#REF!</v>
      </c>
      <c r="AG821" s="102" t="str">
        <f t="shared" ref="AG821:AH821" ca="1" si="839">AE821/V821</f>
        <v>#REF!</v>
      </c>
      <c r="AH821" s="102" t="str">
        <f t="shared" ca="1" si="839"/>
        <v>#REF!</v>
      </c>
    </row>
    <row r="822" spans="1:34" ht="13.2">
      <c r="A822" s="251"/>
      <c r="B822" s="251"/>
      <c r="C822" s="252"/>
      <c r="D822" s="252"/>
      <c r="E822" s="114"/>
      <c r="F822" s="252"/>
      <c r="G822" s="125" t="s">
        <v>145</v>
      </c>
      <c r="I822" s="172"/>
      <c r="J822" s="82" t="str">
        <f t="shared" ca="1" si="0"/>
        <v>#REF!</v>
      </c>
      <c r="K822" s="82" t="str">
        <f t="shared" ca="1" si="1"/>
        <v>#REF!</v>
      </c>
      <c r="L822" s="82" t="str">
        <f t="shared" ca="1" si="44"/>
        <v>#REF!</v>
      </c>
      <c r="M822" s="93"/>
      <c r="N822" s="93"/>
      <c r="O822" s="95">
        <f t="shared" si="2"/>
        <v>0</v>
      </c>
      <c r="P822" s="96">
        <f t="shared" si="3"/>
        <v>0</v>
      </c>
      <c r="Q822" s="97">
        <f t="shared" si="4"/>
        <v>0</v>
      </c>
      <c r="R822" s="97" t="str">
        <f ca="1">ROUNDUP(HLOOKUP(IF(CEILING(L822,0.5)&lt;1,0.5,CEILING(L822,0.5)),'배송비 조회'!A$44:AO$56,7,0)*B$3,-2)</f>
        <v>#REF!</v>
      </c>
      <c r="S822" s="97">
        <v>0</v>
      </c>
      <c r="T822" s="97" t="str">
        <f t="shared" ca="1" si="42"/>
        <v>#REF!</v>
      </c>
      <c r="U822" s="97" t="str">
        <f t="shared" ca="1" si="29"/>
        <v>#REF!</v>
      </c>
      <c r="V822" s="97" t="str">
        <f t="shared" ca="1" si="7"/>
        <v>#REF!</v>
      </c>
      <c r="W822" s="97" t="str">
        <f t="shared" ca="1" si="8"/>
        <v>#REF!</v>
      </c>
      <c r="X822" s="121">
        <v>0</v>
      </c>
      <c r="Y822" s="121" t="str">
        <f t="shared" ca="1" si="9"/>
        <v>#REF!</v>
      </c>
      <c r="Z822" s="121" t="str">
        <f t="shared" ca="1" si="10"/>
        <v>#REF!</v>
      </c>
      <c r="AA822" s="99" t="str">
        <f t="shared" ca="1" si="11"/>
        <v>#REF!</v>
      </c>
      <c r="AB822" s="234" t="str">
        <f t="shared" ca="1" si="12"/>
        <v>#REF!</v>
      </c>
      <c r="AC822" s="257" t="str">
        <f t="shared" ca="1" si="13"/>
        <v>#REF!</v>
      </c>
      <c r="AD822" s="234" t="str">
        <f t="shared" ca="1" si="14"/>
        <v>#REF!</v>
      </c>
      <c r="AE822" s="100" t="str">
        <f t="shared" ca="1" si="15"/>
        <v>#REF!</v>
      </c>
      <c r="AF822" s="101" t="str">
        <f t="shared" ca="1" si="16"/>
        <v>#REF!</v>
      </c>
      <c r="AG822" s="102" t="str">
        <f t="shared" ref="AG822:AH822" ca="1" si="840">AE822/V822</f>
        <v>#REF!</v>
      </c>
      <c r="AH822" s="102" t="str">
        <f t="shared" ca="1" si="840"/>
        <v>#REF!</v>
      </c>
    </row>
    <row r="823" spans="1:34" ht="13.2">
      <c r="A823" s="251"/>
      <c r="B823" s="251"/>
      <c r="C823" s="252"/>
      <c r="D823" s="252"/>
      <c r="E823" s="114"/>
      <c r="F823" s="252"/>
      <c r="G823" s="125" t="s">
        <v>145</v>
      </c>
      <c r="I823" s="172"/>
      <c r="J823" s="82" t="str">
        <f t="shared" ca="1" si="0"/>
        <v>#REF!</v>
      </c>
      <c r="K823" s="82" t="str">
        <f t="shared" ca="1" si="1"/>
        <v>#REF!</v>
      </c>
      <c r="L823" s="82" t="str">
        <f t="shared" ca="1" si="44"/>
        <v>#REF!</v>
      </c>
      <c r="M823" s="93"/>
      <c r="N823" s="93"/>
      <c r="O823" s="95">
        <f t="shared" si="2"/>
        <v>0</v>
      </c>
      <c r="P823" s="96">
        <f t="shared" si="3"/>
        <v>0</v>
      </c>
      <c r="Q823" s="97">
        <f t="shared" si="4"/>
        <v>0</v>
      </c>
      <c r="R823" s="97" t="str">
        <f ca="1">ROUNDUP(HLOOKUP(IF(CEILING(L823,0.5)&lt;1,0.5,CEILING(L823,0.5)),'배송비 조회'!A$44:AO$56,7,0)*B$3,-2)</f>
        <v>#REF!</v>
      </c>
      <c r="S823" s="97">
        <v>0</v>
      </c>
      <c r="T823" s="97" t="str">
        <f t="shared" ca="1" si="42"/>
        <v>#REF!</v>
      </c>
      <c r="U823" s="97" t="str">
        <f t="shared" ca="1" si="29"/>
        <v>#REF!</v>
      </c>
      <c r="V823" s="97" t="str">
        <f t="shared" ca="1" si="7"/>
        <v>#REF!</v>
      </c>
      <c r="W823" s="97" t="str">
        <f t="shared" ca="1" si="8"/>
        <v>#REF!</v>
      </c>
      <c r="X823" s="121">
        <v>0</v>
      </c>
      <c r="Y823" s="121" t="str">
        <f t="shared" ca="1" si="9"/>
        <v>#REF!</v>
      </c>
      <c r="Z823" s="121" t="str">
        <f t="shared" ca="1" si="10"/>
        <v>#REF!</v>
      </c>
      <c r="AA823" s="99" t="str">
        <f t="shared" ca="1" si="11"/>
        <v>#REF!</v>
      </c>
      <c r="AB823" s="234" t="str">
        <f t="shared" ca="1" si="12"/>
        <v>#REF!</v>
      </c>
      <c r="AC823" s="257" t="str">
        <f t="shared" ca="1" si="13"/>
        <v>#REF!</v>
      </c>
      <c r="AD823" s="234" t="str">
        <f t="shared" ca="1" si="14"/>
        <v>#REF!</v>
      </c>
      <c r="AE823" s="100" t="str">
        <f t="shared" ca="1" si="15"/>
        <v>#REF!</v>
      </c>
      <c r="AF823" s="101" t="str">
        <f t="shared" ca="1" si="16"/>
        <v>#REF!</v>
      </c>
      <c r="AG823" s="102" t="str">
        <f t="shared" ref="AG823:AH823" ca="1" si="841">AE823/V823</f>
        <v>#REF!</v>
      </c>
      <c r="AH823" s="102" t="str">
        <f t="shared" ca="1" si="841"/>
        <v>#REF!</v>
      </c>
    </row>
    <row r="824" spans="1:34" ht="13.2">
      <c r="A824" s="251"/>
      <c r="B824" s="251"/>
      <c r="C824" s="252"/>
      <c r="D824" s="252"/>
      <c r="E824" s="114"/>
      <c r="F824" s="252"/>
      <c r="G824" s="125" t="s">
        <v>145</v>
      </c>
      <c r="I824" s="172"/>
      <c r="J824" s="82" t="str">
        <f t="shared" ca="1" si="0"/>
        <v>#REF!</v>
      </c>
      <c r="K824" s="82" t="str">
        <f t="shared" ca="1" si="1"/>
        <v>#REF!</v>
      </c>
      <c r="L824" s="82" t="str">
        <f t="shared" ca="1" si="44"/>
        <v>#REF!</v>
      </c>
      <c r="M824" s="93"/>
      <c r="N824" s="93"/>
      <c r="O824" s="95">
        <f t="shared" si="2"/>
        <v>0</v>
      </c>
      <c r="P824" s="96">
        <f t="shared" si="3"/>
        <v>0</v>
      </c>
      <c r="Q824" s="97">
        <f t="shared" si="4"/>
        <v>0</v>
      </c>
      <c r="R824" s="97" t="str">
        <f ca="1">ROUNDUP(HLOOKUP(IF(CEILING(L824,0.5)&lt;1,0.5,CEILING(L824,0.5)),'배송비 조회'!A$44:AO$56,7,0)*B$3,-2)</f>
        <v>#REF!</v>
      </c>
      <c r="S824" s="97">
        <v>0</v>
      </c>
      <c r="T824" s="97" t="str">
        <f t="shared" ca="1" si="42"/>
        <v>#REF!</v>
      </c>
      <c r="U824" s="97" t="str">
        <f t="shared" ca="1" si="29"/>
        <v>#REF!</v>
      </c>
      <c r="V824" s="97" t="str">
        <f t="shared" ca="1" si="7"/>
        <v>#REF!</v>
      </c>
      <c r="W824" s="97" t="str">
        <f t="shared" ca="1" si="8"/>
        <v>#REF!</v>
      </c>
      <c r="X824" s="121">
        <v>0</v>
      </c>
      <c r="Y824" s="121" t="str">
        <f t="shared" ca="1" si="9"/>
        <v>#REF!</v>
      </c>
      <c r="Z824" s="121" t="str">
        <f t="shared" ca="1" si="10"/>
        <v>#REF!</v>
      </c>
      <c r="AA824" s="99" t="str">
        <f t="shared" ca="1" si="11"/>
        <v>#REF!</v>
      </c>
      <c r="AB824" s="234" t="str">
        <f t="shared" ca="1" si="12"/>
        <v>#REF!</v>
      </c>
      <c r="AC824" s="257" t="str">
        <f t="shared" ca="1" si="13"/>
        <v>#REF!</v>
      </c>
      <c r="AD824" s="234" t="str">
        <f t="shared" ca="1" si="14"/>
        <v>#REF!</v>
      </c>
      <c r="AE824" s="100" t="str">
        <f t="shared" ca="1" si="15"/>
        <v>#REF!</v>
      </c>
      <c r="AF824" s="101" t="str">
        <f t="shared" ca="1" si="16"/>
        <v>#REF!</v>
      </c>
      <c r="AG824" s="102" t="str">
        <f t="shared" ref="AG824:AH824" ca="1" si="842">AE824/V824</f>
        <v>#REF!</v>
      </c>
      <c r="AH824" s="102" t="str">
        <f t="shared" ca="1" si="842"/>
        <v>#REF!</v>
      </c>
    </row>
    <row r="825" spans="1:34" ht="13.2">
      <c r="A825" s="251"/>
      <c r="B825" s="251"/>
      <c r="C825" s="252"/>
      <c r="D825" s="252"/>
      <c r="E825" s="114"/>
      <c r="F825" s="252"/>
      <c r="G825" s="125" t="s">
        <v>145</v>
      </c>
      <c r="I825" s="172"/>
      <c r="J825" s="82" t="str">
        <f t="shared" ca="1" si="0"/>
        <v>#REF!</v>
      </c>
      <c r="K825" s="82" t="str">
        <f t="shared" ca="1" si="1"/>
        <v>#REF!</v>
      </c>
      <c r="L825" s="82" t="str">
        <f t="shared" ca="1" si="44"/>
        <v>#REF!</v>
      </c>
      <c r="M825" s="93"/>
      <c r="N825" s="93"/>
      <c r="O825" s="95">
        <f t="shared" si="2"/>
        <v>0</v>
      </c>
      <c r="P825" s="96">
        <f t="shared" si="3"/>
        <v>0</v>
      </c>
      <c r="Q825" s="97">
        <f t="shared" si="4"/>
        <v>0</v>
      </c>
      <c r="R825" s="97" t="str">
        <f ca="1">ROUNDUP(HLOOKUP(IF(CEILING(L825,0.5)&lt;1,0.5,CEILING(L825,0.5)),'배송비 조회'!A$44:AO$56,7,0)*B$3,-2)</f>
        <v>#REF!</v>
      </c>
      <c r="S825" s="97">
        <v>0</v>
      </c>
      <c r="T825" s="97" t="str">
        <f t="shared" ca="1" si="42"/>
        <v>#REF!</v>
      </c>
      <c r="U825" s="97" t="str">
        <f t="shared" ca="1" si="29"/>
        <v>#REF!</v>
      </c>
      <c r="V825" s="97" t="str">
        <f t="shared" ca="1" si="7"/>
        <v>#REF!</v>
      </c>
      <c r="W825" s="97" t="str">
        <f t="shared" ca="1" si="8"/>
        <v>#REF!</v>
      </c>
      <c r="X825" s="121">
        <v>0</v>
      </c>
      <c r="Y825" s="121" t="str">
        <f t="shared" ca="1" si="9"/>
        <v>#REF!</v>
      </c>
      <c r="Z825" s="121" t="str">
        <f t="shared" ca="1" si="10"/>
        <v>#REF!</v>
      </c>
      <c r="AA825" s="99" t="str">
        <f t="shared" ca="1" si="11"/>
        <v>#REF!</v>
      </c>
      <c r="AB825" s="234" t="str">
        <f t="shared" ca="1" si="12"/>
        <v>#REF!</v>
      </c>
      <c r="AC825" s="257" t="str">
        <f t="shared" ca="1" si="13"/>
        <v>#REF!</v>
      </c>
      <c r="AD825" s="234" t="str">
        <f t="shared" ca="1" si="14"/>
        <v>#REF!</v>
      </c>
      <c r="AE825" s="100" t="str">
        <f t="shared" ca="1" si="15"/>
        <v>#REF!</v>
      </c>
      <c r="AF825" s="101" t="str">
        <f t="shared" ca="1" si="16"/>
        <v>#REF!</v>
      </c>
      <c r="AG825" s="102" t="str">
        <f t="shared" ref="AG825:AH825" ca="1" si="843">AE825/V825</f>
        <v>#REF!</v>
      </c>
      <c r="AH825" s="102" t="str">
        <f t="shared" ca="1" si="843"/>
        <v>#REF!</v>
      </c>
    </row>
    <row r="826" spans="1:34" ht="13.2">
      <c r="A826" s="251"/>
      <c r="B826" s="251"/>
      <c r="C826" s="252"/>
      <c r="D826" s="252"/>
      <c r="E826" s="114"/>
      <c r="F826" s="252"/>
      <c r="G826" s="125" t="s">
        <v>145</v>
      </c>
      <c r="I826" s="172"/>
      <c r="J826" s="82" t="str">
        <f t="shared" ca="1" si="0"/>
        <v>#REF!</v>
      </c>
      <c r="K826" s="82" t="str">
        <f t="shared" ca="1" si="1"/>
        <v>#REF!</v>
      </c>
      <c r="L826" s="82" t="str">
        <f t="shared" ca="1" si="44"/>
        <v>#REF!</v>
      </c>
      <c r="M826" s="93"/>
      <c r="N826" s="93"/>
      <c r="O826" s="95">
        <f t="shared" si="2"/>
        <v>0</v>
      </c>
      <c r="P826" s="96">
        <f t="shared" si="3"/>
        <v>0</v>
      </c>
      <c r="Q826" s="97">
        <f t="shared" si="4"/>
        <v>0</v>
      </c>
      <c r="R826" s="97" t="str">
        <f ca="1">ROUNDUP(HLOOKUP(IF(CEILING(L826,0.5)&lt;1,0.5,CEILING(L826,0.5)),'배송비 조회'!A$44:AO$56,7,0)*B$3,-2)</f>
        <v>#REF!</v>
      </c>
      <c r="S826" s="97">
        <v>0</v>
      </c>
      <c r="T826" s="97" t="str">
        <f t="shared" ca="1" si="42"/>
        <v>#REF!</v>
      </c>
      <c r="U826" s="97" t="str">
        <f t="shared" ca="1" si="29"/>
        <v>#REF!</v>
      </c>
      <c r="V826" s="97" t="str">
        <f t="shared" ca="1" si="7"/>
        <v>#REF!</v>
      </c>
      <c r="W826" s="97" t="str">
        <f t="shared" ca="1" si="8"/>
        <v>#REF!</v>
      </c>
      <c r="X826" s="121">
        <v>0</v>
      </c>
      <c r="Y826" s="121" t="str">
        <f t="shared" ca="1" si="9"/>
        <v>#REF!</v>
      </c>
      <c r="Z826" s="121" t="str">
        <f t="shared" ca="1" si="10"/>
        <v>#REF!</v>
      </c>
      <c r="AA826" s="99" t="str">
        <f t="shared" ca="1" si="11"/>
        <v>#REF!</v>
      </c>
      <c r="AB826" s="234" t="str">
        <f t="shared" ca="1" si="12"/>
        <v>#REF!</v>
      </c>
      <c r="AC826" s="257" t="str">
        <f t="shared" ca="1" si="13"/>
        <v>#REF!</v>
      </c>
      <c r="AD826" s="234" t="str">
        <f t="shared" ca="1" si="14"/>
        <v>#REF!</v>
      </c>
      <c r="AE826" s="100" t="str">
        <f t="shared" ca="1" si="15"/>
        <v>#REF!</v>
      </c>
      <c r="AF826" s="101" t="str">
        <f t="shared" ca="1" si="16"/>
        <v>#REF!</v>
      </c>
      <c r="AG826" s="102" t="str">
        <f t="shared" ref="AG826:AH826" ca="1" si="844">AE826/V826</f>
        <v>#REF!</v>
      </c>
      <c r="AH826" s="102" t="str">
        <f t="shared" ca="1" si="844"/>
        <v>#REF!</v>
      </c>
    </row>
    <row r="827" spans="1:34" ht="13.2">
      <c r="A827" s="251"/>
      <c r="B827" s="251"/>
      <c r="C827" s="252"/>
      <c r="D827" s="252"/>
      <c r="E827" s="114"/>
      <c r="F827" s="252"/>
      <c r="G827" s="125" t="s">
        <v>145</v>
      </c>
      <c r="I827" s="172"/>
      <c r="J827" s="82" t="str">
        <f t="shared" ca="1" si="0"/>
        <v>#REF!</v>
      </c>
      <c r="K827" s="82" t="str">
        <f t="shared" ca="1" si="1"/>
        <v>#REF!</v>
      </c>
      <c r="L827" s="82" t="str">
        <f t="shared" ca="1" si="44"/>
        <v>#REF!</v>
      </c>
      <c r="M827" s="93"/>
      <c r="N827" s="93"/>
      <c r="O827" s="95">
        <f t="shared" si="2"/>
        <v>0</v>
      </c>
      <c r="P827" s="96">
        <f t="shared" si="3"/>
        <v>0</v>
      </c>
      <c r="Q827" s="97">
        <f t="shared" si="4"/>
        <v>0</v>
      </c>
      <c r="R827" s="97" t="str">
        <f ca="1">ROUNDUP(HLOOKUP(IF(CEILING(L827,0.5)&lt;1,0.5,CEILING(L827,0.5)),'배송비 조회'!A$44:AO$56,7,0)*B$3,-2)</f>
        <v>#REF!</v>
      </c>
      <c r="S827" s="97">
        <v>0</v>
      </c>
      <c r="T827" s="97" t="str">
        <f t="shared" ca="1" si="42"/>
        <v>#REF!</v>
      </c>
      <c r="U827" s="97" t="str">
        <f t="shared" ca="1" si="29"/>
        <v>#REF!</v>
      </c>
      <c r="V827" s="97" t="str">
        <f t="shared" ca="1" si="7"/>
        <v>#REF!</v>
      </c>
      <c r="W827" s="97" t="str">
        <f t="shared" ca="1" si="8"/>
        <v>#REF!</v>
      </c>
      <c r="X827" s="121">
        <v>0</v>
      </c>
      <c r="Y827" s="121" t="str">
        <f t="shared" ca="1" si="9"/>
        <v>#REF!</v>
      </c>
      <c r="Z827" s="121" t="str">
        <f t="shared" ca="1" si="10"/>
        <v>#REF!</v>
      </c>
      <c r="AA827" s="99" t="str">
        <f t="shared" ca="1" si="11"/>
        <v>#REF!</v>
      </c>
      <c r="AB827" s="234" t="str">
        <f t="shared" ca="1" si="12"/>
        <v>#REF!</v>
      </c>
      <c r="AC827" s="257" t="str">
        <f t="shared" ca="1" si="13"/>
        <v>#REF!</v>
      </c>
      <c r="AD827" s="234" t="str">
        <f t="shared" ca="1" si="14"/>
        <v>#REF!</v>
      </c>
      <c r="AE827" s="100" t="str">
        <f t="shared" ca="1" si="15"/>
        <v>#REF!</v>
      </c>
      <c r="AF827" s="101" t="str">
        <f t="shared" ca="1" si="16"/>
        <v>#REF!</v>
      </c>
      <c r="AG827" s="102" t="str">
        <f t="shared" ref="AG827:AH827" ca="1" si="845">AE827/V827</f>
        <v>#REF!</v>
      </c>
      <c r="AH827" s="102" t="str">
        <f t="shared" ca="1" si="845"/>
        <v>#REF!</v>
      </c>
    </row>
    <row r="828" spans="1:34" ht="13.2">
      <c r="A828" s="251"/>
      <c r="B828" s="251"/>
      <c r="C828" s="252"/>
      <c r="D828" s="252"/>
      <c r="E828" s="114"/>
      <c r="F828" s="252"/>
      <c r="G828" s="125" t="s">
        <v>145</v>
      </c>
      <c r="I828" s="172"/>
      <c r="J828" s="82" t="str">
        <f t="shared" ca="1" si="0"/>
        <v>#REF!</v>
      </c>
      <c r="K828" s="82" t="str">
        <f t="shared" ca="1" si="1"/>
        <v>#REF!</v>
      </c>
      <c r="L828" s="82" t="str">
        <f t="shared" ca="1" si="44"/>
        <v>#REF!</v>
      </c>
      <c r="M828" s="93"/>
      <c r="N828" s="93"/>
      <c r="O828" s="95">
        <f t="shared" si="2"/>
        <v>0</v>
      </c>
      <c r="P828" s="96">
        <f t="shared" si="3"/>
        <v>0</v>
      </c>
      <c r="Q828" s="97">
        <f t="shared" si="4"/>
        <v>0</v>
      </c>
      <c r="R828" s="97" t="str">
        <f ca="1">ROUNDUP(HLOOKUP(IF(CEILING(L828,0.5)&lt;1,0.5,CEILING(L828,0.5)),'배송비 조회'!A$44:AO$56,7,0)*B$3,-2)</f>
        <v>#REF!</v>
      </c>
      <c r="S828" s="97">
        <v>0</v>
      </c>
      <c r="T828" s="97" t="str">
        <f t="shared" ca="1" si="42"/>
        <v>#REF!</v>
      </c>
      <c r="U828" s="97" t="str">
        <f t="shared" ca="1" si="29"/>
        <v>#REF!</v>
      </c>
      <c r="V828" s="97" t="str">
        <f t="shared" ca="1" si="7"/>
        <v>#REF!</v>
      </c>
      <c r="W828" s="97" t="str">
        <f t="shared" ca="1" si="8"/>
        <v>#REF!</v>
      </c>
      <c r="X828" s="121">
        <v>0</v>
      </c>
      <c r="Y828" s="121" t="str">
        <f t="shared" ca="1" si="9"/>
        <v>#REF!</v>
      </c>
      <c r="Z828" s="121" t="str">
        <f t="shared" ca="1" si="10"/>
        <v>#REF!</v>
      </c>
      <c r="AA828" s="99" t="str">
        <f t="shared" ca="1" si="11"/>
        <v>#REF!</v>
      </c>
      <c r="AB828" s="234" t="str">
        <f t="shared" ca="1" si="12"/>
        <v>#REF!</v>
      </c>
      <c r="AC828" s="257" t="str">
        <f t="shared" ca="1" si="13"/>
        <v>#REF!</v>
      </c>
      <c r="AD828" s="234" t="str">
        <f t="shared" ca="1" si="14"/>
        <v>#REF!</v>
      </c>
      <c r="AE828" s="100" t="str">
        <f t="shared" ca="1" si="15"/>
        <v>#REF!</v>
      </c>
      <c r="AF828" s="101" t="str">
        <f t="shared" ca="1" si="16"/>
        <v>#REF!</v>
      </c>
      <c r="AG828" s="102" t="str">
        <f t="shared" ref="AG828:AH828" ca="1" si="846">AE828/V828</f>
        <v>#REF!</v>
      </c>
      <c r="AH828" s="102" t="str">
        <f t="shared" ca="1" si="846"/>
        <v>#REF!</v>
      </c>
    </row>
    <row r="829" spans="1:34" ht="13.2">
      <c r="A829" s="251"/>
      <c r="B829" s="251"/>
      <c r="C829" s="252"/>
      <c r="D829" s="252"/>
      <c r="E829" s="114"/>
      <c r="F829" s="252"/>
      <c r="G829" s="125" t="s">
        <v>145</v>
      </c>
      <c r="I829" s="172"/>
      <c r="J829" s="82" t="str">
        <f t="shared" ca="1" si="0"/>
        <v>#REF!</v>
      </c>
      <c r="K829" s="82" t="str">
        <f t="shared" ca="1" si="1"/>
        <v>#REF!</v>
      </c>
      <c r="L829" s="82" t="str">
        <f t="shared" ca="1" si="44"/>
        <v>#REF!</v>
      </c>
      <c r="M829" s="93"/>
      <c r="N829" s="93"/>
      <c r="O829" s="95">
        <f t="shared" si="2"/>
        <v>0</v>
      </c>
      <c r="P829" s="96">
        <f t="shared" si="3"/>
        <v>0</v>
      </c>
      <c r="Q829" s="97">
        <f t="shared" si="4"/>
        <v>0</v>
      </c>
      <c r="R829" s="97" t="str">
        <f ca="1">ROUNDUP(HLOOKUP(IF(CEILING(L829,0.5)&lt;1,0.5,CEILING(L829,0.5)),'배송비 조회'!A$44:AO$56,7,0)*B$3,-2)</f>
        <v>#REF!</v>
      </c>
      <c r="S829" s="97">
        <v>0</v>
      </c>
      <c r="T829" s="97" t="str">
        <f t="shared" ca="1" si="42"/>
        <v>#REF!</v>
      </c>
      <c r="U829" s="97" t="str">
        <f t="shared" ca="1" si="29"/>
        <v>#REF!</v>
      </c>
      <c r="V829" s="97" t="str">
        <f t="shared" ca="1" si="7"/>
        <v>#REF!</v>
      </c>
      <c r="W829" s="97" t="str">
        <f t="shared" ca="1" si="8"/>
        <v>#REF!</v>
      </c>
      <c r="X829" s="121">
        <v>0</v>
      </c>
      <c r="Y829" s="121" t="str">
        <f t="shared" ca="1" si="9"/>
        <v>#REF!</v>
      </c>
      <c r="Z829" s="121" t="str">
        <f t="shared" ca="1" si="10"/>
        <v>#REF!</v>
      </c>
      <c r="AA829" s="99" t="str">
        <f t="shared" ca="1" si="11"/>
        <v>#REF!</v>
      </c>
      <c r="AB829" s="234" t="str">
        <f t="shared" ca="1" si="12"/>
        <v>#REF!</v>
      </c>
      <c r="AC829" s="257" t="str">
        <f t="shared" ca="1" si="13"/>
        <v>#REF!</v>
      </c>
      <c r="AD829" s="234" t="str">
        <f t="shared" ca="1" si="14"/>
        <v>#REF!</v>
      </c>
      <c r="AE829" s="100" t="str">
        <f t="shared" ca="1" si="15"/>
        <v>#REF!</v>
      </c>
      <c r="AF829" s="101" t="str">
        <f t="shared" ca="1" si="16"/>
        <v>#REF!</v>
      </c>
      <c r="AG829" s="102" t="str">
        <f t="shared" ref="AG829:AH829" ca="1" si="847">AE829/V829</f>
        <v>#REF!</v>
      </c>
      <c r="AH829" s="102" t="str">
        <f t="shared" ca="1" si="847"/>
        <v>#REF!</v>
      </c>
    </row>
    <row r="830" spans="1:34" ht="13.2">
      <c r="A830" s="251"/>
      <c r="B830" s="251"/>
      <c r="C830" s="252"/>
      <c r="D830" s="252"/>
      <c r="E830" s="114"/>
      <c r="F830" s="252"/>
      <c r="G830" s="125" t="s">
        <v>145</v>
      </c>
      <c r="I830" s="172"/>
      <c r="J830" s="82" t="str">
        <f t="shared" ca="1" si="0"/>
        <v>#REF!</v>
      </c>
      <c r="K830" s="82" t="str">
        <f t="shared" ca="1" si="1"/>
        <v>#REF!</v>
      </c>
      <c r="L830" s="82" t="str">
        <f t="shared" ca="1" si="44"/>
        <v>#REF!</v>
      </c>
      <c r="M830" s="93"/>
      <c r="N830" s="93"/>
      <c r="O830" s="95">
        <f t="shared" si="2"/>
        <v>0</v>
      </c>
      <c r="P830" s="96">
        <f t="shared" si="3"/>
        <v>0</v>
      </c>
      <c r="Q830" s="97">
        <f t="shared" si="4"/>
        <v>0</v>
      </c>
      <c r="R830" s="97" t="str">
        <f ca="1">ROUNDUP(HLOOKUP(IF(CEILING(L830,0.5)&lt;1,0.5,CEILING(L830,0.5)),'배송비 조회'!A$44:AO$56,7,0)*B$3,-2)</f>
        <v>#REF!</v>
      </c>
      <c r="S830" s="97">
        <v>0</v>
      </c>
      <c r="T830" s="97" t="str">
        <f t="shared" ca="1" si="42"/>
        <v>#REF!</v>
      </c>
      <c r="U830" s="97" t="str">
        <f t="shared" ca="1" si="29"/>
        <v>#REF!</v>
      </c>
      <c r="V830" s="97" t="str">
        <f t="shared" ca="1" si="7"/>
        <v>#REF!</v>
      </c>
      <c r="W830" s="97" t="str">
        <f t="shared" ca="1" si="8"/>
        <v>#REF!</v>
      </c>
      <c r="X830" s="121">
        <v>0</v>
      </c>
      <c r="Y830" s="121" t="str">
        <f t="shared" ca="1" si="9"/>
        <v>#REF!</v>
      </c>
      <c r="Z830" s="121" t="str">
        <f t="shared" ca="1" si="10"/>
        <v>#REF!</v>
      </c>
      <c r="AA830" s="99" t="str">
        <f t="shared" ca="1" si="11"/>
        <v>#REF!</v>
      </c>
      <c r="AB830" s="234" t="str">
        <f t="shared" ca="1" si="12"/>
        <v>#REF!</v>
      </c>
      <c r="AC830" s="257" t="str">
        <f t="shared" ca="1" si="13"/>
        <v>#REF!</v>
      </c>
      <c r="AD830" s="234" t="str">
        <f t="shared" ca="1" si="14"/>
        <v>#REF!</v>
      </c>
      <c r="AE830" s="100" t="str">
        <f t="shared" ca="1" si="15"/>
        <v>#REF!</v>
      </c>
      <c r="AF830" s="101" t="str">
        <f t="shared" ca="1" si="16"/>
        <v>#REF!</v>
      </c>
      <c r="AG830" s="102" t="str">
        <f t="shared" ref="AG830:AH830" ca="1" si="848">AE830/V830</f>
        <v>#REF!</v>
      </c>
      <c r="AH830" s="102" t="str">
        <f t="shared" ca="1" si="848"/>
        <v>#REF!</v>
      </c>
    </row>
    <row r="831" spans="1:34" ht="13.2">
      <c r="A831" s="251"/>
      <c r="B831" s="251"/>
      <c r="C831" s="252"/>
      <c r="D831" s="252"/>
      <c r="E831" s="114"/>
      <c r="F831" s="252"/>
      <c r="G831" s="125" t="s">
        <v>145</v>
      </c>
      <c r="I831" s="172"/>
      <c r="J831" s="82" t="str">
        <f t="shared" ca="1" si="0"/>
        <v>#REF!</v>
      </c>
      <c r="K831" s="82" t="str">
        <f t="shared" ca="1" si="1"/>
        <v>#REF!</v>
      </c>
      <c r="L831" s="82" t="str">
        <f t="shared" ca="1" si="44"/>
        <v>#REF!</v>
      </c>
      <c r="M831" s="93"/>
      <c r="N831" s="93"/>
      <c r="O831" s="95">
        <f t="shared" si="2"/>
        <v>0</v>
      </c>
      <c r="P831" s="96">
        <f t="shared" si="3"/>
        <v>0</v>
      </c>
      <c r="Q831" s="97">
        <f t="shared" si="4"/>
        <v>0</v>
      </c>
      <c r="R831" s="97" t="str">
        <f ca="1">ROUNDUP(HLOOKUP(IF(CEILING(L831,0.5)&lt;1,0.5,CEILING(L831,0.5)),'배송비 조회'!A$44:AO$56,7,0)*B$3,-2)</f>
        <v>#REF!</v>
      </c>
      <c r="S831" s="97">
        <v>0</v>
      </c>
      <c r="T831" s="97" t="str">
        <f t="shared" ca="1" si="42"/>
        <v>#REF!</v>
      </c>
      <c r="U831" s="97" t="str">
        <f t="shared" ca="1" si="29"/>
        <v>#REF!</v>
      </c>
      <c r="V831" s="97" t="str">
        <f t="shared" ca="1" si="7"/>
        <v>#REF!</v>
      </c>
      <c r="W831" s="97" t="str">
        <f t="shared" ca="1" si="8"/>
        <v>#REF!</v>
      </c>
      <c r="X831" s="121">
        <v>0</v>
      </c>
      <c r="Y831" s="121" t="str">
        <f t="shared" ca="1" si="9"/>
        <v>#REF!</v>
      </c>
      <c r="Z831" s="121" t="str">
        <f t="shared" ca="1" si="10"/>
        <v>#REF!</v>
      </c>
      <c r="AA831" s="99" t="str">
        <f t="shared" ca="1" si="11"/>
        <v>#REF!</v>
      </c>
      <c r="AB831" s="234" t="str">
        <f t="shared" ca="1" si="12"/>
        <v>#REF!</v>
      </c>
      <c r="AC831" s="257" t="str">
        <f t="shared" ca="1" si="13"/>
        <v>#REF!</v>
      </c>
      <c r="AD831" s="234" t="str">
        <f t="shared" ca="1" si="14"/>
        <v>#REF!</v>
      </c>
      <c r="AE831" s="100" t="str">
        <f t="shared" ca="1" si="15"/>
        <v>#REF!</v>
      </c>
      <c r="AF831" s="101" t="str">
        <f t="shared" ca="1" si="16"/>
        <v>#REF!</v>
      </c>
      <c r="AG831" s="102" t="str">
        <f t="shared" ref="AG831:AH831" ca="1" si="849">AE831/V831</f>
        <v>#REF!</v>
      </c>
      <c r="AH831" s="102" t="str">
        <f t="shared" ca="1" si="849"/>
        <v>#REF!</v>
      </c>
    </row>
    <row r="832" spans="1:34" ht="13.2">
      <c r="A832" s="251"/>
      <c r="B832" s="251"/>
      <c r="C832" s="252"/>
      <c r="D832" s="252"/>
      <c r="E832" s="114"/>
      <c r="F832" s="252"/>
      <c r="G832" s="125" t="s">
        <v>145</v>
      </c>
      <c r="I832" s="172"/>
      <c r="J832" s="82" t="str">
        <f t="shared" ca="1" si="0"/>
        <v>#REF!</v>
      </c>
      <c r="K832" s="82" t="str">
        <f t="shared" ca="1" si="1"/>
        <v>#REF!</v>
      </c>
      <c r="L832" s="82" t="str">
        <f t="shared" ca="1" si="44"/>
        <v>#REF!</v>
      </c>
      <c r="M832" s="93"/>
      <c r="N832" s="93"/>
      <c r="O832" s="95">
        <f t="shared" si="2"/>
        <v>0</v>
      </c>
      <c r="P832" s="96">
        <f t="shared" si="3"/>
        <v>0</v>
      </c>
      <c r="Q832" s="97">
        <f t="shared" si="4"/>
        <v>0</v>
      </c>
      <c r="R832" s="97" t="str">
        <f ca="1">ROUNDUP(HLOOKUP(IF(CEILING(L832,0.5)&lt;1,0.5,CEILING(L832,0.5)),'배송비 조회'!A$44:AO$56,7,0)*B$3,-2)</f>
        <v>#REF!</v>
      </c>
      <c r="S832" s="97">
        <v>0</v>
      </c>
      <c r="T832" s="97" t="str">
        <f t="shared" ca="1" si="42"/>
        <v>#REF!</v>
      </c>
      <c r="U832" s="97" t="str">
        <f t="shared" ca="1" si="29"/>
        <v>#REF!</v>
      </c>
      <c r="V832" s="97" t="str">
        <f t="shared" ca="1" si="7"/>
        <v>#REF!</v>
      </c>
      <c r="W832" s="97" t="str">
        <f t="shared" ca="1" si="8"/>
        <v>#REF!</v>
      </c>
      <c r="X832" s="121">
        <v>0</v>
      </c>
      <c r="Y832" s="121" t="str">
        <f t="shared" ca="1" si="9"/>
        <v>#REF!</v>
      </c>
      <c r="Z832" s="121" t="str">
        <f t="shared" ca="1" si="10"/>
        <v>#REF!</v>
      </c>
      <c r="AA832" s="99" t="str">
        <f t="shared" ca="1" si="11"/>
        <v>#REF!</v>
      </c>
      <c r="AB832" s="234" t="str">
        <f t="shared" ca="1" si="12"/>
        <v>#REF!</v>
      </c>
      <c r="AC832" s="257" t="str">
        <f t="shared" ca="1" si="13"/>
        <v>#REF!</v>
      </c>
      <c r="AD832" s="234" t="str">
        <f t="shared" ca="1" si="14"/>
        <v>#REF!</v>
      </c>
      <c r="AE832" s="100" t="str">
        <f t="shared" ca="1" si="15"/>
        <v>#REF!</v>
      </c>
      <c r="AF832" s="101" t="str">
        <f t="shared" ca="1" si="16"/>
        <v>#REF!</v>
      </c>
      <c r="AG832" s="102" t="str">
        <f t="shared" ref="AG832:AH832" ca="1" si="850">AE832/V832</f>
        <v>#REF!</v>
      </c>
      <c r="AH832" s="102" t="str">
        <f t="shared" ca="1" si="850"/>
        <v>#REF!</v>
      </c>
    </row>
    <row r="833" spans="1:34" ht="13.2">
      <c r="A833" s="251"/>
      <c r="B833" s="251"/>
      <c r="C833" s="252"/>
      <c r="D833" s="252"/>
      <c r="E833" s="114"/>
      <c r="F833" s="252"/>
      <c r="G833" s="125" t="s">
        <v>145</v>
      </c>
      <c r="I833" s="172"/>
      <c r="J833" s="82" t="str">
        <f t="shared" ca="1" si="0"/>
        <v>#REF!</v>
      </c>
      <c r="K833" s="82" t="str">
        <f t="shared" ca="1" si="1"/>
        <v>#REF!</v>
      </c>
      <c r="L833" s="82" t="str">
        <f t="shared" ca="1" si="44"/>
        <v>#REF!</v>
      </c>
      <c r="M833" s="93"/>
      <c r="N833" s="93"/>
      <c r="O833" s="95">
        <f t="shared" si="2"/>
        <v>0</v>
      </c>
      <c r="P833" s="96">
        <f t="shared" si="3"/>
        <v>0</v>
      </c>
      <c r="Q833" s="97">
        <f t="shared" si="4"/>
        <v>0</v>
      </c>
      <c r="R833" s="97" t="str">
        <f ca="1">ROUNDUP(HLOOKUP(IF(CEILING(L833,0.5)&lt;1,0.5,CEILING(L833,0.5)),'배송비 조회'!A$44:AO$56,7,0)*B$3,-2)</f>
        <v>#REF!</v>
      </c>
      <c r="S833" s="97">
        <v>0</v>
      </c>
      <c r="T833" s="97" t="str">
        <f t="shared" ca="1" si="42"/>
        <v>#REF!</v>
      </c>
      <c r="U833" s="97" t="str">
        <f t="shared" ca="1" si="29"/>
        <v>#REF!</v>
      </c>
      <c r="V833" s="97" t="str">
        <f t="shared" ca="1" si="7"/>
        <v>#REF!</v>
      </c>
      <c r="W833" s="97" t="str">
        <f t="shared" ca="1" si="8"/>
        <v>#REF!</v>
      </c>
      <c r="X833" s="121">
        <v>0</v>
      </c>
      <c r="Y833" s="121" t="str">
        <f t="shared" ca="1" si="9"/>
        <v>#REF!</v>
      </c>
      <c r="Z833" s="121" t="str">
        <f t="shared" ca="1" si="10"/>
        <v>#REF!</v>
      </c>
      <c r="AA833" s="99" t="str">
        <f t="shared" ca="1" si="11"/>
        <v>#REF!</v>
      </c>
      <c r="AB833" s="234" t="str">
        <f t="shared" ca="1" si="12"/>
        <v>#REF!</v>
      </c>
      <c r="AC833" s="257" t="str">
        <f t="shared" ca="1" si="13"/>
        <v>#REF!</v>
      </c>
      <c r="AD833" s="234" t="str">
        <f t="shared" ca="1" si="14"/>
        <v>#REF!</v>
      </c>
      <c r="AE833" s="100" t="str">
        <f t="shared" ca="1" si="15"/>
        <v>#REF!</v>
      </c>
      <c r="AF833" s="101" t="str">
        <f t="shared" ca="1" si="16"/>
        <v>#REF!</v>
      </c>
      <c r="AG833" s="102" t="str">
        <f t="shared" ref="AG833:AH833" ca="1" si="851">AE833/V833</f>
        <v>#REF!</v>
      </c>
      <c r="AH833" s="102" t="str">
        <f t="shared" ca="1" si="851"/>
        <v>#REF!</v>
      </c>
    </row>
    <row r="834" spans="1:34" ht="13.2">
      <c r="A834" s="251"/>
      <c r="B834" s="251"/>
      <c r="C834" s="252"/>
      <c r="D834" s="252"/>
      <c r="E834" s="114"/>
      <c r="F834" s="252"/>
      <c r="G834" s="125" t="s">
        <v>145</v>
      </c>
      <c r="I834" s="172"/>
      <c r="J834" s="82" t="str">
        <f t="shared" ca="1" si="0"/>
        <v>#REF!</v>
      </c>
      <c r="K834" s="82" t="str">
        <f t="shared" ca="1" si="1"/>
        <v>#REF!</v>
      </c>
      <c r="L834" s="82" t="str">
        <f t="shared" ca="1" si="44"/>
        <v>#REF!</v>
      </c>
      <c r="M834" s="93"/>
      <c r="N834" s="93"/>
      <c r="O834" s="95">
        <f t="shared" si="2"/>
        <v>0</v>
      </c>
      <c r="P834" s="96">
        <f t="shared" si="3"/>
        <v>0</v>
      </c>
      <c r="Q834" s="97">
        <f t="shared" si="4"/>
        <v>0</v>
      </c>
      <c r="R834" s="97" t="str">
        <f ca="1">ROUNDUP(HLOOKUP(IF(CEILING(L834,0.5)&lt;1,0.5,CEILING(L834,0.5)),'배송비 조회'!A$44:AO$56,7,0)*B$3,-2)</f>
        <v>#REF!</v>
      </c>
      <c r="S834" s="97">
        <v>0</v>
      </c>
      <c r="T834" s="97" t="str">
        <f t="shared" ca="1" si="42"/>
        <v>#REF!</v>
      </c>
      <c r="U834" s="97" t="str">
        <f t="shared" ca="1" si="29"/>
        <v>#REF!</v>
      </c>
      <c r="V834" s="97" t="str">
        <f t="shared" ca="1" si="7"/>
        <v>#REF!</v>
      </c>
      <c r="W834" s="97" t="str">
        <f t="shared" ca="1" si="8"/>
        <v>#REF!</v>
      </c>
      <c r="X834" s="121">
        <v>0</v>
      </c>
      <c r="Y834" s="121" t="str">
        <f t="shared" ca="1" si="9"/>
        <v>#REF!</v>
      </c>
      <c r="Z834" s="121" t="str">
        <f t="shared" ca="1" si="10"/>
        <v>#REF!</v>
      </c>
      <c r="AA834" s="99" t="str">
        <f t="shared" ca="1" si="11"/>
        <v>#REF!</v>
      </c>
      <c r="AB834" s="234" t="str">
        <f t="shared" ca="1" si="12"/>
        <v>#REF!</v>
      </c>
      <c r="AC834" s="257" t="str">
        <f t="shared" ca="1" si="13"/>
        <v>#REF!</v>
      </c>
      <c r="AD834" s="234" t="str">
        <f t="shared" ca="1" si="14"/>
        <v>#REF!</v>
      </c>
      <c r="AE834" s="100" t="str">
        <f t="shared" ca="1" si="15"/>
        <v>#REF!</v>
      </c>
      <c r="AF834" s="101" t="str">
        <f t="shared" ca="1" si="16"/>
        <v>#REF!</v>
      </c>
      <c r="AG834" s="102" t="str">
        <f t="shared" ref="AG834:AH834" ca="1" si="852">AE834/V834</f>
        <v>#REF!</v>
      </c>
      <c r="AH834" s="102" t="str">
        <f t="shared" ca="1" si="852"/>
        <v>#REF!</v>
      </c>
    </row>
    <row r="835" spans="1:34" ht="13.2">
      <c r="A835" s="251"/>
      <c r="B835" s="251"/>
      <c r="C835" s="252"/>
      <c r="D835" s="252"/>
      <c r="E835" s="114"/>
      <c r="F835" s="252"/>
      <c r="G835" s="125" t="s">
        <v>145</v>
      </c>
      <c r="I835" s="172"/>
      <c r="J835" s="82" t="str">
        <f t="shared" ca="1" si="0"/>
        <v>#REF!</v>
      </c>
      <c r="K835" s="82" t="str">
        <f t="shared" ca="1" si="1"/>
        <v>#REF!</v>
      </c>
      <c r="L835" s="82" t="str">
        <f t="shared" ca="1" si="44"/>
        <v>#REF!</v>
      </c>
      <c r="M835" s="93"/>
      <c r="N835" s="93"/>
      <c r="O835" s="95">
        <f t="shared" si="2"/>
        <v>0</v>
      </c>
      <c r="P835" s="96">
        <f t="shared" si="3"/>
        <v>0</v>
      </c>
      <c r="Q835" s="97">
        <f t="shared" si="4"/>
        <v>0</v>
      </c>
      <c r="R835" s="97" t="str">
        <f ca="1">ROUNDUP(HLOOKUP(IF(CEILING(L835,0.5)&lt;1,0.5,CEILING(L835,0.5)),'배송비 조회'!A$44:AO$56,7,0)*B$3,-2)</f>
        <v>#REF!</v>
      </c>
      <c r="S835" s="97">
        <v>0</v>
      </c>
      <c r="T835" s="97" t="str">
        <f t="shared" ca="1" si="42"/>
        <v>#REF!</v>
      </c>
      <c r="U835" s="97" t="str">
        <f t="shared" ca="1" si="29"/>
        <v>#REF!</v>
      </c>
      <c r="V835" s="97" t="str">
        <f t="shared" ca="1" si="7"/>
        <v>#REF!</v>
      </c>
      <c r="W835" s="97" t="str">
        <f t="shared" ca="1" si="8"/>
        <v>#REF!</v>
      </c>
      <c r="X835" s="121">
        <v>0</v>
      </c>
      <c r="Y835" s="121" t="str">
        <f t="shared" ca="1" si="9"/>
        <v>#REF!</v>
      </c>
      <c r="Z835" s="121" t="str">
        <f t="shared" ca="1" si="10"/>
        <v>#REF!</v>
      </c>
      <c r="AA835" s="99" t="str">
        <f t="shared" ca="1" si="11"/>
        <v>#REF!</v>
      </c>
      <c r="AB835" s="234" t="str">
        <f t="shared" ca="1" si="12"/>
        <v>#REF!</v>
      </c>
      <c r="AC835" s="257" t="str">
        <f t="shared" ca="1" si="13"/>
        <v>#REF!</v>
      </c>
      <c r="AD835" s="234" t="str">
        <f t="shared" ca="1" si="14"/>
        <v>#REF!</v>
      </c>
      <c r="AE835" s="100" t="str">
        <f t="shared" ca="1" si="15"/>
        <v>#REF!</v>
      </c>
      <c r="AF835" s="101" t="str">
        <f t="shared" ca="1" si="16"/>
        <v>#REF!</v>
      </c>
      <c r="AG835" s="102" t="str">
        <f t="shared" ref="AG835:AH835" ca="1" si="853">AE835/V835</f>
        <v>#REF!</v>
      </c>
      <c r="AH835" s="102" t="str">
        <f t="shared" ca="1" si="853"/>
        <v>#REF!</v>
      </c>
    </row>
    <row r="836" spans="1:34" ht="13.2">
      <c r="A836" s="251"/>
      <c r="B836" s="251"/>
      <c r="C836" s="252"/>
      <c r="D836" s="252"/>
      <c r="E836" s="114"/>
      <c r="F836" s="252"/>
      <c r="G836" s="125" t="s">
        <v>145</v>
      </c>
      <c r="I836" s="172"/>
      <c r="J836" s="82" t="str">
        <f t="shared" ca="1" si="0"/>
        <v>#REF!</v>
      </c>
      <c r="K836" s="82" t="str">
        <f t="shared" ca="1" si="1"/>
        <v>#REF!</v>
      </c>
      <c r="L836" s="82" t="str">
        <f t="shared" ca="1" si="44"/>
        <v>#REF!</v>
      </c>
      <c r="M836" s="93"/>
      <c r="N836" s="93"/>
      <c r="O836" s="95">
        <f t="shared" si="2"/>
        <v>0</v>
      </c>
      <c r="P836" s="96">
        <f t="shared" si="3"/>
        <v>0</v>
      </c>
      <c r="Q836" s="97">
        <f t="shared" si="4"/>
        <v>0</v>
      </c>
      <c r="R836" s="97" t="str">
        <f ca="1">ROUNDUP(HLOOKUP(IF(CEILING(L836,0.5)&lt;1,0.5,CEILING(L836,0.5)),'배송비 조회'!A$44:AO$56,7,0)*B$3,-2)</f>
        <v>#REF!</v>
      </c>
      <c r="S836" s="97">
        <v>0</v>
      </c>
      <c r="T836" s="97" t="str">
        <f t="shared" ca="1" si="42"/>
        <v>#REF!</v>
      </c>
      <c r="U836" s="97" t="str">
        <f t="shared" ca="1" si="29"/>
        <v>#REF!</v>
      </c>
      <c r="V836" s="97" t="str">
        <f t="shared" ca="1" si="7"/>
        <v>#REF!</v>
      </c>
      <c r="W836" s="97" t="str">
        <f t="shared" ca="1" si="8"/>
        <v>#REF!</v>
      </c>
      <c r="X836" s="121">
        <v>0</v>
      </c>
      <c r="Y836" s="121" t="str">
        <f t="shared" ca="1" si="9"/>
        <v>#REF!</v>
      </c>
      <c r="Z836" s="121" t="str">
        <f t="shared" ca="1" si="10"/>
        <v>#REF!</v>
      </c>
      <c r="AA836" s="99" t="str">
        <f t="shared" ca="1" si="11"/>
        <v>#REF!</v>
      </c>
      <c r="AB836" s="234" t="str">
        <f t="shared" ca="1" si="12"/>
        <v>#REF!</v>
      </c>
      <c r="AC836" s="257" t="str">
        <f t="shared" ca="1" si="13"/>
        <v>#REF!</v>
      </c>
      <c r="AD836" s="234" t="str">
        <f t="shared" ca="1" si="14"/>
        <v>#REF!</v>
      </c>
      <c r="AE836" s="100" t="str">
        <f t="shared" ca="1" si="15"/>
        <v>#REF!</v>
      </c>
      <c r="AF836" s="101" t="str">
        <f t="shared" ca="1" si="16"/>
        <v>#REF!</v>
      </c>
      <c r="AG836" s="102" t="str">
        <f t="shared" ref="AG836:AH836" ca="1" si="854">AE836/V836</f>
        <v>#REF!</v>
      </c>
      <c r="AH836" s="102" t="str">
        <f t="shared" ca="1" si="854"/>
        <v>#REF!</v>
      </c>
    </row>
    <row r="837" spans="1:34" ht="13.2">
      <c r="A837" s="251"/>
      <c r="B837" s="251"/>
      <c r="C837" s="252"/>
      <c r="D837" s="252"/>
      <c r="E837" s="114"/>
      <c r="F837" s="252"/>
      <c r="G837" s="125" t="s">
        <v>145</v>
      </c>
      <c r="I837" s="172"/>
      <c r="J837" s="82" t="str">
        <f t="shared" ca="1" si="0"/>
        <v>#REF!</v>
      </c>
      <c r="K837" s="82" t="str">
        <f t="shared" ca="1" si="1"/>
        <v>#REF!</v>
      </c>
      <c r="L837" s="82" t="str">
        <f t="shared" ca="1" si="44"/>
        <v>#REF!</v>
      </c>
      <c r="M837" s="93"/>
      <c r="N837" s="93"/>
      <c r="O837" s="95">
        <f t="shared" si="2"/>
        <v>0</v>
      </c>
      <c r="P837" s="96">
        <f t="shared" si="3"/>
        <v>0</v>
      </c>
      <c r="Q837" s="97">
        <f t="shared" si="4"/>
        <v>0</v>
      </c>
      <c r="R837" s="97" t="str">
        <f ca="1">ROUNDUP(HLOOKUP(IF(CEILING(L837,0.5)&lt;1,0.5,CEILING(L837,0.5)),'배송비 조회'!A$44:AO$56,7,0)*B$3,-2)</f>
        <v>#REF!</v>
      </c>
      <c r="S837" s="97">
        <v>0</v>
      </c>
      <c r="T837" s="97" t="str">
        <f t="shared" ca="1" si="42"/>
        <v>#REF!</v>
      </c>
      <c r="U837" s="97" t="str">
        <f t="shared" ca="1" si="29"/>
        <v>#REF!</v>
      </c>
      <c r="V837" s="97" t="str">
        <f t="shared" ca="1" si="7"/>
        <v>#REF!</v>
      </c>
      <c r="W837" s="97" t="str">
        <f t="shared" ca="1" si="8"/>
        <v>#REF!</v>
      </c>
      <c r="X837" s="121">
        <v>0</v>
      </c>
      <c r="Y837" s="121" t="str">
        <f t="shared" ca="1" si="9"/>
        <v>#REF!</v>
      </c>
      <c r="Z837" s="121" t="str">
        <f t="shared" ca="1" si="10"/>
        <v>#REF!</v>
      </c>
      <c r="AA837" s="99" t="str">
        <f t="shared" ca="1" si="11"/>
        <v>#REF!</v>
      </c>
      <c r="AB837" s="234" t="str">
        <f t="shared" ca="1" si="12"/>
        <v>#REF!</v>
      </c>
      <c r="AC837" s="257" t="str">
        <f t="shared" ca="1" si="13"/>
        <v>#REF!</v>
      </c>
      <c r="AD837" s="234" t="str">
        <f t="shared" ca="1" si="14"/>
        <v>#REF!</v>
      </c>
      <c r="AE837" s="100" t="str">
        <f t="shared" ca="1" si="15"/>
        <v>#REF!</v>
      </c>
      <c r="AF837" s="101" t="str">
        <f t="shared" ca="1" si="16"/>
        <v>#REF!</v>
      </c>
      <c r="AG837" s="102" t="str">
        <f t="shared" ref="AG837:AH837" ca="1" si="855">AE837/V837</f>
        <v>#REF!</v>
      </c>
      <c r="AH837" s="102" t="str">
        <f t="shared" ca="1" si="855"/>
        <v>#REF!</v>
      </c>
    </row>
    <row r="838" spans="1:34" ht="13.2">
      <c r="A838" s="251"/>
      <c r="B838" s="251"/>
      <c r="C838" s="252"/>
      <c r="D838" s="252"/>
      <c r="E838" s="114"/>
      <c r="F838" s="252"/>
      <c r="G838" s="125" t="s">
        <v>145</v>
      </c>
      <c r="I838" s="172"/>
      <c r="J838" s="82" t="str">
        <f t="shared" ca="1" si="0"/>
        <v>#REF!</v>
      </c>
      <c r="K838" s="82" t="str">
        <f t="shared" ca="1" si="1"/>
        <v>#REF!</v>
      </c>
      <c r="L838" s="82" t="str">
        <f t="shared" ca="1" si="44"/>
        <v>#REF!</v>
      </c>
      <c r="M838" s="93"/>
      <c r="N838" s="93"/>
      <c r="O838" s="95">
        <f t="shared" si="2"/>
        <v>0</v>
      </c>
      <c r="P838" s="96">
        <f t="shared" si="3"/>
        <v>0</v>
      </c>
      <c r="Q838" s="97">
        <f t="shared" si="4"/>
        <v>0</v>
      </c>
      <c r="R838" s="97" t="str">
        <f ca="1">ROUNDUP(HLOOKUP(IF(CEILING(L838,0.5)&lt;1,0.5,CEILING(L838,0.5)),'배송비 조회'!A$44:AO$56,7,0)*B$3,-2)</f>
        <v>#REF!</v>
      </c>
      <c r="S838" s="97">
        <v>0</v>
      </c>
      <c r="T838" s="97" t="str">
        <f t="shared" ca="1" si="42"/>
        <v>#REF!</v>
      </c>
      <c r="U838" s="97" t="str">
        <f t="shared" ca="1" si="29"/>
        <v>#REF!</v>
      </c>
      <c r="V838" s="97" t="str">
        <f t="shared" ca="1" si="7"/>
        <v>#REF!</v>
      </c>
      <c r="W838" s="97" t="str">
        <f t="shared" ca="1" si="8"/>
        <v>#REF!</v>
      </c>
      <c r="X838" s="121">
        <v>0</v>
      </c>
      <c r="Y838" s="121" t="str">
        <f t="shared" ca="1" si="9"/>
        <v>#REF!</v>
      </c>
      <c r="Z838" s="121" t="str">
        <f t="shared" ca="1" si="10"/>
        <v>#REF!</v>
      </c>
      <c r="AA838" s="99" t="str">
        <f t="shared" ca="1" si="11"/>
        <v>#REF!</v>
      </c>
      <c r="AB838" s="234" t="str">
        <f t="shared" ca="1" si="12"/>
        <v>#REF!</v>
      </c>
      <c r="AC838" s="257" t="str">
        <f t="shared" ca="1" si="13"/>
        <v>#REF!</v>
      </c>
      <c r="AD838" s="234" t="str">
        <f t="shared" ca="1" si="14"/>
        <v>#REF!</v>
      </c>
      <c r="AE838" s="100" t="str">
        <f t="shared" ca="1" si="15"/>
        <v>#REF!</v>
      </c>
      <c r="AF838" s="101" t="str">
        <f t="shared" ca="1" si="16"/>
        <v>#REF!</v>
      </c>
      <c r="AG838" s="102" t="str">
        <f t="shared" ref="AG838:AH838" ca="1" si="856">AE838/V838</f>
        <v>#REF!</v>
      </c>
      <c r="AH838" s="102" t="str">
        <f t="shared" ca="1" si="856"/>
        <v>#REF!</v>
      </c>
    </row>
    <row r="839" spans="1:34" ht="13.2">
      <c r="A839" s="251"/>
      <c r="B839" s="251"/>
      <c r="C839" s="252"/>
      <c r="D839" s="252"/>
      <c r="E839" s="114"/>
      <c r="F839" s="252"/>
      <c r="G839" s="125" t="s">
        <v>145</v>
      </c>
      <c r="I839" s="172"/>
      <c r="J839" s="82" t="str">
        <f t="shared" ca="1" si="0"/>
        <v>#REF!</v>
      </c>
      <c r="K839" s="82" t="str">
        <f t="shared" ca="1" si="1"/>
        <v>#REF!</v>
      </c>
      <c r="L839" s="82" t="str">
        <f t="shared" ca="1" si="44"/>
        <v>#REF!</v>
      </c>
      <c r="M839" s="93"/>
      <c r="N839" s="93"/>
      <c r="O839" s="95">
        <f t="shared" si="2"/>
        <v>0</v>
      </c>
      <c r="P839" s="96">
        <f t="shared" si="3"/>
        <v>0</v>
      </c>
      <c r="Q839" s="97">
        <f t="shared" si="4"/>
        <v>0</v>
      </c>
      <c r="R839" s="97" t="str">
        <f ca="1">ROUNDUP(HLOOKUP(IF(CEILING(L839,0.5)&lt;1,0.5,CEILING(L839,0.5)),'배송비 조회'!A$44:AO$56,7,0)*B$3,-2)</f>
        <v>#REF!</v>
      </c>
      <c r="S839" s="97">
        <v>0</v>
      </c>
      <c r="T839" s="97" t="str">
        <f t="shared" ca="1" si="42"/>
        <v>#REF!</v>
      </c>
      <c r="U839" s="97" t="str">
        <f t="shared" ca="1" si="29"/>
        <v>#REF!</v>
      </c>
      <c r="V839" s="97" t="str">
        <f t="shared" ca="1" si="7"/>
        <v>#REF!</v>
      </c>
      <c r="W839" s="97" t="str">
        <f t="shared" ca="1" si="8"/>
        <v>#REF!</v>
      </c>
      <c r="X839" s="121">
        <v>0</v>
      </c>
      <c r="Y839" s="121" t="str">
        <f t="shared" ca="1" si="9"/>
        <v>#REF!</v>
      </c>
      <c r="Z839" s="121" t="str">
        <f t="shared" ca="1" si="10"/>
        <v>#REF!</v>
      </c>
      <c r="AA839" s="99" t="str">
        <f t="shared" ca="1" si="11"/>
        <v>#REF!</v>
      </c>
      <c r="AB839" s="234" t="str">
        <f t="shared" ca="1" si="12"/>
        <v>#REF!</v>
      </c>
      <c r="AC839" s="257" t="str">
        <f t="shared" ca="1" si="13"/>
        <v>#REF!</v>
      </c>
      <c r="AD839" s="234" t="str">
        <f t="shared" ca="1" si="14"/>
        <v>#REF!</v>
      </c>
      <c r="AE839" s="100" t="str">
        <f t="shared" ca="1" si="15"/>
        <v>#REF!</v>
      </c>
      <c r="AF839" s="101" t="str">
        <f t="shared" ca="1" si="16"/>
        <v>#REF!</v>
      </c>
      <c r="AG839" s="102" t="str">
        <f t="shared" ref="AG839:AH839" ca="1" si="857">AE839/V839</f>
        <v>#REF!</v>
      </c>
      <c r="AH839" s="102" t="str">
        <f t="shared" ca="1" si="857"/>
        <v>#REF!</v>
      </c>
    </row>
    <row r="840" spans="1:34" ht="13.2">
      <c r="A840" s="251"/>
      <c r="B840" s="251"/>
      <c r="C840" s="252"/>
      <c r="D840" s="252"/>
      <c r="E840" s="114"/>
      <c r="F840" s="252"/>
      <c r="G840" s="125" t="s">
        <v>145</v>
      </c>
      <c r="I840" s="172"/>
      <c r="J840" s="82" t="str">
        <f t="shared" ca="1" si="0"/>
        <v>#REF!</v>
      </c>
      <c r="K840" s="82" t="str">
        <f t="shared" ca="1" si="1"/>
        <v>#REF!</v>
      </c>
      <c r="L840" s="82" t="str">
        <f t="shared" ca="1" si="44"/>
        <v>#REF!</v>
      </c>
      <c r="M840" s="93"/>
      <c r="N840" s="93"/>
      <c r="O840" s="95">
        <f t="shared" si="2"/>
        <v>0</v>
      </c>
      <c r="P840" s="96">
        <f t="shared" si="3"/>
        <v>0</v>
      </c>
      <c r="Q840" s="97">
        <f t="shared" si="4"/>
        <v>0</v>
      </c>
      <c r="R840" s="97" t="str">
        <f ca="1">ROUNDUP(HLOOKUP(IF(CEILING(L840,0.5)&lt;1,0.5,CEILING(L840,0.5)),'배송비 조회'!A$44:AO$56,7,0)*B$3,-2)</f>
        <v>#REF!</v>
      </c>
      <c r="S840" s="97">
        <v>0</v>
      </c>
      <c r="T840" s="97" t="str">
        <f t="shared" ca="1" si="42"/>
        <v>#REF!</v>
      </c>
      <c r="U840" s="97" t="str">
        <f t="shared" ca="1" si="29"/>
        <v>#REF!</v>
      </c>
      <c r="V840" s="97" t="str">
        <f t="shared" ca="1" si="7"/>
        <v>#REF!</v>
      </c>
      <c r="W840" s="97" t="str">
        <f t="shared" ca="1" si="8"/>
        <v>#REF!</v>
      </c>
      <c r="X840" s="121">
        <v>0</v>
      </c>
      <c r="Y840" s="121" t="str">
        <f t="shared" ca="1" si="9"/>
        <v>#REF!</v>
      </c>
      <c r="Z840" s="121" t="str">
        <f t="shared" ca="1" si="10"/>
        <v>#REF!</v>
      </c>
      <c r="AA840" s="99" t="str">
        <f t="shared" ca="1" si="11"/>
        <v>#REF!</v>
      </c>
      <c r="AB840" s="234" t="str">
        <f t="shared" ca="1" si="12"/>
        <v>#REF!</v>
      </c>
      <c r="AC840" s="257" t="str">
        <f t="shared" ca="1" si="13"/>
        <v>#REF!</v>
      </c>
      <c r="AD840" s="234" t="str">
        <f t="shared" ca="1" si="14"/>
        <v>#REF!</v>
      </c>
      <c r="AE840" s="100" t="str">
        <f t="shared" ca="1" si="15"/>
        <v>#REF!</v>
      </c>
      <c r="AF840" s="101" t="str">
        <f t="shared" ca="1" si="16"/>
        <v>#REF!</v>
      </c>
      <c r="AG840" s="102" t="str">
        <f t="shared" ref="AG840:AH840" ca="1" si="858">AE840/V840</f>
        <v>#REF!</v>
      </c>
      <c r="AH840" s="102" t="str">
        <f t="shared" ca="1" si="858"/>
        <v>#REF!</v>
      </c>
    </row>
    <row r="841" spans="1:34" ht="13.2">
      <c r="A841" s="251"/>
      <c r="B841" s="251"/>
      <c r="C841" s="252"/>
      <c r="D841" s="252"/>
      <c r="E841" s="114"/>
      <c r="F841" s="252"/>
      <c r="G841" s="125" t="s">
        <v>145</v>
      </c>
      <c r="I841" s="172"/>
      <c r="J841" s="82" t="str">
        <f t="shared" ca="1" si="0"/>
        <v>#REF!</v>
      </c>
      <c r="K841" s="82" t="str">
        <f t="shared" ca="1" si="1"/>
        <v>#REF!</v>
      </c>
      <c r="L841" s="82" t="str">
        <f t="shared" ca="1" si="44"/>
        <v>#REF!</v>
      </c>
      <c r="M841" s="93"/>
      <c r="N841" s="93"/>
      <c r="O841" s="95">
        <f t="shared" si="2"/>
        <v>0</v>
      </c>
      <c r="P841" s="96">
        <f t="shared" si="3"/>
        <v>0</v>
      </c>
      <c r="Q841" s="97">
        <f t="shared" si="4"/>
        <v>0</v>
      </c>
      <c r="R841" s="97" t="str">
        <f ca="1">ROUNDUP(HLOOKUP(IF(CEILING(L841,0.5)&lt;1,0.5,CEILING(L841,0.5)),'배송비 조회'!A$44:AO$56,7,0)*B$3,-2)</f>
        <v>#REF!</v>
      </c>
      <c r="S841" s="97">
        <v>0</v>
      </c>
      <c r="T841" s="97" t="str">
        <f t="shared" ca="1" si="42"/>
        <v>#REF!</v>
      </c>
      <c r="U841" s="97" t="str">
        <f t="shared" ca="1" si="29"/>
        <v>#REF!</v>
      </c>
      <c r="V841" s="97" t="str">
        <f t="shared" ca="1" si="7"/>
        <v>#REF!</v>
      </c>
      <c r="W841" s="97" t="str">
        <f t="shared" ca="1" si="8"/>
        <v>#REF!</v>
      </c>
      <c r="X841" s="121">
        <v>0</v>
      </c>
      <c r="Y841" s="121" t="str">
        <f t="shared" ca="1" si="9"/>
        <v>#REF!</v>
      </c>
      <c r="Z841" s="121" t="str">
        <f t="shared" ca="1" si="10"/>
        <v>#REF!</v>
      </c>
      <c r="AA841" s="99" t="str">
        <f t="shared" ca="1" si="11"/>
        <v>#REF!</v>
      </c>
      <c r="AB841" s="234" t="str">
        <f t="shared" ca="1" si="12"/>
        <v>#REF!</v>
      </c>
      <c r="AC841" s="257" t="str">
        <f t="shared" ca="1" si="13"/>
        <v>#REF!</v>
      </c>
      <c r="AD841" s="234" t="str">
        <f t="shared" ca="1" si="14"/>
        <v>#REF!</v>
      </c>
      <c r="AE841" s="100" t="str">
        <f t="shared" ca="1" si="15"/>
        <v>#REF!</v>
      </c>
      <c r="AF841" s="101" t="str">
        <f t="shared" ca="1" si="16"/>
        <v>#REF!</v>
      </c>
      <c r="AG841" s="102" t="str">
        <f t="shared" ref="AG841:AH841" ca="1" si="859">AE841/V841</f>
        <v>#REF!</v>
      </c>
      <c r="AH841" s="102" t="str">
        <f t="shared" ca="1" si="859"/>
        <v>#REF!</v>
      </c>
    </row>
    <row r="842" spans="1:34" ht="13.2">
      <c r="A842" s="251"/>
      <c r="B842" s="251"/>
      <c r="C842" s="252"/>
      <c r="D842" s="252"/>
      <c r="E842" s="114"/>
      <c r="F842" s="252"/>
      <c r="G842" s="125" t="s">
        <v>145</v>
      </c>
      <c r="I842" s="172"/>
      <c r="J842" s="82" t="str">
        <f t="shared" ca="1" si="0"/>
        <v>#REF!</v>
      </c>
      <c r="K842" s="82" t="str">
        <f t="shared" ca="1" si="1"/>
        <v>#REF!</v>
      </c>
      <c r="L842" s="82" t="str">
        <f t="shared" ca="1" si="44"/>
        <v>#REF!</v>
      </c>
      <c r="M842" s="93"/>
      <c r="N842" s="93"/>
      <c r="O842" s="95">
        <f t="shared" si="2"/>
        <v>0</v>
      </c>
      <c r="P842" s="96">
        <f t="shared" si="3"/>
        <v>0</v>
      </c>
      <c r="Q842" s="97">
        <f t="shared" si="4"/>
        <v>0</v>
      </c>
      <c r="R842" s="97" t="str">
        <f ca="1">ROUNDUP(HLOOKUP(IF(CEILING(L842,0.5)&lt;1,0.5,CEILING(L842,0.5)),'배송비 조회'!A$44:AO$56,7,0)*B$3,-2)</f>
        <v>#REF!</v>
      </c>
      <c r="S842" s="97">
        <v>0</v>
      </c>
      <c r="T842" s="97" t="str">
        <f t="shared" ca="1" si="42"/>
        <v>#REF!</v>
      </c>
      <c r="U842" s="97" t="str">
        <f t="shared" ca="1" si="29"/>
        <v>#REF!</v>
      </c>
      <c r="V842" s="97" t="str">
        <f t="shared" ca="1" si="7"/>
        <v>#REF!</v>
      </c>
      <c r="W842" s="97" t="str">
        <f t="shared" ca="1" si="8"/>
        <v>#REF!</v>
      </c>
      <c r="X842" s="121">
        <v>0</v>
      </c>
      <c r="Y842" s="121" t="str">
        <f t="shared" ca="1" si="9"/>
        <v>#REF!</v>
      </c>
      <c r="Z842" s="121" t="str">
        <f t="shared" ca="1" si="10"/>
        <v>#REF!</v>
      </c>
      <c r="AA842" s="99" t="str">
        <f t="shared" ca="1" si="11"/>
        <v>#REF!</v>
      </c>
      <c r="AB842" s="234" t="str">
        <f t="shared" ca="1" si="12"/>
        <v>#REF!</v>
      </c>
      <c r="AC842" s="257" t="str">
        <f t="shared" ca="1" si="13"/>
        <v>#REF!</v>
      </c>
      <c r="AD842" s="234" t="str">
        <f t="shared" ca="1" si="14"/>
        <v>#REF!</v>
      </c>
      <c r="AE842" s="100" t="str">
        <f t="shared" ca="1" si="15"/>
        <v>#REF!</v>
      </c>
      <c r="AF842" s="101" t="str">
        <f t="shared" ca="1" si="16"/>
        <v>#REF!</v>
      </c>
      <c r="AG842" s="102" t="str">
        <f t="shared" ref="AG842:AH842" ca="1" si="860">AE842/V842</f>
        <v>#REF!</v>
      </c>
      <c r="AH842" s="102" t="str">
        <f t="shared" ca="1" si="860"/>
        <v>#REF!</v>
      </c>
    </row>
    <row r="843" spans="1:34" ht="13.2">
      <c r="A843" s="251"/>
      <c r="B843" s="251"/>
      <c r="C843" s="252"/>
      <c r="D843" s="252"/>
      <c r="E843" s="114"/>
      <c r="F843" s="252"/>
      <c r="G843" s="125" t="s">
        <v>145</v>
      </c>
      <c r="I843" s="172"/>
      <c r="J843" s="82" t="str">
        <f t="shared" ca="1" si="0"/>
        <v>#REF!</v>
      </c>
      <c r="K843" s="82" t="str">
        <f t="shared" ca="1" si="1"/>
        <v>#REF!</v>
      </c>
      <c r="L843" s="82" t="str">
        <f t="shared" ca="1" si="44"/>
        <v>#REF!</v>
      </c>
      <c r="M843" s="93"/>
      <c r="N843" s="93"/>
      <c r="O843" s="95">
        <f t="shared" si="2"/>
        <v>0</v>
      </c>
      <c r="P843" s="96">
        <f t="shared" si="3"/>
        <v>0</v>
      </c>
      <c r="Q843" s="97">
        <f t="shared" si="4"/>
        <v>0</v>
      </c>
      <c r="R843" s="97" t="str">
        <f ca="1">ROUNDUP(HLOOKUP(IF(CEILING(L843,0.5)&lt;1,0.5,CEILING(L843,0.5)),'배송비 조회'!A$44:AO$56,7,0)*B$3,-2)</f>
        <v>#REF!</v>
      </c>
      <c r="S843" s="97">
        <v>0</v>
      </c>
      <c r="T843" s="97" t="str">
        <f t="shared" ca="1" si="42"/>
        <v>#REF!</v>
      </c>
      <c r="U843" s="97" t="str">
        <f t="shared" ca="1" si="29"/>
        <v>#REF!</v>
      </c>
      <c r="V843" s="97" t="str">
        <f t="shared" ca="1" si="7"/>
        <v>#REF!</v>
      </c>
      <c r="W843" s="97" t="str">
        <f t="shared" ca="1" si="8"/>
        <v>#REF!</v>
      </c>
      <c r="X843" s="121">
        <v>0</v>
      </c>
      <c r="Y843" s="121" t="str">
        <f t="shared" ca="1" si="9"/>
        <v>#REF!</v>
      </c>
      <c r="Z843" s="121" t="str">
        <f t="shared" ca="1" si="10"/>
        <v>#REF!</v>
      </c>
      <c r="AA843" s="99" t="str">
        <f t="shared" ca="1" si="11"/>
        <v>#REF!</v>
      </c>
      <c r="AB843" s="234" t="str">
        <f t="shared" ca="1" si="12"/>
        <v>#REF!</v>
      </c>
      <c r="AC843" s="257" t="str">
        <f t="shared" ca="1" si="13"/>
        <v>#REF!</v>
      </c>
      <c r="AD843" s="234" t="str">
        <f t="shared" ca="1" si="14"/>
        <v>#REF!</v>
      </c>
      <c r="AE843" s="100" t="str">
        <f t="shared" ca="1" si="15"/>
        <v>#REF!</v>
      </c>
      <c r="AF843" s="101" t="str">
        <f t="shared" ca="1" si="16"/>
        <v>#REF!</v>
      </c>
      <c r="AG843" s="102" t="str">
        <f t="shared" ref="AG843:AH843" ca="1" si="861">AE843/V843</f>
        <v>#REF!</v>
      </c>
      <c r="AH843" s="102" t="str">
        <f t="shared" ca="1" si="861"/>
        <v>#REF!</v>
      </c>
    </row>
    <row r="844" spans="1:34" ht="13.2">
      <c r="A844" s="251"/>
      <c r="B844" s="251"/>
      <c r="C844" s="252"/>
      <c r="D844" s="252"/>
      <c r="E844" s="114"/>
      <c r="F844" s="252"/>
      <c r="G844" s="125" t="s">
        <v>145</v>
      </c>
      <c r="I844" s="172"/>
      <c r="J844" s="82" t="str">
        <f t="shared" ca="1" si="0"/>
        <v>#REF!</v>
      </c>
      <c r="K844" s="82" t="str">
        <f t="shared" ca="1" si="1"/>
        <v>#REF!</v>
      </c>
      <c r="L844" s="82" t="str">
        <f t="shared" ca="1" si="44"/>
        <v>#REF!</v>
      </c>
      <c r="M844" s="93"/>
      <c r="N844" s="93"/>
      <c r="O844" s="95">
        <f t="shared" si="2"/>
        <v>0</v>
      </c>
      <c r="P844" s="96">
        <f t="shared" si="3"/>
        <v>0</v>
      </c>
      <c r="Q844" s="97">
        <f t="shared" si="4"/>
        <v>0</v>
      </c>
      <c r="R844" s="97" t="str">
        <f ca="1">ROUNDUP(HLOOKUP(IF(CEILING(L844,0.5)&lt;1,0.5,CEILING(L844,0.5)),'배송비 조회'!A$44:AO$56,7,0)*B$3,-2)</f>
        <v>#REF!</v>
      </c>
      <c r="S844" s="97">
        <v>0</v>
      </c>
      <c r="T844" s="97" t="str">
        <f t="shared" ca="1" si="42"/>
        <v>#REF!</v>
      </c>
      <c r="U844" s="97" t="str">
        <f t="shared" ca="1" si="29"/>
        <v>#REF!</v>
      </c>
      <c r="V844" s="97" t="str">
        <f t="shared" ca="1" si="7"/>
        <v>#REF!</v>
      </c>
      <c r="W844" s="97" t="str">
        <f t="shared" ca="1" si="8"/>
        <v>#REF!</v>
      </c>
      <c r="X844" s="121">
        <v>0</v>
      </c>
      <c r="Y844" s="121" t="str">
        <f t="shared" ca="1" si="9"/>
        <v>#REF!</v>
      </c>
      <c r="Z844" s="121" t="str">
        <f t="shared" ca="1" si="10"/>
        <v>#REF!</v>
      </c>
      <c r="AA844" s="99" t="str">
        <f t="shared" ca="1" si="11"/>
        <v>#REF!</v>
      </c>
      <c r="AB844" s="234" t="str">
        <f t="shared" ca="1" si="12"/>
        <v>#REF!</v>
      </c>
      <c r="AC844" s="257" t="str">
        <f t="shared" ca="1" si="13"/>
        <v>#REF!</v>
      </c>
      <c r="AD844" s="234" t="str">
        <f t="shared" ca="1" si="14"/>
        <v>#REF!</v>
      </c>
      <c r="AE844" s="100" t="str">
        <f t="shared" ca="1" si="15"/>
        <v>#REF!</v>
      </c>
      <c r="AF844" s="101" t="str">
        <f t="shared" ca="1" si="16"/>
        <v>#REF!</v>
      </c>
      <c r="AG844" s="102" t="str">
        <f t="shared" ref="AG844:AH844" ca="1" si="862">AE844/V844</f>
        <v>#REF!</v>
      </c>
      <c r="AH844" s="102" t="str">
        <f t="shared" ca="1" si="862"/>
        <v>#REF!</v>
      </c>
    </row>
    <row r="845" spans="1:34" ht="13.2">
      <c r="A845" s="251"/>
      <c r="B845" s="251"/>
      <c r="C845" s="252"/>
      <c r="D845" s="252"/>
      <c r="E845" s="114"/>
      <c r="F845" s="252"/>
      <c r="G845" s="125" t="s">
        <v>145</v>
      </c>
      <c r="I845" s="172"/>
      <c r="J845" s="82" t="str">
        <f t="shared" ca="1" si="0"/>
        <v>#REF!</v>
      </c>
      <c r="K845" s="82" t="str">
        <f t="shared" ca="1" si="1"/>
        <v>#REF!</v>
      </c>
      <c r="L845" s="82" t="str">
        <f t="shared" ca="1" si="44"/>
        <v>#REF!</v>
      </c>
      <c r="M845" s="93"/>
      <c r="N845" s="93"/>
      <c r="O845" s="95">
        <f t="shared" si="2"/>
        <v>0</v>
      </c>
      <c r="P845" s="96">
        <f t="shared" si="3"/>
        <v>0</v>
      </c>
      <c r="Q845" s="97">
        <f t="shared" si="4"/>
        <v>0</v>
      </c>
      <c r="R845" s="97" t="str">
        <f ca="1">ROUNDUP(HLOOKUP(IF(CEILING(L845,0.5)&lt;1,0.5,CEILING(L845,0.5)),'배송비 조회'!A$44:AO$56,7,0)*B$3,-2)</f>
        <v>#REF!</v>
      </c>
      <c r="S845" s="97">
        <v>0</v>
      </c>
      <c r="T845" s="97" t="str">
        <f t="shared" ca="1" si="42"/>
        <v>#REF!</v>
      </c>
      <c r="U845" s="97" t="str">
        <f t="shared" ca="1" si="29"/>
        <v>#REF!</v>
      </c>
      <c r="V845" s="97" t="str">
        <f t="shared" ca="1" si="7"/>
        <v>#REF!</v>
      </c>
      <c r="W845" s="97" t="str">
        <f t="shared" ca="1" si="8"/>
        <v>#REF!</v>
      </c>
      <c r="X845" s="121">
        <v>0</v>
      </c>
      <c r="Y845" s="121" t="str">
        <f t="shared" ca="1" si="9"/>
        <v>#REF!</v>
      </c>
      <c r="Z845" s="121" t="str">
        <f t="shared" ca="1" si="10"/>
        <v>#REF!</v>
      </c>
      <c r="AA845" s="99" t="str">
        <f t="shared" ca="1" si="11"/>
        <v>#REF!</v>
      </c>
      <c r="AB845" s="234" t="str">
        <f t="shared" ca="1" si="12"/>
        <v>#REF!</v>
      </c>
      <c r="AC845" s="257" t="str">
        <f t="shared" ca="1" si="13"/>
        <v>#REF!</v>
      </c>
      <c r="AD845" s="234" t="str">
        <f t="shared" ca="1" si="14"/>
        <v>#REF!</v>
      </c>
      <c r="AE845" s="100" t="str">
        <f t="shared" ca="1" si="15"/>
        <v>#REF!</v>
      </c>
      <c r="AF845" s="101" t="str">
        <f t="shared" ca="1" si="16"/>
        <v>#REF!</v>
      </c>
      <c r="AG845" s="102" t="str">
        <f t="shared" ref="AG845:AH845" ca="1" si="863">AE845/V845</f>
        <v>#REF!</v>
      </c>
      <c r="AH845" s="102" t="str">
        <f t="shared" ca="1" si="863"/>
        <v>#REF!</v>
      </c>
    </row>
    <row r="846" spans="1:34" ht="13.2">
      <c r="A846" s="251"/>
      <c r="B846" s="251"/>
      <c r="C846" s="252"/>
      <c r="D846" s="252"/>
      <c r="E846" s="114"/>
      <c r="F846" s="252"/>
      <c r="G846" s="125" t="s">
        <v>145</v>
      </c>
      <c r="I846" s="172"/>
      <c r="J846" s="82" t="str">
        <f t="shared" ca="1" si="0"/>
        <v>#REF!</v>
      </c>
      <c r="K846" s="82" t="str">
        <f t="shared" ca="1" si="1"/>
        <v>#REF!</v>
      </c>
      <c r="L846" s="82" t="str">
        <f t="shared" ca="1" si="44"/>
        <v>#REF!</v>
      </c>
      <c r="M846" s="93"/>
      <c r="N846" s="93"/>
      <c r="O846" s="95">
        <f t="shared" si="2"/>
        <v>0</v>
      </c>
      <c r="P846" s="96">
        <f t="shared" si="3"/>
        <v>0</v>
      </c>
      <c r="Q846" s="97">
        <f t="shared" si="4"/>
        <v>0</v>
      </c>
      <c r="R846" s="97" t="str">
        <f ca="1">ROUNDUP(HLOOKUP(IF(CEILING(L846,0.5)&lt;1,0.5,CEILING(L846,0.5)),'배송비 조회'!A$44:AO$56,7,0)*B$3,-2)</f>
        <v>#REF!</v>
      </c>
      <c r="S846" s="97">
        <v>0</v>
      </c>
      <c r="T846" s="97" t="str">
        <f t="shared" ca="1" si="42"/>
        <v>#REF!</v>
      </c>
      <c r="U846" s="97" t="str">
        <f t="shared" ca="1" si="29"/>
        <v>#REF!</v>
      </c>
      <c r="V846" s="97" t="str">
        <f t="shared" ca="1" si="7"/>
        <v>#REF!</v>
      </c>
      <c r="W846" s="97" t="str">
        <f t="shared" ca="1" si="8"/>
        <v>#REF!</v>
      </c>
      <c r="X846" s="121">
        <v>0</v>
      </c>
      <c r="Y846" s="121" t="str">
        <f t="shared" ca="1" si="9"/>
        <v>#REF!</v>
      </c>
      <c r="Z846" s="121" t="str">
        <f t="shared" ca="1" si="10"/>
        <v>#REF!</v>
      </c>
      <c r="AA846" s="99" t="str">
        <f t="shared" ca="1" si="11"/>
        <v>#REF!</v>
      </c>
      <c r="AB846" s="234" t="str">
        <f t="shared" ca="1" si="12"/>
        <v>#REF!</v>
      </c>
      <c r="AC846" s="257" t="str">
        <f t="shared" ca="1" si="13"/>
        <v>#REF!</v>
      </c>
      <c r="AD846" s="234" t="str">
        <f t="shared" ca="1" si="14"/>
        <v>#REF!</v>
      </c>
      <c r="AE846" s="100" t="str">
        <f t="shared" ca="1" si="15"/>
        <v>#REF!</v>
      </c>
      <c r="AF846" s="101" t="str">
        <f t="shared" ca="1" si="16"/>
        <v>#REF!</v>
      </c>
      <c r="AG846" s="102" t="str">
        <f t="shared" ref="AG846:AH846" ca="1" si="864">AE846/V846</f>
        <v>#REF!</v>
      </c>
      <c r="AH846" s="102" t="str">
        <f t="shared" ca="1" si="864"/>
        <v>#REF!</v>
      </c>
    </row>
    <row r="847" spans="1:34" ht="13.2">
      <c r="A847" s="251"/>
      <c r="B847" s="251"/>
      <c r="C847" s="252"/>
      <c r="D847" s="252"/>
      <c r="E847" s="114"/>
      <c r="F847" s="252"/>
      <c r="G847" s="125" t="s">
        <v>145</v>
      </c>
      <c r="I847" s="172"/>
      <c r="J847" s="82" t="str">
        <f t="shared" ca="1" si="0"/>
        <v>#REF!</v>
      </c>
      <c r="K847" s="82" t="str">
        <f t="shared" ca="1" si="1"/>
        <v>#REF!</v>
      </c>
      <c r="L847" s="82" t="str">
        <f t="shared" ca="1" si="44"/>
        <v>#REF!</v>
      </c>
      <c r="M847" s="93"/>
      <c r="N847" s="93"/>
      <c r="O847" s="95">
        <f t="shared" si="2"/>
        <v>0</v>
      </c>
      <c r="P847" s="96">
        <f t="shared" si="3"/>
        <v>0</v>
      </c>
      <c r="Q847" s="97">
        <f t="shared" si="4"/>
        <v>0</v>
      </c>
      <c r="R847" s="97" t="str">
        <f ca="1">ROUNDUP(HLOOKUP(IF(CEILING(L847,0.5)&lt;1,0.5,CEILING(L847,0.5)),'배송비 조회'!A$44:AO$56,7,0)*B$3,-2)</f>
        <v>#REF!</v>
      </c>
      <c r="S847" s="97">
        <v>0</v>
      </c>
      <c r="T847" s="97" t="str">
        <f t="shared" ca="1" si="42"/>
        <v>#REF!</v>
      </c>
      <c r="U847" s="97" t="str">
        <f t="shared" ca="1" si="29"/>
        <v>#REF!</v>
      </c>
      <c r="V847" s="97" t="str">
        <f t="shared" ca="1" si="7"/>
        <v>#REF!</v>
      </c>
      <c r="W847" s="97" t="str">
        <f t="shared" ca="1" si="8"/>
        <v>#REF!</v>
      </c>
      <c r="X847" s="121">
        <v>0</v>
      </c>
      <c r="Y847" s="121" t="str">
        <f t="shared" ca="1" si="9"/>
        <v>#REF!</v>
      </c>
      <c r="Z847" s="121" t="str">
        <f t="shared" ca="1" si="10"/>
        <v>#REF!</v>
      </c>
      <c r="AA847" s="99" t="str">
        <f t="shared" ca="1" si="11"/>
        <v>#REF!</v>
      </c>
      <c r="AB847" s="234" t="str">
        <f t="shared" ca="1" si="12"/>
        <v>#REF!</v>
      </c>
      <c r="AC847" s="257" t="str">
        <f t="shared" ca="1" si="13"/>
        <v>#REF!</v>
      </c>
      <c r="AD847" s="234" t="str">
        <f t="shared" ca="1" si="14"/>
        <v>#REF!</v>
      </c>
      <c r="AE847" s="100" t="str">
        <f t="shared" ca="1" si="15"/>
        <v>#REF!</v>
      </c>
      <c r="AF847" s="101" t="str">
        <f t="shared" ca="1" si="16"/>
        <v>#REF!</v>
      </c>
      <c r="AG847" s="102" t="str">
        <f t="shared" ref="AG847:AH847" ca="1" si="865">AE847/V847</f>
        <v>#REF!</v>
      </c>
      <c r="AH847" s="102" t="str">
        <f t="shared" ca="1" si="865"/>
        <v>#REF!</v>
      </c>
    </row>
    <row r="848" spans="1:34" ht="13.2">
      <c r="A848" s="251"/>
      <c r="B848" s="251"/>
      <c r="C848" s="252"/>
      <c r="D848" s="252"/>
      <c r="E848" s="114"/>
      <c r="F848" s="252"/>
      <c r="G848" s="125" t="s">
        <v>145</v>
      </c>
      <c r="I848" s="172"/>
      <c r="J848" s="82" t="str">
        <f t="shared" ca="1" si="0"/>
        <v>#REF!</v>
      </c>
      <c r="K848" s="82" t="str">
        <f t="shared" ca="1" si="1"/>
        <v>#REF!</v>
      </c>
      <c r="L848" s="82" t="str">
        <f t="shared" ca="1" si="44"/>
        <v>#REF!</v>
      </c>
      <c r="M848" s="93"/>
      <c r="N848" s="93"/>
      <c r="O848" s="95">
        <f t="shared" si="2"/>
        <v>0</v>
      </c>
      <c r="P848" s="96">
        <f t="shared" si="3"/>
        <v>0</v>
      </c>
      <c r="Q848" s="97">
        <f t="shared" si="4"/>
        <v>0</v>
      </c>
      <c r="R848" s="97" t="str">
        <f ca="1">ROUNDUP(HLOOKUP(IF(CEILING(L848,0.5)&lt;1,0.5,CEILING(L848,0.5)),'배송비 조회'!A$44:AO$56,7,0)*B$3,-2)</f>
        <v>#REF!</v>
      </c>
      <c r="S848" s="97">
        <v>0</v>
      </c>
      <c r="T848" s="97" t="str">
        <f t="shared" ca="1" si="42"/>
        <v>#REF!</v>
      </c>
      <c r="U848" s="97" t="str">
        <f t="shared" ca="1" si="29"/>
        <v>#REF!</v>
      </c>
      <c r="V848" s="97" t="str">
        <f t="shared" ca="1" si="7"/>
        <v>#REF!</v>
      </c>
      <c r="W848" s="97" t="str">
        <f t="shared" ca="1" si="8"/>
        <v>#REF!</v>
      </c>
      <c r="X848" s="121">
        <v>0</v>
      </c>
      <c r="Y848" s="121" t="str">
        <f t="shared" ca="1" si="9"/>
        <v>#REF!</v>
      </c>
      <c r="Z848" s="121" t="str">
        <f t="shared" ca="1" si="10"/>
        <v>#REF!</v>
      </c>
      <c r="AA848" s="99" t="str">
        <f t="shared" ca="1" si="11"/>
        <v>#REF!</v>
      </c>
      <c r="AB848" s="234" t="str">
        <f t="shared" ca="1" si="12"/>
        <v>#REF!</v>
      </c>
      <c r="AC848" s="257" t="str">
        <f t="shared" ca="1" si="13"/>
        <v>#REF!</v>
      </c>
      <c r="AD848" s="234" t="str">
        <f t="shared" ca="1" si="14"/>
        <v>#REF!</v>
      </c>
      <c r="AE848" s="100" t="str">
        <f t="shared" ca="1" si="15"/>
        <v>#REF!</v>
      </c>
      <c r="AF848" s="101" t="str">
        <f t="shared" ca="1" si="16"/>
        <v>#REF!</v>
      </c>
      <c r="AG848" s="102" t="str">
        <f t="shared" ref="AG848:AH848" ca="1" si="866">AE848/V848</f>
        <v>#REF!</v>
      </c>
      <c r="AH848" s="102" t="str">
        <f t="shared" ca="1" si="866"/>
        <v>#REF!</v>
      </c>
    </row>
    <row r="849" spans="1:34" ht="13.2">
      <c r="A849" s="251"/>
      <c r="B849" s="251"/>
      <c r="C849" s="252"/>
      <c r="D849" s="252"/>
      <c r="E849" s="114"/>
      <c r="F849" s="252"/>
      <c r="G849" s="125" t="s">
        <v>145</v>
      </c>
      <c r="I849" s="172"/>
      <c r="J849" s="82" t="str">
        <f t="shared" ca="1" si="0"/>
        <v>#REF!</v>
      </c>
      <c r="K849" s="82" t="str">
        <f t="shared" ca="1" si="1"/>
        <v>#REF!</v>
      </c>
      <c r="L849" s="82" t="str">
        <f t="shared" ca="1" si="44"/>
        <v>#REF!</v>
      </c>
      <c r="M849" s="93"/>
      <c r="N849" s="93"/>
      <c r="O849" s="95">
        <f t="shared" si="2"/>
        <v>0</v>
      </c>
      <c r="P849" s="96">
        <f t="shared" si="3"/>
        <v>0</v>
      </c>
      <c r="Q849" s="97">
        <f t="shared" si="4"/>
        <v>0</v>
      </c>
      <c r="R849" s="97" t="str">
        <f ca="1">ROUNDUP(HLOOKUP(IF(CEILING(L849,0.5)&lt;1,0.5,CEILING(L849,0.5)),'배송비 조회'!A$44:AO$56,7,0)*B$3,-2)</f>
        <v>#REF!</v>
      </c>
      <c r="S849" s="97">
        <v>0</v>
      </c>
      <c r="T849" s="97" t="str">
        <f t="shared" ca="1" si="42"/>
        <v>#REF!</v>
      </c>
      <c r="U849" s="97" t="str">
        <f t="shared" ca="1" si="29"/>
        <v>#REF!</v>
      </c>
      <c r="V849" s="97" t="str">
        <f t="shared" ca="1" si="7"/>
        <v>#REF!</v>
      </c>
      <c r="W849" s="97" t="str">
        <f t="shared" ca="1" si="8"/>
        <v>#REF!</v>
      </c>
      <c r="X849" s="121">
        <v>0</v>
      </c>
      <c r="Y849" s="121" t="str">
        <f t="shared" ca="1" si="9"/>
        <v>#REF!</v>
      </c>
      <c r="Z849" s="121" t="str">
        <f t="shared" ca="1" si="10"/>
        <v>#REF!</v>
      </c>
      <c r="AA849" s="99" t="str">
        <f t="shared" ca="1" si="11"/>
        <v>#REF!</v>
      </c>
      <c r="AB849" s="234" t="str">
        <f t="shared" ca="1" si="12"/>
        <v>#REF!</v>
      </c>
      <c r="AC849" s="257" t="str">
        <f t="shared" ca="1" si="13"/>
        <v>#REF!</v>
      </c>
      <c r="AD849" s="234" t="str">
        <f t="shared" ca="1" si="14"/>
        <v>#REF!</v>
      </c>
      <c r="AE849" s="100" t="str">
        <f t="shared" ca="1" si="15"/>
        <v>#REF!</v>
      </c>
      <c r="AF849" s="101" t="str">
        <f t="shared" ca="1" si="16"/>
        <v>#REF!</v>
      </c>
      <c r="AG849" s="102" t="str">
        <f t="shared" ref="AG849:AH849" ca="1" si="867">AE849/V849</f>
        <v>#REF!</v>
      </c>
      <c r="AH849" s="102" t="str">
        <f t="shared" ca="1" si="867"/>
        <v>#REF!</v>
      </c>
    </row>
    <row r="850" spans="1:34" ht="13.2">
      <c r="A850" s="251"/>
      <c r="B850" s="251"/>
      <c r="C850" s="252"/>
      <c r="D850" s="252"/>
      <c r="E850" s="114"/>
      <c r="F850" s="252"/>
      <c r="G850" s="125" t="s">
        <v>145</v>
      </c>
      <c r="I850" s="172"/>
      <c r="J850" s="82" t="str">
        <f t="shared" ca="1" si="0"/>
        <v>#REF!</v>
      </c>
      <c r="K850" s="82" t="str">
        <f t="shared" ca="1" si="1"/>
        <v>#REF!</v>
      </c>
      <c r="L850" s="82" t="str">
        <f t="shared" ca="1" si="44"/>
        <v>#REF!</v>
      </c>
      <c r="M850" s="93"/>
      <c r="N850" s="93"/>
      <c r="O850" s="95">
        <f t="shared" si="2"/>
        <v>0</v>
      </c>
      <c r="P850" s="96">
        <f t="shared" si="3"/>
        <v>0</v>
      </c>
      <c r="Q850" s="97">
        <f t="shared" si="4"/>
        <v>0</v>
      </c>
      <c r="R850" s="97" t="str">
        <f ca="1">ROUNDUP(HLOOKUP(IF(CEILING(L850,0.5)&lt;1,0.5,CEILING(L850,0.5)),'배송비 조회'!A$44:AO$56,7,0)*B$3,-2)</f>
        <v>#REF!</v>
      </c>
      <c r="S850" s="97">
        <v>0</v>
      </c>
      <c r="T850" s="97" t="str">
        <f t="shared" ca="1" si="42"/>
        <v>#REF!</v>
      </c>
      <c r="U850" s="97" t="str">
        <f t="shared" ca="1" si="29"/>
        <v>#REF!</v>
      </c>
      <c r="V850" s="97" t="str">
        <f t="shared" ca="1" si="7"/>
        <v>#REF!</v>
      </c>
      <c r="W850" s="97" t="str">
        <f t="shared" ca="1" si="8"/>
        <v>#REF!</v>
      </c>
      <c r="X850" s="121">
        <v>0</v>
      </c>
      <c r="Y850" s="121" t="str">
        <f t="shared" ca="1" si="9"/>
        <v>#REF!</v>
      </c>
      <c r="Z850" s="121" t="str">
        <f t="shared" ca="1" si="10"/>
        <v>#REF!</v>
      </c>
      <c r="AA850" s="99" t="str">
        <f t="shared" ca="1" si="11"/>
        <v>#REF!</v>
      </c>
      <c r="AB850" s="234" t="str">
        <f t="shared" ca="1" si="12"/>
        <v>#REF!</v>
      </c>
      <c r="AC850" s="257" t="str">
        <f t="shared" ca="1" si="13"/>
        <v>#REF!</v>
      </c>
      <c r="AD850" s="234" t="str">
        <f t="shared" ca="1" si="14"/>
        <v>#REF!</v>
      </c>
      <c r="AE850" s="100" t="str">
        <f t="shared" ca="1" si="15"/>
        <v>#REF!</v>
      </c>
      <c r="AF850" s="101" t="str">
        <f t="shared" ca="1" si="16"/>
        <v>#REF!</v>
      </c>
      <c r="AG850" s="102" t="str">
        <f t="shared" ref="AG850:AH850" ca="1" si="868">AE850/V850</f>
        <v>#REF!</v>
      </c>
      <c r="AH850" s="102" t="str">
        <f t="shared" ca="1" si="868"/>
        <v>#REF!</v>
      </c>
    </row>
    <row r="851" spans="1:34" ht="13.2">
      <c r="A851" s="251"/>
      <c r="B851" s="251"/>
      <c r="C851" s="252"/>
      <c r="D851" s="252"/>
      <c r="E851" s="114"/>
      <c r="F851" s="252"/>
      <c r="G851" s="125" t="s">
        <v>145</v>
      </c>
      <c r="I851" s="172"/>
      <c r="J851" s="82" t="str">
        <f t="shared" ca="1" si="0"/>
        <v>#REF!</v>
      </c>
      <c r="K851" s="82" t="str">
        <f t="shared" ca="1" si="1"/>
        <v>#REF!</v>
      </c>
      <c r="L851" s="82" t="str">
        <f t="shared" ca="1" si="44"/>
        <v>#REF!</v>
      </c>
      <c r="M851" s="93"/>
      <c r="N851" s="93"/>
      <c r="O851" s="95">
        <f t="shared" si="2"/>
        <v>0</v>
      </c>
      <c r="P851" s="96">
        <f t="shared" si="3"/>
        <v>0</v>
      </c>
      <c r="Q851" s="97">
        <f t="shared" si="4"/>
        <v>0</v>
      </c>
      <c r="R851" s="97" t="str">
        <f ca="1">ROUNDUP(HLOOKUP(IF(CEILING(L851,0.5)&lt;1,0.5,CEILING(L851,0.5)),'배송비 조회'!A$44:AO$56,7,0)*B$3,-2)</f>
        <v>#REF!</v>
      </c>
      <c r="S851" s="97">
        <v>0</v>
      </c>
      <c r="T851" s="97" t="str">
        <f t="shared" ca="1" si="42"/>
        <v>#REF!</v>
      </c>
      <c r="U851" s="97" t="str">
        <f t="shared" ca="1" si="29"/>
        <v>#REF!</v>
      </c>
      <c r="V851" s="97" t="str">
        <f t="shared" ca="1" si="7"/>
        <v>#REF!</v>
      </c>
      <c r="W851" s="97" t="str">
        <f t="shared" ca="1" si="8"/>
        <v>#REF!</v>
      </c>
      <c r="X851" s="121">
        <v>0</v>
      </c>
      <c r="Y851" s="121" t="str">
        <f t="shared" ca="1" si="9"/>
        <v>#REF!</v>
      </c>
      <c r="Z851" s="121" t="str">
        <f t="shared" ca="1" si="10"/>
        <v>#REF!</v>
      </c>
      <c r="AA851" s="99" t="str">
        <f t="shared" ca="1" si="11"/>
        <v>#REF!</v>
      </c>
      <c r="AB851" s="234" t="str">
        <f t="shared" ca="1" si="12"/>
        <v>#REF!</v>
      </c>
      <c r="AC851" s="257" t="str">
        <f t="shared" ca="1" si="13"/>
        <v>#REF!</v>
      </c>
      <c r="AD851" s="234" t="str">
        <f t="shared" ca="1" si="14"/>
        <v>#REF!</v>
      </c>
      <c r="AE851" s="100" t="str">
        <f t="shared" ca="1" si="15"/>
        <v>#REF!</v>
      </c>
      <c r="AF851" s="101" t="str">
        <f t="shared" ca="1" si="16"/>
        <v>#REF!</v>
      </c>
      <c r="AG851" s="102" t="str">
        <f t="shared" ref="AG851:AH851" ca="1" si="869">AE851/V851</f>
        <v>#REF!</v>
      </c>
      <c r="AH851" s="102" t="str">
        <f t="shared" ca="1" si="869"/>
        <v>#REF!</v>
      </c>
    </row>
    <row r="852" spans="1:34" ht="13.2">
      <c r="A852" s="251"/>
      <c r="B852" s="251"/>
      <c r="C852" s="252"/>
      <c r="D852" s="252"/>
      <c r="E852" s="114"/>
      <c r="F852" s="252"/>
      <c r="G852" s="125" t="s">
        <v>145</v>
      </c>
      <c r="I852" s="172"/>
      <c r="J852" s="82" t="str">
        <f t="shared" ca="1" si="0"/>
        <v>#REF!</v>
      </c>
      <c r="K852" s="82" t="str">
        <f t="shared" ca="1" si="1"/>
        <v>#REF!</v>
      </c>
      <c r="L852" s="82" t="str">
        <f t="shared" ca="1" si="44"/>
        <v>#REF!</v>
      </c>
      <c r="M852" s="93"/>
      <c r="N852" s="93"/>
      <c r="O852" s="95">
        <f t="shared" si="2"/>
        <v>0</v>
      </c>
      <c r="P852" s="96">
        <f t="shared" si="3"/>
        <v>0</v>
      </c>
      <c r="Q852" s="97">
        <f t="shared" si="4"/>
        <v>0</v>
      </c>
      <c r="R852" s="97" t="str">
        <f ca="1">ROUNDUP(HLOOKUP(IF(CEILING(L852,0.5)&lt;1,0.5,CEILING(L852,0.5)),'배송비 조회'!A$44:AO$56,7,0)*B$3,-2)</f>
        <v>#REF!</v>
      </c>
      <c r="S852" s="97">
        <v>0</v>
      </c>
      <c r="T852" s="97" t="str">
        <f t="shared" ca="1" si="42"/>
        <v>#REF!</v>
      </c>
      <c r="U852" s="97" t="str">
        <f t="shared" ca="1" si="29"/>
        <v>#REF!</v>
      </c>
      <c r="V852" s="97" t="str">
        <f t="shared" ca="1" si="7"/>
        <v>#REF!</v>
      </c>
      <c r="W852" s="97" t="str">
        <f t="shared" ca="1" si="8"/>
        <v>#REF!</v>
      </c>
      <c r="X852" s="121">
        <v>0</v>
      </c>
      <c r="Y852" s="121" t="str">
        <f t="shared" ca="1" si="9"/>
        <v>#REF!</v>
      </c>
      <c r="Z852" s="121" t="str">
        <f t="shared" ca="1" si="10"/>
        <v>#REF!</v>
      </c>
      <c r="AA852" s="99" t="str">
        <f t="shared" ca="1" si="11"/>
        <v>#REF!</v>
      </c>
      <c r="AB852" s="234" t="str">
        <f t="shared" ca="1" si="12"/>
        <v>#REF!</v>
      </c>
      <c r="AC852" s="257" t="str">
        <f t="shared" ca="1" si="13"/>
        <v>#REF!</v>
      </c>
      <c r="AD852" s="234" t="str">
        <f t="shared" ca="1" si="14"/>
        <v>#REF!</v>
      </c>
      <c r="AE852" s="100" t="str">
        <f t="shared" ca="1" si="15"/>
        <v>#REF!</v>
      </c>
      <c r="AF852" s="101" t="str">
        <f t="shared" ca="1" si="16"/>
        <v>#REF!</v>
      </c>
      <c r="AG852" s="102" t="str">
        <f t="shared" ref="AG852:AH852" ca="1" si="870">AE852/V852</f>
        <v>#REF!</v>
      </c>
      <c r="AH852" s="102" t="str">
        <f t="shared" ca="1" si="870"/>
        <v>#REF!</v>
      </c>
    </row>
    <row r="853" spans="1:34" ht="13.2">
      <c r="A853" s="251"/>
      <c r="B853" s="251"/>
      <c r="C853" s="252"/>
      <c r="D853" s="252"/>
      <c r="E853" s="114"/>
      <c r="F853" s="252"/>
      <c r="G853" s="125" t="s">
        <v>145</v>
      </c>
      <c r="I853" s="172"/>
      <c r="J853" s="82" t="str">
        <f t="shared" ca="1" si="0"/>
        <v>#REF!</v>
      </c>
      <c r="K853" s="82" t="str">
        <f t="shared" ca="1" si="1"/>
        <v>#REF!</v>
      </c>
      <c r="L853" s="82" t="str">
        <f t="shared" ca="1" si="44"/>
        <v>#REF!</v>
      </c>
      <c r="M853" s="93"/>
      <c r="N853" s="93"/>
      <c r="O853" s="95">
        <f t="shared" si="2"/>
        <v>0</v>
      </c>
      <c r="P853" s="96">
        <f t="shared" si="3"/>
        <v>0</v>
      </c>
      <c r="Q853" s="97">
        <f t="shared" si="4"/>
        <v>0</v>
      </c>
      <c r="R853" s="97" t="str">
        <f ca="1">ROUNDUP(HLOOKUP(IF(CEILING(L853,0.5)&lt;1,0.5,CEILING(L853,0.5)),'배송비 조회'!A$44:AO$56,7,0)*B$3,-2)</f>
        <v>#REF!</v>
      </c>
      <c r="S853" s="97">
        <v>0</v>
      </c>
      <c r="T853" s="97" t="str">
        <f t="shared" ca="1" si="42"/>
        <v>#REF!</v>
      </c>
      <c r="U853" s="97" t="str">
        <f t="shared" ca="1" si="29"/>
        <v>#REF!</v>
      </c>
      <c r="V853" s="97" t="str">
        <f t="shared" ca="1" si="7"/>
        <v>#REF!</v>
      </c>
      <c r="W853" s="97" t="str">
        <f t="shared" ca="1" si="8"/>
        <v>#REF!</v>
      </c>
      <c r="X853" s="121">
        <v>0</v>
      </c>
      <c r="Y853" s="121" t="str">
        <f t="shared" ca="1" si="9"/>
        <v>#REF!</v>
      </c>
      <c r="Z853" s="121" t="str">
        <f t="shared" ca="1" si="10"/>
        <v>#REF!</v>
      </c>
      <c r="AA853" s="99" t="str">
        <f t="shared" ca="1" si="11"/>
        <v>#REF!</v>
      </c>
      <c r="AB853" s="234" t="str">
        <f t="shared" ca="1" si="12"/>
        <v>#REF!</v>
      </c>
      <c r="AC853" s="257" t="str">
        <f t="shared" ca="1" si="13"/>
        <v>#REF!</v>
      </c>
      <c r="AD853" s="234" t="str">
        <f t="shared" ca="1" si="14"/>
        <v>#REF!</v>
      </c>
      <c r="AE853" s="100" t="str">
        <f t="shared" ca="1" si="15"/>
        <v>#REF!</v>
      </c>
      <c r="AF853" s="101" t="str">
        <f t="shared" ca="1" si="16"/>
        <v>#REF!</v>
      </c>
      <c r="AG853" s="102" t="str">
        <f t="shared" ref="AG853:AH853" ca="1" si="871">AE853/V853</f>
        <v>#REF!</v>
      </c>
      <c r="AH853" s="102" t="str">
        <f t="shared" ca="1" si="871"/>
        <v>#REF!</v>
      </c>
    </row>
    <row r="854" spans="1:34" ht="13.2">
      <c r="A854" s="251"/>
      <c r="B854" s="251"/>
      <c r="C854" s="252"/>
      <c r="D854" s="252"/>
      <c r="E854" s="114"/>
      <c r="F854" s="252"/>
      <c r="G854" s="125" t="s">
        <v>145</v>
      </c>
      <c r="I854" s="172"/>
      <c r="J854" s="82" t="str">
        <f t="shared" ca="1" si="0"/>
        <v>#REF!</v>
      </c>
      <c r="K854" s="82" t="str">
        <f t="shared" ca="1" si="1"/>
        <v>#REF!</v>
      </c>
      <c r="L854" s="82" t="str">
        <f t="shared" ca="1" si="44"/>
        <v>#REF!</v>
      </c>
      <c r="M854" s="93"/>
      <c r="N854" s="93"/>
      <c r="O854" s="95">
        <f t="shared" si="2"/>
        <v>0</v>
      </c>
      <c r="P854" s="96">
        <f t="shared" si="3"/>
        <v>0</v>
      </c>
      <c r="Q854" s="97">
        <f t="shared" si="4"/>
        <v>0</v>
      </c>
      <c r="R854" s="97" t="str">
        <f ca="1">ROUNDUP(HLOOKUP(IF(CEILING(L854,0.5)&lt;1,0.5,CEILING(L854,0.5)),'배송비 조회'!A$44:AO$56,7,0)*B$3,-2)</f>
        <v>#REF!</v>
      </c>
      <c r="S854" s="97">
        <v>0</v>
      </c>
      <c r="T854" s="97" t="str">
        <f t="shared" ca="1" si="42"/>
        <v>#REF!</v>
      </c>
      <c r="U854" s="97" t="str">
        <f t="shared" ca="1" si="29"/>
        <v>#REF!</v>
      </c>
      <c r="V854" s="97" t="str">
        <f t="shared" ca="1" si="7"/>
        <v>#REF!</v>
      </c>
      <c r="W854" s="97" t="str">
        <f t="shared" ca="1" si="8"/>
        <v>#REF!</v>
      </c>
      <c r="X854" s="121">
        <v>0</v>
      </c>
      <c r="Y854" s="121" t="str">
        <f t="shared" ca="1" si="9"/>
        <v>#REF!</v>
      </c>
      <c r="Z854" s="121" t="str">
        <f t="shared" ca="1" si="10"/>
        <v>#REF!</v>
      </c>
      <c r="AA854" s="99" t="str">
        <f t="shared" ca="1" si="11"/>
        <v>#REF!</v>
      </c>
      <c r="AB854" s="234" t="str">
        <f t="shared" ca="1" si="12"/>
        <v>#REF!</v>
      </c>
      <c r="AC854" s="257" t="str">
        <f t="shared" ca="1" si="13"/>
        <v>#REF!</v>
      </c>
      <c r="AD854" s="234" t="str">
        <f t="shared" ca="1" si="14"/>
        <v>#REF!</v>
      </c>
      <c r="AE854" s="100" t="str">
        <f t="shared" ca="1" si="15"/>
        <v>#REF!</v>
      </c>
      <c r="AF854" s="101" t="str">
        <f t="shared" ca="1" si="16"/>
        <v>#REF!</v>
      </c>
      <c r="AG854" s="102" t="str">
        <f t="shared" ref="AG854:AH854" ca="1" si="872">AE854/V854</f>
        <v>#REF!</v>
      </c>
      <c r="AH854" s="102" t="str">
        <f t="shared" ca="1" si="872"/>
        <v>#REF!</v>
      </c>
    </row>
    <row r="855" spans="1:34" ht="13.2">
      <c r="A855" s="251"/>
      <c r="B855" s="251"/>
      <c r="C855" s="252"/>
      <c r="D855" s="252"/>
      <c r="E855" s="114"/>
      <c r="F855" s="252"/>
      <c r="G855" s="125" t="s">
        <v>145</v>
      </c>
      <c r="I855" s="172"/>
      <c r="J855" s="82" t="str">
        <f t="shared" ca="1" si="0"/>
        <v>#REF!</v>
      </c>
      <c r="K855" s="82" t="str">
        <f t="shared" ca="1" si="1"/>
        <v>#REF!</v>
      </c>
      <c r="L855" s="82" t="str">
        <f t="shared" ca="1" si="44"/>
        <v>#REF!</v>
      </c>
      <c r="M855" s="93"/>
      <c r="N855" s="93"/>
      <c r="O855" s="95">
        <f t="shared" si="2"/>
        <v>0</v>
      </c>
      <c r="P855" s="96">
        <f t="shared" si="3"/>
        <v>0</v>
      </c>
      <c r="Q855" s="97">
        <f t="shared" si="4"/>
        <v>0</v>
      </c>
      <c r="R855" s="97" t="str">
        <f ca="1">ROUNDUP(HLOOKUP(IF(CEILING(L855,0.5)&lt;1,0.5,CEILING(L855,0.5)),'배송비 조회'!A$44:AO$56,7,0)*B$3,-2)</f>
        <v>#REF!</v>
      </c>
      <c r="S855" s="97">
        <v>0</v>
      </c>
      <c r="T855" s="97" t="str">
        <f t="shared" ca="1" si="42"/>
        <v>#REF!</v>
      </c>
      <c r="U855" s="97" t="str">
        <f t="shared" ca="1" si="29"/>
        <v>#REF!</v>
      </c>
      <c r="V855" s="97" t="str">
        <f t="shared" ca="1" si="7"/>
        <v>#REF!</v>
      </c>
      <c r="W855" s="97" t="str">
        <f t="shared" ca="1" si="8"/>
        <v>#REF!</v>
      </c>
      <c r="X855" s="121">
        <v>0</v>
      </c>
      <c r="Y855" s="121" t="str">
        <f t="shared" ca="1" si="9"/>
        <v>#REF!</v>
      </c>
      <c r="Z855" s="121" t="str">
        <f t="shared" ca="1" si="10"/>
        <v>#REF!</v>
      </c>
      <c r="AA855" s="99" t="str">
        <f t="shared" ca="1" si="11"/>
        <v>#REF!</v>
      </c>
      <c r="AB855" s="234" t="str">
        <f t="shared" ca="1" si="12"/>
        <v>#REF!</v>
      </c>
      <c r="AC855" s="257" t="str">
        <f t="shared" ca="1" si="13"/>
        <v>#REF!</v>
      </c>
      <c r="AD855" s="234" t="str">
        <f t="shared" ca="1" si="14"/>
        <v>#REF!</v>
      </c>
      <c r="AE855" s="100" t="str">
        <f t="shared" ca="1" si="15"/>
        <v>#REF!</v>
      </c>
      <c r="AF855" s="101" t="str">
        <f t="shared" ca="1" si="16"/>
        <v>#REF!</v>
      </c>
      <c r="AG855" s="102" t="str">
        <f t="shared" ref="AG855:AH855" ca="1" si="873">AE855/V855</f>
        <v>#REF!</v>
      </c>
      <c r="AH855" s="102" t="str">
        <f t="shared" ca="1" si="873"/>
        <v>#REF!</v>
      </c>
    </row>
    <row r="856" spans="1:34" ht="13.2">
      <c r="A856" s="251"/>
      <c r="B856" s="251"/>
      <c r="C856" s="252"/>
      <c r="D856" s="252"/>
      <c r="E856" s="114"/>
      <c r="F856" s="252"/>
      <c r="G856" s="125" t="s">
        <v>145</v>
      </c>
      <c r="I856" s="172"/>
      <c r="J856" s="82" t="str">
        <f t="shared" ca="1" si="0"/>
        <v>#REF!</v>
      </c>
      <c r="K856" s="82" t="str">
        <f t="shared" ca="1" si="1"/>
        <v>#REF!</v>
      </c>
      <c r="L856" s="82" t="str">
        <f t="shared" ca="1" si="44"/>
        <v>#REF!</v>
      </c>
      <c r="M856" s="93"/>
      <c r="N856" s="93"/>
      <c r="O856" s="95">
        <f t="shared" si="2"/>
        <v>0</v>
      </c>
      <c r="P856" s="96">
        <f t="shared" si="3"/>
        <v>0</v>
      </c>
      <c r="Q856" s="97">
        <f t="shared" si="4"/>
        <v>0</v>
      </c>
      <c r="R856" s="97" t="str">
        <f ca="1">ROUNDUP(HLOOKUP(IF(CEILING(L856,0.5)&lt;1,0.5,CEILING(L856,0.5)),'배송비 조회'!A$44:AO$56,7,0)*B$3,-2)</f>
        <v>#REF!</v>
      </c>
      <c r="S856" s="97">
        <v>0</v>
      </c>
      <c r="T856" s="97" t="str">
        <f t="shared" ca="1" si="42"/>
        <v>#REF!</v>
      </c>
      <c r="U856" s="97" t="str">
        <f t="shared" ca="1" si="29"/>
        <v>#REF!</v>
      </c>
      <c r="V856" s="97" t="str">
        <f t="shared" ca="1" si="7"/>
        <v>#REF!</v>
      </c>
      <c r="W856" s="97" t="str">
        <f t="shared" ca="1" si="8"/>
        <v>#REF!</v>
      </c>
      <c r="X856" s="121">
        <v>0</v>
      </c>
      <c r="Y856" s="121" t="str">
        <f t="shared" ca="1" si="9"/>
        <v>#REF!</v>
      </c>
      <c r="Z856" s="121" t="str">
        <f t="shared" ca="1" si="10"/>
        <v>#REF!</v>
      </c>
      <c r="AA856" s="99" t="str">
        <f t="shared" ca="1" si="11"/>
        <v>#REF!</v>
      </c>
      <c r="AB856" s="234" t="str">
        <f t="shared" ca="1" si="12"/>
        <v>#REF!</v>
      </c>
      <c r="AC856" s="257" t="str">
        <f t="shared" ca="1" si="13"/>
        <v>#REF!</v>
      </c>
      <c r="AD856" s="234" t="str">
        <f t="shared" ca="1" si="14"/>
        <v>#REF!</v>
      </c>
      <c r="AE856" s="100" t="str">
        <f t="shared" ca="1" si="15"/>
        <v>#REF!</v>
      </c>
      <c r="AF856" s="101" t="str">
        <f t="shared" ca="1" si="16"/>
        <v>#REF!</v>
      </c>
      <c r="AG856" s="102" t="str">
        <f t="shared" ref="AG856:AH856" ca="1" si="874">AE856/V856</f>
        <v>#REF!</v>
      </c>
      <c r="AH856" s="102" t="str">
        <f t="shared" ca="1" si="874"/>
        <v>#REF!</v>
      </c>
    </row>
    <row r="857" spans="1:34" ht="13.2">
      <c r="A857" s="251"/>
      <c r="B857" s="251"/>
      <c r="C857" s="252"/>
      <c r="D857" s="252"/>
      <c r="E857" s="114"/>
      <c r="F857" s="252"/>
      <c r="G857" s="125" t="s">
        <v>145</v>
      </c>
      <c r="I857" s="172"/>
      <c r="J857" s="82" t="str">
        <f t="shared" ca="1" si="0"/>
        <v>#REF!</v>
      </c>
      <c r="K857" s="82" t="str">
        <f t="shared" ca="1" si="1"/>
        <v>#REF!</v>
      </c>
      <c r="L857" s="82" t="str">
        <f t="shared" ca="1" si="44"/>
        <v>#REF!</v>
      </c>
      <c r="M857" s="93"/>
      <c r="N857" s="93"/>
      <c r="O857" s="95">
        <f t="shared" si="2"/>
        <v>0</v>
      </c>
      <c r="P857" s="96">
        <f t="shared" si="3"/>
        <v>0</v>
      </c>
      <c r="Q857" s="97">
        <f t="shared" si="4"/>
        <v>0</v>
      </c>
      <c r="R857" s="97" t="str">
        <f ca="1">ROUNDUP(HLOOKUP(IF(CEILING(L857,0.5)&lt;1,0.5,CEILING(L857,0.5)),'배송비 조회'!A$44:AO$56,7,0)*B$3,-2)</f>
        <v>#REF!</v>
      </c>
      <c r="S857" s="97">
        <v>0</v>
      </c>
      <c r="T857" s="97" t="str">
        <f t="shared" ca="1" si="42"/>
        <v>#REF!</v>
      </c>
      <c r="U857" s="97" t="str">
        <f t="shared" ca="1" si="29"/>
        <v>#REF!</v>
      </c>
      <c r="V857" s="97" t="str">
        <f t="shared" ca="1" si="7"/>
        <v>#REF!</v>
      </c>
      <c r="W857" s="97" t="str">
        <f t="shared" ca="1" si="8"/>
        <v>#REF!</v>
      </c>
      <c r="X857" s="121">
        <v>0</v>
      </c>
      <c r="Y857" s="121" t="str">
        <f t="shared" ca="1" si="9"/>
        <v>#REF!</v>
      </c>
      <c r="Z857" s="121" t="str">
        <f t="shared" ca="1" si="10"/>
        <v>#REF!</v>
      </c>
      <c r="AA857" s="99" t="str">
        <f t="shared" ca="1" si="11"/>
        <v>#REF!</v>
      </c>
      <c r="AB857" s="234" t="str">
        <f t="shared" ca="1" si="12"/>
        <v>#REF!</v>
      </c>
      <c r="AC857" s="257" t="str">
        <f t="shared" ca="1" si="13"/>
        <v>#REF!</v>
      </c>
      <c r="AD857" s="234" t="str">
        <f t="shared" ca="1" si="14"/>
        <v>#REF!</v>
      </c>
      <c r="AE857" s="100" t="str">
        <f t="shared" ca="1" si="15"/>
        <v>#REF!</v>
      </c>
      <c r="AF857" s="101" t="str">
        <f t="shared" ca="1" si="16"/>
        <v>#REF!</v>
      </c>
      <c r="AG857" s="102" t="str">
        <f t="shared" ref="AG857:AH857" ca="1" si="875">AE857/V857</f>
        <v>#REF!</v>
      </c>
      <c r="AH857" s="102" t="str">
        <f t="shared" ca="1" si="875"/>
        <v>#REF!</v>
      </c>
    </row>
    <row r="858" spans="1:34" ht="13.2">
      <c r="A858" s="251"/>
      <c r="B858" s="251"/>
      <c r="C858" s="252"/>
      <c r="D858" s="252"/>
      <c r="E858" s="114"/>
      <c r="F858" s="252"/>
      <c r="G858" s="125" t="s">
        <v>145</v>
      </c>
      <c r="I858" s="172"/>
      <c r="J858" s="82" t="str">
        <f t="shared" ca="1" si="0"/>
        <v>#REF!</v>
      </c>
      <c r="K858" s="82" t="str">
        <f t="shared" ca="1" si="1"/>
        <v>#REF!</v>
      </c>
      <c r="L858" s="82" t="str">
        <f t="shared" ca="1" si="44"/>
        <v>#REF!</v>
      </c>
      <c r="M858" s="93"/>
      <c r="N858" s="93"/>
      <c r="O858" s="95">
        <f t="shared" si="2"/>
        <v>0</v>
      </c>
      <c r="P858" s="96">
        <f t="shared" si="3"/>
        <v>0</v>
      </c>
      <c r="Q858" s="97">
        <f t="shared" si="4"/>
        <v>0</v>
      </c>
      <c r="R858" s="97" t="str">
        <f ca="1">ROUNDUP(HLOOKUP(IF(CEILING(L858,0.5)&lt;1,0.5,CEILING(L858,0.5)),'배송비 조회'!A$44:AO$56,7,0)*B$3,-2)</f>
        <v>#REF!</v>
      </c>
      <c r="S858" s="97">
        <v>0</v>
      </c>
      <c r="T858" s="97" t="str">
        <f t="shared" ca="1" si="42"/>
        <v>#REF!</v>
      </c>
      <c r="U858" s="97" t="str">
        <f t="shared" ca="1" si="29"/>
        <v>#REF!</v>
      </c>
      <c r="V858" s="97" t="str">
        <f t="shared" ca="1" si="7"/>
        <v>#REF!</v>
      </c>
      <c r="W858" s="97" t="str">
        <f t="shared" ca="1" si="8"/>
        <v>#REF!</v>
      </c>
      <c r="X858" s="121">
        <v>0</v>
      </c>
      <c r="Y858" s="121" t="str">
        <f t="shared" ca="1" si="9"/>
        <v>#REF!</v>
      </c>
      <c r="Z858" s="121" t="str">
        <f t="shared" ca="1" si="10"/>
        <v>#REF!</v>
      </c>
      <c r="AA858" s="99" t="str">
        <f t="shared" ca="1" si="11"/>
        <v>#REF!</v>
      </c>
      <c r="AB858" s="234" t="str">
        <f t="shared" ca="1" si="12"/>
        <v>#REF!</v>
      </c>
      <c r="AC858" s="257" t="str">
        <f t="shared" ca="1" si="13"/>
        <v>#REF!</v>
      </c>
      <c r="AD858" s="234" t="str">
        <f t="shared" ca="1" si="14"/>
        <v>#REF!</v>
      </c>
      <c r="AE858" s="100" t="str">
        <f t="shared" ca="1" si="15"/>
        <v>#REF!</v>
      </c>
      <c r="AF858" s="101" t="str">
        <f t="shared" ca="1" si="16"/>
        <v>#REF!</v>
      </c>
      <c r="AG858" s="102" t="str">
        <f t="shared" ref="AG858:AH858" ca="1" si="876">AE858/V858</f>
        <v>#REF!</v>
      </c>
      <c r="AH858" s="102" t="str">
        <f t="shared" ca="1" si="876"/>
        <v>#REF!</v>
      </c>
    </row>
    <row r="859" spans="1:34" ht="13.2">
      <c r="A859" s="251"/>
      <c r="B859" s="251"/>
      <c r="C859" s="252"/>
      <c r="D859" s="252"/>
      <c r="E859" s="114"/>
      <c r="F859" s="252"/>
      <c r="G859" s="125" t="s">
        <v>145</v>
      </c>
      <c r="I859" s="172"/>
      <c r="J859" s="82" t="str">
        <f t="shared" ca="1" si="0"/>
        <v>#REF!</v>
      </c>
      <c r="K859" s="82" t="str">
        <f t="shared" ca="1" si="1"/>
        <v>#REF!</v>
      </c>
      <c r="L859" s="82" t="str">
        <f t="shared" ca="1" si="44"/>
        <v>#REF!</v>
      </c>
      <c r="M859" s="93"/>
      <c r="N859" s="93"/>
      <c r="O859" s="95">
        <f t="shared" si="2"/>
        <v>0</v>
      </c>
      <c r="P859" s="96">
        <f t="shared" si="3"/>
        <v>0</v>
      </c>
      <c r="Q859" s="97">
        <f t="shared" si="4"/>
        <v>0</v>
      </c>
      <c r="R859" s="97" t="str">
        <f ca="1">ROUNDUP(HLOOKUP(IF(CEILING(L859,0.5)&lt;1,0.5,CEILING(L859,0.5)),'배송비 조회'!A$44:AO$56,7,0)*B$3,-2)</f>
        <v>#REF!</v>
      </c>
      <c r="S859" s="97">
        <v>0</v>
      </c>
      <c r="T859" s="97" t="str">
        <f t="shared" ca="1" si="42"/>
        <v>#REF!</v>
      </c>
      <c r="U859" s="97" t="str">
        <f t="shared" ca="1" si="29"/>
        <v>#REF!</v>
      </c>
      <c r="V859" s="97" t="str">
        <f t="shared" ca="1" si="7"/>
        <v>#REF!</v>
      </c>
      <c r="W859" s="97" t="str">
        <f t="shared" ca="1" si="8"/>
        <v>#REF!</v>
      </c>
      <c r="X859" s="121">
        <v>0</v>
      </c>
      <c r="Y859" s="121" t="str">
        <f t="shared" ca="1" si="9"/>
        <v>#REF!</v>
      </c>
      <c r="Z859" s="121" t="str">
        <f t="shared" ca="1" si="10"/>
        <v>#REF!</v>
      </c>
      <c r="AA859" s="99" t="str">
        <f t="shared" ca="1" si="11"/>
        <v>#REF!</v>
      </c>
      <c r="AB859" s="234" t="str">
        <f t="shared" ca="1" si="12"/>
        <v>#REF!</v>
      </c>
      <c r="AC859" s="257" t="str">
        <f t="shared" ca="1" si="13"/>
        <v>#REF!</v>
      </c>
      <c r="AD859" s="234" t="str">
        <f t="shared" ca="1" si="14"/>
        <v>#REF!</v>
      </c>
      <c r="AE859" s="100" t="str">
        <f t="shared" ca="1" si="15"/>
        <v>#REF!</v>
      </c>
      <c r="AF859" s="101" t="str">
        <f t="shared" ca="1" si="16"/>
        <v>#REF!</v>
      </c>
      <c r="AG859" s="102" t="str">
        <f t="shared" ref="AG859:AH859" ca="1" si="877">AE859/V859</f>
        <v>#REF!</v>
      </c>
      <c r="AH859" s="102" t="str">
        <f t="shared" ca="1" si="877"/>
        <v>#REF!</v>
      </c>
    </row>
    <row r="860" spans="1:34" ht="13.2">
      <c r="A860" s="251"/>
      <c r="B860" s="251"/>
      <c r="C860" s="252"/>
      <c r="D860" s="252"/>
      <c r="E860" s="114"/>
      <c r="F860" s="252"/>
      <c r="G860" s="125" t="s">
        <v>145</v>
      </c>
      <c r="I860" s="172"/>
      <c r="J860" s="82" t="str">
        <f t="shared" ca="1" si="0"/>
        <v>#REF!</v>
      </c>
      <c r="K860" s="82" t="str">
        <f t="shared" ca="1" si="1"/>
        <v>#REF!</v>
      </c>
      <c r="L860" s="82" t="str">
        <f t="shared" ca="1" si="44"/>
        <v>#REF!</v>
      </c>
      <c r="M860" s="93"/>
      <c r="N860" s="93"/>
      <c r="O860" s="95">
        <f t="shared" si="2"/>
        <v>0</v>
      </c>
      <c r="P860" s="96">
        <f t="shared" si="3"/>
        <v>0</v>
      </c>
      <c r="Q860" s="97">
        <f t="shared" si="4"/>
        <v>0</v>
      </c>
      <c r="R860" s="97" t="str">
        <f ca="1">ROUNDUP(HLOOKUP(IF(CEILING(L860,0.5)&lt;1,0.5,CEILING(L860,0.5)),'배송비 조회'!A$44:AO$56,7,0)*B$3,-2)</f>
        <v>#REF!</v>
      </c>
      <c r="S860" s="97">
        <v>0</v>
      </c>
      <c r="T860" s="97" t="str">
        <f t="shared" ca="1" si="42"/>
        <v>#REF!</v>
      </c>
      <c r="U860" s="97" t="str">
        <f t="shared" ca="1" si="29"/>
        <v>#REF!</v>
      </c>
      <c r="V860" s="97" t="str">
        <f t="shared" ca="1" si="7"/>
        <v>#REF!</v>
      </c>
      <c r="W860" s="97" t="str">
        <f t="shared" ca="1" si="8"/>
        <v>#REF!</v>
      </c>
      <c r="X860" s="121">
        <v>0</v>
      </c>
      <c r="Y860" s="121" t="str">
        <f t="shared" ca="1" si="9"/>
        <v>#REF!</v>
      </c>
      <c r="Z860" s="121" t="str">
        <f t="shared" ca="1" si="10"/>
        <v>#REF!</v>
      </c>
      <c r="AA860" s="99" t="str">
        <f t="shared" ca="1" si="11"/>
        <v>#REF!</v>
      </c>
      <c r="AB860" s="234" t="str">
        <f t="shared" ca="1" si="12"/>
        <v>#REF!</v>
      </c>
      <c r="AC860" s="257" t="str">
        <f t="shared" ca="1" si="13"/>
        <v>#REF!</v>
      </c>
      <c r="AD860" s="234" t="str">
        <f t="shared" ca="1" si="14"/>
        <v>#REF!</v>
      </c>
      <c r="AE860" s="100" t="str">
        <f t="shared" ca="1" si="15"/>
        <v>#REF!</v>
      </c>
      <c r="AF860" s="101" t="str">
        <f t="shared" ca="1" si="16"/>
        <v>#REF!</v>
      </c>
      <c r="AG860" s="102" t="str">
        <f t="shared" ref="AG860:AH860" ca="1" si="878">AE860/V860</f>
        <v>#REF!</v>
      </c>
      <c r="AH860" s="102" t="str">
        <f t="shared" ca="1" si="878"/>
        <v>#REF!</v>
      </c>
    </row>
    <row r="861" spans="1:34" ht="13.2">
      <c r="A861" s="251"/>
      <c r="B861" s="251"/>
      <c r="C861" s="252"/>
      <c r="D861" s="252"/>
      <c r="E861" s="114"/>
      <c r="F861" s="252"/>
      <c r="G861" s="125" t="s">
        <v>145</v>
      </c>
      <c r="I861" s="172"/>
      <c r="J861" s="82" t="str">
        <f t="shared" ca="1" si="0"/>
        <v>#REF!</v>
      </c>
      <c r="K861" s="82" t="str">
        <f t="shared" ca="1" si="1"/>
        <v>#REF!</v>
      </c>
      <c r="L861" s="82" t="str">
        <f t="shared" ca="1" si="44"/>
        <v>#REF!</v>
      </c>
      <c r="M861" s="93"/>
      <c r="N861" s="93"/>
      <c r="O861" s="95">
        <f t="shared" si="2"/>
        <v>0</v>
      </c>
      <c r="P861" s="96">
        <f t="shared" si="3"/>
        <v>0</v>
      </c>
      <c r="Q861" s="97">
        <f t="shared" si="4"/>
        <v>0</v>
      </c>
      <c r="R861" s="97" t="str">
        <f ca="1">ROUNDUP(HLOOKUP(IF(CEILING(L861,0.5)&lt;1,0.5,CEILING(L861,0.5)),'배송비 조회'!A$44:AO$56,7,0)*B$3,-2)</f>
        <v>#REF!</v>
      </c>
      <c r="S861" s="97">
        <v>0</v>
      </c>
      <c r="T861" s="97" t="str">
        <f t="shared" ca="1" si="42"/>
        <v>#REF!</v>
      </c>
      <c r="U861" s="97" t="str">
        <f t="shared" ca="1" si="29"/>
        <v>#REF!</v>
      </c>
      <c r="V861" s="97" t="str">
        <f t="shared" ca="1" si="7"/>
        <v>#REF!</v>
      </c>
      <c r="W861" s="97" t="str">
        <f t="shared" ca="1" si="8"/>
        <v>#REF!</v>
      </c>
      <c r="X861" s="121">
        <v>0</v>
      </c>
      <c r="Y861" s="121" t="str">
        <f t="shared" ca="1" si="9"/>
        <v>#REF!</v>
      </c>
      <c r="Z861" s="121" t="str">
        <f t="shared" ca="1" si="10"/>
        <v>#REF!</v>
      </c>
      <c r="AA861" s="99" t="str">
        <f t="shared" ca="1" si="11"/>
        <v>#REF!</v>
      </c>
      <c r="AB861" s="234" t="str">
        <f t="shared" ca="1" si="12"/>
        <v>#REF!</v>
      </c>
      <c r="AC861" s="257" t="str">
        <f t="shared" ca="1" si="13"/>
        <v>#REF!</v>
      </c>
      <c r="AD861" s="234" t="str">
        <f t="shared" ca="1" si="14"/>
        <v>#REF!</v>
      </c>
      <c r="AE861" s="100" t="str">
        <f t="shared" ca="1" si="15"/>
        <v>#REF!</v>
      </c>
      <c r="AF861" s="101" t="str">
        <f t="shared" ca="1" si="16"/>
        <v>#REF!</v>
      </c>
      <c r="AG861" s="102" t="str">
        <f t="shared" ref="AG861:AH861" ca="1" si="879">AE861/V861</f>
        <v>#REF!</v>
      </c>
      <c r="AH861" s="102" t="str">
        <f t="shared" ca="1" si="879"/>
        <v>#REF!</v>
      </c>
    </row>
    <row r="862" spans="1:34" ht="13.2">
      <c r="A862" s="251"/>
      <c r="B862" s="251"/>
      <c r="C862" s="252"/>
      <c r="D862" s="252"/>
      <c r="E862" s="114"/>
      <c r="F862" s="252"/>
      <c r="G862" s="125" t="s">
        <v>145</v>
      </c>
      <c r="I862" s="172"/>
      <c r="J862" s="82" t="str">
        <f t="shared" ca="1" si="0"/>
        <v>#REF!</v>
      </c>
      <c r="K862" s="82" t="str">
        <f t="shared" ca="1" si="1"/>
        <v>#REF!</v>
      </c>
      <c r="L862" s="82" t="str">
        <f t="shared" ca="1" si="44"/>
        <v>#REF!</v>
      </c>
      <c r="M862" s="93"/>
      <c r="N862" s="93"/>
      <c r="O862" s="95">
        <f t="shared" si="2"/>
        <v>0</v>
      </c>
      <c r="P862" s="96">
        <f t="shared" si="3"/>
        <v>0</v>
      </c>
      <c r="Q862" s="97">
        <f t="shared" si="4"/>
        <v>0</v>
      </c>
      <c r="R862" s="97" t="str">
        <f ca="1">ROUNDUP(HLOOKUP(IF(CEILING(L862,0.5)&lt;1,0.5,CEILING(L862,0.5)),'배송비 조회'!A$44:AO$56,7,0)*B$3,-2)</f>
        <v>#REF!</v>
      </c>
      <c r="S862" s="97">
        <v>0</v>
      </c>
      <c r="T862" s="97" t="str">
        <f t="shared" ca="1" si="42"/>
        <v>#REF!</v>
      </c>
      <c r="U862" s="97" t="str">
        <f t="shared" ca="1" si="29"/>
        <v>#REF!</v>
      </c>
      <c r="V862" s="97" t="str">
        <f t="shared" ca="1" si="7"/>
        <v>#REF!</v>
      </c>
      <c r="W862" s="97" t="str">
        <f t="shared" ca="1" si="8"/>
        <v>#REF!</v>
      </c>
      <c r="X862" s="121">
        <v>0</v>
      </c>
      <c r="Y862" s="121" t="str">
        <f t="shared" ca="1" si="9"/>
        <v>#REF!</v>
      </c>
      <c r="Z862" s="121" t="str">
        <f t="shared" ca="1" si="10"/>
        <v>#REF!</v>
      </c>
      <c r="AA862" s="99" t="str">
        <f t="shared" ca="1" si="11"/>
        <v>#REF!</v>
      </c>
      <c r="AB862" s="234" t="str">
        <f t="shared" ca="1" si="12"/>
        <v>#REF!</v>
      </c>
      <c r="AC862" s="257" t="str">
        <f t="shared" ca="1" si="13"/>
        <v>#REF!</v>
      </c>
      <c r="AD862" s="234" t="str">
        <f t="shared" ca="1" si="14"/>
        <v>#REF!</v>
      </c>
      <c r="AE862" s="100" t="str">
        <f t="shared" ca="1" si="15"/>
        <v>#REF!</v>
      </c>
      <c r="AF862" s="101" t="str">
        <f t="shared" ca="1" si="16"/>
        <v>#REF!</v>
      </c>
      <c r="AG862" s="102" t="str">
        <f t="shared" ref="AG862:AH862" ca="1" si="880">AE862/V862</f>
        <v>#REF!</v>
      </c>
      <c r="AH862" s="102" t="str">
        <f t="shared" ca="1" si="880"/>
        <v>#REF!</v>
      </c>
    </row>
    <row r="863" spans="1:34" ht="13.2">
      <c r="A863" s="251"/>
      <c r="B863" s="251"/>
      <c r="C863" s="252"/>
      <c r="D863" s="252"/>
      <c r="E863" s="114"/>
      <c r="F863" s="252"/>
      <c r="G863" s="125" t="s">
        <v>145</v>
      </c>
      <c r="I863" s="172"/>
      <c r="J863" s="82" t="str">
        <f t="shared" ca="1" si="0"/>
        <v>#REF!</v>
      </c>
      <c r="K863" s="82" t="str">
        <f t="shared" ca="1" si="1"/>
        <v>#REF!</v>
      </c>
      <c r="L863" s="82" t="str">
        <f t="shared" ca="1" si="44"/>
        <v>#REF!</v>
      </c>
      <c r="M863" s="93"/>
      <c r="N863" s="93"/>
      <c r="O863" s="95">
        <f t="shared" si="2"/>
        <v>0</v>
      </c>
      <c r="P863" s="96">
        <f t="shared" si="3"/>
        <v>0</v>
      </c>
      <c r="Q863" s="97">
        <f t="shared" si="4"/>
        <v>0</v>
      </c>
      <c r="R863" s="97" t="str">
        <f ca="1">ROUNDUP(HLOOKUP(IF(CEILING(L863,0.5)&lt;1,0.5,CEILING(L863,0.5)),'배송비 조회'!A$44:AO$56,7,0)*B$3,-2)</f>
        <v>#REF!</v>
      </c>
      <c r="S863" s="97">
        <v>0</v>
      </c>
      <c r="T863" s="97" t="str">
        <f t="shared" ca="1" si="42"/>
        <v>#REF!</v>
      </c>
      <c r="U863" s="97" t="str">
        <f t="shared" ca="1" si="29"/>
        <v>#REF!</v>
      </c>
      <c r="V863" s="97" t="str">
        <f t="shared" ca="1" si="7"/>
        <v>#REF!</v>
      </c>
      <c r="W863" s="97" t="str">
        <f t="shared" ca="1" si="8"/>
        <v>#REF!</v>
      </c>
      <c r="X863" s="121">
        <v>0</v>
      </c>
      <c r="Y863" s="121" t="str">
        <f t="shared" ca="1" si="9"/>
        <v>#REF!</v>
      </c>
      <c r="Z863" s="121" t="str">
        <f t="shared" ca="1" si="10"/>
        <v>#REF!</v>
      </c>
      <c r="AA863" s="99" t="str">
        <f t="shared" ca="1" si="11"/>
        <v>#REF!</v>
      </c>
      <c r="AB863" s="234" t="str">
        <f t="shared" ca="1" si="12"/>
        <v>#REF!</v>
      </c>
      <c r="AC863" s="257" t="str">
        <f t="shared" ca="1" si="13"/>
        <v>#REF!</v>
      </c>
      <c r="AD863" s="234" t="str">
        <f t="shared" ca="1" si="14"/>
        <v>#REF!</v>
      </c>
      <c r="AE863" s="100" t="str">
        <f t="shared" ca="1" si="15"/>
        <v>#REF!</v>
      </c>
      <c r="AF863" s="101" t="str">
        <f t="shared" ca="1" si="16"/>
        <v>#REF!</v>
      </c>
      <c r="AG863" s="102" t="str">
        <f t="shared" ref="AG863:AH863" ca="1" si="881">AE863/V863</f>
        <v>#REF!</v>
      </c>
      <c r="AH863" s="102" t="str">
        <f t="shared" ca="1" si="881"/>
        <v>#REF!</v>
      </c>
    </row>
    <row r="864" spans="1:34" ht="13.2">
      <c r="A864" s="251"/>
      <c r="B864" s="251"/>
      <c r="C864" s="252"/>
      <c r="D864" s="252"/>
      <c r="E864" s="114"/>
      <c r="F864" s="252"/>
      <c r="G864" s="125" t="s">
        <v>145</v>
      </c>
      <c r="I864" s="172"/>
      <c r="J864" s="82" t="str">
        <f t="shared" ca="1" si="0"/>
        <v>#REF!</v>
      </c>
      <c r="K864" s="82" t="str">
        <f t="shared" ca="1" si="1"/>
        <v>#REF!</v>
      </c>
      <c r="L864" s="82" t="str">
        <f t="shared" ca="1" si="44"/>
        <v>#REF!</v>
      </c>
      <c r="M864" s="93"/>
      <c r="N864" s="93"/>
      <c r="O864" s="95">
        <f t="shared" si="2"/>
        <v>0</v>
      </c>
      <c r="P864" s="96">
        <f t="shared" si="3"/>
        <v>0</v>
      </c>
      <c r="Q864" s="97">
        <f t="shared" si="4"/>
        <v>0</v>
      </c>
      <c r="R864" s="97" t="str">
        <f ca="1">ROUNDUP(HLOOKUP(IF(CEILING(L864,0.5)&lt;1,0.5,CEILING(L864,0.5)),'배송비 조회'!A$44:AO$56,7,0)*B$3,-2)</f>
        <v>#REF!</v>
      </c>
      <c r="S864" s="97">
        <v>0</v>
      </c>
      <c r="T864" s="97" t="str">
        <f t="shared" ca="1" si="42"/>
        <v>#REF!</v>
      </c>
      <c r="U864" s="97" t="str">
        <f t="shared" ca="1" si="29"/>
        <v>#REF!</v>
      </c>
      <c r="V864" s="97" t="str">
        <f t="shared" ca="1" si="7"/>
        <v>#REF!</v>
      </c>
      <c r="W864" s="97" t="str">
        <f t="shared" ca="1" si="8"/>
        <v>#REF!</v>
      </c>
      <c r="X864" s="121">
        <v>0</v>
      </c>
      <c r="Y864" s="121" t="str">
        <f t="shared" ca="1" si="9"/>
        <v>#REF!</v>
      </c>
      <c r="Z864" s="121" t="str">
        <f t="shared" ca="1" si="10"/>
        <v>#REF!</v>
      </c>
      <c r="AA864" s="99" t="str">
        <f t="shared" ca="1" si="11"/>
        <v>#REF!</v>
      </c>
      <c r="AB864" s="234" t="str">
        <f t="shared" ca="1" si="12"/>
        <v>#REF!</v>
      </c>
      <c r="AC864" s="257" t="str">
        <f t="shared" ca="1" si="13"/>
        <v>#REF!</v>
      </c>
      <c r="AD864" s="234" t="str">
        <f t="shared" ca="1" si="14"/>
        <v>#REF!</v>
      </c>
      <c r="AE864" s="100" t="str">
        <f t="shared" ca="1" si="15"/>
        <v>#REF!</v>
      </c>
      <c r="AF864" s="101" t="str">
        <f t="shared" ca="1" si="16"/>
        <v>#REF!</v>
      </c>
      <c r="AG864" s="102" t="str">
        <f t="shared" ref="AG864:AH864" ca="1" si="882">AE864/V864</f>
        <v>#REF!</v>
      </c>
      <c r="AH864" s="102" t="str">
        <f t="shared" ca="1" si="882"/>
        <v>#REF!</v>
      </c>
    </row>
    <row r="865" spans="1:34" ht="13.2">
      <c r="A865" s="251"/>
      <c r="B865" s="251"/>
      <c r="C865" s="252"/>
      <c r="D865" s="252"/>
      <c r="E865" s="114"/>
      <c r="F865" s="252"/>
      <c r="G865" s="125" t="s">
        <v>145</v>
      </c>
      <c r="I865" s="172"/>
      <c r="J865" s="82" t="str">
        <f t="shared" ca="1" si="0"/>
        <v>#REF!</v>
      </c>
      <c r="K865" s="82" t="str">
        <f t="shared" ca="1" si="1"/>
        <v>#REF!</v>
      </c>
      <c r="L865" s="82" t="str">
        <f t="shared" ca="1" si="44"/>
        <v>#REF!</v>
      </c>
      <c r="M865" s="93"/>
      <c r="N865" s="93"/>
      <c r="O865" s="95">
        <f t="shared" si="2"/>
        <v>0</v>
      </c>
      <c r="P865" s="96">
        <f t="shared" si="3"/>
        <v>0</v>
      </c>
      <c r="Q865" s="97">
        <f t="shared" si="4"/>
        <v>0</v>
      </c>
      <c r="R865" s="97" t="str">
        <f ca="1">ROUNDUP(HLOOKUP(IF(CEILING(L865,0.5)&lt;1,0.5,CEILING(L865,0.5)),'배송비 조회'!A$44:AO$56,7,0)*B$3,-2)</f>
        <v>#REF!</v>
      </c>
      <c r="S865" s="97">
        <v>0</v>
      </c>
      <c r="T865" s="97" t="str">
        <f t="shared" ca="1" si="42"/>
        <v>#REF!</v>
      </c>
      <c r="U865" s="97" t="str">
        <f t="shared" ca="1" si="29"/>
        <v>#REF!</v>
      </c>
      <c r="V865" s="97" t="str">
        <f t="shared" ca="1" si="7"/>
        <v>#REF!</v>
      </c>
      <c r="W865" s="97" t="str">
        <f t="shared" ca="1" si="8"/>
        <v>#REF!</v>
      </c>
      <c r="X865" s="121">
        <v>0</v>
      </c>
      <c r="Y865" s="121" t="str">
        <f t="shared" ca="1" si="9"/>
        <v>#REF!</v>
      </c>
      <c r="Z865" s="121" t="str">
        <f t="shared" ca="1" si="10"/>
        <v>#REF!</v>
      </c>
      <c r="AA865" s="99" t="str">
        <f t="shared" ca="1" si="11"/>
        <v>#REF!</v>
      </c>
      <c r="AB865" s="234" t="str">
        <f t="shared" ca="1" si="12"/>
        <v>#REF!</v>
      </c>
      <c r="AC865" s="257" t="str">
        <f t="shared" ca="1" si="13"/>
        <v>#REF!</v>
      </c>
      <c r="AD865" s="234" t="str">
        <f t="shared" ca="1" si="14"/>
        <v>#REF!</v>
      </c>
      <c r="AE865" s="100" t="str">
        <f t="shared" ca="1" si="15"/>
        <v>#REF!</v>
      </c>
      <c r="AF865" s="101" t="str">
        <f t="shared" ca="1" si="16"/>
        <v>#REF!</v>
      </c>
      <c r="AG865" s="102" t="str">
        <f t="shared" ref="AG865:AH865" ca="1" si="883">AE865/V865</f>
        <v>#REF!</v>
      </c>
      <c r="AH865" s="102" t="str">
        <f t="shared" ca="1" si="883"/>
        <v>#REF!</v>
      </c>
    </row>
    <row r="866" spans="1:34" ht="13.2">
      <c r="A866" s="251"/>
      <c r="B866" s="251"/>
      <c r="C866" s="252"/>
      <c r="D866" s="252"/>
      <c r="E866" s="114"/>
      <c r="F866" s="252"/>
      <c r="G866" s="125" t="s">
        <v>145</v>
      </c>
      <c r="I866" s="172"/>
      <c r="J866" s="82" t="str">
        <f t="shared" ca="1" si="0"/>
        <v>#REF!</v>
      </c>
      <c r="K866" s="82" t="str">
        <f t="shared" ca="1" si="1"/>
        <v>#REF!</v>
      </c>
      <c r="L866" s="82" t="str">
        <f t="shared" ca="1" si="44"/>
        <v>#REF!</v>
      </c>
      <c r="M866" s="93"/>
      <c r="N866" s="93"/>
      <c r="O866" s="95">
        <f t="shared" si="2"/>
        <v>0</v>
      </c>
      <c r="P866" s="96">
        <f t="shared" si="3"/>
        <v>0</v>
      </c>
      <c r="Q866" s="97">
        <f t="shared" si="4"/>
        <v>0</v>
      </c>
      <c r="R866" s="97" t="str">
        <f ca="1">ROUNDUP(HLOOKUP(IF(CEILING(L866,0.5)&lt;1,0.5,CEILING(L866,0.5)),'배송비 조회'!A$44:AO$56,7,0)*B$3,-2)</f>
        <v>#REF!</v>
      </c>
      <c r="S866" s="97">
        <v>0</v>
      </c>
      <c r="T866" s="97" t="str">
        <f t="shared" ca="1" si="42"/>
        <v>#REF!</v>
      </c>
      <c r="U866" s="97" t="str">
        <f t="shared" ca="1" si="29"/>
        <v>#REF!</v>
      </c>
      <c r="V866" s="97" t="str">
        <f t="shared" ca="1" si="7"/>
        <v>#REF!</v>
      </c>
      <c r="W866" s="97" t="str">
        <f t="shared" ca="1" si="8"/>
        <v>#REF!</v>
      </c>
      <c r="X866" s="121">
        <v>0</v>
      </c>
      <c r="Y866" s="121" t="str">
        <f t="shared" ca="1" si="9"/>
        <v>#REF!</v>
      </c>
      <c r="Z866" s="121" t="str">
        <f t="shared" ca="1" si="10"/>
        <v>#REF!</v>
      </c>
      <c r="AA866" s="99" t="str">
        <f t="shared" ca="1" si="11"/>
        <v>#REF!</v>
      </c>
      <c r="AB866" s="234" t="str">
        <f t="shared" ca="1" si="12"/>
        <v>#REF!</v>
      </c>
      <c r="AC866" s="257" t="str">
        <f t="shared" ca="1" si="13"/>
        <v>#REF!</v>
      </c>
      <c r="AD866" s="234" t="str">
        <f t="shared" ca="1" si="14"/>
        <v>#REF!</v>
      </c>
      <c r="AE866" s="100" t="str">
        <f t="shared" ca="1" si="15"/>
        <v>#REF!</v>
      </c>
      <c r="AF866" s="101" t="str">
        <f t="shared" ca="1" si="16"/>
        <v>#REF!</v>
      </c>
      <c r="AG866" s="102" t="str">
        <f t="shared" ref="AG866:AH866" ca="1" si="884">AE866/V866</f>
        <v>#REF!</v>
      </c>
      <c r="AH866" s="102" t="str">
        <f t="shared" ca="1" si="884"/>
        <v>#REF!</v>
      </c>
    </row>
    <row r="867" spans="1:34" ht="13.2">
      <c r="A867" s="251"/>
      <c r="B867" s="251"/>
      <c r="C867" s="252"/>
      <c r="D867" s="252"/>
      <c r="E867" s="114"/>
      <c r="F867" s="252"/>
      <c r="G867" s="125" t="s">
        <v>145</v>
      </c>
      <c r="I867" s="172"/>
      <c r="J867" s="82" t="str">
        <f t="shared" ca="1" si="0"/>
        <v>#REF!</v>
      </c>
      <c r="K867" s="82" t="str">
        <f t="shared" ca="1" si="1"/>
        <v>#REF!</v>
      </c>
      <c r="L867" s="82" t="str">
        <f t="shared" ca="1" si="44"/>
        <v>#REF!</v>
      </c>
      <c r="M867" s="93"/>
      <c r="N867" s="93"/>
      <c r="O867" s="95">
        <f t="shared" si="2"/>
        <v>0</v>
      </c>
      <c r="P867" s="96">
        <f t="shared" si="3"/>
        <v>0</v>
      </c>
      <c r="Q867" s="97">
        <f t="shared" si="4"/>
        <v>0</v>
      </c>
      <c r="R867" s="97" t="str">
        <f ca="1">ROUNDUP(HLOOKUP(IF(CEILING(L867,0.5)&lt;1,0.5,CEILING(L867,0.5)),'배송비 조회'!A$44:AO$56,7,0)*B$3,-2)</f>
        <v>#REF!</v>
      </c>
      <c r="S867" s="97">
        <v>0</v>
      </c>
      <c r="T867" s="97" t="str">
        <f t="shared" ca="1" si="42"/>
        <v>#REF!</v>
      </c>
      <c r="U867" s="97" t="str">
        <f t="shared" ca="1" si="29"/>
        <v>#REF!</v>
      </c>
      <c r="V867" s="97" t="str">
        <f t="shared" ca="1" si="7"/>
        <v>#REF!</v>
      </c>
      <c r="W867" s="97" t="str">
        <f t="shared" ca="1" si="8"/>
        <v>#REF!</v>
      </c>
      <c r="X867" s="121">
        <v>0</v>
      </c>
      <c r="Y867" s="121" t="str">
        <f t="shared" ca="1" si="9"/>
        <v>#REF!</v>
      </c>
      <c r="Z867" s="121" t="str">
        <f t="shared" ca="1" si="10"/>
        <v>#REF!</v>
      </c>
      <c r="AA867" s="99" t="str">
        <f t="shared" ca="1" si="11"/>
        <v>#REF!</v>
      </c>
      <c r="AB867" s="234" t="str">
        <f t="shared" ca="1" si="12"/>
        <v>#REF!</v>
      </c>
      <c r="AC867" s="257" t="str">
        <f t="shared" ca="1" si="13"/>
        <v>#REF!</v>
      </c>
      <c r="AD867" s="234" t="str">
        <f t="shared" ca="1" si="14"/>
        <v>#REF!</v>
      </c>
      <c r="AE867" s="100" t="str">
        <f t="shared" ca="1" si="15"/>
        <v>#REF!</v>
      </c>
      <c r="AF867" s="101" t="str">
        <f t="shared" ca="1" si="16"/>
        <v>#REF!</v>
      </c>
      <c r="AG867" s="102" t="str">
        <f t="shared" ref="AG867:AH867" ca="1" si="885">AE867/V867</f>
        <v>#REF!</v>
      </c>
      <c r="AH867" s="102" t="str">
        <f t="shared" ca="1" si="885"/>
        <v>#REF!</v>
      </c>
    </row>
    <row r="868" spans="1:34" ht="13.2">
      <c r="A868" s="251"/>
      <c r="B868" s="251"/>
      <c r="C868" s="252"/>
      <c r="D868" s="252"/>
      <c r="E868" s="114"/>
      <c r="F868" s="252"/>
      <c r="G868" s="125" t="s">
        <v>145</v>
      </c>
      <c r="I868" s="172"/>
      <c r="J868" s="82" t="str">
        <f t="shared" ca="1" si="0"/>
        <v>#REF!</v>
      </c>
      <c r="K868" s="82" t="str">
        <f t="shared" ca="1" si="1"/>
        <v>#REF!</v>
      </c>
      <c r="L868" s="82" t="str">
        <f t="shared" ca="1" si="44"/>
        <v>#REF!</v>
      </c>
      <c r="M868" s="93"/>
      <c r="N868" s="93"/>
      <c r="O868" s="95">
        <f t="shared" si="2"/>
        <v>0</v>
      </c>
      <c r="P868" s="96">
        <f t="shared" si="3"/>
        <v>0</v>
      </c>
      <c r="Q868" s="97">
        <f t="shared" si="4"/>
        <v>0</v>
      </c>
      <c r="R868" s="97" t="str">
        <f ca="1">ROUNDUP(HLOOKUP(IF(CEILING(L868,0.5)&lt;1,0.5,CEILING(L868,0.5)),'배송비 조회'!A$44:AO$56,7,0)*B$3,-2)</f>
        <v>#REF!</v>
      </c>
      <c r="S868" s="97">
        <v>0</v>
      </c>
      <c r="T868" s="97" t="str">
        <f t="shared" ca="1" si="42"/>
        <v>#REF!</v>
      </c>
      <c r="U868" s="97" t="str">
        <f t="shared" ca="1" si="29"/>
        <v>#REF!</v>
      </c>
      <c r="V868" s="97" t="str">
        <f t="shared" ca="1" si="7"/>
        <v>#REF!</v>
      </c>
      <c r="W868" s="97" t="str">
        <f t="shared" ca="1" si="8"/>
        <v>#REF!</v>
      </c>
      <c r="X868" s="121">
        <v>0</v>
      </c>
      <c r="Y868" s="121" t="str">
        <f t="shared" ca="1" si="9"/>
        <v>#REF!</v>
      </c>
      <c r="Z868" s="121" t="str">
        <f t="shared" ca="1" si="10"/>
        <v>#REF!</v>
      </c>
      <c r="AA868" s="99" t="str">
        <f t="shared" ca="1" si="11"/>
        <v>#REF!</v>
      </c>
      <c r="AB868" s="234" t="str">
        <f t="shared" ca="1" si="12"/>
        <v>#REF!</v>
      </c>
      <c r="AC868" s="257" t="str">
        <f t="shared" ca="1" si="13"/>
        <v>#REF!</v>
      </c>
      <c r="AD868" s="234" t="str">
        <f t="shared" ca="1" si="14"/>
        <v>#REF!</v>
      </c>
      <c r="AE868" s="100" t="str">
        <f t="shared" ca="1" si="15"/>
        <v>#REF!</v>
      </c>
      <c r="AF868" s="101" t="str">
        <f t="shared" ca="1" si="16"/>
        <v>#REF!</v>
      </c>
      <c r="AG868" s="102" t="str">
        <f t="shared" ref="AG868:AH868" ca="1" si="886">AE868/V868</f>
        <v>#REF!</v>
      </c>
      <c r="AH868" s="102" t="str">
        <f t="shared" ca="1" si="886"/>
        <v>#REF!</v>
      </c>
    </row>
    <row r="869" spans="1:34" ht="13.2">
      <c r="A869" s="251"/>
      <c r="B869" s="251"/>
      <c r="C869" s="252"/>
      <c r="D869" s="252"/>
      <c r="E869" s="114"/>
      <c r="F869" s="252"/>
      <c r="G869" s="125" t="s">
        <v>145</v>
      </c>
      <c r="I869" s="172"/>
      <c r="J869" s="82" t="str">
        <f t="shared" ca="1" si="0"/>
        <v>#REF!</v>
      </c>
      <c r="K869" s="82" t="str">
        <f t="shared" ca="1" si="1"/>
        <v>#REF!</v>
      </c>
      <c r="L869" s="82" t="str">
        <f t="shared" ca="1" si="44"/>
        <v>#REF!</v>
      </c>
      <c r="M869" s="93"/>
      <c r="N869" s="93"/>
      <c r="O869" s="95">
        <f t="shared" si="2"/>
        <v>0</v>
      </c>
      <c r="P869" s="96">
        <f t="shared" si="3"/>
        <v>0</v>
      </c>
      <c r="Q869" s="97">
        <f t="shared" si="4"/>
        <v>0</v>
      </c>
      <c r="R869" s="97" t="str">
        <f ca="1">ROUNDUP(HLOOKUP(IF(CEILING(L869,0.5)&lt;1,0.5,CEILING(L869,0.5)),'배송비 조회'!A$44:AO$56,7,0)*B$3,-2)</f>
        <v>#REF!</v>
      </c>
      <c r="S869" s="97">
        <v>0</v>
      </c>
      <c r="T869" s="97" t="str">
        <f t="shared" ca="1" si="42"/>
        <v>#REF!</v>
      </c>
      <c r="U869" s="97" t="str">
        <f t="shared" ca="1" si="29"/>
        <v>#REF!</v>
      </c>
      <c r="V869" s="97" t="str">
        <f t="shared" ca="1" si="7"/>
        <v>#REF!</v>
      </c>
      <c r="W869" s="97" t="str">
        <f t="shared" ca="1" si="8"/>
        <v>#REF!</v>
      </c>
      <c r="X869" s="121">
        <v>0</v>
      </c>
      <c r="Y869" s="121" t="str">
        <f t="shared" ca="1" si="9"/>
        <v>#REF!</v>
      </c>
      <c r="Z869" s="121" t="str">
        <f t="shared" ca="1" si="10"/>
        <v>#REF!</v>
      </c>
      <c r="AA869" s="99" t="str">
        <f t="shared" ca="1" si="11"/>
        <v>#REF!</v>
      </c>
      <c r="AB869" s="234" t="str">
        <f t="shared" ca="1" si="12"/>
        <v>#REF!</v>
      </c>
      <c r="AC869" s="257" t="str">
        <f t="shared" ca="1" si="13"/>
        <v>#REF!</v>
      </c>
      <c r="AD869" s="234" t="str">
        <f t="shared" ca="1" si="14"/>
        <v>#REF!</v>
      </c>
      <c r="AE869" s="100" t="str">
        <f t="shared" ca="1" si="15"/>
        <v>#REF!</v>
      </c>
      <c r="AF869" s="101" t="str">
        <f t="shared" ca="1" si="16"/>
        <v>#REF!</v>
      </c>
      <c r="AG869" s="102" t="str">
        <f t="shared" ref="AG869:AH869" ca="1" si="887">AE869/V869</f>
        <v>#REF!</v>
      </c>
      <c r="AH869" s="102" t="str">
        <f t="shared" ca="1" si="887"/>
        <v>#REF!</v>
      </c>
    </row>
    <row r="870" spans="1:34" ht="13.2">
      <c r="A870" s="251"/>
      <c r="B870" s="251"/>
      <c r="C870" s="252"/>
      <c r="D870" s="252"/>
      <c r="E870" s="114"/>
      <c r="F870" s="252"/>
      <c r="G870" s="125" t="s">
        <v>145</v>
      </c>
      <c r="I870" s="172"/>
      <c r="J870" s="82" t="str">
        <f t="shared" ca="1" si="0"/>
        <v>#REF!</v>
      </c>
      <c r="K870" s="82" t="str">
        <f t="shared" ca="1" si="1"/>
        <v>#REF!</v>
      </c>
      <c r="L870" s="82" t="str">
        <f t="shared" ca="1" si="44"/>
        <v>#REF!</v>
      </c>
      <c r="M870" s="93"/>
      <c r="N870" s="93"/>
      <c r="O870" s="95">
        <f t="shared" si="2"/>
        <v>0</v>
      </c>
      <c r="P870" s="96">
        <f t="shared" si="3"/>
        <v>0</v>
      </c>
      <c r="Q870" s="97">
        <f t="shared" si="4"/>
        <v>0</v>
      </c>
      <c r="R870" s="97" t="str">
        <f ca="1">ROUNDUP(HLOOKUP(IF(CEILING(L870,0.5)&lt;1,0.5,CEILING(L870,0.5)),'배송비 조회'!A$44:AO$56,7,0)*B$3,-2)</f>
        <v>#REF!</v>
      </c>
      <c r="S870" s="97">
        <v>0</v>
      </c>
      <c r="T870" s="97" t="str">
        <f t="shared" ca="1" si="42"/>
        <v>#REF!</v>
      </c>
      <c r="U870" s="97" t="str">
        <f t="shared" ca="1" si="29"/>
        <v>#REF!</v>
      </c>
      <c r="V870" s="97" t="str">
        <f t="shared" ca="1" si="7"/>
        <v>#REF!</v>
      </c>
      <c r="W870" s="97" t="str">
        <f t="shared" ca="1" si="8"/>
        <v>#REF!</v>
      </c>
      <c r="X870" s="121">
        <v>0</v>
      </c>
      <c r="Y870" s="121" t="str">
        <f t="shared" ca="1" si="9"/>
        <v>#REF!</v>
      </c>
      <c r="Z870" s="121" t="str">
        <f t="shared" ca="1" si="10"/>
        <v>#REF!</v>
      </c>
      <c r="AA870" s="99" t="str">
        <f t="shared" ca="1" si="11"/>
        <v>#REF!</v>
      </c>
      <c r="AB870" s="234" t="str">
        <f t="shared" ca="1" si="12"/>
        <v>#REF!</v>
      </c>
      <c r="AC870" s="257" t="str">
        <f t="shared" ca="1" si="13"/>
        <v>#REF!</v>
      </c>
      <c r="AD870" s="234" t="str">
        <f t="shared" ca="1" si="14"/>
        <v>#REF!</v>
      </c>
      <c r="AE870" s="100" t="str">
        <f t="shared" ca="1" si="15"/>
        <v>#REF!</v>
      </c>
      <c r="AF870" s="101" t="str">
        <f t="shared" ca="1" si="16"/>
        <v>#REF!</v>
      </c>
      <c r="AG870" s="102" t="str">
        <f t="shared" ref="AG870:AH870" ca="1" si="888">AE870/V870</f>
        <v>#REF!</v>
      </c>
      <c r="AH870" s="102" t="str">
        <f t="shared" ca="1" si="888"/>
        <v>#REF!</v>
      </c>
    </row>
    <row r="871" spans="1:34" ht="13.2">
      <c r="A871" s="251"/>
      <c r="B871" s="251"/>
      <c r="C871" s="252"/>
      <c r="D871" s="252"/>
      <c r="E871" s="114"/>
      <c r="F871" s="252"/>
      <c r="G871" s="125" t="s">
        <v>145</v>
      </c>
      <c r="I871" s="172"/>
      <c r="J871" s="82" t="str">
        <f t="shared" ca="1" si="0"/>
        <v>#REF!</v>
      </c>
      <c r="K871" s="82" t="str">
        <f t="shared" ca="1" si="1"/>
        <v>#REF!</v>
      </c>
      <c r="L871" s="82" t="str">
        <f t="shared" ca="1" si="44"/>
        <v>#REF!</v>
      </c>
      <c r="M871" s="93"/>
      <c r="N871" s="93"/>
      <c r="O871" s="95">
        <f t="shared" si="2"/>
        <v>0</v>
      </c>
      <c r="P871" s="96">
        <f t="shared" si="3"/>
        <v>0</v>
      </c>
      <c r="Q871" s="97">
        <f t="shared" si="4"/>
        <v>0</v>
      </c>
      <c r="R871" s="97" t="str">
        <f ca="1">ROUNDUP(HLOOKUP(IF(CEILING(L871,0.5)&lt;1,0.5,CEILING(L871,0.5)),'배송비 조회'!A$44:AO$56,7,0)*B$3,-2)</f>
        <v>#REF!</v>
      </c>
      <c r="S871" s="97">
        <v>0</v>
      </c>
      <c r="T871" s="97" t="str">
        <f t="shared" ca="1" si="42"/>
        <v>#REF!</v>
      </c>
      <c r="U871" s="97" t="str">
        <f t="shared" ca="1" si="29"/>
        <v>#REF!</v>
      </c>
      <c r="V871" s="97" t="str">
        <f t="shared" ca="1" si="7"/>
        <v>#REF!</v>
      </c>
      <c r="W871" s="97" t="str">
        <f t="shared" ca="1" si="8"/>
        <v>#REF!</v>
      </c>
      <c r="X871" s="121">
        <v>0</v>
      </c>
      <c r="Y871" s="121" t="str">
        <f t="shared" ca="1" si="9"/>
        <v>#REF!</v>
      </c>
      <c r="Z871" s="121" t="str">
        <f t="shared" ca="1" si="10"/>
        <v>#REF!</v>
      </c>
      <c r="AA871" s="99" t="str">
        <f t="shared" ca="1" si="11"/>
        <v>#REF!</v>
      </c>
      <c r="AB871" s="234" t="str">
        <f t="shared" ca="1" si="12"/>
        <v>#REF!</v>
      </c>
      <c r="AC871" s="257" t="str">
        <f t="shared" ca="1" si="13"/>
        <v>#REF!</v>
      </c>
      <c r="AD871" s="234" t="str">
        <f t="shared" ca="1" si="14"/>
        <v>#REF!</v>
      </c>
      <c r="AE871" s="100" t="str">
        <f t="shared" ca="1" si="15"/>
        <v>#REF!</v>
      </c>
      <c r="AF871" s="101" t="str">
        <f t="shared" ca="1" si="16"/>
        <v>#REF!</v>
      </c>
      <c r="AG871" s="102" t="str">
        <f t="shared" ref="AG871:AH871" ca="1" si="889">AE871/V871</f>
        <v>#REF!</v>
      </c>
      <c r="AH871" s="102" t="str">
        <f t="shared" ca="1" si="889"/>
        <v>#REF!</v>
      </c>
    </row>
    <row r="872" spans="1:34" ht="13.2">
      <c r="A872" s="251"/>
      <c r="B872" s="251"/>
      <c r="C872" s="252"/>
      <c r="D872" s="252"/>
      <c r="E872" s="114"/>
      <c r="F872" s="252"/>
      <c r="G872" s="125" t="s">
        <v>145</v>
      </c>
      <c r="I872" s="172"/>
      <c r="J872" s="82" t="str">
        <f t="shared" ca="1" si="0"/>
        <v>#REF!</v>
      </c>
      <c r="K872" s="82" t="str">
        <f t="shared" ca="1" si="1"/>
        <v>#REF!</v>
      </c>
      <c r="L872" s="82" t="str">
        <f t="shared" ca="1" si="44"/>
        <v>#REF!</v>
      </c>
      <c r="M872" s="93"/>
      <c r="N872" s="93"/>
      <c r="O872" s="95">
        <f t="shared" si="2"/>
        <v>0</v>
      </c>
      <c r="P872" s="96">
        <f t="shared" si="3"/>
        <v>0</v>
      </c>
      <c r="Q872" s="97">
        <f t="shared" si="4"/>
        <v>0</v>
      </c>
      <c r="R872" s="97" t="str">
        <f ca="1">ROUNDUP(HLOOKUP(IF(CEILING(L872,0.5)&lt;1,0.5,CEILING(L872,0.5)),'배송비 조회'!A$44:AO$56,7,0)*B$3,-2)</f>
        <v>#REF!</v>
      </c>
      <c r="S872" s="97">
        <v>0</v>
      </c>
      <c r="T872" s="97" t="str">
        <f t="shared" ca="1" si="42"/>
        <v>#REF!</v>
      </c>
      <c r="U872" s="97" t="str">
        <f t="shared" ca="1" si="29"/>
        <v>#REF!</v>
      </c>
      <c r="V872" s="97" t="str">
        <f t="shared" ca="1" si="7"/>
        <v>#REF!</v>
      </c>
      <c r="W872" s="97" t="str">
        <f t="shared" ca="1" si="8"/>
        <v>#REF!</v>
      </c>
      <c r="X872" s="121">
        <v>0</v>
      </c>
      <c r="Y872" s="121" t="str">
        <f t="shared" ca="1" si="9"/>
        <v>#REF!</v>
      </c>
      <c r="Z872" s="121" t="str">
        <f t="shared" ca="1" si="10"/>
        <v>#REF!</v>
      </c>
      <c r="AA872" s="99" t="str">
        <f t="shared" ca="1" si="11"/>
        <v>#REF!</v>
      </c>
      <c r="AB872" s="234" t="str">
        <f t="shared" ca="1" si="12"/>
        <v>#REF!</v>
      </c>
      <c r="AC872" s="257" t="str">
        <f t="shared" ca="1" si="13"/>
        <v>#REF!</v>
      </c>
      <c r="AD872" s="234" t="str">
        <f t="shared" ca="1" si="14"/>
        <v>#REF!</v>
      </c>
      <c r="AE872" s="100" t="str">
        <f t="shared" ca="1" si="15"/>
        <v>#REF!</v>
      </c>
      <c r="AF872" s="101" t="str">
        <f t="shared" ca="1" si="16"/>
        <v>#REF!</v>
      </c>
      <c r="AG872" s="102" t="str">
        <f t="shared" ref="AG872:AH872" ca="1" si="890">AE872/V872</f>
        <v>#REF!</v>
      </c>
      <c r="AH872" s="102" t="str">
        <f t="shared" ca="1" si="890"/>
        <v>#REF!</v>
      </c>
    </row>
    <row r="873" spans="1:34" ht="13.2">
      <c r="A873" s="251"/>
      <c r="B873" s="251"/>
      <c r="C873" s="252"/>
      <c r="D873" s="252"/>
      <c r="E873" s="114"/>
      <c r="F873" s="252"/>
      <c r="G873" s="125" t="s">
        <v>145</v>
      </c>
      <c r="I873" s="172"/>
      <c r="J873" s="82" t="str">
        <f t="shared" ca="1" si="0"/>
        <v>#REF!</v>
      </c>
      <c r="K873" s="82" t="str">
        <f t="shared" ca="1" si="1"/>
        <v>#REF!</v>
      </c>
      <c r="L873" s="82" t="str">
        <f t="shared" ca="1" si="44"/>
        <v>#REF!</v>
      </c>
      <c r="M873" s="93"/>
      <c r="N873" s="93"/>
      <c r="O873" s="95">
        <f t="shared" si="2"/>
        <v>0</v>
      </c>
      <c r="P873" s="96">
        <f t="shared" si="3"/>
        <v>0</v>
      </c>
      <c r="Q873" s="97">
        <f t="shared" si="4"/>
        <v>0</v>
      </c>
      <c r="R873" s="97" t="str">
        <f ca="1">ROUNDUP(HLOOKUP(IF(CEILING(L873,0.5)&lt;1,0.5,CEILING(L873,0.5)),'배송비 조회'!A$44:AO$56,7,0)*B$3,-2)</f>
        <v>#REF!</v>
      </c>
      <c r="S873" s="97">
        <v>0</v>
      </c>
      <c r="T873" s="97" t="str">
        <f t="shared" ca="1" si="42"/>
        <v>#REF!</v>
      </c>
      <c r="U873" s="97" t="str">
        <f t="shared" ca="1" si="29"/>
        <v>#REF!</v>
      </c>
      <c r="V873" s="97" t="str">
        <f t="shared" ca="1" si="7"/>
        <v>#REF!</v>
      </c>
      <c r="W873" s="97" t="str">
        <f t="shared" ca="1" si="8"/>
        <v>#REF!</v>
      </c>
      <c r="X873" s="121">
        <v>0</v>
      </c>
      <c r="Y873" s="121" t="str">
        <f t="shared" ca="1" si="9"/>
        <v>#REF!</v>
      </c>
      <c r="Z873" s="121" t="str">
        <f t="shared" ca="1" si="10"/>
        <v>#REF!</v>
      </c>
      <c r="AA873" s="99" t="str">
        <f t="shared" ca="1" si="11"/>
        <v>#REF!</v>
      </c>
      <c r="AB873" s="234" t="str">
        <f t="shared" ca="1" si="12"/>
        <v>#REF!</v>
      </c>
      <c r="AC873" s="257" t="str">
        <f t="shared" ca="1" si="13"/>
        <v>#REF!</v>
      </c>
      <c r="AD873" s="234" t="str">
        <f t="shared" ca="1" si="14"/>
        <v>#REF!</v>
      </c>
      <c r="AE873" s="100" t="str">
        <f t="shared" ca="1" si="15"/>
        <v>#REF!</v>
      </c>
      <c r="AF873" s="101" t="str">
        <f t="shared" ca="1" si="16"/>
        <v>#REF!</v>
      </c>
      <c r="AG873" s="102" t="str">
        <f t="shared" ref="AG873:AH873" ca="1" si="891">AE873/V873</f>
        <v>#REF!</v>
      </c>
      <c r="AH873" s="102" t="str">
        <f t="shared" ca="1" si="891"/>
        <v>#REF!</v>
      </c>
    </row>
    <row r="874" spans="1:34" ht="13.2">
      <c r="A874" s="251"/>
      <c r="B874" s="251"/>
      <c r="C874" s="252"/>
      <c r="D874" s="252"/>
      <c r="E874" s="114"/>
      <c r="F874" s="252"/>
      <c r="G874" s="125" t="s">
        <v>145</v>
      </c>
      <c r="I874" s="172"/>
      <c r="J874" s="82" t="str">
        <f t="shared" ca="1" si="0"/>
        <v>#REF!</v>
      </c>
      <c r="K874" s="82" t="str">
        <f t="shared" ca="1" si="1"/>
        <v>#REF!</v>
      </c>
      <c r="L874" s="82" t="str">
        <f t="shared" ca="1" si="44"/>
        <v>#REF!</v>
      </c>
      <c r="M874" s="93"/>
      <c r="N874" s="93"/>
      <c r="O874" s="95">
        <f t="shared" si="2"/>
        <v>0</v>
      </c>
      <c r="P874" s="96">
        <f t="shared" si="3"/>
        <v>0</v>
      </c>
      <c r="Q874" s="97">
        <f t="shared" si="4"/>
        <v>0</v>
      </c>
      <c r="R874" s="97" t="str">
        <f ca="1">ROUNDUP(HLOOKUP(IF(CEILING(L874,0.5)&lt;1,0.5,CEILING(L874,0.5)),'배송비 조회'!A$44:AO$56,7,0)*B$3,-2)</f>
        <v>#REF!</v>
      </c>
      <c r="S874" s="97">
        <v>0</v>
      </c>
      <c r="T874" s="97" t="str">
        <f t="shared" ca="1" si="42"/>
        <v>#REF!</v>
      </c>
      <c r="U874" s="97" t="str">
        <f t="shared" ca="1" si="29"/>
        <v>#REF!</v>
      </c>
      <c r="V874" s="97" t="str">
        <f t="shared" ca="1" si="7"/>
        <v>#REF!</v>
      </c>
      <c r="W874" s="97" t="str">
        <f t="shared" ca="1" si="8"/>
        <v>#REF!</v>
      </c>
      <c r="X874" s="121">
        <v>0</v>
      </c>
      <c r="Y874" s="121" t="str">
        <f t="shared" ca="1" si="9"/>
        <v>#REF!</v>
      </c>
      <c r="Z874" s="121" t="str">
        <f t="shared" ca="1" si="10"/>
        <v>#REF!</v>
      </c>
      <c r="AA874" s="99" t="str">
        <f t="shared" ca="1" si="11"/>
        <v>#REF!</v>
      </c>
      <c r="AB874" s="234" t="str">
        <f t="shared" ca="1" si="12"/>
        <v>#REF!</v>
      </c>
      <c r="AC874" s="257" t="str">
        <f t="shared" ca="1" si="13"/>
        <v>#REF!</v>
      </c>
      <c r="AD874" s="234" t="str">
        <f t="shared" ca="1" si="14"/>
        <v>#REF!</v>
      </c>
      <c r="AE874" s="100" t="str">
        <f t="shared" ca="1" si="15"/>
        <v>#REF!</v>
      </c>
      <c r="AF874" s="101" t="str">
        <f t="shared" ca="1" si="16"/>
        <v>#REF!</v>
      </c>
      <c r="AG874" s="102" t="str">
        <f t="shared" ref="AG874:AH874" ca="1" si="892">AE874/V874</f>
        <v>#REF!</v>
      </c>
      <c r="AH874" s="102" t="str">
        <f t="shared" ca="1" si="892"/>
        <v>#REF!</v>
      </c>
    </row>
    <row r="875" spans="1:34" ht="13.2">
      <c r="A875" s="251"/>
      <c r="B875" s="251"/>
      <c r="C875" s="252"/>
      <c r="D875" s="252"/>
      <c r="E875" s="114"/>
      <c r="F875" s="252"/>
      <c r="G875" s="125" t="s">
        <v>145</v>
      </c>
      <c r="I875" s="172"/>
      <c r="J875" s="82" t="str">
        <f t="shared" ca="1" si="0"/>
        <v>#REF!</v>
      </c>
      <c r="K875" s="82" t="str">
        <f t="shared" ca="1" si="1"/>
        <v>#REF!</v>
      </c>
      <c r="L875" s="82" t="str">
        <f t="shared" ca="1" si="44"/>
        <v>#REF!</v>
      </c>
      <c r="M875" s="93"/>
      <c r="N875" s="93"/>
      <c r="O875" s="95">
        <f t="shared" si="2"/>
        <v>0</v>
      </c>
      <c r="P875" s="96">
        <f t="shared" si="3"/>
        <v>0</v>
      </c>
      <c r="Q875" s="97">
        <f t="shared" si="4"/>
        <v>0</v>
      </c>
      <c r="R875" s="97" t="str">
        <f ca="1">ROUNDUP(HLOOKUP(IF(CEILING(L875,0.5)&lt;1,0.5,CEILING(L875,0.5)),'배송비 조회'!A$44:AO$56,7,0)*B$3,-2)</f>
        <v>#REF!</v>
      </c>
      <c r="S875" s="97">
        <v>0</v>
      </c>
      <c r="T875" s="97" t="str">
        <f t="shared" ca="1" si="42"/>
        <v>#REF!</v>
      </c>
      <c r="U875" s="97" t="str">
        <f t="shared" ca="1" si="29"/>
        <v>#REF!</v>
      </c>
      <c r="V875" s="97" t="str">
        <f t="shared" ca="1" si="7"/>
        <v>#REF!</v>
      </c>
      <c r="W875" s="97" t="str">
        <f t="shared" ca="1" si="8"/>
        <v>#REF!</v>
      </c>
      <c r="X875" s="121">
        <v>0</v>
      </c>
      <c r="Y875" s="121" t="str">
        <f t="shared" ca="1" si="9"/>
        <v>#REF!</v>
      </c>
      <c r="Z875" s="121" t="str">
        <f t="shared" ca="1" si="10"/>
        <v>#REF!</v>
      </c>
      <c r="AA875" s="99" t="str">
        <f t="shared" ca="1" si="11"/>
        <v>#REF!</v>
      </c>
      <c r="AB875" s="234" t="str">
        <f t="shared" ca="1" si="12"/>
        <v>#REF!</v>
      </c>
      <c r="AC875" s="257" t="str">
        <f t="shared" ca="1" si="13"/>
        <v>#REF!</v>
      </c>
      <c r="AD875" s="234" t="str">
        <f t="shared" ca="1" si="14"/>
        <v>#REF!</v>
      </c>
      <c r="AE875" s="100" t="str">
        <f t="shared" ca="1" si="15"/>
        <v>#REF!</v>
      </c>
      <c r="AF875" s="101" t="str">
        <f t="shared" ca="1" si="16"/>
        <v>#REF!</v>
      </c>
      <c r="AG875" s="102" t="str">
        <f t="shared" ref="AG875:AH875" ca="1" si="893">AE875/V875</f>
        <v>#REF!</v>
      </c>
      <c r="AH875" s="102" t="str">
        <f t="shared" ca="1" si="893"/>
        <v>#REF!</v>
      </c>
    </row>
    <row r="876" spans="1:34" ht="13.2">
      <c r="A876" s="251"/>
      <c r="B876" s="251"/>
      <c r="C876" s="252"/>
      <c r="D876" s="252"/>
      <c r="E876" s="114"/>
      <c r="F876" s="252"/>
      <c r="G876" s="125" t="s">
        <v>145</v>
      </c>
      <c r="I876" s="172"/>
      <c r="J876" s="82" t="str">
        <f t="shared" ca="1" si="0"/>
        <v>#REF!</v>
      </c>
      <c r="K876" s="82" t="str">
        <f t="shared" ca="1" si="1"/>
        <v>#REF!</v>
      </c>
      <c r="L876" s="82" t="str">
        <f t="shared" ca="1" si="44"/>
        <v>#REF!</v>
      </c>
      <c r="M876" s="93"/>
      <c r="N876" s="93"/>
      <c r="O876" s="95">
        <f t="shared" si="2"/>
        <v>0</v>
      </c>
      <c r="P876" s="96">
        <f t="shared" si="3"/>
        <v>0</v>
      </c>
      <c r="Q876" s="97">
        <f t="shared" si="4"/>
        <v>0</v>
      </c>
      <c r="R876" s="97" t="str">
        <f ca="1">ROUNDUP(HLOOKUP(IF(CEILING(L876,0.5)&lt;1,0.5,CEILING(L876,0.5)),'배송비 조회'!A$44:AO$56,7,0)*B$3,-2)</f>
        <v>#REF!</v>
      </c>
      <c r="S876" s="97">
        <v>0</v>
      </c>
      <c r="T876" s="97" t="str">
        <f t="shared" ca="1" si="42"/>
        <v>#REF!</v>
      </c>
      <c r="U876" s="97" t="str">
        <f t="shared" ca="1" si="29"/>
        <v>#REF!</v>
      </c>
      <c r="V876" s="97" t="str">
        <f t="shared" ca="1" si="7"/>
        <v>#REF!</v>
      </c>
      <c r="W876" s="97" t="str">
        <f t="shared" ca="1" si="8"/>
        <v>#REF!</v>
      </c>
      <c r="X876" s="121">
        <v>0</v>
      </c>
      <c r="Y876" s="121" t="str">
        <f t="shared" ca="1" si="9"/>
        <v>#REF!</v>
      </c>
      <c r="Z876" s="121" t="str">
        <f t="shared" ca="1" si="10"/>
        <v>#REF!</v>
      </c>
      <c r="AA876" s="99" t="str">
        <f t="shared" ca="1" si="11"/>
        <v>#REF!</v>
      </c>
      <c r="AB876" s="234" t="str">
        <f t="shared" ca="1" si="12"/>
        <v>#REF!</v>
      </c>
      <c r="AC876" s="257" t="str">
        <f t="shared" ca="1" si="13"/>
        <v>#REF!</v>
      </c>
      <c r="AD876" s="234" t="str">
        <f t="shared" ca="1" si="14"/>
        <v>#REF!</v>
      </c>
      <c r="AE876" s="100" t="str">
        <f t="shared" ca="1" si="15"/>
        <v>#REF!</v>
      </c>
      <c r="AF876" s="101" t="str">
        <f t="shared" ca="1" si="16"/>
        <v>#REF!</v>
      </c>
      <c r="AG876" s="102" t="str">
        <f t="shared" ref="AG876:AH876" ca="1" si="894">AE876/V876</f>
        <v>#REF!</v>
      </c>
      <c r="AH876" s="102" t="str">
        <f t="shared" ca="1" si="894"/>
        <v>#REF!</v>
      </c>
    </row>
    <row r="877" spans="1:34" ht="13.2">
      <c r="A877" s="251"/>
      <c r="B877" s="251"/>
      <c r="C877" s="252"/>
      <c r="D877" s="252"/>
      <c r="E877" s="114"/>
      <c r="F877" s="252"/>
      <c r="G877" s="125" t="s">
        <v>145</v>
      </c>
      <c r="I877" s="172"/>
      <c r="J877" s="82" t="str">
        <f t="shared" ca="1" si="0"/>
        <v>#REF!</v>
      </c>
      <c r="K877" s="82" t="str">
        <f t="shared" ca="1" si="1"/>
        <v>#REF!</v>
      </c>
      <c r="L877" s="82" t="str">
        <f t="shared" ca="1" si="44"/>
        <v>#REF!</v>
      </c>
      <c r="M877" s="93"/>
      <c r="N877" s="93"/>
      <c r="O877" s="95">
        <f t="shared" si="2"/>
        <v>0</v>
      </c>
      <c r="P877" s="96">
        <f t="shared" si="3"/>
        <v>0</v>
      </c>
      <c r="Q877" s="97">
        <f t="shared" si="4"/>
        <v>0</v>
      </c>
      <c r="R877" s="97" t="str">
        <f ca="1">ROUNDUP(HLOOKUP(IF(CEILING(L877,0.5)&lt;1,0.5,CEILING(L877,0.5)),'배송비 조회'!A$44:AO$56,7,0)*B$3,-2)</f>
        <v>#REF!</v>
      </c>
      <c r="S877" s="97">
        <v>0</v>
      </c>
      <c r="T877" s="97" t="str">
        <f t="shared" ca="1" si="42"/>
        <v>#REF!</v>
      </c>
      <c r="U877" s="97" t="str">
        <f t="shared" ca="1" si="29"/>
        <v>#REF!</v>
      </c>
      <c r="V877" s="97" t="str">
        <f t="shared" ca="1" si="7"/>
        <v>#REF!</v>
      </c>
      <c r="W877" s="97" t="str">
        <f t="shared" ca="1" si="8"/>
        <v>#REF!</v>
      </c>
      <c r="X877" s="121">
        <v>0</v>
      </c>
      <c r="Y877" s="121" t="str">
        <f t="shared" ca="1" si="9"/>
        <v>#REF!</v>
      </c>
      <c r="Z877" s="121" t="str">
        <f t="shared" ca="1" si="10"/>
        <v>#REF!</v>
      </c>
      <c r="AA877" s="99" t="str">
        <f t="shared" ca="1" si="11"/>
        <v>#REF!</v>
      </c>
      <c r="AB877" s="234" t="str">
        <f t="shared" ca="1" si="12"/>
        <v>#REF!</v>
      </c>
      <c r="AC877" s="257" t="str">
        <f t="shared" ca="1" si="13"/>
        <v>#REF!</v>
      </c>
      <c r="AD877" s="234" t="str">
        <f t="shared" ca="1" si="14"/>
        <v>#REF!</v>
      </c>
      <c r="AE877" s="100" t="str">
        <f t="shared" ca="1" si="15"/>
        <v>#REF!</v>
      </c>
      <c r="AF877" s="101" t="str">
        <f t="shared" ca="1" si="16"/>
        <v>#REF!</v>
      </c>
      <c r="AG877" s="102" t="str">
        <f t="shared" ref="AG877:AH877" ca="1" si="895">AE877/V877</f>
        <v>#REF!</v>
      </c>
      <c r="AH877" s="102" t="str">
        <f t="shared" ca="1" si="895"/>
        <v>#REF!</v>
      </c>
    </row>
    <row r="878" spans="1:34" ht="13.2">
      <c r="A878" s="251"/>
      <c r="B878" s="251"/>
      <c r="C878" s="252"/>
      <c r="D878" s="252"/>
      <c r="E878" s="114"/>
      <c r="F878" s="252"/>
      <c r="G878" s="125" t="s">
        <v>145</v>
      </c>
      <c r="I878" s="172"/>
      <c r="J878" s="82" t="str">
        <f t="shared" ca="1" si="0"/>
        <v>#REF!</v>
      </c>
      <c r="K878" s="82" t="str">
        <f t="shared" ca="1" si="1"/>
        <v>#REF!</v>
      </c>
      <c r="L878" s="82" t="str">
        <f t="shared" ca="1" si="44"/>
        <v>#REF!</v>
      </c>
      <c r="M878" s="93"/>
      <c r="N878" s="93"/>
      <c r="O878" s="95">
        <f t="shared" si="2"/>
        <v>0</v>
      </c>
      <c r="P878" s="96">
        <f t="shared" si="3"/>
        <v>0</v>
      </c>
      <c r="Q878" s="97">
        <f t="shared" si="4"/>
        <v>0</v>
      </c>
      <c r="R878" s="97" t="str">
        <f ca="1">ROUNDUP(HLOOKUP(IF(CEILING(L878,0.5)&lt;1,0.5,CEILING(L878,0.5)),'배송비 조회'!A$44:AO$56,7,0)*B$3,-2)</f>
        <v>#REF!</v>
      </c>
      <c r="S878" s="97">
        <v>0</v>
      </c>
      <c r="T878" s="97" t="str">
        <f t="shared" ca="1" si="42"/>
        <v>#REF!</v>
      </c>
      <c r="U878" s="97" t="str">
        <f t="shared" ca="1" si="29"/>
        <v>#REF!</v>
      </c>
      <c r="V878" s="97" t="str">
        <f t="shared" ca="1" si="7"/>
        <v>#REF!</v>
      </c>
      <c r="W878" s="97" t="str">
        <f t="shared" ca="1" si="8"/>
        <v>#REF!</v>
      </c>
      <c r="X878" s="121">
        <v>0</v>
      </c>
      <c r="Y878" s="121" t="str">
        <f t="shared" ca="1" si="9"/>
        <v>#REF!</v>
      </c>
      <c r="Z878" s="121" t="str">
        <f t="shared" ca="1" si="10"/>
        <v>#REF!</v>
      </c>
      <c r="AA878" s="99" t="str">
        <f t="shared" ca="1" si="11"/>
        <v>#REF!</v>
      </c>
      <c r="AB878" s="234" t="str">
        <f t="shared" ca="1" si="12"/>
        <v>#REF!</v>
      </c>
      <c r="AC878" s="257" t="str">
        <f t="shared" ca="1" si="13"/>
        <v>#REF!</v>
      </c>
      <c r="AD878" s="234" t="str">
        <f t="shared" ca="1" si="14"/>
        <v>#REF!</v>
      </c>
      <c r="AE878" s="100" t="str">
        <f t="shared" ca="1" si="15"/>
        <v>#REF!</v>
      </c>
      <c r="AF878" s="101" t="str">
        <f t="shared" ca="1" si="16"/>
        <v>#REF!</v>
      </c>
      <c r="AG878" s="102" t="str">
        <f t="shared" ref="AG878:AH878" ca="1" si="896">AE878/V878</f>
        <v>#REF!</v>
      </c>
      <c r="AH878" s="102" t="str">
        <f t="shared" ca="1" si="896"/>
        <v>#REF!</v>
      </c>
    </row>
    <row r="879" spans="1:34" ht="13.2">
      <c r="A879" s="251"/>
      <c r="B879" s="251"/>
      <c r="C879" s="252"/>
      <c r="D879" s="252"/>
      <c r="E879" s="114"/>
      <c r="F879" s="252"/>
      <c r="G879" s="125" t="s">
        <v>145</v>
      </c>
      <c r="I879" s="172"/>
      <c r="J879" s="82" t="str">
        <f t="shared" ca="1" si="0"/>
        <v>#REF!</v>
      </c>
      <c r="K879" s="82" t="str">
        <f t="shared" ca="1" si="1"/>
        <v>#REF!</v>
      </c>
      <c r="L879" s="82" t="str">
        <f t="shared" ca="1" si="44"/>
        <v>#REF!</v>
      </c>
      <c r="M879" s="93"/>
      <c r="N879" s="93"/>
      <c r="O879" s="95">
        <f t="shared" si="2"/>
        <v>0</v>
      </c>
      <c r="P879" s="96">
        <f t="shared" si="3"/>
        <v>0</v>
      </c>
      <c r="Q879" s="97">
        <f t="shared" si="4"/>
        <v>0</v>
      </c>
      <c r="R879" s="97" t="str">
        <f ca="1">ROUNDUP(HLOOKUP(IF(CEILING(L879,0.5)&lt;1,0.5,CEILING(L879,0.5)),'배송비 조회'!A$44:AO$56,7,0)*B$3,-2)</f>
        <v>#REF!</v>
      </c>
      <c r="S879" s="97">
        <v>0</v>
      </c>
      <c r="T879" s="97" t="str">
        <f t="shared" ca="1" si="42"/>
        <v>#REF!</v>
      </c>
      <c r="U879" s="97" t="str">
        <f t="shared" ca="1" si="29"/>
        <v>#REF!</v>
      </c>
      <c r="V879" s="97" t="str">
        <f t="shared" ca="1" si="7"/>
        <v>#REF!</v>
      </c>
      <c r="W879" s="97" t="str">
        <f t="shared" ca="1" si="8"/>
        <v>#REF!</v>
      </c>
      <c r="X879" s="121">
        <v>0</v>
      </c>
      <c r="Y879" s="121" t="str">
        <f t="shared" ca="1" si="9"/>
        <v>#REF!</v>
      </c>
      <c r="Z879" s="121" t="str">
        <f t="shared" ca="1" si="10"/>
        <v>#REF!</v>
      </c>
      <c r="AA879" s="99" t="str">
        <f t="shared" ca="1" si="11"/>
        <v>#REF!</v>
      </c>
      <c r="AB879" s="234" t="str">
        <f t="shared" ca="1" si="12"/>
        <v>#REF!</v>
      </c>
      <c r="AC879" s="257" t="str">
        <f t="shared" ca="1" si="13"/>
        <v>#REF!</v>
      </c>
      <c r="AD879" s="234" t="str">
        <f t="shared" ca="1" si="14"/>
        <v>#REF!</v>
      </c>
      <c r="AE879" s="100" t="str">
        <f t="shared" ca="1" si="15"/>
        <v>#REF!</v>
      </c>
      <c r="AF879" s="101" t="str">
        <f t="shared" ca="1" si="16"/>
        <v>#REF!</v>
      </c>
      <c r="AG879" s="102" t="str">
        <f t="shared" ref="AG879:AH879" ca="1" si="897">AE879/V879</f>
        <v>#REF!</v>
      </c>
      <c r="AH879" s="102" t="str">
        <f t="shared" ca="1" si="897"/>
        <v>#REF!</v>
      </c>
    </row>
    <row r="880" spans="1:34" ht="13.2">
      <c r="A880" s="251"/>
      <c r="B880" s="251"/>
      <c r="C880" s="252"/>
      <c r="D880" s="252"/>
      <c r="E880" s="114"/>
      <c r="F880" s="252"/>
      <c r="G880" s="125" t="s">
        <v>145</v>
      </c>
      <c r="I880" s="172"/>
      <c r="J880" s="82" t="str">
        <f t="shared" ca="1" si="0"/>
        <v>#REF!</v>
      </c>
      <c r="K880" s="82" t="str">
        <f t="shared" ca="1" si="1"/>
        <v>#REF!</v>
      </c>
      <c r="L880" s="82" t="str">
        <f t="shared" ca="1" si="44"/>
        <v>#REF!</v>
      </c>
      <c r="M880" s="93"/>
      <c r="N880" s="93"/>
      <c r="O880" s="95">
        <f t="shared" si="2"/>
        <v>0</v>
      </c>
      <c r="P880" s="96">
        <f t="shared" si="3"/>
        <v>0</v>
      </c>
      <c r="Q880" s="97">
        <f t="shared" si="4"/>
        <v>0</v>
      </c>
      <c r="R880" s="97" t="str">
        <f ca="1">ROUNDUP(HLOOKUP(IF(CEILING(L880,0.5)&lt;1,0.5,CEILING(L880,0.5)),'배송비 조회'!A$44:AO$56,7,0)*B$3,-2)</f>
        <v>#REF!</v>
      </c>
      <c r="S880" s="97">
        <v>0</v>
      </c>
      <c r="T880" s="97" t="str">
        <f t="shared" ca="1" si="42"/>
        <v>#REF!</v>
      </c>
      <c r="U880" s="97" t="str">
        <f t="shared" ca="1" si="29"/>
        <v>#REF!</v>
      </c>
      <c r="V880" s="97" t="str">
        <f t="shared" ca="1" si="7"/>
        <v>#REF!</v>
      </c>
      <c r="W880" s="97" t="str">
        <f t="shared" ca="1" si="8"/>
        <v>#REF!</v>
      </c>
      <c r="X880" s="121">
        <v>0</v>
      </c>
      <c r="Y880" s="121" t="str">
        <f t="shared" ca="1" si="9"/>
        <v>#REF!</v>
      </c>
      <c r="Z880" s="121" t="str">
        <f t="shared" ca="1" si="10"/>
        <v>#REF!</v>
      </c>
      <c r="AA880" s="99" t="str">
        <f t="shared" ca="1" si="11"/>
        <v>#REF!</v>
      </c>
      <c r="AB880" s="234" t="str">
        <f t="shared" ca="1" si="12"/>
        <v>#REF!</v>
      </c>
      <c r="AC880" s="257" t="str">
        <f t="shared" ca="1" si="13"/>
        <v>#REF!</v>
      </c>
      <c r="AD880" s="234" t="str">
        <f t="shared" ca="1" si="14"/>
        <v>#REF!</v>
      </c>
      <c r="AE880" s="100" t="str">
        <f t="shared" ca="1" si="15"/>
        <v>#REF!</v>
      </c>
      <c r="AF880" s="101" t="str">
        <f t="shared" ca="1" si="16"/>
        <v>#REF!</v>
      </c>
      <c r="AG880" s="102" t="str">
        <f t="shared" ref="AG880:AH880" ca="1" si="898">AE880/V880</f>
        <v>#REF!</v>
      </c>
      <c r="AH880" s="102" t="str">
        <f t="shared" ca="1" si="898"/>
        <v>#REF!</v>
      </c>
    </row>
    <row r="881" spans="1:34" ht="13.2">
      <c r="A881" s="251"/>
      <c r="B881" s="251"/>
      <c r="C881" s="252"/>
      <c r="D881" s="252"/>
      <c r="E881" s="114"/>
      <c r="F881" s="252"/>
      <c r="G881" s="125" t="s">
        <v>145</v>
      </c>
      <c r="I881" s="172"/>
      <c r="J881" s="82" t="str">
        <f t="shared" ca="1" si="0"/>
        <v>#REF!</v>
      </c>
      <c r="K881" s="82" t="str">
        <f t="shared" ca="1" si="1"/>
        <v>#REF!</v>
      </c>
      <c r="L881" s="82" t="str">
        <f t="shared" ca="1" si="44"/>
        <v>#REF!</v>
      </c>
      <c r="M881" s="93"/>
      <c r="N881" s="93"/>
      <c r="O881" s="95">
        <f t="shared" si="2"/>
        <v>0</v>
      </c>
      <c r="P881" s="96">
        <f t="shared" si="3"/>
        <v>0</v>
      </c>
      <c r="Q881" s="97">
        <f t="shared" si="4"/>
        <v>0</v>
      </c>
      <c r="R881" s="97" t="str">
        <f ca="1">ROUNDUP(HLOOKUP(IF(CEILING(L881,0.5)&lt;1,0.5,CEILING(L881,0.5)),'배송비 조회'!A$44:AO$56,7,0)*B$3,-2)</f>
        <v>#REF!</v>
      </c>
      <c r="S881" s="97">
        <v>0</v>
      </c>
      <c r="T881" s="97" t="str">
        <f t="shared" ca="1" si="42"/>
        <v>#REF!</v>
      </c>
      <c r="U881" s="97" t="str">
        <f t="shared" ca="1" si="29"/>
        <v>#REF!</v>
      </c>
      <c r="V881" s="97" t="str">
        <f t="shared" ca="1" si="7"/>
        <v>#REF!</v>
      </c>
      <c r="W881" s="97" t="str">
        <f t="shared" ca="1" si="8"/>
        <v>#REF!</v>
      </c>
      <c r="X881" s="121">
        <v>0</v>
      </c>
      <c r="Y881" s="121" t="str">
        <f t="shared" ca="1" si="9"/>
        <v>#REF!</v>
      </c>
      <c r="Z881" s="121" t="str">
        <f t="shared" ca="1" si="10"/>
        <v>#REF!</v>
      </c>
      <c r="AA881" s="99" t="str">
        <f t="shared" ca="1" si="11"/>
        <v>#REF!</v>
      </c>
      <c r="AB881" s="234" t="str">
        <f t="shared" ca="1" si="12"/>
        <v>#REF!</v>
      </c>
      <c r="AC881" s="257" t="str">
        <f t="shared" ca="1" si="13"/>
        <v>#REF!</v>
      </c>
      <c r="AD881" s="234" t="str">
        <f t="shared" ca="1" si="14"/>
        <v>#REF!</v>
      </c>
      <c r="AE881" s="100" t="str">
        <f t="shared" ca="1" si="15"/>
        <v>#REF!</v>
      </c>
      <c r="AF881" s="101" t="str">
        <f t="shared" ca="1" si="16"/>
        <v>#REF!</v>
      </c>
      <c r="AG881" s="102" t="str">
        <f t="shared" ref="AG881:AH881" ca="1" si="899">AE881/V881</f>
        <v>#REF!</v>
      </c>
      <c r="AH881" s="102" t="str">
        <f t="shared" ca="1" si="899"/>
        <v>#REF!</v>
      </c>
    </row>
    <row r="882" spans="1:34" ht="13.2">
      <c r="A882" s="251"/>
      <c r="B882" s="251"/>
      <c r="C882" s="252"/>
      <c r="D882" s="252"/>
      <c r="E882" s="114"/>
      <c r="F882" s="252"/>
      <c r="G882" s="125" t="s">
        <v>145</v>
      </c>
      <c r="I882" s="172"/>
      <c r="J882" s="82" t="str">
        <f t="shared" ca="1" si="0"/>
        <v>#REF!</v>
      </c>
      <c r="K882" s="82" t="str">
        <f t="shared" ca="1" si="1"/>
        <v>#REF!</v>
      </c>
      <c r="L882" s="82" t="str">
        <f t="shared" ca="1" si="44"/>
        <v>#REF!</v>
      </c>
      <c r="M882" s="93"/>
      <c r="N882" s="93"/>
      <c r="O882" s="95">
        <f t="shared" si="2"/>
        <v>0</v>
      </c>
      <c r="P882" s="96">
        <f t="shared" si="3"/>
        <v>0</v>
      </c>
      <c r="Q882" s="97">
        <f t="shared" si="4"/>
        <v>0</v>
      </c>
      <c r="R882" s="97" t="str">
        <f ca="1">ROUNDUP(HLOOKUP(IF(CEILING(L882,0.5)&lt;1,0.5,CEILING(L882,0.5)),'배송비 조회'!A$44:AO$56,7,0)*B$3,-2)</f>
        <v>#REF!</v>
      </c>
      <c r="S882" s="97">
        <v>0</v>
      </c>
      <c r="T882" s="97" t="str">
        <f t="shared" ca="1" si="42"/>
        <v>#REF!</v>
      </c>
      <c r="U882" s="97" t="str">
        <f t="shared" ca="1" si="29"/>
        <v>#REF!</v>
      </c>
      <c r="V882" s="97" t="str">
        <f t="shared" ca="1" si="7"/>
        <v>#REF!</v>
      </c>
      <c r="W882" s="97" t="str">
        <f t="shared" ca="1" si="8"/>
        <v>#REF!</v>
      </c>
      <c r="X882" s="121">
        <v>0</v>
      </c>
      <c r="Y882" s="121" t="str">
        <f t="shared" ca="1" si="9"/>
        <v>#REF!</v>
      </c>
      <c r="Z882" s="121" t="str">
        <f t="shared" ca="1" si="10"/>
        <v>#REF!</v>
      </c>
      <c r="AA882" s="99" t="str">
        <f t="shared" ca="1" si="11"/>
        <v>#REF!</v>
      </c>
      <c r="AB882" s="234" t="str">
        <f t="shared" ca="1" si="12"/>
        <v>#REF!</v>
      </c>
      <c r="AC882" s="257" t="str">
        <f t="shared" ca="1" si="13"/>
        <v>#REF!</v>
      </c>
      <c r="AD882" s="234" t="str">
        <f t="shared" ca="1" si="14"/>
        <v>#REF!</v>
      </c>
      <c r="AE882" s="100" t="str">
        <f t="shared" ca="1" si="15"/>
        <v>#REF!</v>
      </c>
      <c r="AF882" s="101" t="str">
        <f t="shared" ca="1" si="16"/>
        <v>#REF!</v>
      </c>
      <c r="AG882" s="102" t="str">
        <f t="shared" ref="AG882:AH882" ca="1" si="900">AE882/V882</f>
        <v>#REF!</v>
      </c>
      <c r="AH882" s="102" t="str">
        <f t="shared" ca="1" si="900"/>
        <v>#REF!</v>
      </c>
    </row>
    <row r="883" spans="1:34" ht="13.2">
      <c r="A883" s="251"/>
      <c r="B883" s="251"/>
      <c r="C883" s="252"/>
      <c r="D883" s="252"/>
      <c r="E883" s="114"/>
      <c r="F883" s="252"/>
      <c r="G883" s="125" t="s">
        <v>145</v>
      </c>
      <c r="I883" s="172"/>
      <c r="J883" s="82" t="str">
        <f t="shared" ca="1" si="0"/>
        <v>#REF!</v>
      </c>
      <c r="K883" s="82" t="str">
        <f t="shared" ca="1" si="1"/>
        <v>#REF!</v>
      </c>
      <c r="L883" s="82" t="str">
        <f t="shared" ca="1" si="44"/>
        <v>#REF!</v>
      </c>
      <c r="M883" s="93"/>
      <c r="N883" s="93"/>
      <c r="O883" s="95">
        <f t="shared" si="2"/>
        <v>0</v>
      </c>
      <c r="P883" s="96">
        <f t="shared" si="3"/>
        <v>0</v>
      </c>
      <c r="Q883" s="97">
        <f t="shared" si="4"/>
        <v>0</v>
      </c>
      <c r="R883" s="97" t="str">
        <f ca="1">ROUNDUP(HLOOKUP(IF(CEILING(L883,0.5)&lt;1,0.5,CEILING(L883,0.5)),'배송비 조회'!A$44:AO$56,7,0)*B$3,-2)</f>
        <v>#REF!</v>
      </c>
      <c r="S883" s="97">
        <v>0</v>
      </c>
      <c r="T883" s="97" t="str">
        <f t="shared" ca="1" si="42"/>
        <v>#REF!</v>
      </c>
      <c r="U883" s="97" t="str">
        <f t="shared" ca="1" si="29"/>
        <v>#REF!</v>
      </c>
      <c r="V883" s="97" t="str">
        <f t="shared" ca="1" si="7"/>
        <v>#REF!</v>
      </c>
      <c r="W883" s="97" t="str">
        <f t="shared" ca="1" si="8"/>
        <v>#REF!</v>
      </c>
      <c r="X883" s="121">
        <v>0</v>
      </c>
      <c r="Y883" s="121" t="str">
        <f t="shared" ca="1" si="9"/>
        <v>#REF!</v>
      </c>
      <c r="Z883" s="121" t="str">
        <f t="shared" ca="1" si="10"/>
        <v>#REF!</v>
      </c>
      <c r="AA883" s="99" t="str">
        <f t="shared" ca="1" si="11"/>
        <v>#REF!</v>
      </c>
      <c r="AB883" s="234" t="str">
        <f t="shared" ca="1" si="12"/>
        <v>#REF!</v>
      </c>
      <c r="AC883" s="257" t="str">
        <f t="shared" ca="1" si="13"/>
        <v>#REF!</v>
      </c>
      <c r="AD883" s="234" t="str">
        <f t="shared" ca="1" si="14"/>
        <v>#REF!</v>
      </c>
      <c r="AE883" s="100" t="str">
        <f t="shared" ca="1" si="15"/>
        <v>#REF!</v>
      </c>
      <c r="AF883" s="101" t="str">
        <f t="shared" ca="1" si="16"/>
        <v>#REF!</v>
      </c>
      <c r="AG883" s="102" t="str">
        <f t="shared" ref="AG883:AH883" ca="1" si="901">AE883/V883</f>
        <v>#REF!</v>
      </c>
      <c r="AH883" s="102" t="str">
        <f t="shared" ca="1" si="901"/>
        <v>#REF!</v>
      </c>
    </row>
    <row r="884" spans="1:34" ht="13.2">
      <c r="A884" s="251"/>
      <c r="B884" s="251"/>
      <c r="C884" s="252"/>
      <c r="D884" s="252"/>
      <c r="E884" s="114"/>
      <c r="F884" s="252"/>
      <c r="G884" s="125" t="s">
        <v>145</v>
      </c>
      <c r="I884" s="172"/>
      <c r="J884" s="82" t="str">
        <f t="shared" ca="1" si="0"/>
        <v>#REF!</v>
      </c>
      <c r="K884" s="82" t="str">
        <f t="shared" ca="1" si="1"/>
        <v>#REF!</v>
      </c>
      <c r="L884" s="82" t="str">
        <f t="shared" ca="1" si="44"/>
        <v>#REF!</v>
      </c>
      <c r="M884" s="93"/>
      <c r="N884" s="93"/>
      <c r="O884" s="95">
        <f t="shared" si="2"/>
        <v>0</v>
      </c>
      <c r="P884" s="96">
        <f t="shared" si="3"/>
        <v>0</v>
      </c>
      <c r="Q884" s="97">
        <f t="shared" si="4"/>
        <v>0</v>
      </c>
      <c r="R884" s="97" t="str">
        <f ca="1">ROUNDUP(HLOOKUP(IF(CEILING(L884,0.5)&lt;1,0.5,CEILING(L884,0.5)),'배송비 조회'!A$44:AO$56,7,0)*B$3,-2)</f>
        <v>#REF!</v>
      </c>
      <c r="S884" s="97">
        <v>0</v>
      </c>
      <c r="T884" s="97" t="str">
        <f t="shared" ca="1" si="42"/>
        <v>#REF!</v>
      </c>
      <c r="U884" s="97" t="str">
        <f t="shared" ca="1" si="29"/>
        <v>#REF!</v>
      </c>
      <c r="V884" s="97" t="str">
        <f t="shared" ca="1" si="7"/>
        <v>#REF!</v>
      </c>
      <c r="W884" s="97" t="str">
        <f t="shared" ca="1" si="8"/>
        <v>#REF!</v>
      </c>
      <c r="X884" s="121">
        <v>0</v>
      </c>
      <c r="Y884" s="121" t="str">
        <f t="shared" ca="1" si="9"/>
        <v>#REF!</v>
      </c>
      <c r="Z884" s="121" t="str">
        <f t="shared" ca="1" si="10"/>
        <v>#REF!</v>
      </c>
      <c r="AA884" s="99" t="str">
        <f t="shared" ca="1" si="11"/>
        <v>#REF!</v>
      </c>
      <c r="AB884" s="234" t="str">
        <f t="shared" ca="1" si="12"/>
        <v>#REF!</v>
      </c>
      <c r="AC884" s="257" t="str">
        <f t="shared" ca="1" si="13"/>
        <v>#REF!</v>
      </c>
      <c r="AD884" s="234" t="str">
        <f t="shared" ca="1" si="14"/>
        <v>#REF!</v>
      </c>
      <c r="AE884" s="100" t="str">
        <f t="shared" ca="1" si="15"/>
        <v>#REF!</v>
      </c>
      <c r="AF884" s="101" t="str">
        <f t="shared" ca="1" si="16"/>
        <v>#REF!</v>
      </c>
      <c r="AG884" s="102" t="str">
        <f t="shared" ref="AG884:AH884" ca="1" si="902">AE884/V884</f>
        <v>#REF!</v>
      </c>
      <c r="AH884" s="102" t="str">
        <f t="shared" ca="1" si="902"/>
        <v>#REF!</v>
      </c>
    </row>
    <row r="885" spans="1:34" ht="13.2">
      <c r="A885" s="251"/>
      <c r="B885" s="251"/>
      <c r="C885" s="252"/>
      <c r="D885" s="252"/>
      <c r="E885" s="114"/>
      <c r="F885" s="252"/>
      <c r="G885" s="125" t="s">
        <v>145</v>
      </c>
      <c r="I885" s="172"/>
      <c r="J885" s="82" t="str">
        <f t="shared" ca="1" si="0"/>
        <v>#REF!</v>
      </c>
      <c r="K885" s="82" t="str">
        <f t="shared" ca="1" si="1"/>
        <v>#REF!</v>
      </c>
      <c r="L885" s="82" t="str">
        <f t="shared" ca="1" si="44"/>
        <v>#REF!</v>
      </c>
      <c r="M885" s="93"/>
      <c r="N885" s="93"/>
      <c r="O885" s="95">
        <f t="shared" si="2"/>
        <v>0</v>
      </c>
      <c r="P885" s="96">
        <f t="shared" si="3"/>
        <v>0</v>
      </c>
      <c r="Q885" s="97">
        <f t="shared" si="4"/>
        <v>0</v>
      </c>
      <c r="R885" s="97" t="str">
        <f ca="1">ROUNDUP(HLOOKUP(IF(CEILING(L885,0.5)&lt;1,0.5,CEILING(L885,0.5)),'배송비 조회'!A$44:AO$56,7,0)*B$3,-2)</f>
        <v>#REF!</v>
      </c>
      <c r="S885" s="97">
        <v>0</v>
      </c>
      <c r="T885" s="97" t="str">
        <f t="shared" ca="1" si="42"/>
        <v>#REF!</v>
      </c>
      <c r="U885" s="97" t="str">
        <f t="shared" ca="1" si="29"/>
        <v>#REF!</v>
      </c>
      <c r="V885" s="97" t="str">
        <f t="shared" ca="1" si="7"/>
        <v>#REF!</v>
      </c>
      <c r="W885" s="97" t="str">
        <f t="shared" ca="1" si="8"/>
        <v>#REF!</v>
      </c>
      <c r="X885" s="121">
        <v>0</v>
      </c>
      <c r="Y885" s="121" t="str">
        <f t="shared" ca="1" si="9"/>
        <v>#REF!</v>
      </c>
      <c r="Z885" s="121" t="str">
        <f t="shared" ca="1" si="10"/>
        <v>#REF!</v>
      </c>
      <c r="AA885" s="99" t="str">
        <f t="shared" ca="1" si="11"/>
        <v>#REF!</v>
      </c>
      <c r="AB885" s="234" t="str">
        <f t="shared" ca="1" si="12"/>
        <v>#REF!</v>
      </c>
      <c r="AC885" s="257" t="str">
        <f t="shared" ca="1" si="13"/>
        <v>#REF!</v>
      </c>
      <c r="AD885" s="234" t="str">
        <f t="shared" ca="1" si="14"/>
        <v>#REF!</v>
      </c>
      <c r="AE885" s="100" t="str">
        <f t="shared" ca="1" si="15"/>
        <v>#REF!</v>
      </c>
      <c r="AF885" s="101" t="str">
        <f t="shared" ca="1" si="16"/>
        <v>#REF!</v>
      </c>
      <c r="AG885" s="102" t="str">
        <f t="shared" ref="AG885:AH885" ca="1" si="903">AE885/V885</f>
        <v>#REF!</v>
      </c>
      <c r="AH885" s="102" t="str">
        <f t="shared" ca="1" si="903"/>
        <v>#REF!</v>
      </c>
    </row>
    <row r="886" spans="1:34" ht="13.2">
      <c r="A886" s="251"/>
      <c r="B886" s="251"/>
      <c r="C886" s="252"/>
      <c r="D886" s="252"/>
      <c r="E886" s="114"/>
      <c r="F886" s="252"/>
      <c r="G886" s="125" t="s">
        <v>145</v>
      </c>
      <c r="I886" s="172"/>
      <c r="J886" s="82" t="str">
        <f t="shared" ca="1" si="0"/>
        <v>#REF!</v>
      </c>
      <c r="K886" s="82" t="str">
        <f t="shared" ca="1" si="1"/>
        <v>#REF!</v>
      </c>
      <c r="L886" s="82" t="str">
        <f t="shared" ca="1" si="44"/>
        <v>#REF!</v>
      </c>
      <c r="M886" s="93"/>
      <c r="N886" s="93"/>
      <c r="O886" s="95">
        <f t="shared" si="2"/>
        <v>0</v>
      </c>
      <c r="P886" s="96">
        <f t="shared" si="3"/>
        <v>0</v>
      </c>
      <c r="Q886" s="97">
        <f t="shared" si="4"/>
        <v>0</v>
      </c>
      <c r="R886" s="97" t="str">
        <f ca="1">ROUNDUP(HLOOKUP(IF(CEILING(L886,0.5)&lt;1,0.5,CEILING(L886,0.5)),'배송비 조회'!A$44:AO$56,7,0)*B$3,-2)</f>
        <v>#REF!</v>
      </c>
      <c r="S886" s="97">
        <v>0</v>
      </c>
      <c r="T886" s="97" t="str">
        <f t="shared" ca="1" si="42"/>
        <v>#REF!</v>
      </c>
      <c r="U886" s="97" t="str">
        <f t="shared" ca="1" si="29"/>
        <v>#REF!</v>
      </c>
      <c r="V886" s="97" t="str">
        <f t="shared" ca="1" si="7"/>
        <v>#REF!</v>
      </c>
      <c r="W886" s="97" t="str">
        <f t="shared" ca="1" si="8"/>
        <v>#REF!</v>
      </c>
      <c r="X886" s="121">
        <v>0</v>
      </c>
      <c r="Y886" s="121" t="str">
        <f t="shared" ca="1" si="9"/>
        <v>#REF!</v>
      </c>
      <c r="Z886" s="121" t="str">
        <f t="shared" ca="1" si="10"/>
        <v>#REF!</v>
      </c>
      <c r="AA886" s="99" t="str">
        <f t="shared" ca="1" si="11"/>
        <v>#REF!</v>
      </c>
      <c r="AB886" s="234" t="str">
        <f t="shared" ca="1" si="12"/>
        <v>#REF!</v>
      </c>
      <c r="AC886" s="257" t="str">
        <f t="shared" ca="1" si="13"/>
        <v>#REF!</v>
      </c>
      <c r="AD886" s="234" t="str">
        <f t="shared" ca="1" si="14"/>
        <v>#REF!</v>
      </c>
      <c r="AE886" s="100" t="str">
        <f t="shared" ca="1" si="15"/>
        <v>#REF!</v>
      </c>
      <c r="AF886" s="101" t="str">
        <f t="shared" ca="1" si="16"/>
        <v>#REF!</v>
      </c>
      <c r="AG886" s="102" t="str">
        <f t="shared" ref="AG886:AH886" ca="1" si="904">AE886/V886</f>
        <v>#REF!</v>
      </c>
      <c r="AH886" s="102" t="str">
        <f t="shared" ca="1" si="904"/>
        <v>#REF!</v>
      </c>
    </row>
    <row r="887" spans="1:34" ht="13.2">
      <c r="A887" s="251"/>
      <c r="B887" s="251"/>
      <c r="C887" s="252"/>
      <c r="D887" s="252"/>
      <c r="E887" s="114"/>
      <c r="F887" s="252"/>
      <c r="G887" s="125" t="s">
        <v>145</v>
      </c>
      <c r="I887" s="172"/>
      <c r="J887" s="82" t="str">
        <f t="shared" ca="1" si="0"/>
        <v>#REF!</v>
      </c>
      <c r="K887" s="82" t="str">
        <f t="shared" ca="1" si="1"/>
        <v>#REF!</v>
      </c>
      <c r="L887" s="82" t="str">
        <f t="shared" ca="1" si="44"/>
        <v>#REF!</v>
      </c>
      <c r="M887" s="93"/>
      <c r="N887" s="93"/>
      <c r="O887" s="95">
        <f t="shared" si="2"/>
        <v>0</v>
      </c>
      <c r="P887" s="96">
        <f t="shared" si="3"/>
        <v>0</v>
      </c>
      <c r="Q887" s="97">
        <f t="shared" si="4"/>
        <v>0</v>
      </c>
      <c r="R887" s="97" t="str">
        <f ca="1">ROUNDUP(HLOOKUP(IF(CEILING(L887,0.5)&lt;1,0.5,CEILING(L887,0.5)),'배송비 조회'!A$44:AO$56,7,0)*B$3,-2)</f>
        <v>#REF!</v>
      </c>
      <c r="S887" s="97">
        <v>0</v>
      </c>
      <c r="T887" s="97" t="str">
        <f t="shared" ca="1" si="42"/>
        <v>#REF!</v>
      </c>
      <c r="U887" s="97" t="str">
        <f t="shared" ca="1" si="29"/>
        <v>#REF!</v>
      </c>
      <c r="V887" s="97" t="str">
        <f t="shared" ca="1" si="7"/>
        <v>#REF!</v>
      </c>
      <c r="W887" s="97" t="str">
        <f t="shared" ca="1" si="8"/>
        <v>#REF!</v>
      </c>
      <c r="X887" s="121">
        <v>0</v>
      </c>
      <c r="Y887" s="121" t="str">
        <f t="shared" ca="1" si="9"/>
        <v>#REF!</v>
      </c>
      <c r="Z887" s="121" t="str">
        <f t="shared" ca="1" si="10"/>
        <v>#REF!</v>
      </c>
      <c r="AA887" s="99" t="str">
        <f t="shared" ca="1" si="11"/>
        <v>#REF!</v>
      </c>
      <c r="AB887" s="234" t="str">
        <f t="shared" ca="1" si="12"/>
        <v>#REF!</v>
      </c>
      <c r="AC887" s="257" t="str">
        <f t="shared" ca="1" si="13"/>
        <v>#REF!</v>
      </c>
      <c r="AD887" s="234" t="str">
        <f t="shared" ca="1" si="14"/>
        <v>#REF!</v>
      </c>
      <c r="AE887" s="100" t="str">
        <f t="shared" ca="1" si="15"/>
        <v>#REF!</v>
      </c>
      <c r="AF887" s="101" t="str">
        <f t="shared" ca="1" si="16"/>
        <v>#REF!</v>
      </c>
      <c r="AG887" s="102" t="str">
        <f t="shared" ref="AG887:AH887" ca="1" si="905">AE887/V887</f>
        <v>#REF!</v>
      </c>
      <c r="AH887" s="102" t="str">
        <f t="shared" ca="1" si="905"/>
        <v>#REF!</v>
      </c>
    </row>
    <row r="888" spans="1:34" ht="13.2">
      <c r="A888" s="251"/>
      <c r="B888" s="251"/>
      <c r="C888" s="252"/>
      <c r="D888" s="252"/>
      <c r="E888" s="114"/>
      <c r="F888" s="252"/>
      <c r="G888" s="125" t="s">
        <v>145</v>
      </c>
      <c r="I888" s="172"/>
      <c r="J888" s="82" t="str">
        <f t="shared" ca="1" si="0"/>
        <v>#REF!</v>
      </c>
      <c r="K888" s="82" t="str">
        <f t="shared" ca="1" si="1"/>
        <v>#REF!</v>
      </c>
      <c r="L888" s="82" t="str">
        <f t="shared" ca="1" si="44"/>
        <v>#REF!</v>
      </c>
      <c r="M888" s="93"/>
      <c r="N888" s="93"/>
      <c r="O888" s="95">
        <f t="shared" si="2"/>
        <v>0</v>
      </c>
      <c r="P888" s="96">
        <f t="shared" si="3"/>
        <v>0</v>
      </c>
      <c r="Q888" s="97">
        <f t="shared" si="4"/>
        <v>0</v>
      </c>
      <c r="R888" s="97" t="str">
        <f ca="1">ROUNDUP(HLOOKUP(IF(CEILING(L888,0.5)&lt;1,0.5,CEILING(L888,0.5)),'배송비 조회'!A$44:AO$56,7,0)*B$3,-2)</f>
        <v>#REF!</v>
      </c>
      <c r="S888" s="97">
        <v>0</v>
      </c>
      <c r="T888" s="97" t="str">
        <f t="shared" ca="1" si="42"/>
        <v>#REF!</v>
      </c>
      <c r="U888" s="97" t="str">
        <f t="shared" ca="1" si="29"/>
        <v>#REF!</v>
      </c>
      <c r="V888" s="97" t="str">
        <f t="shared" ca="1" si="7"/>
        <v>#REF!</v>
      </c>
      <c r="W888" s="97" t="str">
        <f t="shared" ca="1" si="8"/>
        <v>#REF!</v>
      </c>
      <c r="X888" s="121">
        <v>0</v>
      </c>
      <c r="Y888" s="121" t="str">
        <f t="shared" ca="1" si="9"/>
        <v>#REF!</v>
      </c>
      <c r="Z888" s="121" t="str">
        <f t="shared" ca="1" si="10"/>
        <v>#REF!</v>
      </c>
      <c r="AA888" s="99" t="str">
        <f t="shared" ca="1" si="11"/>
        <v>#REF!</v>
      </c>
      <c r="AB888" s="234" t="str">
        <f t="shared" ca="1" si="12"/>
        <v>#REF!</v>
      </c>
      <c r="AC888" s="257" t="str">
        <f t="shared" ca="1" si="13"/>
        <v>#REF!</v>
      </c>
      <c r="AD888" s="234" t="str">
        <f t="shared" ca="1" si="14"/>
        <v>#REF!</v>
      </c>
      <c r="AE888" s="100" t="str">
        <f t="shared" ca="1" si="15"/>
        <v>#REF!</v>
      </c>
      <c r="AF888" s="101" t="str">
        <f t="shared" ca="1" si="16"/>
        <v>#REF!</v>
      </c>
      <c r="AG888" s="102" t="str">
        <f t="shared" ref="AG888:AH888" ca="1" si="906">AE888/V888</f>
        <v>#REF!</v>
      </c>
      <c r="AH888" s="102" t="str">
        <f t="shared" ca="1" si="906"/>
        <v>#REF!</v>
      </c>
    </row>
    <row r="889" spans="1:34" ht="13.2">
      <c r="A889" s="251"/>
      <c r="B889" s="251"/>
      <c r="C889" s="252"/>
      <c r="D889" s="252"/>
      <c r="E889" s="114"/>
      <c r="F889" s="252"/>
      <c r="G889" s="125" t="s">
        <v>145</v>
      </c>
      <c r="I889" s="172"/>
      <c r="J889" s="82" t="str">
        <f t="shared" ca="1" si="0"/>
        <v>#REF!</v>
      </c>
      <c r="K889" s="82" t="str">
        <f t="shared" ca="1" si="1"/>
        <v>#REF!</v>
      </c>
      <c r="L889" s="82" t="str">
        <f t="shared" ca="1" si="44"/>
        <v>#REF!</v>
      </c>
      <c r="M889" s="93"/>
      <c r="N889" s="93"/>
      <c r="O889" s="95">
        <f t="shared" si="2"/>
        <v>0</v>
      </c>
      <c r="P889" s="96">
        <f t="shared" si="3"/>
        <v>0</v>
      </c>
      <c r="Q889" s="97">
        <f t="shared" si="4"/>
        <v>0</v>
      </c>
      <c r="R889" s="97" t="str">
        <f ca="1">ROUNDUP(HLOOKUP(IF(CEILING(L889,0.5)&lt;1,0.5,CEILING(L889,0.5)),'배송비 조회'!A$44:AO$56,7,0)*B$3,-2)</f>
        <v>#REF!</v>
      </c>
      <c r="S889" s="97">
        <v>0</v>
      </c>
      <c r="T889" s="97" t="str">
        <f t="shared" ca="1" si="42"/>
        <v>#REF!</v>
      </c>
      <c r="U889" s="97" t="str">
        <f t="shared" ca="1" si="29"/>
        <v>#REF!</v>
      </c>
      <c r="V889" s="97" t="str">
        <f t="shared" ca="1" si="7"/>
        <v>#REF!</v>
      </c>
      <c r="W889" s="97" t="str">
        <f t="shared" ca="1" si="8"/>
        <v>#REF!</v>
      </c>
      <c r="X889" s="121">
        <v>0</v>
      </c>
      <c r="Y889" s="121" t="str">
        <f t="shared" ca="1" si="9"/>
        <v>#REF!</v>
      </c>
      <c r="Z889" s="121" t="str">
        <f t="shared" ca="1" si="10"/>
        <v>#REF!</v>
      </c>
      <c r="AA889" s="99" t="str">
        <f t="shared" ca="1" si="11"/>
        <v>#REF!</v>
      </c>
      <c r="AB889" s="234" t="str">
        <f t="shared" ca="1" si="12"/>
        <v>#REF!</v>
      </c>
      <c r="AC889" s="257" t="str">
        <f t="shared" ca="1" si="13"/>
        <v>#REF!</v>
      </c>
      <c r="AD889" s="234" t="str">
        <f t="shared" ca="1" si="14"/>
        <v>#REF!</v>
      </c>
      <c r="AE889" s="100" t="str">
        <f t="shared" ca="1" si="15"/>
        <v>#REF!</v>
      </c>
      <c r="AF889" s="101" t="str">
        <f t="shared" ca="1" si="16"/>
        <v>#REF!</v>
      </c>
      <c r="AG889" s="102" t="str">
        <f t="shared" ref="AG889:AH889" ca="1" si="907">AE889/V889</f>
        <v>#REF!</v>
      </c>
      <c r="AH889" s="102" t="str">
        <f t="shared" ca="1" si="907"/>
        <v>#REF!</v>
      </c>
    </row>
    <row r="890" spans="1:34" ht="13.2">
      <c r="A890" s="251"/>
      <c r="B890" s="251"/>
      <c r="C890" s="252"/>
      <c r="D890" s="252"/>
      <c r="E890" s="114"/>
      <c r="F890" s="252"/>
      <c r="G890" s="125" t="s">
        <v>145</v>
      </c>
      <c r="I890" s="172"/>
      <c r="J890" s="82" t="str">
        <f t="shared" ca="1" si="0"/>
        <v>#REF!</v>
      </c>
      <c r="K890" s="82" t="str">
        <f t="shared" ca="1" si="1"/>
        <v>#REF!</v>
      </c>
      <c r="L890" s="82" t="str">
        <f t="shared" ca="1" si="44"/>
        <v>#REF!</v>
      </c>
      <c r="M890" s="93"/>
      <c r="N890" s="93"/>
      <c r="O890" s="95">
        <f t="shared" si="2"/>
        <v>0</v>
      </c>
      <c r="P890" s="96">
        <f t="shared" si="3"/>
        <v>0</v>
      </c>
      <c r="Q890" s="97">
        <f t="shared" si="4"/>
        <v>0</v>
      </c>
      <c r="R890" s="97" t="str">
        <f ca="1">ROUNDUP(HLOOKUP(IF(CEILING(L890,0.5)&lt;1,0.5,CEILING(L890,0.5)),'배송비 조회'!A$44:AO$56,7,0)*B$3,-2)</f>
        <v>#REF!</v>
      </c>
      <c r="S890" s="97">
        <v>0</v>
      </c>
      <c r="T890" s="97" t="str">
        <f t="shared" ca="1" si="42"/>
        <v>#REF!</v>
      </c>
      <c r="U890" s="97" t="str">
        <f t="shared" ca="1" si="29"/>
        <v>#REF!</v>
      </c>
      <c r="V890" s="97" t="str">
        <f t="shared" ca="1" si="7"/>
        <v>#REF!</v>
      </c>
      <c r="W890" s="97" t="str">
        <f t="shared" ca="1" si="8"/>
        <v>#REF!</v>
      </c>
      <c r="X890" s="121">
        <v>0</v>
      </c>
      <c r="Y890" s="121" t="str">
        <f t="shared" ca="1" si="9"/>
        <v>#REF!</v>
      </c>
      <c r="Z890" s="121" t="str">
        <f t="shared" ca="1" si="10"/>
        <v>#REF!</v>
      </c>
      <c r="AA890" s="99" t="str">
        <f t="shared" ca="1" si="11"/>
        <v>#REF!</v>
      </c>
      <c r="AB890" s="234" t="str">
        <f t="shared" ca="1" si="12"/>
        <v>#REF!</v>
      </c>
      <c r="AC890" s="257" t="str">
        <f t="shared" ca="1" si="13"/>
        <v>#REF!</v>
      </c>
      <c r="AD890" s="234" t="str">
        <f t="shared" ca="1" si="14"/>
        <v>#REF!</v>
      </c>
      <c r="AE890" s="100" t="str">
        <f t="shared" ca="1" si="15"/>
        <v>#REF!</v>
      </c>
      <c r="AF890" s="101" t="str">
        <f t="shared" ca="1" si="16"/>
        <v>#REF!</v>
      </c>
      <c r="AG890" s="102" t="str">
        <f t="shared" ref="AG890:AH890" ca="1" si="908">AE890/V890</f>
        <v>#REF!</v>
      </c>
      <c r="AH890" s="102" t="str">
        <f t="shared" ca="1" si="908"/>
        <v>#REF!</v>
      </c>
    </row>
    <row r="891" spans="1:34" ht="13.2">
      <c r="A891" s="251"/>
      <c r="B891" s="251"/>
      <c r="C891" s="252"/>
      <c r="D891" s="252"/>
      <c r="E891" s="114"/>
      <c r="F891" s="252"/>
      <c r="G891" s="125" t="s">
        <v>145</v>
      </c>
      <c r="I891" s="172"/>
      <c r="J891" s="82" t="str">
        <f t="shared" ca="1" si="0"/>
        <v>#REF!</v>
      </c>
      <c r="K891" s="82" t="str">
        <f t="shared" ca="1" si="1"/>
        <v>#REF!</v>
      </c>
      <c r="L891" s="82" t="str">
        <f t="shared" ca="1" si="44"/>
        <v>#REF!</v>
      </c>
      <c r="M891" s="93"/>
      <c r="N891" s="93"/>
      <c r="O891" s="95">
        <f t="shared" si="2"/>
        <v>0</v>
      </c>
      <c r="P891" s="96">
        <f t="shared" si="3"/>
        <v>0</v>
      </c>
      <c r="Q891" s="97">
        <f t="shared" si="4"/>
        <v>0</v>
      </c>
      <c r="R891" s="97" t="str">
        <f ca="1">ROUNDUP(HLOOKUP(IF(CEILING(L891,0.5)&lt;1,0.5,CEILING(L891,0.5)),'배송비 조회'!A$44:AO$56,7,0)*B$3,-2)</f>
        <v>#REF!</v>
      </c>
      <c r="S891" s="97">
        <v>0</v>
      </c>
      <c r="T891" s="97" t="str">
        <f t="shared" ca="1" si="42"/>
        <v>#REF!</v>
      </c>
      <c r="U891" s="97" t="str">
        <f t="shared" ca="1" si="29"/>
        <v>#REF!</v>
      </c>
      <c r="V891" s="97" t="str">
        <f t="shared" ca="1" si="7"/>
        <v>#REF!</v>
      </c>
      <c r="W891" s="97" t="str">
        <f t="shared" ca="1" si="8"/>
        <v>#REF!</v>
      </c>
      <c r="X891" s="121">
        <v>0</v>
      </c>
      <c r="Y891" s="121" t="str">
        <f t="shared" ca="1" si="9"/>
        <v>#REF!</v>
      </c>
      <c r="Z891" s="121" t="str">
        <f t="shared" ca="1" si="10"/>
        <v>#REF!</v>
      </c>
      <c r="AA891" s="99" t="str">
        <f t="shared" ca="1" si="11"/>
        <v>#REF!</v>
      </c>
      <c r="AB891" s="234" t="str">
        <f t="shared" ca="1" si="12"/>
        <v>#REF!</v>
      </c>
      <c r="AC891" s="257" t="str">
        <f t="shared" ca="1" si="13"/>
        <v>#REF!</v>
      </c>
      <c r="AD891" s="234" t="str">
        <f t="shared" ca="1" si="14"/>
        <v>#REF!</v>
      </c>
      <c r="AE891" s="100" t="str">
        <f t="shared" ca="1" si="15"/>
        <v>#REF!</v>
      </c>
      <c r="AF891" s="101" t="str">
        <f t="shared" ca="1" si="16"/>
        <v>#REF!</v>
      </c>
      <c r="AG891" s="102" t="str">
        <f t="shared" ref="AG891:AH891" ca="1" si="909">AE891/V891</f>
        <v>#REF!</v>
      </c>
      <c r="AH891" s="102" t="str">
        <f t="shared" ca="1" si="909"/>
        <v>#REF!</v>
      </c>
    </row>
    <row r="892" spans="1:34" ht="13.2">
      <c r="A892" s="251"/>
      <c r="B892" s="251"/>
      <c r="C892" s="252"/>
      <c r="D892" s="252"/>
      <c r="E892" s="114"/>
      <c r="F892" s="252"/>
      <c r="G892" s="125" t="s">
        <v>145</v>
      </c>
      <c r="I892" s="172"/>
      <c r="J892" s="82" t="str">
        <f t="shared" ca="1" si="0"/>
        <v>#REF!</v>
      </c>
      <c r="K892" s="82" t="str">
        <f t="shared" ca="1" si="1"/>
        <v>#REF!</v>
      </c>
      <c r="L892" s="82" t="str">
        <f t="shared" ca="1" si="44"/>
        <v>#REF!</v>
      </c>
      <c r="M892" s="93"/>
      <c r="N892" s="93"/>
      <c r="O892" s="95">
        <f t="shared" si="2"/>
        <v>0</v>
      </c>
      <c r="P892" s="96">
        <f t="shared" si="3"/>
        <v>0</v>
      </c>
      <c r="Q892" s="97">
        <f t="shared" si="4"/>
        <v>0</v>
      </c>
      <c r="R892" s="97" t="str">
        <f ca="1">ROUNDUP(HLOOKUP(IF(CEILING(L892,0.5)&lt;1,0.5,CEILING(L892,0.5)),'배송비 조회'!A$44:AO$56,7,0)*B$3,-2)</f>
        <v>#REF!</v>
      </c>
      <c r="S892" s="97">
        <v>0</v>
      </c>
      <c r="T892" s="97" t="str">
        <f t="shared" ca="1" si="42"/>
        <v>#REF!</v>
      </c>
      <c r="U892" s="97" t="str">
        <f t="shared" ca="1" si="29"/>
        <v>#REF!</v>
      </c>
      <c r="V892" s="97" t="str">
        <f t="shared" ca="1" si="7"/>
        <v>#REF!</v>
      </c>
      <c r="W892" s="97" t="str">
        <f t="shared" ca="1" si="8"/>
        <v>#REF!</v>
      </c>
      <c r="X892" s="121">
        <v>0</v>
      </c>
      <c r="Y892" s="121" t="str">
        <f t="shared" ca="1" si="9"/>
        <v>#REF!</v>
      </c>
      <c r="Z892" s="121" t="str">
        <f t="shared" ca="1" si="10"/>
        <v>#REF!</v>
      </c>
      <c r="AA892" s="99" t="str">
        <f t="shared" ca="1" si="11"/>
        <v>#REF!</v>
      </c>
      <c r="AB892" s="234" t="str">
        <f t="shared" ca="1" si="12"/>
        <v>#REF!</v>
      </c>
      <c r="AC892" s="257" t="str">
        <f t="shared" ca="1" si="13"/>
        <v>#REF!</v>
      </c>
      <c r="AD892" s="234" t="str">
        <f t="shared" ca="1" si="14"/>
        <v>#REF!</v>
      </c>
      <c r="AE892" s="100" t="str">
        <f t="shared" ca="1" si="15"/>
        <v>#REF!</v>
      </c>
      <c r="AF892" s="101" t="str">
        <f t="shared" ca="1" si="16"/>
        <v>#REF!</v>
      </c>
      <c r="AG892" s="102" t="str">
        <f t="shared" ref="AG892:AH892" ca="1" si="910">AE892/V892</f>
        <v>#REF!</v>
      </c>
      <c r="AH892" s="102" t="str">
        <f t="shared" ca="1" si="910"/>
        <v>#REF!</v>
      </c>
    </row>
    <row r="893" spans="1:34" ht="13.2">
      <c r="A893" s="251"/>
      <c r="B893" s="251"/>
      <c r="C893" s="252"/>
      <c r="D893" s="252"/>
      <c r="E893" s="114"/>
      <c r="F893" s="252"/>
      <c r="G893" s="125" t="s">
        <v>145</v>
      </c>
      <c r="I893" s="172"/>
      <c r="J893" s="82" t="str">
        <f t="shared" ca="1" si="0"/>
        <v>#REF!</v>
      </c>
      <c r="K893" s="82" t="str">
        <f t="shared" ca="1" si="1"/>
        <v>#REF!</v>
      </c>
      <c r="L893" s="82" t="str">
        <f t="shared" ca="1" si="44"/>
        <v>#REF!</v>
      </c>
      <c r="M893" s="93"/>
      <c r="N893" s="93"/>
      <c r="O893" s="95">
        <f t="shared" si="2"/>
        <v>0</v>
      </c>
      <c r="P893" s="96">
        <f t="shared" si="3"/>
        <v>0</v>
      </c>
      <c r="Q893" s="97">
        <f t="shared" si="4"/>
        <v>0</v>
      </c>
      <c r="R893" s="97" t="str">
        <f ca="1">ROUNDUP(HLOOKUP(IF(CEILING(L893,0.5)&lt;1,0.5,CEILING(L893,0.5)),'배송비 조회'!A$44:AO$56,7,0)*B$3,-2)</f>
        <v>#REF!</v>
      </c>
      <c r="S893" s="97">
        <v>0</v>
      </c>
      <c r="T893" s="97" t="str">
        <f t="shared" ca="1" si="42"/>
        <v>#REF!</v>
      </c>
      <c r="U893" s="97" t="str">
        <f t="shared" ca="1" si="29"/>
        <v>#REF!</v>
      </c>
      <c r="V893" s="97" t="str">
        <f t="shared" ca="1" si="7"/>
        <v>#REF!</v>
      </c>
      <c r="W893" s="97" t="str">
        <f t="shared" ca="1" si="8"/>
        <v>#REF!</v>
      </c>
      <c r="X893" s="121">
        <v>0</v>
      </c>
      <c r="Y893" s="121" t="str">
        <f t="shared" ca="1" si="9"/>
        <v>#REF!</v>
      </c>
      <c r="Z893" s="121" t="str">
        <f t="shared" ca="1" si="10"/>
        <v>#REF!</v>
      </c>
      <c r="AA893" s="99" t="str">
        <f t="shared" ca="1" si="11"/>
        <v>#REF!</v>
      </c>
      <c r="AB893" s="234" t="str">
        <f t="shared" ca="1" si="12"/>
        <v>#REF!</v>
      </c>
      <c r="AC893" s="257" t="str">
        <f t="shared" ca="1" si="13"/>
        <v>#REF!</v>
      </c>
      <c r="AD893" s="234" t="str">
        <f t="shared" ca="1" si="14"/>
        <v>#REF!</v>
      </c>
      <c r="AE893" s="100" t="str">
        <f t="shared" ca="1" si="15"/>
        <v>#REF!</v>
      </c>
      <c r="AF893" s="101" t="str">
        <f t="shared" ca="1" si="16"/>
        <v>#REF!</v>
      </c>
      <c r="AG893" s="102" t="str">
        <f t="shared" ref="AG893:AH893" ca="1" si="911">AE893/V893</f>
        <v>#REF!</v>
      </c>
      <c r="AH893" s="102" t="str">
        <f t="shared" ca="1" si="911"/>
        <v>#REF!</v>
      </c>
    </row>
    <row r="894" spans="1:34" ht="13.2">
      <c r="A894" s="251"/>
      <c r="B894" s="251"/>
      <c r="C894" s="252"/>
      <c r="D894" s="252"/>
      <c r="E894" s="114"/>
      <c r="F894" s="252"/>
      <c r="G894" s="125" t="s">
        <v>145</v>
      </c>
      <c r="I894" s="172"/>
      <c r="J894" s="82" t="str">
        <f t="shared" ca="1" si="0"/>
        <v>#REF!</v>
      </c>
      <c r="K894" s="82" t="str">
        <f t="shared" ca="1" si="1"/>
        <v>#REF!</v>
      </c>
      <c r="L894" s="82" t="str">
        <f t="shared" ca="1" si="44"/>
        <v>#REF!</v>
      </c>
      <c r="M894" s="93"/>
      <c r="N894" s="93"/>
      <c r="O894" s="95">
        <f t="shared" si="2"/>
        <v>0</v>
      </c>
      <c r="P894" s="96">
        <f t="shared" si="3"/>
        <v>0</v>
      </c>
      <c r="Q894" s="97">
        <f t="shared" si="4"/>
        <v>0</v>
      </c>
      <c r="R894" s="97" t="str">
        <f ca="1">ROUNDUP(HLOOKUP(IF(CEILING(L894,0.5)&lt;1,0.5,CEILING(L894,0.5)),'배송비 조회'!A$44:AO$56,7,0)*B$3,-2)</f>
        <v>#REF!</v>
      </c>
      <c r="S894" s="97">
        <v>0</v>
      </c>
      <c r="T894" s="97" t="str">
        <f t="shared" ca="1" si="42"/>
        <v>#REF!</v>
      </c>
      <c r="U894" s="97" t="str">
        <f t="shared" ca="1" si="29"/>
        <v>#REF!</v>
      </c>
      <c r="V894" s="97" t="str">
        <f t="shared" ca="1" si="7"/>
        <v>#REF!</v>
      </c>
      <c r="W894" s="97" t="str">
        <f t="shared" ca="1" si="8"/>
        <v>#REF!</v>
      </c>
      <c r="X894" s="121">
        <v>0</v>
      </c>
      <c r="Y894" s="121" t="str">
        <f t="shared" ca="1" si="9"/>
        <v>#REF!</v>
      </c>
      <c r="Z894" s="121" t="str">
        <f t="shared" ca="1" si="10"/>
        <v>#REF!</v>
      </c>
      <c r="AA894" s="99" t="str">
        <f t="shared" ca="1" si="11"/>
        <v>#REF!</v>
      </c>
      <c r="AB894" s="234" t="str">
        <f t="shared" ca="1" si="12"/>
        <v>#REF!</v>
      </c>
      <c r="AC894" s="257" t="str">
        <f t="shared" ca="1" si="13"/>
        <v>#REF!</v>
      </c>
      <c r="AD894" s="234" t="str">
        <f t="shared" ca="1" si="14"/>
        <v>#REF!</v>
      </c>
      <c r="AE894" s="100" t="str">
        <f t="shared" ca="1" si="15"/>
        <v>#REF!</v>
      </c>
      <c r="AF894" s="101" t="str">
        <f t="shared" ca="1" si="16"/>
        <v>#REF!</v>
      </c>
      <c r="AG894" s="102" t="str">
        <f t="shared" ref="AG894:AH894" ca="1" si="912">AE894/V894</f>
        <v>#REF!</v>
      </c>
      <c r="AH894" s="102" t="str">
        <f t="shared" ca="1" si="912"/>
        <v>#REF!</v>
      </c>
    </row>
    <row r="895" spans="1:34" ht="13.2">
      <c r="A895" s="251"/>
      <c r="B895" s="251"/>
      <c r="C895" s="252"/>
      <c r="D895" s="252"/>
      <c r="E895" s="114"/>
      <c r="F895" s="252"/>
      <c r="G895" s="125" t="s">
        <v>145</v>
      </c>
      <c r="I895" s="172"/>
      <c r="J895" s="82" t="str">
        <f t="shared" ca="1" si="0"/>
        <v>#REF!</v>
      </c>
      <c r="K895" s="82" t="str">
        <f t="shared" ca="1" si="1"/>
        <v>#REF!</v>
      </c>
      <c r="L895" s="82" t="str">
        <f t="shared" ca="1" si="44"/>
        <v>#REF!</v>
      </c>
      <c r="M895" s="93"/>
      <c r="N895" s="93"/>
      <c r="O895" s="95">
        <f t="shared" si="2"/>
        <v>0</v>
      </c>
      <c r="P895" s="96">
        <f t="shared" si="3"/>
        <v>0</v>
      </c>
      <c r="Q895" s="97">
        <f t="shared" si="4"/>
        <v>0</v>
      </c>
      <c r="R895" s="97" t="str">
        <f ca="1">ROUNDUP(HLOOKUP(IF(CEILING(L895,0.5)&lt;1,0.5,CEILING(L895,0.5)),'배송비 조회'!A$44:AO$56,7,0)*B$3,-2)</f>
        <v>#REF!</v>
      </c>
      <c r="S895" s="97">
        <v>0</v>
      </c>
      <c r="T895" s="97" t="str">
        <f t="shared" ca="1" si="42"/>
        <v>#REF!</v>
      </c>
      <c r="U895" s="97" t="str">
        <f t="shared" ca="1" si="29"/>
        <v>#REF!</v>
      </c>
      <c r="V895" s="97" t="str">
        <f t="shared" ca="1" si="7"/>
        <v>#REF!</v>
      </c>
      <c r="W895" s="97" t="str">
        <f t="shared" ca="1" si="8"/>
        <v>#REF!</v>
      </c>
      <c r="X895" s="121">
        <v>0</v>
      </c>
      <c r="Y895" s="121" t="str">
        <f t="shared" ca="1" si="9"/>
        <v>#REF!</v>
      </c>
      <c r="Z895" s="121" t="str">
        <f t="shared" ca="1" si="10"/>
        <v>#REF!</v>
      </c>
      <c r="AA895" s="99" t="str">
        <f t="shared" ca="1" si="11"/>
        <v>#REF!</v>
      </c>
      <c r="AB895" s="234" t="str">
        <f t="shared" ca="1" si="12"/>
        <v>#REF!</v>
      </c>
      <c r="AC895" s="257" t="str">
        <f t="shared" ca="1" si="13"/>
        <v>#REF!</v>
      </c>
      <c r="AD895" s="234" t="str">
        <f t="shared" ca="1" si="14"/>
        <v>#REF!</v>
      </c>
      <c r="AE895" s="100" t="str">
        <f t="shared" ca="1" si="15"/>
        <v>#REF!</v>
      </c>
      <c r="AF895" s="101" t="str">
        <f t="shared" ca="1" si="16"/>
        <v>#REF!</v>
      </c>
      <c r="AG895" s="102" t="str">
        <f t="shared" ref="AG895:AH895" ca="1" si="913">AE895/V895</f>
        <v>#REF!</v>
      </c>
      <c r="AH895" s="102" t="str">
        <f t="shared" ca="1" si="913"/>
        <v>#REF!</v>
      </c>
    </row>
    <row r="896" spans="1:34" ht="13.2">
      <c r="A896" s="251"/>
      <c r="B896" s="251"/>
      <c r="C896" s="252"/>
      <c r="D896" s="252"/>
      <c r="E896" s="114"/>
      <c r="F896" s="252"/>
      <c r="G896" s="125" t="s">
        <v>145</v>
      </c>
      <c r="I896" s="172"/>
      <c r="J896" s="82" t="str">
        <f t="shared" ca="1" si="0"/>
        <v>#REF!</v>
      </c>
      <c r="K896" s="82" t="str">
        <f t="shared" ca="1" si="1"/>
        <v>#REF!</v>
      </c>
      <c r="L896" s="82" t="str">
        <f t="shared" ca="1" si="44"/>
        <v>#REF!</v>
      </c>
      <c r="M896" s="93"/>
      <c r="N896" s="93"/>
      <c r="O896" s="95">
        <f t="shared" si="2"/>
        <v>0</v>
      </c>
      <c r="P896" s="96">
        <f t="shared" si="3"/>
        <v>0</v>
      </c>
      <c r="Q896" s="97">
        <f t="shared" si="4"/>
        <v>0</v>
      </c>
      <c r="R896" s="97" t="str">
        <f ca="1">ROUNDUP(HLOOKUP(IF(CEILING(L896,0.5)&lt;1,0.5,CEILING(L896,0.5)),'배송비 조회'!A$44:AO$56,7,0)*B$3,-2)</f>
        <v>#REF!</v>
      </c>
      <c r="S896" s="97">
        <v>0</v>
      </c>
      <c r="T896" s="97" t="str">
        <f t="shared" ca="1" si="42"/>
        <v>#REF!</v>
      </c>
      <c r="U896" s="97" t="str">
        <f t="shared" ca="1" si="29"/>
        <v>#REF!</v>
      </c>
      <c r="V896" s="97" t="str">
        <f t="shared" ca="1" si="7"/>
        <v>#REF!</v>
      </c>
      <c r="W896" s="97" t="str">
        <f t="shared" ca="1" si="8"/>
        <v>#REF!</v>
      </c>
      <c r="X896" s="121">
        <v>0</v>
      </c>
      <c r="Y896" s="121" t="str">
        <f t="shared" ca="1" si="9"/>
        <v>#REF!</v>
      </c>
      <c r="Z896" s="121" t="str">
        <f t="shared" ca="1" si="10"/>
        <v>#REF!</v>
      </c>
      <c r="AA896" s="99" t="str">
        <f t="shared" ca="1" si="11"/>
        <v>#REF!</v>
      </c>
      <c r="AB896" s="234" t="str">
        <f t="shared" ca="1" si="12"/>
        <v>#REF!</v>
      </c>
      <c r="AC896" s="257" t="str">
        <f t="shared" ca="1" si="13"/>
        <v>#REF!</v>
      </c>
      <c r="AD896" s="234" t="str">
        <f t="shared" ca="1" si="14"/>
        <v>#REF!</v>
      </c>
      <c r="AE896" s="100" t="str">
        <f t="shared" ca="1" si="15"/>
        <v>#REF!</v>
      </c>
      <c r="AF896" s="101" t="str">
        <f t="shared" ca="1" si="16"/>
        <v>#REF!</v>
      </c>
      <c r="AG896" s="102" t="str">
        <f t="shared" ref="AG896:AH896" ca="1" si="914">AE896/V896</f>
        <v>#REF!</v>
      </c>
      <c r="AH896" s="102" t="str">
        <f t="shared" ca="1" si="914"/>
        <v>#REF!</v>
      </c>
    </row>
    <row r="897" spans="1:34" ht="13.2">
      <c r="A897" s="251"/>
      <c r="B897" s="251"/>
      <c r="C897" s="252"/>
      <c r="D897" s="252"/>
      <c r="E897" s="114"/>
      <c r="F897" s="252"/>
      <c r="G897" s="125" t="s">
        <v>145</v>
      </c>
      <c r="I897" s="172"/>
      <c r="J897" s="82" t="str">
        <f t="shared" ca="1" si="0"/>
        <v>#REF!</v>
      </c>
      <c r="K897" s="82" t="str">
        <f t="shared" ca="1" si="1"/>
        <v>#REF!</v>
      </c>
      <c r="L897" s="82" t="str">
        <f t="shared" ca="1" si="44"/>
        <v>#REF!</v>
      </c>
      <c r="M897" s="93"/>
      <c r="N897" s="93"/>
      <c r="O897" s="95">
        <f t="shared" si="2"/>
        <v>0</v>
      </c>
      <c r="P897" s="96">
        <f t="shared" si="3"/>
        <v>0</v>
      </c>
      <c r="Q897" s="97">
        <f t="shared" si="4"/>
        <v>0</v>
      </c>
      <c r="R897" s="97" t="str">
        <f ca="1">ROUNDUP(HLOOKUP(IF(CEILING(L897,0.5)&lt;1,0.5,CEILING(L897,0.5)),'배송비 조회'!A$44:AO$56,7,0)*B$3,-2)</f>
        <v>#REF!</v>
      </c>
      <c r="S897" s="97">
        <v>0</v>
      </c>
      <c r="T897" s="97" t="str">
        <f t="shared" ca="1" si="42"/>
        <v>#REF!</v>
      </c>
      <c r="U897" s="97" t="str">
        <f t="shared" ca="1" si="29"/>
        <v>#REF!</v>
      </c>
      <c r="V897" s="97" t="str">
        <f t="shared" ca="1" si="7"/>
        <v>#REF!</v>
      </c>
      <c r="W897" s="97" t="str">
        <f t="shared" ca="1" si="8"/>
        <v>#REF!</v>
      </c>
      <c r="X897" s="121">
        <v>0</v>
      </c>
      <c r="Y897" s="121" t="str">
        <f t="shared" ca="1" si="9"/>
        <v>#REF!</v>
      </c>
      <c r="Z897" s="121" t="str">
        <f t="shared" ca="1" si="10"/>
        <v>#REF!</v>
      </c>
      <c r="AA897" s="99" t="str">
        <f t="shared" ca="1" si="11"/>
        <v>#REF!</v>
      </c>
      <c r="AB897" s="234" t="str">
        <f t="shared" ca="1" si="12"/>
        <v>#REF!</v>
      </c>
      <c r="AC897" s="257" t="str">
        <f t="shared" ca="1" si="13"/>
        <v>#REF!</v>
      </c>
      <c r="AD897" s="234" t="str">
        <f t="shared" ca="1" si="14"/>
        <v>#REF!</v>
      </c>
      <c r="AE897" s="100" t="str">
        <f t="shared" ca="1" si="15"/>
        <v>#REF!</v>
      </c>
      <c r="AF897" s="101" t="str">
        <f t="shared" ca="1" si="16"/>
        <v>#REF!</v>
      </c>
      <c r="AG897" s="102" t="str">
        <f t="shared" ref="AG897:AH897" ca="1" si="915">AE897/V897</f>
        <v>#REF!</v>
      </c>
      <c r="AH897" s="102" t="str">
        <f t="shared" ca="1" si="915"/>
        <v>#REF!</v>
      </c>
    </row>
    <row r="898" spans="1:34" ht="13.2">
      <c r="A898" s="251"/>
      <c r="B898" s="251"/>
      <c r="C898" s="252"/>
      <c r="D898" s="252"/>
      <c r="E898" s="114"/>
      <c r="F898" s="252"/>
      <c r="G898" s="125" t="s">
        <v>145</v>
      </c>
      <c r="I898" s="172"/>
      <c r="J898" s="82" t="str">
        <f t="shared" ca="1" si="0"/>
        <v>#REF!</v>
      </c>
      <c r="K898" s="82" t="str">
        <f t="shared" ca="1" si="1"/>
        <v>#REF!</v>
      </c>
      <c r="L898" s="82" t="str">
        <f t="shared" ca="1" si="44"/>
        <v>#REF!</v>
      </c>
      <c r="M898" s="93"/>
      <c r="N898" s="93"/>
      <c r="O898" s="95">
        <f t="shared" si="2"/>
        <v>0</v>
      </c>
      <c r="P898" s="96">
        <f t="shared" si="3"/>
        <v>0</v>
      </c>
      <c r="Q898" s="97">
        <f t="shared" si="4"/>
        <v>0</v>
      </c>
      <c r="R898" s="97" t="str">
        <f ca="1">ROUNDUP(HLOOKUP(IF(CEILING(L898,0.5)&lt;1,0.5,CEILING(L898,0.5)),'배송비 조회'!A$44:AO$56,7,0)*B$3,-2)</f>
        <v>#REF!</v>
      </c>
      <c r="S898" s="97">
        <v>0</v>
      </c>
      <c r="T898" s="97" t="str">
        <f t="shared" ca="1" si="42"/>
        <v>#REF!</v>
      </c>
      <c r="U898" s="97" t="str">
        <f t="shared" ca="1" si="29"/>
        <v>#REF!</v>
      </c>
      <c r="V898" s="97" t="str">
        <f t="shared" ca="1" si="7"/>
        <v>#REF!</v>
      </c>
      <c r="W898" s="97" t="str">
        <f t="shared" ca="1" si="8"/>
        <v>#REF!</v>
      </c>
      <c r="X898" s="121">
        <v>0</v>
      </c>
      <c r="Y898" s="121" t="str">
        <f t="shared" ca="1" si="9"/>
        <v>#REF!</v>
      </c>
      <c r="Z898" s="121" t="str">
        <f t="shared" ca="1" si="10"/>
        <v>#REF!</v>
      </c>
      <c r="AA898" s="99" t="str">
        <f t="shared" ca="1" si="11"/>
        <v>#REF!</v>
      </c>
      <c r="AB898" s="234" t="str">
        <f t="shared" ca="1" si="12"/>
        <v>#REF!</v>
      </c>
      <c r="AC898" s="257" t="str">
        <f t="shared" ca="1" si="13"/>
        <v>#REF!</v>
      </c>
      <c r="AD898" s="234" t="str">
        <f t="shared" ca="1" si="14"/>
        <v>#REF!</v>
      </c>
      <c r="AE898" s="100" t="str">
        <f t="shared" ca="1" si="15"/>
        <v>#REF!</v>
      </c>
      <c r="AF898" s="101" t="str">
        <f t="shared" ca="1" si="16"/>
        <v>#REF!</v>
      </c>
      <c r="AG898" s="102" t="str">
        <f t="shared" ref="AG898:AH898" ca="1" si="916">AE898/V898</f>
        <v>#REF!</v>
      </c>
      <c r="AH898" s="102" t="str">
        <f t="shared" ca="1" si="916"/>
        <v>#REF!</v>
      </c>
    </row>
    <row r="899" spans="1:34" ht="13.2">
      <c r="A899" s="251"/>
      <c r="B899" s="251"/>
      <c r="C899" s="252"/>
      <c r="D899" s="252"/>
      <c r="E899" s="114"/>
      <c r="F899" s="252"/>
      <c r="G899" s="125" t="s">
        <v>145</v>
      </c>
      <c r="I899" s="172"/>
      <c r="J899" s="82" t="str">
        <f t="shared" ca="1" si="0"/>
        <v>#REF!</v>
      </c>
      <c r="K899" s="82" t="str">
        <f t="shared" ca="1" si="1"/>
        <v>#REF!</v>
      </c>
      <c r="L899" s="82" t="str">
        <f t="shared" ca="1" si="44"/>
        <v>#REF!</v>
      </c>
      <c r="M899" s="93"/>
      <c r="N899" s="93"/>
      <c r="O899" s="95">
        <f t="shared" si="2"/>
        <v>0</v>
      </c>
      <c r="P899" s="96">
        <f t="shared" si="3"/>
        <v>0</v>
      </c>
      <c r="Q899" s="97">
        <f t="shared" si="4"/>
        <v>0</v>
      </c>
      <c r="R899" s="97" t="str">
        <f ca="1">ROUNDUP(HLOOKUP(IF(CEILING(L899,0.5)&lt;1,0.5,CEILING(L899,0.5)),'배송비 조회'!A$44:AO$56,7,0)*B$3,-2)</f>
        <v>#REF!</v>
      </c>
      <c r="S899" s="97">
        <v>0</v>
      </c>
      <c r="T899" s="97" t="str">
        <f t="shared" ca="1" si="42"/>
        <v>#REF!</v>
      </c>
      <c r="U899" s="97" t="str">
        <f t="shared" ca="1" si="29"/>
        <v>#REF!</v>
      </c>
      <c r="V899" s="97" t="str">
        <f t="shared" ca="1" si="7"/>
        <v>#REF!</v>
      </c>
      <c r="W899" s="97" t="str">
        <f t="shared" ca="1" si="8"/>
        <v>#REF!</v>
      </c>
      <c r="X899" s="121">
        <v>0</v>
      </c>
      <c r="Y899" s="121" t="str">
        <f t="shared" ca="1" si="9"/>
        <v>#REF!</v>
      </c>
      <c r="Z899" s="121" t="str">
        <f t="shared" ca="1" si="10"/>
        <v>#REF!</v>
      </c>
      <c r="AA899" s="99" t="str">
        <f t="shared" ca="1" si="11"/>
        <v>#REF!</v>
      </c>
      <c r="AB899" s="234" t="str">
        <f t="shared" ca="1" si="12"/>
        <v>#REF!</v>
      </c>
      <c r="AC899" s="257" t="str">
        <f t="shared" ca="1" si="13"/>
        <v>#REF!</v>
      </c>
      <c r="AD899" s="234" t="str">
        <f t="shared" ca="1" si="14"/>
        <v>#REF!</v>
      </c>
      <c r="AE899" s="100" t="str">
        <f t="shared" ca="1" si="15"/>
        <v>#REF!</v>
      </c>
      <c r="AF899" s="101" t="str">
        <f t="shared" ca="1" si="16"/>
        <v>#REF!</v>
      </c>
      <c r="AG899" s="102" t="str">
        <f t="shared" ref="AG899:AH899" ca="1" si="917">AE899/V899</f>
        <v>#REF!</v>
      </c>
      <c r="AH899" s="102" t="str">
        <f t="shared" ca="1" si="917"/>
        <v>#REF!</v>
      </c>
    </row>
    <row r="900" spans="1:34" ht="13.2">
      <c r="A900" s="251"/>
      <c r="B900" s="251"/>
      <c r="C900" s="252"/>
      <c r="D900" s="252"/>
      <c r="E900" s="114"/>
      <c r="F900" s="252"/>
      <c r="G900" s="125" t="s">
        <v>145</v>
      </c>
      <c r="I900" s="172"/>
      <c r="J900" s="82" t="str">
        <f t="shared" ca="1" si="0"/>
        <v>#REF!</v>
      </c>
      <c r="K900" s="82" t="str">
        <f t="shared" ca="1" si="1"/>
        <v>#REF!</v>
      </c>
      <c r="L900" s="82" t="str">
        <f t="shared" ca="1" si="44"/>
        <v>#REF!</v>
      </c>
      <c r="M900" s="93"/>
      <c r="N900" s="93"/>
      <c r="O900" s="95">
        <f t="shared" si="2"/>
        <v>0</v>
      </c>
      <c r="P900" s="96">
        <f t="shared" si="3"/>
        <v>0</v>
      </c>
      <c r="Q900" s="97">
        <f t="shared" si="4"/>
        <v>0</v>
      </c>
      <c r="R900" s="97" t="str">
        <f ca="1">ROUNDUP(HLOOKUP(IF(CEILING(L900,0.5)&lt;1,0.5,CEILING(L900,0.5)),'배송비 조회'!A$44:AO$56,7,0)*B$3,-2)</f>
        <v>#REF!</v>
      </c>
      <c r="S900" s="97">
        <v>0</v>
      </c>
      <c r="T900" s="97" t="str">
        <f t="shared" ca="1" si="42"/>
        <v>#REF!</v>
      </c>
      <c r="U900" s="97" t="str">
        <f t="shared" ca="1" si="29"/>
        <v>#REF!</v>
      </c>
      <c r="V900" s="97" t="str">
        <f t="shared" ca="1" si="7"/>
        <v>#REF!</v>
      </c>
      <c r="W900" s="97" t="str">
        <f t="shared" ca="1" si="8"/>
        <v>#REF!</v>
      </c>
      <c r="X900" s="121">
        <v>0</v>
      </c>
      <c r="Y900" s="121" t="str">
        <f t="shared" ca="1" si="9"/>
        <v>#REF!</v>
      </c>
      <c r="Z900" s="121" t="str">
        <f t="shared" ca="1" si="10"/>
        <v>#REF!</v>
      </c>
      <c r="AA900" s="99" t="str">
        <f t="shared" ca="1" si="11"/>
        <v>#REF!</v>
      </c>
      <c r="AB900" s="234" t="str">
        <f t="shared" ca="1" si="12"/>
        <v>#REF!</v>
      </c>
      <c r="AC900" s="257" t="str">
        <f t="shared" ca="1" si="13"/>
        <v>#REF!</v>
      </c>
      <c r="AD900" s="234" t="str">
        <f t="shared" ca="1" si="14"/>
        <v>#REF!</v>
      </c>
      <c r="AE900" s="100" t="str">
        <f t="shared" ca="1" si="15"/>
        <v>#REF!</v>
      </c>
      <c r="AF900" s="101" t="str">
        <f t="shared" ca="1" si="16"/>
        <v>#REF!</v>
      </c>
      <c r="AG900" s="102" t="str">
        <f t="shared" ref="AG900:AH900" ca="1" si="918">AE900/V900</f>
        <v>#REF!</v>
      </c>
      <c r="AH900" s="102" t="str">
        <f t="shared" ca="1" si="918"/>
        <v>#REF!</v>
      </c>
    </row>
    <row r="901" spans="1:34" ht="13.2">
      <c r="A901" s="251"/>
      <c r="B901" s="251"/>
      <c r="C901" s="252"/>
      <c r="D901" s="252"/>
      <c r="E901" s="114"/>
      <c r="F901" s="252"/>
      <c r="G901" s="125" t="s">
        <v>145</v>
      </c>
      <c r="I901" s="172"/>
      <c r="J901" s="82" t="str">
        <f t="shared" ca="1" si="0"/>
        <v>#REF!</v>
      </c>
      <c r="K901" s="82" t="str">
        <f t="shared" ca="1" si="1"/>
        <v>#REF!</v>
      </c>
      <c r="L901" s="82" t="str">
        <f t="shared" ca="1" si="44"/>
        <v>#REF!</v>
      </c>
      <c r="M901" s="93"/>
      <c r="N901" s="93"/>
      <c r="O901" s="95">
        <f t="shared" si="2"/>
        <v>0</v>
      </c>
      <c r="P901" s="96">
        <f t="shared" si="3"/>
        <v>0</v>
      </c>
      <c r="Q901" s="97">
        <f t="shared" si="4"/>
        <v>0</v>
      </c>
      <c r="R901" s="97" t="str">
        <f ca="1">ROUNDUP(HLOOKUP(IF(CEILING(L901,0.5)&lt;1,0.5,CEILING(L901,0.5)),'배송비 조회'!A$44:AO$56,7,0)*B$3,-2)</f>
        <v>#REF!</v>
      </c>
      <c r="S901" s="97">
        <v>0</v>
      </c>
      <c r="T901" s="97" t="str">
        <f t="shared" ca="1" si="42"/>
        <v>#REF!</v>
      </c>
      <c r="U901" s="97" t="str">
        <f t="shared" ca="1" si="29"/>
        <v>#REF!</v>
      </c>
      <c r="V901" s="97" t="str">
        <f t="shared" ca="1" si="7"/>
        <v>#REF!</v>
      </c>
      <c r="W901" s="97" t="str">
        <f t="shared" ca="1" si="8"/>
        <v>#REF!</v>
      </c>
      <c r="X901" s="121">
        <v>0</v>
      </c>
      <c r="Y901" s="121" t="str">
        <f t="shared" ca="1" si="9"/>
        <v>#REF!</v>
      </c>
      <c r="Z901" s="121" t="str">
        <f t="shared" ca="1" si="10"/>
        <v>#REF!</v>
      </c>
      <c r="AA901" s="99" t="str">
        <f t="shared" ca="1" si="11"/>
        <v>#REF!</v>
      </c>
      <c r="AB901" s="234" t="str">
        <f t="shared" ca="1" si="12"/>
        <v>#REF!</v>
      </c>
      <c r="AC901" s="257" t="str">
        <f t="shared" ca="1" si="13"/>
        <v>#REF!</v>
      </c>
      <c r="AD901" s="234" t="str">
        <f t="shared" ca="1" si="14"/>
        <v>#REF!</v>
      </c>
      <c r="AE901" s="100" t="str">
        <f t="shared" ca="1" si="15"/>
        <v>#REF!</v>
      </c>
      <c r="AF901" s="101" t="str">
        <f t="shared" ca="1" si="16"/>
        <v>#REF!</v>
      </c>
      <c r="AG901" s="102" t="str">
        <f t="shared" ref="AG901:AH901" ca="1" si="919">AE901/V901</f>
        <v>#REF!</v>
      </c>
      <c r="AH901" s="102" t="str">
        <f t="shared" ca="1" si="919"/>
        <v>#REF!</v>
      </c>
    </row>
    <row r="902" spans="1:34" ht="13.2">
      <c r="A902" s="251"/>
      <c r="B902" s="251"/>
      <c r="C902" s="252"/>
      <c r="D902" s="252"/>
      <c r="E902" s="114"/>
      <c r="F902" s="252"/>
      <c r="G902" s="125" t="s">
        <v>145</v>
      </c>
      <c r="I902" s="172"/>
      <c r="J902" s="82" t="str">
        <f t="shared" ca="1" si="0"/>
        <v>#REF!</v>
      </c>
      <c r="K902" s="82" t="str">
        <f t="shared" ca="1" si="1"/>
        <v>#REF!</v>
      </c>
      <c r="L902" s="82" t="str">
        <f t="shared" ca="1" si="44"/>
        <v>#REF!</v>
      </c>
      <c r="M902" s="93"/>
      <c r="N902" s="93"/>
      <c r="O902" s="95">
        <f t="shared" si="2"/>
        <v>0</v>
      </c>
      <c r="P902" s="96">
        <f t="shared" si="3"/>
        <v>0</v>
      </c>
      <c r="Q902" s="97">
        <f t="shared" si="4"/>
        <v>0</v>
      </c>
      <c r="R902" s="97" t="str">
        <f ca="1">ROUNDUP(HLOOKUP(IF(CEILING(L902,0.5)&lt;1,0.5,CEILING(L902,0.5)),'배송비 조회'!A$44:AO$56,7,0)*B$3,-2)</f>
        <v>#REF!</v>
      </c>
      <c r="S902" s="97">
        <v>0</v>
      </c>
      <c r="T902" s="97" t="str">
        <f t="shared" ca="1" si="42"/>
        <v>#REF!</v>
      </c>
      <c r="U902" s="97" t="str">
        <f t="shared" ca="1" si="29"/>
        <v>#REF!</v>
      </c>
      <c r="V902" s="97" t="str">
        <f t="shared" ca="1" si="7"/>
        <v>#REF!</v>
      </c>
      <c r="W902" s="97" t="str">
        <f t="shared" ca="1" si="8"/>
        <v>#REF!</v>
      </c>
      <c r="X902" s="121">
        <v>0</v>
      </c>
      <c r="Y902" s="121" t="str">
        <f t="shared" ca="1" si="9"/>
        <v>#REF!</v>
      </c>
      <c r="Z902" s="121" t="str">
        <f t="shared" ca="1" si="10"/>
        <v>#REF!</v>
      </c>
      <c r="AA902" s="99" t="str">
        <f t="shared" ca="1" si="11"/>
        <v>#REF!</v>
      </c>
      <c r="AB902" s="234" t="str">
        <f t="shared" ca="1" si="12"/>
        <v>#REF!</v>
      </c>
      <c r="AC902" s="257" t="str">
        <f t="shared" ca="1" si="13"/>
        <v>#REF!</v>
      </c>
      <c r="AD902" s="234" t="str">
        <f t="shared" ca="1" si="14"/>
        <v>#REF!</v>
      </c>
      <c r="AE902" s="100" t="str">
        <f t="shared" ca="1" si="15"/>
        <v>#REF!</v>
      </c>
      <c r="AF902" s="101" t="str">
        <f t="shared" ca="1" si="16"/>
        <v>#REF!</v>
      </c>
      <c r="AG902" s="102" t="str">
        <f t="shared" ref="AG902:AH902" ca="1" si="920">AE902/V902</f>
        <v>#REF!</v>
      </c>
      <c r="AH902" s="102" t="str">
        <f t="shared" ca="1" si="920"/>
        <v>#REF!</v>
      </c>
    </row>
    <row r="903" spans="1:34" ht="13.2">
      <c r="A903" s="251"/>
      <c r="B903" s="251"/>
      <c r="C903" s="252"/>
      <c r="D903" s="252"/>
      <c r="E903" s="114"/>
      <c r="F903" s="252"/>
      <c r="G903" s="125" t="s">
        <v>145</v>
      </c>
      <c r="I903" s="172"/>
      <c r="J903" s="82" t="str">
        <f t="shared" ca="1" si="0"/>
        <v>#REF!</v>
      </c>
      <c r="K903" s="82" t="str">
        <f t="shared" ca="1" si="1"/>
        <v>#REF!</v>
      </c>
      <c r="L903" s="82" t="str">
        <f t="shared" ca="1" si="44"/>
        <v>#REF!</v>
      </c>
      <c r="M903" s="93"/>
      <c r="N903" s="93"/>
      <c r="O903" s="95">
        <f t="shared" si="2"/>
        <v>0</v>
      </c>
      <c r="P903" s="96">
        <f t="shared" si="3"/>
        <v>0</v>
      </c>
      <c r="Q903" s="97">
        <f t="shared" si="4"/>
        <v>0</v>
      </c>
      <c r="R903" s="97" t="str">
        <f ca="1">ROUNDUP(HLOOKUP(IF(CEILING(L903,0.5)&lt;1,0.5,CEILING(L903,0.5)),'배송비 조회'!A$44:AO$56,7,0)*B$3,-2)</f>
        <v>#REF!</v>
      </c>
      <c r="S903" s="97">
        <v>0</v>
      </c>
      <c r="T903" s="97" t="str">
        <f t="shared" ca="1" si="42"/>
        <v>#REF!</v>
      </c>
      <c r="U903" s="97" t="str">
        <f t="shared" ca="1" si="29"/>
        <v>#REF!</v>
      </c>
      <c r="V903" s="97" t="str">
        <f t="shared" ca="1" si="7"/>
        <v>#REF!</v>
      </c>
      <c r="W903" s="97" t="str">
        <f t="shared" ca="1" si="8"/>
        <v>#REF!</v>
      </c>
      <c r="X903" s="121">
        <v>0</v>
      </c>
      <c r="Y903" s="121" t="str">
        <f t="shared" ca="1" si="9"/>
        <v>#REF!</v>
      </c>
      <c r="Z903" s="121" t="str">
        <f t="shared" ca="1" si="10"/>
        <v>#REF!</v>
      </c>
      <c r="AA903" s="99" t="str">
        <f t="shared" ca="1" si="11"/>
        <v>#REF!</v>
      </c>
      <c r="AB903" s="234" t="str">
        <f t="shared" ca="1" si="12"/>
        <v>#REF!</v>
      </c>
      <c r="AC903" s="257" t="str">
        <f t="shared" ca="1" si="13"/>
        <v>#REF!</v>
      </c>
      <c r="AD903" s="234" t="str">
        <f t="shared" ca="1" si="14"/>
        <v>#REF!</v>
      </c>
      <c r="AE903" s="100" t="str">
        <f t="shared" ca="1" si="15"/>
        <v>#REF!</v>
      </c>
      <c r="AF903" s="101" t="str">
        <f t="shared" ca="1" si="16"/>
        <v>#REF!</v>
      </c>
      <c r="AG903" s="102" t="str">
        <f t="shared" ref="AG903:AH903" ca="1" si="921">AE903/V903</f>
        <v>#REF!</v>
      </c>
      <c r="AH903" s="102" t="str">
        <f t="shared" ca="1" si="921"/>
        <v>#REF!</v>
      </c>
    </row>
    <row r="904" spans="1:34" ht="13.2">
      <c r="A904" s="251"/>
      <c r="B904" s="251"/>
      <c r="C904" s="252"/>
      <c r="D904" s="252"/>
      <c r="E904" s="114"/>
      <c r="F904" s="252"/>
      <c r="G904" s="125" t="s">
        <v>145</v>
      </c>
      <c r="I904" s="172"/>
      <c r="J904" s="82" t="str">
        <f t="shared" ca="1" si="0"/>
        <v>#REF!</v>
      </c>
      <c r="K904" s="82" t="str">
        <f t="shared" ca="1" si="1"/>
        <v>#REF!</v>
      </c>
      <c r="L904" s="82" t="str">
        <f t="shared" ca="1" si="44"/>
        <v>#REF!</v>
      </c>
      <c r="M904" s="93"/>
      <c r="N904" s="93"/>
      <c r="O904" s="95">
        <f t="shared" si="2"/>
        <v>0</v>
      </c>
      <c r="P904" s="96">
        <f t="shared" si="3"/>
        <v>0</v>
      </c>
      <c r="Q904" s="97">
        <f t="shared" si="4"/>
        <v>0</v>
      </c>
      <c r="R904" s="97" t="str">
        <f ca="1">ROUNDUP(HLOOKUP(IF(CEILING(L904,0.5)&lt;1,0.5,CEILING(L904,0.5)),'배송비 조회'!A$44:AO$56,7,0)*B$3,-2)</f>
        <v>#REF!</v>
      </c>
      <c r="S904" s="97">
        <v>0</v>
      </c>
      <c r="T904" s="97" t="str">
        <f t="shared" ca="1" si="42"/>
        <v>#REF!</v>
      </c>
      <c r="U904" s="97" t="str">
        <f t="shared" ca="1" si="29"/>
        <v>#REF!</v>
      </c>
      <c r="V904" s="97" t="str">
        <f t="shared" ca="1" si="7"/>
        <v>#REF!</v>
      </c>
      <c r="W904" s="97" t="str">
        <f t="shared" ca="1" si="8"/>
        <v>#REF!</v>
      </c>
      <c r="X904" s="121">
        <v>0</v>
      </c>
      <c r="Y904" s="121" t="str">
        <f t="shared" ca="1" si="9"/>
        <v>#REF!</v>
      </c>
      <c r="Z904" s="121" t="str">
        <f t="shared" ca="1" si="10"/>
        <v>#REF!</v>
      </c>
      <c r="AA904" s="99" t="str">
        <f t="shared" ca="1" si="11"/>
        <v>#REF!</v>
      </c>
      <c r="AB904" s="234" t="str">
        <f t="shared" ca="1" si="12"/>
        <v>#REF!</v>
      </c>
      <c r="AC904" s="257" t="str">
        <f t="shared" ca="1" si="13"/>
        <v>#REF!</v>
      </c>
      <c r="AD904" s="234" t="str">
        <f t="shared" ca="1" si="14"/>
        <v>#REF!</v>
      </c>
      <c r="AE904" s="100" t="str">
        <f t="shared" ca="1" si="15"/>
        <v>#REF!</v>
      </c>
      <c r="AF904" s="101" t="str">
        <f t="shared" ca="1" si="16"/>
        <v>#REF!</v>
      </c>
      <c r="AG904" s="102" t="str">
        <f t="shared" ref="AG904:AH904" ca="1" si="922">AE904/V904</f>
        <v>#REF!</v>
      </c>
      <c r="AH904" s="102" t="str">
        <f t="shared" ca="1" si="922"/>
        <v>#REF!</v>
      </c>
    </row>
    <row r="905" spans="1:34" ht="13.2">
      <c r="A905" s="251"/>
      <c r="B905" s="251"/>
      <c r="C905" s="252"/>
      <c r="D905" s="252"/>
      <c r="E905" s="114"/>
      <c r="F905" s="252"/>
      <c r="G905" s="125" t="s">
        <v>145</v>
      </c>
      <c r="I905" s="172"/>
      <c r="J905" s="82" t="str">
        <f t="shared" ca="1" si="0"/>
        <v>#REF!</v>
      </c>
      <c r="K905" s="82" t="str">
        <f t="shared" ca="1" si="1"/>
        <v>#REF!</v>
      </c>
      <c r="L905" s="82" t="str">
        <f t="shared" ca="1" si="44"/>
        <v>#REF!</v>
      </c>
      <c r="M905" s="93"/>
      <c r="N905" s="93"/>
      <c r="O905" s="95">
        <f t="shared" si="2"/>
        <v>0</v>
      </c>
      <c r="P905" s="96">
        <f t="shared" si="3"/>
        <v>0</v>
      </c>
      <c r="Q905" s="97">
        <f t="shared" si="4"/>
        <v>0</v>
      </c>
      <c r="R905" s="97" t="str">
        <f ca="1">ROUNDUP(HLOOKUP(IF(CEILING(L905,0.5)&lt;1,0.5,CEILING(L905,0.5)),'배송비 조회'!A$44:AO$56,7,0)*B$3,-2)</f>
        <v>#REF!</v>
      </c>
      <c r="S905" s="97">
        <v>0</v>
      </c>
      <c r="T905" s="97" t="str">
        <f t="shared" ca="1" si="42"/>
        <v>#REF!</v>
      </c>
      <c r="U905" s="97" t="str">
        <f t="shared" ca="1" si="29"/>
        <v>#REF!</v>
      </c>
      <c r="V905" s="97" t="str">
        <f t="shared" ca="1" si="7"/>
        <v>#REF!</v>
      </c>
      <c r="W905" s="97" t="str">
        <f t="shared" ca="1" si="8"/>
        <v>#REF!</v>
      </c>
      <c r="X905" s="121">
        <v>0</v>
      </c>
      <c r="Y905" s="121" t="str">
        <f t="shared" ca="1" si="9"/>
        <v>#REF!</v>
      </c>
      <c r="Z905" s="121" t="str">
        <f t="shared" ca="1" si="10"/>
        <v>#REF!</v>
      </c>
      <c r="AA905" s="99" t="str">
        <f t="shared" ca="1" si="11"/>
        <v>#REF!</v>
      </c>
      <c r="AB905" s="234" t="str">
        <f t="shared" ca="1" si="12"/>
        <v>#REF!</v>
      </c>
      <c r="AC905" s="257" t="str">
        <f t="shared" ca="1" si="13"/>
        <v>#REF!</v>
      </c>
      <c r="AD905" s="234" t="str">
        <f t="shared" ca="1" si="14"/>
        <v>#REF!</v>
      </c>
      <c r="AE905" s="100" t="str">
        <f t="shared" ca="1" si="15"/>
        <v>#REF!</v>
      </c>
      <c r="AF905" s="101" t="str">
        <f t="shared" ca="1" si="16"/>
        <v>#REF!</v>
      </c>
      <c r="AG905" s="102" t="str">
        <f t="shared" ref="AG905:AH905" ca="1" si="923">AE905/V905</f>
        <v>#REF!</v>
      </c>
      <c r="AH905" s="102" t="str">
        <f t="shared" ca="1" si="923"/>
        <v>#REF!</v>
      </c>
    </row>
    <row r="906" spans="1:34" ht="13.2">
      <c r="A906" s="251"/>
      <c r="B906" s="251"/>
      <c r="C906" s="252"/>
      <c r="D906" s="252"/>
      <c r="E906" s="114"/>
      <c r="F906" s="252"/>
      <c r="G906" s="125" t="s">
        <v>145</v>
      </c>
      <c r="I906" s="172"/>
      <c r="J906" s="82" t="str">
        <f t="shared" ca="1" si="0"/>
        <v>#REF!</v>
      </c>
      <c r="K906" s="82" t="str">
        <f t="shared" ca="1" si="1"/>
        <v>#REF!</v>
      </c>
      <c r="L906" s="82" t="str">
        <f t="shared" ca="1" si="44"/>
        <v>#REF!</v>
      </c>
      <c r="M906" s="93"/>
      <c r="N906" s="93"/>
      <c r="O906" s="95">
        <f t="shared" si="2"/>
        <v>0</v>
      </c>
      <c r="P906" s="96">
        <f t="shared" si="3"/>
        <v>0</v>
      </c>
      <c r="Q906" s="97">
        <f t="shared" si="4"/>
        <v>0</v>
      </c>
      <c r="R906" s="97" t="str">
        <f ca="1">ROUNDUP(HLOOKUP(IF(CEILING(L906,0.5)&lt;1,0.5,CEILING(L906,0.5)),'배송비 조회'!A$44:AO$56,7,0)*B$3,-2)</f>
        <v>#REF!</v>
      </c>
      <c r="S906" s="97">
        <v>0</v>
      </c>
      <c r="T906" s="97" t="str">
        <f t="shared" ca="1" si="42"/>
        <v>#REF!</v>
      </c>
      <c r="U906" s="97" t="str">
        <f t="shared" ca="1" si="29"/>
        <v>#REF!</v>
      </c>
      <c r="V906" s="97" t="str">
        <f t="shared" ca="1" si="7"/>
        <v>#REF!</v>
      </c>
      <c r="W906" s="97" t="str">
        <f t="shared" ca="1" si="8"/>
        <v>#REF!</v>
      </c>
      <c r="X906" s="121">
        <v>0</v>
      </c>
      <c r="Y906" s="121" t="str">
        <f t="shared" ca="1" si="9"/>
        <v>#REF!</v>
      </c>
      <c r="Z906" s="121" t="str">
        <f t="shared" ca="1" si="10"/>
        <v>#REF!</v>
      </c>
      <c r="AA906" s="99" t="str">
        <f t="shared" ca="1" si="11"/>
        <v>#REF!</v>
      </c>
      <c r="AB906" s="234" t="str">
        <f t="shared" ca="1" si="12"/>
        <v>#REF!</v>
      </c>
      <c r="AC906" s="257" t="str">
        <f t="shared" ca="1" si="13"/>
        <v>#REF!</v>
      </c>
      <c r="AD906" s="234" t="str">
        <f t="shared" ca="1" si="14"/>
        <v>#REF!</v>
      </c>
      <c r="AE906" s="100" t="str">
        <f t="shared" ca="1" si="15"/>
        <v>#REF!</v>
      </c>
      <c r="AF906" s="101" t="str">
        <f t="shared" ca="1" si="16"/>
        <v>#REF!</v>
      </c>
      <c r="AG906" s="102" t="str">
        <f t="shared" ref="AG906:AH906" ca="1" si="924">AE906/V906</f>
        <v>#REF!</v>
      </c>
      <c r="AH906" s="102" t="str">
        <f t="shared" ca="1" si="924"/>
        <v>#REF!</v>
      </c>
    </row>
    <row r="907" spans="1:34" ht="13.2">
      <c r="A907" s="251"/>
      <c r="B907" s="251"/>
      <c r="C907" s="252"/>
      <c r="D907" s="252"/>
      <c r="E907" s="114"/>
      <c r="F907" s="252"/>
      <c r="G907" s="125" t="s">
        <v>145</v>
      </c>
      <c r="I907" s="172"/>
      <c r="J907" s="82" t="str">
        <f t="shared" ca="1" si="0"/>
        <v>#REF!</v>
      </c>
      <c r="K907" s="82" t="str">
        <f t="shared" ca="1" si="1"/>
        <v>#REF!</v>
      </c>
      <c r="L907" s="82" t="str">
        <f t="shared" ca="1" si="44"/>
        <v>#REF!</v>
      </c>
      <c r="M907" s="93"/>
      <c r="N907" s="93"/>
      <c r="O907" s="95">
        <f t="shared" si="2"/>
        <v>0</v>
      </c>
      <c r="P907" s="96">
        <f t="shared" si="3"/>
        <v>0</v>
      </c>
      <c r="Q907" s="97">
        <f t="shared" si="4"/>
        <v>0</v>
      </c>
      <c r="R907" s="97" t="str">
        <f ca="1">ROUNDUP(HLOOKUP(IF(CEILING(L907,0.5)&lt;1,0.5,CEILING(L907,0.5)),'배송비 조회'!A$44:AO$56,7,0)*B$3,-2)</f>
        <v>#REF!</v>
      </c>
      <c r="S907" s="97">
        <v>0</v>
      </c>
      <c r="T907" s="97" t="str">
        <f t="shared" ca="1" si="42"/>
        <v>#REF!</v>
      </c>
      <c r="U907" s="97" t="str">
        <f t="shared" ca="1" si="29"/>
        <v>#REF!</v>
      </c>
      <c r="V907" s="97" t="str">
        <f t="shared" ca="1" si="7"/>
        <v>#REF!</v>
      </c>
      <c r="W907" s="97" t="str">
        <f t="shared" ca="1" si="8"/>
        <v>#REF!</v>
      </c>
      <c r="X907" s="121">
        <v>0</v>
      </c>
      <c r="Y907" s="121" t="str">
        <f t="shared" ca="1" si="9"/>
        <v>#REF!</v>
      </c>
      <c r="Z907" s="121" t="str">
        <f t="shared" ca="1" si="10"/>
        <v>#REF!</v>
      </c>
      <c r="AA907" s="99" t="str">
        <f t="shared" ca="1" si="11"/>
        <v>#REF!</v>
      </c>
      <c r="AB907" s="234" t="str">
        <f t="shared" ca="1" si="12"/>
        <v>#REF!</v>
      </c>
      <c r="AC907" s="257" t="str">
        <f t="shared" ca="1" si="13"/>
        <v>#REF!</v>
      </c>
      <c r="AD907" s="234" t="str">
        <f t="shared" ca="1" si="14"/>
        <v>#REF!</v>
      </c>
      <c r="AE907" s="100" t="str">
        <f t="shared" ca="1" si="15"/>
        <v>#REF!</v>
      </c>
      <c r="AF907" s="101" t="str">
        <f t="shared" ca="1" si="16"/>
        <v>#REF!</v>
      </c>
      <c r="AG907" s="102" t="str">
        <f t="shared" ref="AG907:AH907" ca="1" si="925">AE907/V907</f>
        <v>#REF!</v>
      </c>
      <c r="AH907" s="102" t="str">
        <f t="shared" ca="1" si="925"/>
        <v>#REF!</v>
      </c>
    </row>
    <row r="908" spans="1:34" ht="13.2">
      <c r="A908" s="251"/>
      <c r="B908" s="251"/>
      <c r="C908" s="252"/>
      <c r="D908" s="252"/>
      <c r="E908" s="114"/>
      <c r="F908" s="252"/>
      <c r="G908" s="125" t="s">
        <v>145</v>
      </c>
      <c r="I908" s="172"/>
      <c r="J908" s="82" t="str">
        <f t="shared" ca="1" si="0"/>
        <v>#REF!</v>
      </c>
      <c r="K908" s="82" t="str">
        <f t="shared" ca="1" si="1"/>
        <v>#REF!</v>
      </c>
      <c r="L908" s="82" t="str">
        <f t="shared" ca="1" si="44"/>
        <v>#REF!</v>
      </c>
      <c r="M908" s="93"/>
      <c r="N908" s="93"/>
      <c r="O908" s="95">
        <f t="shared" si="2"/>
        <v>0</v>
      </c>
      <c r="P908" s="96">
        <f t="shared" si="3"/>
        <v>0</v>
      </c>
      <c r="Q908" s="97">
        <f t="shared" si="4"/>
        <v>0</v>
      </c>
      <c r="R908" s="97" t="str">
        <f ca="1">ROUNDUP(HLOOKUP(IF(CEILING(L908,0.5)&lt;1,0.5,CEILING(L908,0.5)),'배송비 조회'!A$44:AO$56,7,0)*B$3,-2)</f>
        <v>#REF!</v>
      </c>
      <c r="S908" s="97">
        <v>0</v>
      </c>
      <c r="T908" s="97" t="str">
        <f t="shared" ca="1" si="42"/>
        <v>#REF!</v>
      </c>
      <c r="U908" s="97" t="str">
        <f t="shared" ca="1" si="29"/>
        <v>#REF!</v>
      </c>
      <c r="V908" s="97" t="str">
        <f t="shared" ca="1" si="7"/>
        <v>#REF!</v>
      </c>
      <c r="W908" s="97" t="str">
        <f t="shared" ca="1" si="8"/>
        <v>#REF!</v>
      </c>
      <c r="X908" s="121">
        <v>0</v>
      </c>
      <c r="Y908" s="121" t="str">
        <f t="shared" ca="1" si="9"/>
        <v>#REF!</v>
      </c>
      <c r="Z908" s="121" t="str">
        <f t="shared" ca="1" si="10"/>
        <v>#REF!</v>
      </c>
      <c r="AA908" s="99" t="str">
        <f t="shared" ca="1" si="11"/>
        <v>#REF!</v>
      </c>
      <c r="AB908" s="234" t="str">
        <f t="shared" ca="1" si="12"/>
        <v>#REF!</v>
      </c>
      <c r="AC908" s="257" t="str">
        <f t="shared" ca="1" si="13"/>
        <v>#REF!</v>
      </c>
      <c r="AD908" s="234" t="str">
        <f t="shared" ca="1" si="14"/>
        <v>#REF!</v>
      </c>
      <c r="AE908" s="100" t="str">
        <f t="shared" ca="1" si="15"/>
        <v>#REF!</v>
      </c>
      <c r="AF908" s="101" t="str">
        <f t="shared" ca="1" si="16"/>
        <v>#REF!</v>
      </c>
      <c r="AG908" s="102" t="str">
        <f t="shared" ref="AG908:AH908" ca="1" si="926">AE908/V908</f>
        <v>#REF!</v>
      </c>
      <c r="AH908" s="102" t="str">
        <f t="shared" ca="1" si="926"/>
        <v>#REF!</v>
      </c>
    </row>
    <row r="909" spans="1:34" ht="13.2">
      <c r="A909" s="251"/>
      <c r="B909" s="251"/>
      <c r="C909" s="252"/>
      <c r="D909" s="252"/>
      <c r="E909" s="114"/>
      <c r="F909" s="252"/>
      <c r="G909" s="125" t="s">
        <v>145</v>
      </c>
      <c r="I909" s="172"/>
      <c r="J909" s="82" t="str">
        <f t="shared" ca="1" si="0"/>
        <v>#REF!</v>
      </c>
      <c r="K909" s="82" t="str">
        <f t="shared" ca="1" si="1"/>
        <v>#REF!</v>
      </c>
      <c r="L909" s="82" t="str">
        <f t="shared" ca="1" si="44"/>
        <v>#REF!</v>
      </c>
      <c r="M909" s="93"/>
      <c r="N909" s="93"/>
      <c r="O909" s="95">
        <f t="shared" si="2"/>
        <v>0</v>
      </c>
      <c r="P909" s="96">
        <f t="shared" si="3"/>
        <v>0</v>
      </c>
      <c r="Q909" s="97">
        <f t="shared" si="4"/>
        <v>0</v>
      </c>
      <c r="R909" s="97" t="str">
        <f ca="1">ROUNDUP(HLOOKUP(IF(CEILING(L909,0.5)&lt;1,0.5,CEILING(L909,0.5)),'배송비 조회'!A$44:AO$56,7,0)*B$3,-2)</f>
        <v>#REF!</v>
      </c>
      <c r="S909" s="97">
        <v>0</v>
      </c>
      <c r="T909" s="97" t="str">
        <f t="shared" ca="1" si="42"/>
        <v>#REF!</v>
      </c>
      <c r="U909" s="97" t="str">
        <f t="shared" ca="1" si="29"/>
        <v>#REF!</v>
      </c>
      <c r="V909" s="97" t="str">
        <f t="shared" ca="1" si="7"/>
        <v>#REF!</v>
      </c>
      <c r="W909" s="97" t="str">
        <f t="shared" ca="1" si="8"/>
        <v>#REF!</v>
      </c>
      <c r="X909" s="121">
        <v>0</v>
      </c>
      <c r="Y909" s="121" t="str">
        <f t="shared" ca="1" si="9"/>
        <v>#REF!</v>
      </c>
      <c r="Z909" s="121" t="str">
        <f t="shared" ca="1" si="10"/>
        <v>#REF!</v>
      </c>
      <c r="AA909" s="99" t="str">
        <f t="shared" ca="1" si="11"/>
        <v>#REF!</v>
      </c>
      <c r="AB909" s="234" t="str">
        <f t="shared" ca="1" si="12"/>
        <v>#REF!</v>
      </c>
      <c r="AC909" s="257" t="str">
        <f t="shared" ca="1" si="13"/>
        <v>#REF!</v>
      </c>
      <c r="AD909" s="234" t="str">
        <f t="shared" ca="1" si="14"/>
        <v>#REF!</v>
      </c>
      <c r="AE909" s="100" t="str">
        <f t="shared" ca="1" si="15"/>
        <v>#REF!</v>
      </c>
      <c r="AF909" s="101" t="str">
        <f t="shared" ca="1" si="16"/>
        <v>#REF!</v>
      </c>
      <c r="AG909" s="102" t="str">
        <f t="shared" ref="AG909:AH909" ca="1" si="927">AE909/V909</f>
        <v>#REF!</v>
      </c>
      <c r="AH909" s="102" t="str">
        <f t="shared" ca="1" si="927"/>
        <v>#REF!</v>
      </c>
    </row>
    <row r="910" spans="1:34" ht="13.2">
      <c r="A910" s="251"/>
      <c r="B910" s="251"/>
      <c r="C910" s="252"/>
      <c r="D910" s="252"/>
      <c r="E910" s="114"/>
      <c r="F910" s="252"/>
      <c r="G910" s="125" t="s">
        <v>145</v>
      </c>
      <c r="I910" s="172"/>
      <c r="J910" s="82" t="str">
        <f t="shared" ca="1" si="0"/>
        <v>#REF!</v>
      </c>
      <c r="K910" s="82" t="str">
        <f t="shared" ca="1" si="1"/>
        <v>#REF!</v>
      </c>
      <c r="L910" s="82" t="str">
        <f t="shared" ca="1" si="44"/>
        <v>#REF!</v>
      </c>
      <c r="M910" s="93"/>
      <c r="N910" s="93"/>
      <c r="O910" s="95">
        <f t="shared" si="2"/>
        <v>0</v>
      </c>
      <c r="P910" s="96">
        <f t="shared" si="3"/>
        <v>0</v>
      </c>
      <c r="Q910" s="97">
        <f t="shared" si="4"/>
        <v>0</v>
      </c>
      <c r="R910" s="97" t="str">
        <f ca="1">ROUNDUP(HLOOKUP(IF(CEILING(L910,0.5)&lt;1,0.5,CEILING(L910,0.5)),'배송비 조회'!A$44:AO$56,7,0)*B$3,-2)</f>
        <v>#REF!</v>
      </c>
      <c r="S910" s="97">
        <v>0</v>
      </c>
      <c r="T910" s="97" t="str">
        <f t="shared" ca="1" si="42"/>
        <v>#REF!</v>
      </c>
      <c r="U910" s="97" t="str">
        <f t="shared" ca="1" si="29"/>
        <v>#REF!</v>
      </c>
      <c r="V910" s="97" t="str">
        <f t="shared" ca="1" si="7"/>
        <v>#REF!</v>
      </c>
      <c r="W910" s="97" t="str">
        <f t="shared" ca="1" si="8"/>
        <v>#REF!</v>
      </c>
      <c r="X910" s="121">
        <v>0</v>
      </c>
      <c r="Y910" s="121" t="str">
        <f t="shared" ca="1" si="9"/>
        <v>#REF!</v>
      </c>
      <c r="Z910" s="121" t="str">
        <f t="shared" ca="1" si="10"/>
        <v>#REF!</v>
      </c>
      <c r="AA910" s="99" t="str">
        <f t="shared" ca="1" si="11"/>
        <v>#REF!</v>
      </c>
      <c r="AB910" s="234" t="str">
        <f t="shared" ca="1" si="12"/>
        <v>#REF!</v>
      </c>
      <c r="AC910" s="257" t="str">
        <f t="shared" ca="1" si="13"/>
        <v>#REF!</v>
      </c>
      <c r="AD910" s="234" t="str">
        <f t="shared" ca="1" si="14"/>
        <v>#REF!</v>
      </c>
      <c r="AE910" s="100" t="str">
        <f t="shared" ca="1" si="15"/>
        <v>#REF!</v>
      </c>
      <c r="AF910" s="101" t="str">
        <f t="shared" ca="1" si="16"/>
        <v>#REF!</v>
      </c>
      <c r="AG910" s="102" t="str">
        <f t="shared" ref="AG910:AH910" ca="1" si="928">AE910/V910</f>
        <v>#REF!</v>
      </c>
      <c r="AH910" s="102" t="str">
        <f t="shared" ca="1" si="928"/>
        <v>#REF!</v>
      </c>
    </row>
    <row r="911" spans="1:34" ht="13.2">
      <c r="A911" s="251"/>
      <c r="B911" s="251"/>
      <c r="C911" s="252"/>
      <c r="D911" s="252"/>
      <c r="E911" s="114"/>
      <c r="F911" s="252"/>
      <c r="G911" s="125" t="s">
        <v>145</v>
      </c>
      <c r="I911" s="172"/>
      <c r="J911" s="82" t="str">
        <f t="shared" ca="1" si="0"/>
        <v>#REF!</v>
      </c>
      <c r="K911" s="82" t="str">
        <f t="shared" ca="1" si="1"/>
        <v>#REF!</v>
      </c>
      <c r="L911" s="82" t="str">
        <f t="shared" ca="1" si="44"/>
        <v>#REF!</v>
      </c>
      <c r="M911" s="93"/>
      <c r="N911" s="93"/>
      <c r="O911" s="95">
        <f t="shared" si="2"/>
        <v>0</v>
      </c>
      <c r="P911" s="96">
        <f t="shared" si="3"/>
        <v>0</v>
      </c>
      <c r="Q911" s="97">
        <f t="shared" si="4"/>
        <v>0</v>
      </c>
      <c r="R911" s="97" t="str">
        <f ca="1">ROUNDUP(HLOOKUP(IF(CEILING(L911,0.5)&lt;1,0.5,CEILING(L911,0.5)),'배송비 조회'!A$44:AO$56,7,0)*B$3,-2)</f>
        <v>#REF!</v>
      </c>
      <c r="S911" s="97">
        <v>0</v>
      </c>
      <c r="T911" s="97" t="str">
        <f t="shared" ca="1" si="42"/>
        <v>#REF!</v>
      </c>
      <c r="U911" s="97" t="str">
        <f t="shared" ca="1" si="29"/>
        <v>#REF!</v>
      </c>
      <c r="V911" s="97" t="str">
        <f t="shared" ca="1" si="7"/>
        <v>#REF!</v>
      </c>
      <c r="W911" s="97" t="str">
        <f t="shared" ca="1" si="8"/>
        <v>#REF!</v>
      </c>
      <c r="X911" s="121">
        <v>0</v>
      </c>
      <c r="Y911" s="121" t="str">
        <f t="shared" ca="1" si="9"/>
        <v>#REF!</v>
      </c>
      <c r="Z911" s="121" t="str">
        <f t="shared" ca="1" si="10"/>
        <v>#REF!</v>
      </c>
      <c r="AA911" s="99" t="str">
        <f t="shared" ca="1" si="11"/>
        <v>#REF!</v>
      </c>
      <c r="AB911" s="234" t="str">
        <f t="shared" ca="1" si="12"/>
        <v>#REF!</v>
      </c>
      <c r="AC911" s="257" t="str">
        <f t="shared" ca="1" si="13"/>
        <v>#REF!</v>
      </c>
      <c r="AD911" s="234" t="str">
        <f t="shared" ca="1" si="14"/>
        <v>#REF!</v>
      </c>
      <c r="AE911" s="100" t="str">
        <f t="shared" ca="1" si="15"/>
        <v>#REF!</v>
      </c>
      <c r="AF911" s="101" t="str">
        <f t="shared" ca="1" si="16"/>
        <v>#REF!</v>
      </c>
      <c r="AG911" s="102" t="str">
        <f t="shared" ref="AG911:AH911" ca="1" si="929">AE911/V911</f>
        <v>#REF!</v>
      </c>
      <c r="AH911" s="102" t="str">
        <f t="shared" ca="1" si="929"/>
        <v>#REF!</v>
      </c>
    </row>
    <row r="912" spans="1:34" ht="13.2">
      <c r="A912" s="251"/>
      <c r="B912" s="251"/>
      <c r="C912" s="252"/>
      <c r="D912" s="252"/>
      <c r="E912" s="114"/>
      <c r="F912" s="252"/>
      <c r="G912" s="125" t="s">
        <v>145</v>
      </c>
      <c r="I912" s="172"/>
      <c r="J912" s="82" t="str">
        <f t="shared" ca="1" si="0"/>
        <v>#REF!</v>
      </c>
      <c r="K912" s="82" t="str">
        <f t="shared" ca="1" si="1"/>
        <v>#REF!</v>
      </c>
      <c r="L912" s="82" t="str">
        <f t="shared" ca="1" si="44"/>
        <v>#REF!</v>
      </c>
      <c r="M912" s="93"/>
      <c r="N912" s="93"/>
      <c r="O912" s="95">
        <f t="shared" si="2"/>
        <v>0</v>
      </c>
      <c r="P912" s="96">
        <f t="shared" si="3"/>
        <v>0</v>
      </c>
      <c r="Q912" s="97">
        <f t="shared" si="4"/>
        <v>0</v>
      </c>
      <c r="R912" s="97" t="str">
        <f ca="1">ROUNDUP(HLOOKUP(IF(CEILING(L912,0.5)&lt;1,0.5,CEILING(L912,0.5)),'배송비 조회'!A$44:AO$56,7,0)*B$3,-2)</f>
        <v>#REF!</v>
      </c>
      <c r="S912" s="97">
        <v>0</v>
      </c>
      <c r="T912" s="97" t="str">
        <f t="shared" ca="1" si="42"/>
        <v>#REF!</v>
      </c>
      <c r="U912" s="97" t="str">
        <f t="shared" ca="1" si="29"/>
        <v>#REF!</v>
      </c>
      <c r="V912" s="97" t="str">
        <f t="shared" ca="1" si="7"/>
        <v>#REF!</v>
      </c>
      <c r="W912" s="97" t="str">
        <f t="shared" ca="1" si="8"/>
        <v>#REF!</v>
      </c>
      <c r="X912" s="121">
        <v>0</v>
      </c>
      <c r="Y912" s="121" t="str">
        <f t="shared" ca="1" si="9"/>
        <v>#REF!</v>
      </c>
      <c r="Z912" s="121" t="str">
        <f t="shared" ca="1" si="10"/>
        <v>#REF!</v>
      </c>
      <c r="AA912" s="99" t="str">
        <f t="shared" ca="1" si="11"/>
        <v>#REF!</v>
      </c>
      <c r="AB912" s="234" t="str">
        <f t="shared" ca="1" si="12"/>
        <v>#REF!</v>
      </c>
      <c r="AC912" s="257" t="str">
        <f t="shared" ca="1" si="13"/>
        <v>#REF!</v>
      </c>
      <c r="AD912" s="234" t="str">
        <f t="shared" ca="1" si="14"/>
        <v>#REF!</v>
      </c>
      <c r="AE912" s="100" t="str">
        <f t="shared" ca="1" si="15"/>
        <v>#REF!</v>
      </c>
      <c r="AF912" s="101" t="str">
        <f t="shared" ca="1" si="16"/>
        <v>#REF!</v>
      </c>
      <c r="AG912" s="102" t="str">
        <f t="shared" ref="AG912:AH912" ca="1" si="930">AE912/V912</f>
        <v>#REF!</v>
      </c>
      <c r="AH912" s="102" t="str">
        <f t="shared" ca="1" si="930"/>
        <v>#REF!</v>
      </c>
    </row>
    <row r="913" spans="1:34" ht="13.2">
      <c r="A913" s="251"/>
      <c r="B913" s="251"/>
      <c r="C913" s="252"/>
      <c r="D913" s="252"/>
      <c r="E913" s="114"/>
      <c r="F913" s="252"/>
      <c r="G913" s="125" t="s">
        <v>145</v>
      </c>
      <c r="I913" s="172"/>
      <c r="J913" s="82" t="str">
        <f t="shared" ca="1" si="0"/>
        <v>#REF!</v>
      </c>
      <c r="K913" s="82" t="str">
        <f t="shared" ca="1" si="1"/>
        <v>#REF!</v>
      </c>
      <c r="L913" s="82" t="str">
        <f t="shared" ca="1" si="44"/>
        <v>#REF!</v>
      </c>
      <c r="M913" s="93"/>
      <c r="N913" s="93"/>
      <c r="O913" s="95">
        <f t="shared" si="2"/>
        <v>0</v>
      </c>
      <c r="P913" s="96">
        <f t="shared" si="3"/>
        <v>0</v>
      </c>
      <c r="Q913" s="97">
        <f t="shared" si="4"/>
        <v>0</v>
      </c>
      <c r="R913" s="97" t="str">
        <f ca="1">ROUNDUP(HLOOKUP(IF(CEILING(L913,0.5)&lt;1,0.5,CEILING(L913,0.5)),'배송비 조회'!A$44:AO$56,7,0)*B$3,-2)</f>
        <v>#REF!</v>
      </c>
      <c r="S913" s="97">
        <v>0</v>
      </c>
      <c r="T913" s="97" t="str">
        <f t="shared" ca="1" si="42"/>
        <v>#REF!</v>
      </c>
      <c r="U913" s="97" t="str">
        <f t="shared" ca="1" si="29"/>
        <v>#REF!</v>
      </c>
      <c r="V913" s="97" t="str">
        <f t="shared" ca="1" si="7"/>
        <v>#REF!</v>
      </c>
      <c r="W913" s="97" t="str">
        <f t="shared" ca="1" si="8"/>
        <v>#REF!</v>
      </c>
      <c r="X913" s="121">
        <v>0</v>
      </c>
      <c r="Y913" s="121" t="str">
        <f t="shared" ca="1" si="9"/>
        <v>#REF!</v>
      </c>
      <c r="Z913" s="121" t="str">
        <f t="shared" ca="1" si="10"/>
        <v>#REF!</v>
      </c>
      <c r="AA913" s="99" t="str">
        <f t="shared" ca="1" si="11"/>
        <v>#REF!</v>
      </c>
      <c r="AB913" s="234" t="str">
        <f t="shared" ca="1" si="12"/>
        <v>#REF!</v>
      </c>
      <c r="AC913" s="257" t="str">
        <f t="shared" ca="1" si="13"/>
        <v>#REF!</v>
      </c>
      <c r="AD913" s="234" t="str">
        <f t="shared" ca="1" si="14"/>
        <v>#REF!</v>
      </c>
      <c r="AE913" s="100" t="str">
        <f t="shared" ca="1" si="15"/>
        <v>#REF!</v>
      </c>
      <c r="AF913" s="101" t="str">
        <f t="shared" ca="1" si="16"/>
        <v>#REF!</v>
      </c>
      <c r="AG913" s="102" t="str">
        <f t="shared" ref="AG913:AH913" ca="1" si="931">AE913/V913</f>
        <v>#REF!</v>
      </c>
      <c r="AH913" s="102" t="str">
        <f t="shared" ca="1" si="931"/>
        <v>#REF!</v>
      </c>
    </row>
    <row r="914" spans="1:34" ht="13.2">
      <c r="A914" s="251"/>
      <c r="B914" s="251"/>
      <c r="C914" s="252"/>
      <c r="D914" s="252"/>
      <c r="E914" s="114"/>
      <c r="F914" s="252"/>
      <c r="G914" s="125" t="s">
        <v>145</v>
      </c>
      <c r="I914" s="172"/>
      <c r="J914" s="82" t="str">
        <f t="shared" ca="1" si="0"/>
        <v>#REF!</v>
      </c>
      <c r="K914" s="82" t="str">
        <f t="shared" ca="1" si="1"/>
        <v>#REF!</v>
      </c>
      <c r="L914" s="82" t="str">
        <f t="shared" ca="1" si="44"/>
        <v>#REF!</v>
      </c>
      <c r="M914" s="93"/>
      <c r="N914" s="93"/>
      <c r="O914" s="95">
        <f t="shared" si="2"/>
        <v>0</v>
      </c>
      <c r="P914" s="96">
        <f t="shared" si="3"/>
        <v>0</v>
      </c>
      <c r="Q914" s="97">
        <f t="shared" si="4"/>
        <v>0</v>
      </c>
      <c r="R914" s="97" t="str">
        <f ca="1">ROUNDUP(HLOOKUP(IF(CEILING(L914,0.5)&lt;1,0.5,CEILING(L914,0.5)),'배송비 조회'!A$44:AO$56,7,0)*B$3,-2)</f>
        <v>#REF!</v>
      </c>
      <c r="S914" s="97">
        <v>0</v>
      </c>
      <c r="T914" s="97" t="str">
        <f t="shared" ca="1" si="42"/>
        <v>#REF!</v>
      </c>
      <c r="U914" s="97" t="str">
        <f t="shared" ca="1" si="29"/>
        <v>#REF!</v>
      </c>
      <c r="V914" s="97" t="str">
        <f t="shared" ca="1" si="7"/>
        <v>#REF!</v>
      </c>
      <c r="W914" s="97" t="str">
        <f t="shared" ca="1" si="8"/>
        <v>#REF!</v>
      </c>
      <c r="X914" s="121">
        <v>0</v>
      </c>
      <c r="Y914" s="121" t="str">
        <f t="shared" ca="1" si="9"/>
        <v>#REF!</v>
      </c>
      <c r="Z914" s="121" t="str">
        <f t="shared" ca="1" si="10"/>
        <v>#REF!</v>
      </c>
      <c r="AA914" s="99" t="str">
        <f t="shared" ca="1" si="11"/>
        <v>#REF!</v>
      </c>
      <c r="AB914" s="234" t="str">
        <f t="shared" ca="1" si="12"/>
        <v>#REF!</v>
      </c>
      <c r="AC914" s="257" t="str">
        <f t="shared" ca="1" si="13"/>
        <v>#REF!</v>
      </c>
      <c r="AD914" s="234" t="str">
        <f t="shared" ca="1" si="14"/>
        <v>#REF!</v>
      </c>
      <c r="AE914" s="100" t="str">
        <f t="shared" ca="1" si="15"/>
        <v>#REF!</v>
      </c>
      <c r="AF914" s="101" t="str">
        <f t="shared" ca="1" si="16"/>
        <v>#REF!</v>
      </c>
      <c r="AG914" s="102" t="str">
        <f t="shared" ref="AG914:AH914" ca="1" si="932">AE914/V914</f>
        <v>#REF!</v>
      </c>
      <c r="AH914" s="102" t="str">
        <f t="shared" ca="1" si="932"/>
        <v>#REF!</v>
      </c>
    </row>
    <row r="915" spans="1:34" ht="13.2">
      <c r="A915" s="251"/>
      <c r="B915" s="251"/>
      <c r="C915" s="252"/>
      <c r="D915" s="252"/>
      <c r="E915" s="114"/>
      <c r="F915" s="252"/>
      <c r="G915" s="125" t="s">
        <v>145</v>
      </c>
      <c r="I915" s="172"/>
      <c r="J915" s="82" t="str">
        <f t="shared" ca="1" si="0"/>
        <v>#REF!</v>
      </c>
      <c r="K915" s="82" t="str">
        <f t="shared" ca="1" si="1"/>
        <v>#REF!</v>
      </c>
      <c r="L915" s="82" t="str">
        <f t="shared" ca="1" si="44"/>
        <v>#REF!</v>
      </c>
      <c r="M915" s="93"/>
      <c r="N915" s="93"/>
      <c r="O915" s="95">
        <f t="shared" si="2"/>
        <v>0</v>
      </c>
      <c r="P915" s="96">
        <f t="shared" si="3"/>
        <v>0</v>
      </c>
      <c r="Q915" s="97">
        <f t="shared" si="4"/>
        <v>0</v>
      </c>
      <c r="R915" s="97" t="str">
        <f ca="1">ROUNDUP(HLOOKUP(IF(CEILING(L915,0.5)&lt;1,0.5,CEILING(L915,0.5)),'배송비 조회'!A$44:AO$56,7,0)*B$3,-2)</f>
        <v>#REF!</v>
      </c>
      <c r="S915" s="97">
        <v>0</v>
      </c>
      <c r="T915" s="97" t="str">
        <f t="shared" ca="1" si="42"/>
        <v>#REF!</v>
      </c>
      <c r="U915" s="97" t="str">
        <f t="shared" ca="1" si="29"/>
        <v>#REF!</v>
      </c>
      <c r="V915" s="97" t="str">
        <f t="shared" ca="1" si="7"/>
        <v>#REF!</v>
      </c>
      <c r="W915" s="97" t="str">
        <f t="shared" ca="1" si="8"/>
        <v>#REF!</v>
      </c>
      <c r="X915" s="121">
        <v>0</v>
      </c>
      <c r="Y915" s="121" t="str">
        <f t="shared" ca="1" si="9"/>
        <v>#REF!</v>
      </c>
      <c r="Z915" s="121" t="str">
        <f t="shared" ca="1" si="10"/>
        <v>#REF!</v>
      </c>
      <c r="AA915" s="99" t="str">
        <f t="shared" ca="1" si="11"/>
        <v>#REF!</v>
      </c>
      <c r="AB915" s="234" t="str">
        <f t="shared" ca="1" si="12"/>
        <v>#REF!</v>
      </c>
      <c r="AC915" s="257" t="str">
        <f t="shared" ca="1" si="13"/>
        <v>#REF!</v>
      </c>
      <c r="AD915" s="234" t="str">
        <f t="shared" ca="1" si="14"/>
        <v>#REF!</v>
      </c>
      <c r="AE915" s="100" t="str">
        <f t="shared" ca="1" si="15"/>
        <v>#REF!</v>
      </c>
      <c r="AF915" s="101" t="str">
        <f t="shared" ca="1" si="16"/>
        <v>#REF!</v>
      </c>
      <c r="AG915" s="102" t="str">
        <f t="shared" ref="AG915:AH915" ca="1" si="933">AE915/V915</f>
        <v>#REF!</v>
      </c>
      <c r="AH915" s="102" t="str">
        <f t="shared" ca="1" si="933"/>
        <v>#REF!</v>
      </c>
    </row>
    <row r="916" spans="1:34" ht="13.2">
      <c r="A916" s="251"/>
      <c r="B916" s="251"/>
      <c r="C916" s="252"/>
      <c r="D916" s="252"/>
      <c r="E916" s="114"/>
      <c r="F916" s="252"/>
      <c r="G916" s="125" t="s">
        <v>145</v>
      </c>
      <c r="I916" s="172"/>
      <c r="J916" s="82" t="str">
        <f t="shared" ca="1" si="0"/>
        <v>#REF!</v>
      </c>
      <c r="K916" s="82" t="str">
        <f t="shared" ca="1" si="1"/>
        <v>#REF!</v>
      </c>
      <c r="L916" s="82" t="str">
        <f t="shared" ca="1" si="44"/>
        <v>#REF!</v>
      </c>
      <c r="M916" s="93"/>
      <c r="N916" s="93"/>
      <c r="O916" s="95">
        <f t="shared" si="2"/>
        <v>0</v>
      </c>
      <c r="P916" s="96">
        <f t="shared" si="3"/>
        <v>0</v>
      </c>
      <c r="Q916" s="97">
        <f t="shared" si="4"/>
        <v>0</v>
      </c>
      <c r="R916" s="97" t="str">
        <f ca="1">ROUNDUP(HLOOKUP(IF(CEILING(L916,0.5)&lt;1,0.5,CEILING(L916,0.5)),'배송비 조회'!A$44:AO$56,7,0)*B$3,-2)</f>
        <v>#REF!</v>
      </c>
      <c r="S916" s="97">
        <v>0</v>
      </c>
      <c r="T916" s="97" t="str">
        <f t="shared" ca="1" si="42"/>
        <v>#REF!</v>
      </c>
      <c r="U916" s="97" t="str">
        <f t="shared" ca="1" si="29"/>
        <v>#REF!</v>
      </c>
      <c r="V916" s="97" t="str">
        <f t="shared" ca="1" si="7"/>
        <v>#REF!</v>
      </c>
      <c r="W916" s="97" t="str">
        <f t="shared" ca="1" si="8"/>
        <v>#REF!</v>
      </c>
      <c r="X916" s="121">
        <v>0</v>
      </c>
      <c r="Y916" s="121" t="str">
        <f t="shared" ca="1" si="9"/>
        <v>#REF!</v>
      </c>
      <c r="Z916" s="121" t="str">
        <f t="shared" ca="1" si="10"/>
        <v>#REF!</v>
      </c>
      <c r="AA916" s="99" t="str">
        <f t="shared" ca="1" si="11"/>
        <v>#REF!</v>
      </c>
      <c r="AB916" s="234" t="str">
        <f t="shared" ca="1" si="12"/>
        <v>#REF!</v>
      </c>
      <c r="AC916" s="257" t="str">
        <f t="shared" ca="1" si="13"/>
        <v>#REF!</v>
      </c>
      <c r="AD916" s="234" t="str">
        <f t="shared" ca="1" si="14"/>
        <v>#REF!</v>
      </c>
      <c r="AE916" s="100" t="str">
        <f t="shared" ca="1" si="15"/>
        <v>#REF!</v>
      </c>
      <c r="AF916" s="101" t="str">
        <f t="shared" ca="1" si="16"/>
        <v>#REF!</v>
      </c>
      <c r="AG916" s="102" t="str">
        <f t="shared" ref="AG916:AH916" ca="1" si="934">AE916/V916</f>
        <v>#REF!</v>
      </c>
      <c r="AH916" s="102" t="str">
        <f t="shared" ca="1" si="934"/>
        <v>#REF!</v>
      </c>
    </row>
    <row r="917" spans="1:34" ht="13.2">
      <c r="A917" s="251"/>
      <c r="B917" s="251"/>
      <c r="C917" s="252"/>
      <c r="D917" s="252"/>
      <c r="E917" s="114"/>
      <c r="F917" s="252"/>
      <c r="G917" s="125" t="s">
        <v>145</v>
      </c>
      <c r="I917" s="172"/>
      <c r="J917" s="82" t="str">
        <f t="shared" ca="1" si="0"/>
        <v>#REF!</v>
      </c>
      <c r="K917" s="82" t="str">
        <f t="shared" ca="1" si="1"/>
        <v>#REF!</v>
      </c>
      <c r="L917" s="82" t="str">
        <f t="shared" ca="1" si="44"/>
        <v>#REF!</v>
      </c>
      <c r="M917" s="93"/>
      <c r="N917" s="93"/>
      <c r="O917" s="95">
        <f t="shared" si="2"/>
        <v>0</v>
      </c>
      <c r="P917" s="96">
        <f t="shared" si="3"/>
        <v>0</v>
      </c>
      <c r="Q917" s="97">
        <f t="shared" si="4"/>
        <v>0</v>
      </c>
      <c r="R917" s="97" t="str">
        <f ca="1">ROUNDUP(HLOOKUP(IF(CEILING(L917,0.5)&lt;1,0.5,CEILING(L917,0.5)),'배송비 조회'!A$44:AO$56,7,0)*B$3,-2)</f>
        <v>#REF!</v>
      </c>
      <c r="S917" s="97">
        <v>0</v>
      </c>
      <c r="T917" s="97" t="str">
        <f t="shared" ca="1" si="42"/>
        <v>#REF!</v>
      </c>
      <c r="U917" s="97" t="str">
        <f t="shared" ca="1" si="29"/>
        <v>#REF!</v>
      </c>
      <c r="V917" s="97" t="str">
        <f t="shared" ca="1" si="7"/>
        <v>#REF!</v>
      </c>
      <c r="W917" s="97" t="str">
        <f t="shared" ca="1" si="8"/>
        <v>#REF!</v>
      </c>
      <c r="X917" s="121">
        <v>0</v>
      </c>
      <c r="Y917" s="121" t="str">
        <f t="shared" ca="1" si="9"/>
        <v>#REF!</v>
      </c>
      <c r="Z917" s="121" t="str">
        <f t="shared" ca="1" si="10"/>
        <v>#REF!</v>
      </c>
      <c r="AA917" s="99" t="str">
        <f t="shared" ca="1" si="11"/>
        <v>#REF!</v>
      </c>
      <c r="AB917" s="234" t="str">
        <f t="shared" ca="1" si="12"/>
        <v>#REF!</v>
      </c>
      <c r="AC917" s="257" t="str">
        <f t="shared" ca="1" si="13"/>
        <v>#REF!</v>
      </c>
      <c r="AD917" s="234" t="str">
        <f t="shared" ca="1" si="14"/>
        <v>#REF!</v>
      </c>
      <c r="AE917" s="100" t="str">
        <f t="shared" ca="1" si="15"/>
        <v>#REF!</v>
      </c>
      <c r="AF917" s="101" t="str">
        <f t="shared" ca="1" si="16"/>
        <v>#REF!</v>
      </c>
      <c r="AG917" s="102" t="str">
        <f t="shared" ref="AG917:AH917" ca="1" si="935">AE917/V917</f>
        <v>#REF!</v>
      </c>
      <c r="AH917" s="102" t="str">
        <f t="shared" ca="1" si="935"/>
        <v>#REF!</v>
      </c>
    </row>
    <row r="918" spans="1:34" ht="13.2">
      <c r="A918" s="251"/>
      <c r="B918" s="251"/>
      <c r="C918" s="252"/>
      <c r="D918" s="252"/>
      <c r="E918" s="114"/>
      <c r="F918" s="252"/>
      <c r="G918" s="125" t="s">
        <v>145</v>
      </c>
      <c r="I918" s="172"/>
      <c r="J918" s="82" t="str">
        <f t="shared" ca="1" si="0"/>
        <v>#REF!</v>
      </c>
      <c r="K918" s="82" t="str">
        <f t="shared" ca="1" si="1"/>
        <v>#REF!</v>
      </c>
      <c r="L918" s="82" t="str">
        <f t="shared" ca="1" si="44"/>
        <v>#REF!</v>
      </c>
      <c r="M918" s="93"/>
      <c r="N918" s="93"/>
      <c r="O918" s="95">
        <f t="shared" si="2"/>
        <v>0</v>
      </c>
      <c r="P918" s="96">
        <f t="shared" si="3"/>
        <v>0</v>
      </c>
      <c r="Q918" s="97">
        <f t="shared" si="4"/>
        <v>0</v>
      </c>
      <c r="R918" s="97" t="str">
        <f ca="1">ROUNDUP(HLOOKUP(IF(CEILING(L918,0.5)&lt;1,0.5,CEILING(L918,0.5)),'배송비 조회'!A$44:AO$56,7,0)*B$3,-2)</f>
        <v>#REF!</v>
      </c>
      <c r="S918" s="97">
        <v>0</v>
      </c>
      <c r="T918" s="97" t="str">
        <f t="shared" ca="1" si="42"/>
        <v>#REF!</v>
      </c>
      <c r="U918" s="97" t="str">
        <f t="shared" ca="1" si="29"/>
        <v>#REF!</v>
      </c>
      <c r="V918" s="97" t="str">
        <f t="shared" ca="1" si="7"/>
        <v>#REF!</v>
      </c>
      <c r="W918" s="97" t="str">
        <f t="shared" ca="1" si="8"/>
        <v>#REF!</v>
      </c>
      <c r="X918" s="121">
        <v>0</v>
      </c>
      <c r="Y918" s="121" t="str">
        <f t="shared" ca="1" si="9"/>
        <v>#REF!</v>
      </c>
      <c r="Z918" s="121" t="str">
        <f t="shared" ca="1" si="10"/>
        <v>#REF!</v>
      </c>
      <c r="AA918" s="99" t="str">
        <f t="shared" ca="1" si="11"/>
        <v>#REF!</v>
      </c>
      <c r="AB918" s="234" t="str">
        <f t="shared" ca="1" si="12"/>
        <v>#REF!</v>
      </c>
      <c r="AC918" s="257" t="str">
        <f t="shared" ca="1" si="13"/>
        <v>#REF!</v>
      </c>
      <c r="AD918" s="234" t="str">
        <f t="shared" ca="1" si="14"/>
        <v>#REF!</v>
      </c>
      <c r="AE918" s="100" t="str">
        <f t="shared" ca="1" si="15"/>
        <v>#REF!</v>
      </c>
      <c r="AF918" s="101" t="str">
        <f t="shared" ca="1" si="16"/>
        <v>#REF!</v>
      </c>
      <c r="AG918" s="102" t="str">
        <f t="shared" ref="AG918:AH918" ca="1" si="936">AE918/V918</f>
        <v>#REF!</v>
      </c>
      <c r="AH918" s="102" t="str">
        <f t="shared" ca="1" si="936"/>
        <v>#REF!</v>
      </c>
    </row>
    <row r="919" spans="1:34" ht="13.2">
      <c r="A919" s="251"/>
      <c r="B919" s="251"/>
      <c r="C919" s="252"/>
      <c r="D919" s="252"/>
      <c r="E919" s="114"/>
      <c r="F919" s="252"/>
      <c r="G919" s="125" t="s">
        <v>145</v>
      </c>
      <c r="I919" s="172"/>
      <c r="J919" s="82" t="str">
        <f t="shared" ca="1" si="0"/>
        <v>#REF!</v>
      </c>
      <c r="K919" s="82" t="str">
        <f t="shared" ca="1" si="1"/>
        <v>#REF!</v>
      </c>
      <c r="L919" s="82" t="str">
        <f t="shared" ca="1" si="44"/>
        <v>#REF!</v>
      </c>
      <c r="M919" s="93"/>
      <c r="N919" s="93"/>
      <c r="O919" s="95">
        <f t="shared" si="2"/>
        <v>0</v>
      </c>
      <c r="P919" s="96">
        <f t="shared" si="3"/>
        <v>0</v>
      </c>
      <c r="Q919" s="97">
        <f t="shared" si="4"/>
        <v>0</v>
      </c>
      <c r="R919" s="97" t="str">
        <f ca="1">ROUNDUP(HLOOKUP(IF(CEILING(L919,0.5)&lt;1,0.5,CEILING(L919,0.5)),'배송비 조회'!A$44:AO$56,7,0)*B$3,-2)</f>
        <v>#REF!</v>
      </c>
      <c r="S919" s="97">
        <v>0</v>
      </c>
      <c r="T919" s="97" t="str">
        <f t="shared" ca="1" si="42"/>
        <v>#REF!</v>
      </c>
      <c r="U919" s="97" t="str">
        <f t="shared" ca="1" si="29"/>
        <v>#REF!</v>
      </c>
      <c r="V919" s="97" t="str">
        <f t="shared" ca="1" si="7"/>
        <v>#REF!</v>
      </c>
      <c r="W919" s="97" t="str">
        <f t="shared" ca="1" si="8"/>
        <v>#REF!</v>
      </c>
      <c r="X919" s="121">
        <v>0</v>
      </c>
      <c r="Y919" s="121" t="str">
        <f t="shared" ca="1" si="9"/>
        <v>#REF!</v>
      </c>
      <c r="Z919" s="121" t="str">
        <f t="shared" ca="1" si="10"/>
        <v>#REF!</v>
      </c>
      <c r="AA919" s="99" t="str">
        <f t="shared" ca="1" si="11"/>
        <v>#REF!</v>
      </c>
      <c r="AB919" s="234" t="str">
        <f t="shared" ca="1" si="12"/>
        <v>#REF!</v>
      </c>
      <c r="AC919" s="257" t="str">
        <f t="shared" ca="1" si="13"/>
        <v>#REF!</v>
      </c>
      <c r="AD919" s="234" t="str">
        <f t="shared" ca="1" si="14"/>
        <v>#REF!</v>
      </c>
      <c r="AE919" s="100" t="str">
        <f t="shared" ca="1" si="15"/>
        <v>#REF!</v>
      </c>
      <c r="AF919" s="101" t="str">
        <f t="shared" ca="1" si="16"/>
        <v>#REF!</v>
      </c>
      <c r="AG919" s="102" t="str">
        <f t="shared" ref="AG919:AH919" ca="1" si="937">AE919/V919</f>
        <v>#REF!</v>
      </c>
      <c r="AH919" s="102" t="str">
        <f t="shared" ca="1" si="937"/>
        <v>#REF!</v>
      </c>
    </row>
    <row r="920" spans="1:34" ht="13.2">
      <c r="A920" s="251"/>
      <c r="B920" s="251"/>
      <c r="C920" s="252"/>
      <c r="D920" s="252"/>
      <c r="E920" s="114"/>
      <c r="F920" s="252"/>
      <c r="G920" s="125" t="s">
        <v>145</v>
      </c>
      <c r="I920" s="172"/>
      <c r="J920" s="82" t="str">
        <f t="shared" ca="1" si="0"/>
        <v>#REF!</v>
      </c>
      <c r="K920" s="82" t="str">
        <f t="shared" ca="1" si="1"/>
        <v>#REF!</v>
      </c>
      <c r="L920" s="82" t="str">
        <f t="shared" ca="1" si="44"/>
        <v>#REF!</v>
      </c>
      <c r="M920" s="93"/>
      <c r="N920" s="93"/>
      <c r="O920" s="95">
        <f t="shared" si="2"/>
        <v>0</v>
      </c>
      <c r="P920" s="96">
        <f t="shared" si="3"/>
        <v>0</v>
      </c>
      <c r="Q920" s="97">
        <f t="shared" si="4"/>
        <v>0</v>
      </c>
      <c r="R920" s="97" t="str">
        <f ca="1">ROUNDUP(HLOOKUP(IF(CEILING(L920,0.5)&lt;1,0.5,CEILING(L920,0.5)),'배송비 조회'!A$44:AO$56,7,0)*B$3,-2)</f>
        <v>#REF!</v>
      </c>
      <c r="S920" s="97">
        <v>0</v>
      </c>
      <c r="T920" s="97" t="str">
        <f t="shared" ca="1" si="42"/>
        <v>#REF!</v>
      </c>
      <c r="U920" s="97" t="str">
        <f t="shared" ca="1" si="29"/>
        <v>#REF!</v>
      </c>
      <c r="V920" s="97" t="str">
        <f t="shared" ca="1" si="7"/>
        <v>#REF!</v>
      </c>
      <c r="W920" s="97" t="str">
        <f t="shared" ca="1" si="8"/>
        <v>#REF!</v>
      </c>
      <c r="X920" s="121">
        <v>0</v>
      </c>
      <c r="Y920" s="121" t="str">
        <f t="shared" ca="1" si="9"/>
        <v>#REF!</v>
      </c>
      <c r="Z920" s="121" t="str">
        <f t="shared" ca="1" si="10"/>
        <v>#REF!</v>
      </c>
      <c r="AA920" s="99" t="str">
        <f t="shared" ca="1" si="11"/>
        <v>#REF!</v>
      </c>
      <c r="AB920" s="234" t="str">
        <f t="shared" ca="1" si="12"/>
        <v>#REF!</v>
      </c>
      <c r="AC920" s="257" t="str">
        <f t="shared" ca="1" si="13"/>
        <v>#REF!</v>
      </c>
      <c r="AD920" s="234" t="str">
        <f t="shared" ca="1" si="14"/>
        <v>#REF!</v>
      </c>
      <c r="AE920" s="100" t="str">
        <f t="shared" ca="1" si="15"/>
        <v>#REF!</v>
      </c>
      <c r="AF920" s="101" t="str">
        <f t="shared" ca="1" si="16"/>
        <v>#REF!</v>
      </c>
      <c r="AG920" s="102" t="str">
        <f t="shared" ref="AG920:AH920" ca="1" si="938">AE920/V920</f>
        <v>#REF!</v>
      </c>
      <c r="AH920" s="102" t="str">
        <f t="shared" ca="1" si="938"/>
        <v>#REF!</v>
      </c>
    </row>
    <row r="921" spans="1:34" ht="13.2">
      <c r="A921" s="251"/>
      <c r="B921" s="251"/>
      <c r="C921" s="252"/>
      <c r="D921" s="252"/>
      <c r="E921" s="114"/>
      <c r="F921" s="252"/>
      <c r="G921" s="125" t="s">
        <v>145</v>
      </c>
      <c r="I921" s="172"/>
      <c r="J921" s="82" t="str">
        <f t="shared" ca="1" si="0"/>
        <v>#REF!</v>
      </c>
      <c r="K921" s="82" t="str">
        <f t="shared" ca="1" si="1"/>
        <v>#REF!</v>
      </c>
      <c r="L921" s="82" t="str">
        <f t="shared" ca="1" si="44"/>
        <v>#REF!</v>
      </c>
      <c r="M921" s="93"/>
      <c r="N921" s="93"/>
      <c r="O921" s="95">
        <f t="shared" si="2"/>
        <v>0</v>
      </c>
      <c r="P921" s="96">
        <f t="shared" si="3"/>
        <v>0</v>
      </c>
      <c r="Q921" s="97">
        <f t="shared" si="4"/>
        <v>0</v>
      </c>
      <c r="R921" s="97" t="str">
        <f ca="1">ROUNDUP(HLOOKUP(IF(CEILING(L921,0.5)&lt;1,0.5,CEILING(L921,0.5)),'배송비 조회'!A$44:AO$56,7,0)*B$3,-2)</f>
        <v>#REF!</v>
      </c>
      <c r="S921" s="97">
        <v>0</v>
      </c>
      <c r="T921" s="97" t="str">
        <f t="shared" ca="1" si="42"/>
        <v>#REF!</v>
      </c>
      <c r="U921" s="97" t="str">
        <f t="shared" ca="1" si="29"/>
        <v>#REF!</v>
      </c>
      <c r="V921" s="97" t="str">
        <f t="shared" ca="1" si="7"/>
        <v>#REF!</v>
      </c>
      <c r="W921" s="97" t="str">
        <f t="shared" ca="1" si="8"/>
        <v>#REF!</v>
      </c>
      <c r="X921" s="121">
        <v>0</v>
      </c>
      <c r="Y921" s="121" t="str">
        <f t="shared" ca="1" si="9"/>
        <v>#REF!</v>
      </c>
      <c r="Z921" s="121" t="str">
        <f t="shared" ca="1" si="10"/>
        <v>#REF!</v>
      </c>
      <c r="AA921" s="99" t="str">
        <f t="shared" ca="1" si="11"/>
        <v>#REF!</v>
      </c>
      <c r="AB921" s="234" t="str">
        <f t="shared" ca="1" si="12"/>
        <v>#REF!</v>
      </c>
      <c r="AC921" s="257" t="str">
        <f t="shared" ca="1" si="13"/>
        <v>#REF!</v>
      </c>
      <c r="AD921" s="234" t="str">
        <f t="shared" ca="1" si="14"/>
        <v>#REF!</v>
      </c>
      <c r="AE921" s="100" t="str">
        <f t="shared" ca="1" si="15"/>
        <v>#REF!</v>
      </c>
      <c r="AF921" s="101" t="str">
        <f t="shared" ca="1" si="16"/>
        <v>#REF!</v>
      </c>
      <c r="AG921" s="102" t="str">
        <f t="shared" ref="AG921:AH921" ca="1" si="939">AE921/V921</f>
        <v>#REF!</v>
      </c>
      <c r="AH921" s="102" t="str">
        <f t="shared" ca="1" si="939"/>
        <v>#REF!</v>
      </c>
    </row>
    <row r="922" spans="1:34" ht="13.2">
      <c r="A922" s="251"/>
      <c r="B922" s="251"/>
      <c r="C922" s="252"/>
      <c r="D922" s="252"/>
      <c r="E922" s="114"/>
      <c r="F922" s="252"/>
      <c r="G922" s="125" t="s">
        <v>145</v>
      </c>
      <c r="I922" s="172"/>
      <c r="J922" s="82" t="str">
        <f t="shared" ca="1" si="0"/>
        <v>#REF!</v>
      </c>
      <c r="K922" s="82" t="str">
        <f t="shared" ca="1" si="1"/>
        <v>#REF!</v>
      </c>
      <c r="L922" s="82" t="str">
        <f t="shared" ca="1" si="44"/>
        <v>#REF!</v>
      </c>
      <c r="M922" s="93"/>
      <c r="N922" s="93"/>
      <c r="O922" s="95">
        <f t="shared" si="2"/>
        <v>0</v>
      </c>
      <c r="P922" s="96">
        <f t="shared" si="3"/>
        <v>0</v>
      </c>
      <c r="Q922" s="97">
        <f t="shared" si="4"/>
        <v>0</v>
      </c>
      <c r="R922" s="97" t="str">
        <f ca="1">ROUNDUP(HLOOKUP(IF(CEILING(L922,0.5)&lt;1,0.5,CEILING(L922,0.5)),'배송비 조회'!A$44:AO$56,7,0)*B$3,-2)</f>
        <v>#REF!</v>
      </c>
      <c r="S922" s="97">
        <v>0</v>
      </c>
      <c r="T922" s="97" t="str">
        <f t="shared" ca="1" si="42"/>
        <v>#REF!</v>
      </c>
      <c r="U922" s="97" t="str">
        <f t="shared" ca="1" si="29"/>
        <v>#REF!</v>
      </c>
      <c r="V922" s="97" t="str">
        <f t="shared" ca="1" si="7"/>
        <v>#REF!</v>
      </c>
      <c r="W922" s="97" t="str">
        <f t="shared" ca="1" si="8"/>
        <v>#REF!</v>
      </c>
      <c r="X922" s="121">
        <v>0</v>
      </c>
      <c r="Y922" s="121" t="str">
        <f t="shared" ca="1" si="9"/>
        <v>#REF!</v>
      </c>
      <c r="Z922" s="121" t="str">
        <f t="shared" ca="1" si="10"/>
        <v>#REF!</v>
      </c>
      <c r="AA922" s="99" t="str">
        <f t="shared" ca="1" si="11"/>
        <v>#REF!</v>
      </c>
      <c r="AB922" s="234" t="str">
        <f t="shared" ca="1" si="12"/>
        <v>#REF!</v>
      </c>
      <c r="AC922" s="257" t="str">
        <f t="shared" ca="1" si="13"/>
        <v>#REF!</v>
      </c>
      <c r="AD922" s="234" t="str">
        <f t="shared" ca="1" si="14"/>
        <v>#REF!</v>
      </c>
      <c r="AE922" s="100" t="str">
        <f t="shared" ca="1" si="15"/>
        <v>#REF!</v>
      </c>
      <c r="AF922" s="101" t="str">
        <f t="shared" ca="1" si="16"/>
        <v>#REF!</v>
      </c>
      <c r="AG922" s="102" t="str">
        <f t="shared" ref="AG922:AH922" ca="1" si="940">AE922/V922</f>
        <v>#REF!</v>
      </c>
      <c r="AH922" s="102" t="str">
        <f t="shared" ca="1" si="940"/>
        <v>#REF!</v>
      </c>
    </row>
    <row r="923" spans="1:34" ht="13.2">
      <c r="A923" s="251"/>
      <c r="B923" s="251"/>
      <c r="C923" s="252"/>
      <c r="D923" s="252"/>
      <c r="E923" s="114"/>
      <c r="F923" s="252"/>
      <c r="G923" s="125" t="s">
        <v>145</v>
      </c>
      <c r="I923" s="172"/>
      <c r="J923" s="82" t="str">
        <f t="shared" ca="1" si="0"/>
        <v>#REF!</v>
      </c>
      <c r="K923" s="82" t="str">
        <f t="shared" ca="1" si="1"/>
        <v>#REF!</v>
      </c>
      <c r="L923" s="82" t="str">
        <f t="shared" ca="1" si="44"/>
        <v>#REF!</v>
      </c>
      <c r="M923" s="93"/>
      <c r="N923" s="93"/>
      <c r="O923" s="95">
        <f t="shared" si="2"/>
        <v>0</v>
      </c>
      <c r="P923" s="96">
        <f t="shared" si="3"/>
        <v>0</v>
      </c>
      <c r="Q923" s="97">
        <f t="shared" si="4"/>
        <v>0</v>
      </c>
      <c r="R923" s="97" t="str">
        <f ca="1">ROUNDUP(HLOOKUP(IF(CEILING(L923,0.5)&lt;1,0.5,CEILING(L923,0.5)),'배송비 조회'!A$44:AO$56,7,0)*B$3,-2)</f>
        <v>#REF!</v>
      </c>
      <c r="S923" s="97">
        <v>0</v>
      </c>
      <c r="T923" s="97" t="str">
        <f t="shared" ca="1" si="42"/>
        <v>#REF!</v>
      </c>
      <c r="U923" s="97" t="str">
        <f t="shared" ca="1" si="29"/>
        <v>#REF!</v>
      </c>
      <c r="V923" s="97" t="str">
        <f t="shared" ca="1" si="7"/>
        <v>#REF!</v>
      </c>
      <c r="W923" s="97" t="str">
        <f t="shared" ca="1" si="8"/>
        <v>#REF!</v>
      </c>
      <c r="X923" s="121">
        <v>0</v>
      </c>
      <c r="Y923" s="121" t="str">
        <f t="shared" ca="1" si="9"/>
        <v>#REF!</v>
      </c>
      <c r="Z923" s="121" t="str">
        <f t="shared" ca="1" si="10"/>
        <v>#REF!</v>
      </c>
      <c r="AA923" s="99" t="str">
        <f t="shared" ca="1" si="11"/>
        <v>#REF!</v>
      </c>
      <c r="AB923" s="234" t="str">
        <f t="shared" ca="1" si="12"/>
        <v>#REF!</v>
      </c>
      <c r="AC923" s="257" t="str">
        <f t="shared" ca="1" si="13"/>
        <v>#REF!</v>
      </c>
      <c r="AD923" s="234" t="str">
        <f t="shared" ca="1" si="14"/>
        <v>#REF!</v>
      </c>
      <c r="AE923" s="100" t="str">
        <f t="shared" ca="1" si="15"/>
        <v>#REF!</v>
      </c>
      <c r="AF923" s="101" t="str">
        <f t="shared" ca="1" si="16"/>
        <v>#REF!</v>
      </c>
      <c r="AG923" s="102" t="str">
        <f t="shared" ref="AG923:AH923" ca="1" si="941">AE923/V923</f>
        <v>#REF!</v>
      </c>
      <c r="AH923" s="102" t="str">
        <f t="shared" ca="1" si="941"/>
        <v>#REF!</v>
      </c>
    </row>
    <row r="924" spans="1:34" ht="13.2">
      <c r="A924" s="251"/>
      <c r="B924" s="251"/>
      <c r="C924" s="252"/>
      <c r="D924" s="252"/>
      <c r="E924" s="114"/>
      <c r="F924" s="252"/>
      <c r="G924" s="125" t="s">
        <v>145</v>
      </c>
      <c r="I924" s="172"/>
      <c r="J924" s="82" t="str">
        <f t="shared" ca="1" si="0"/>
        <v>#REF!</v>
      </c>
      <c r="K924" s="82" t="str">
        <f t="shared" ca="1" si="1"/>
        <v>#REF!</v>
      </c>
      <c r="L924" s="82" t="str">
        <f t="shared" ca="1" si="44"/>
        <v>#REF!</v>
      </c>
      <c r="M924" s="93"/>
      <c r="N924" s="93"/>
      <c r="O924" s="95">
        <f t="shared" si="2"/>
        <v>0</v>
      </c>
      <c r="P924" s="96">
        <f t="shared" si="3"/>
        <v>0</v>
      </c>
      <c r="Q924" s="97">
        <f t="shared" si="4"/>
        <v>0</v>
      </c>
      <c r="R924" s="97" t="str">
        <f ca="1">ROUNDUP(HLOOKUP(IF(CEILING(L924,0.5)&lt;1,0.5,CEILING(L924,0.5)),'배송비 조회'!A$44:AO$56,7,0)*B$3,-2)</f>
        <v>#REF!</v>
      </c>
      <c r="S924" s="97">
        <v>0</v>
      </c>
      <c r="T924" s="97" t="str">
        <f t="shared" ca="1" si="42"/>
        <v>#REF!</v>
      </c>
      <c r="U924" s="97" t="str">
        <f t="shared" ca="1" si="29"/>
        <v>#REF!</v>
      </c>
      <c r="V924" s="97" t="str">
        <f t="shared" ca="1" si="7"/>
        <v>#REF!</v>
      </c>
      <c r="W924" s="97" t="str">
        <f t="shared" ca="1" si="8"/>
        <v>#REF!</v>
      </c>
      <c r="X924" s="121">
        <v>0</v>
      </c>
      <c r="Y924" s="121" t="str">
        <f t="shared" ca="1" si="9"/>
        <v>#REF!</v>
      </c>
      <c r="Z924" s="121" t="str">
        <f t="shared" ca="1" si="10"/>
        <v>#REF!</v>
      </c>
      <c r="AA924" s="99" t="str">
        <f t="shared" ca="1" si="11"/>
        <v>#REF!</v>
      </c>
      <c r="AB924" s="234" t="str">
        <f t="shared" ca="1" si="12"/>
        <v>#REF!</v>
      </c>
      <c r="AC924" s="257" t="str">
        <f t="shared" ca="1" si="13"/>
        <v>#REF!</v>
      </c>
      <c r="AD924" s="234" t="str">
        <f t="shared" ca="1" si="14"/>
        <v>#REF!</v>
      </c>
      <c r="AE924" s="100" t="str">
        <f t="shared" ca="1" si="15"/>
        <v>#REF!</v>
      </c>
      <c r="AF924" s="101" t="str">
        <f t="shared" ca="1" si="16"/>
        <v>#REF!</v>
      </c>
      <c r="AG924" s="102" t="str">
        <f t="shared" ref="AG924:AH924" ca="1" si="942">AE924/V924</f>
        <v>#REF!</v>
      </c>
      <c r="AH924" s="102" t="str">
        <f t="shared" ca="1" si="942"/>
        <v>#REF!</v>
      </c>
    </row>
    <row r="925" spans="1:34" ht="13.2">
      <c r="A925" s="251"/>
      <c r="B925" s="251"/>
      <c r="C925" s="252"/>
      <c r="D925" s="252"/>
      <c r="E925" s="114"/>
      <c r="F925" s="252"/>
      <c r="G925" s="125" t="s">
        <v>145</v>
      </c>
      <c r="I925" s="172"/>
      <c r="J925" s="82" t="str">
        <f t="shared" ca="1" si="0"/>
        <v>#REF!</v>
      </c>
      <c r="K925" s="82" t="str">
        <f t="shared" ca="1" si="1"/>
        <v>#REF!</v>
      </c>
      <c r="L925" s="82" t="str">
        <f t="shared" ca="1" si="44"/>
        <v>#REF!</v>
      </c>
      <c r="M925" s="93"/>
      <c r="N925" s="93"/>
      <c r="O925" s="95">
        <f t="shared" si="2"/>
        <v>0</v>
      </c>
      <c r="P925" s="96">
        <f t="shared" si="3"/>
        <v>0</v>
      </c>
      <c r="Q925" s="97">
        <f t="shared" si="4"/>
        <v>0</v>
      </c>
      <c r="R925" s="97" t="str">
        <f ca="1">ROUNDUP(HLOOKUP(IF(CEILING(L925,0.5)&lt;1,0.5,CEILING(L925,0.5)),'배송비 조회'!A$44:AO$56,7,0)*B$3,-2)</f>
        <v>#REF!</v>
      </c>
      <c r="S925" s="97">
        <v>0</v>
      </c>
      <c r="T925" s="97" t="str">
        <f t="shared" ca="1" si="42"/>
        <v>#REF!</v>
      </c>
      <c r="U925" s="97" t="str">
        <f t="shared" ca="1" si="29"/>
        <v>#REF!</v>
      </c>
      <c r="V925" s="97" t="str">
        <f t="shared" ca="1" si="7"/>
        <v>#REF!</v>
      </c>
      <c r="W925" s="97" t="str">
        <f t="shared" ca="1" si="8"/>
        <v>#REF!</v>
      </c>
      <c r="X925" s="121">
        <v>0</v>
      </c>
      <c r="Y925" s="121" t="str">
        <f t="shared" ca="1" si="9"/>
        <v>#REF!</v>
      </c>
      <c r="Z925" s="121" t="str">
        <f t="shared" ca="1" si="10"/>
        <v>#REF!</v>
      </c>
      <c r="AA925" s="99" t="str">
        <f t="shared" ca="1" si="11"/>
        <v>#REF!</v>
      </c>
      <c r="AB925" s="234" t="str">
        <f t="shared" ca="1" si="12"/>
        <v>#REF!</v>
      </c>
      <c r="AC925" s="257" t="str">
        <f t="shared" ca="1" si="13"/>
        <v>#REF!</v>
      </c>
      <c r="AD925" s="234" t="str">
        <f t="shared" ca="1" si="14"/>
        <v>#REF!</v>
      </c>
      <c r="AE925" s="100" t="str">
        <f t="shared" ca="1" si="15"/>
        <v>#REF!</v>
      </c>
      <c r="AF925" s="101" t="str">
        <f t="shared" ca="1" si="16"/>
        <v>#REF!</v>
      </c>
      <c r="AG925" s="102" t="str">
        <f t="shared" ref="AG925:AH925" ca="1" si="943">AE925/V925</f>
        <v>#REF!</v>
      </c>
      <c r="AH925" s="102" t="str">
        <f t="shared" ca="1" si="943"/>
        <v>#REF!</v>
      </c>
    </row>
    <row r="926" spans="1:34" ht="13.2">
      <c r="A926" s="251"/>
      <c r="B926" s="251"/>
      <c r="C926" s="252"/>
      <c r="D926" s="252"/>
      <c r="E926" s="114"/>
      <c r="F926" s="252"/>
      <c r="G926" s="125" t="s">
        <v>145</v>
      </c>
      <c r="I926" s="172"/>
      <c r="J926" s="82" t="str">
        <f t="shared" ca="1" si="0"/>
        <v>#REF!</v>
      </c>
      <c r="K926" s="82" t="str">
        <f t="shared" ca="1" si="1"/>
        <v>#REF!</v>
      </c>
      <c r="L926" s="82" t="str">
        <f t="shared" ca="1" si="44"/>
        <v>#REF!</v>
      </c>
      <c r="M926" s="93"/>
      <c r="N926" s="93"/>
      <c r="O926" s="95">
        <f t="shared" si="2"/>
        <v>0</v>
      </c>
      <c r="P926" s="96">
        <f t="shared" si="3"/>
        <v>0</v>
      </c>
      <c r="Q926" s="97">
        <f t="shared" si="4"/>
        <v>0</v>
      </c>
      <c r="R926" s="97" t="str">
        <f ca="1">ROUNDUP(HLOOKUP(IF(CEILING(L926,0.5)&lt;1,0.5,CEILING(L926,0.5)),'배송비 조회'!A$44:AO$56,7,0)*B$3,-2)</f>
        <v>#REF!</v>
      </c>
      <c r="S926" s="97">
        <v>0</v>
      </c>
      <c r="T926" s="97" t="str">
        <f t="shared" ca="1" si="42"/>
        <v>#REF!</v>
      </c>
      <c r="U926" s="97" t="str">
        <f t="shared" ca="1" si="29"/>
        <v>#REF!</v>
      </c>
      <c r="V926" s="97" t="str">
        <f t="shared" ca="1" si="7"/>
        <v>#REF!</v>
      </c>
      <c r="W926" s="97" t="str">
        <f t="shared" ca="1" si="8"/>
        <v>#REF!</v>
      </c>
      <c r="X926" s="121">
        <v>0</v>
      </c>
      <c r="Y926" s="121" t="str">
        <f t="shared" ca="1" si="9"/>
        <v>#REF!</v>
      </c>
      <c r="Z926" s="121" t="str">
        <f t="shared" ca="1" si="10"/>
        <v>#REF!</v>
      </c>
      <c r="AA926" s="99" t="str">
        <f t="shared" ca="1" si="11"/>
        <v>#REF!</v>
      </c>
      <c r="AB926" s="234" t="str">
        <f t="shared" ca="1" si="12"/>
        <v>#REF!</v>
      </c>
      <c r="AC926" s="257" t="str">
        <f t="shared" ca="1" si="13"/>
        <v>#REF!</v>
      </c>
      <c r="AD926" s="234" t="str">
        <f t="shared" ca="1" si="14"/>
        <v>#REF!</v>
      </c>
      <c r="AE926" s="100" t="str">
        <f t="shared" ca="1" si="15"/>
        <v>#REF!</v>
      </c>
      <c r="AF926" s="101" t="str">
        <f t="shared" ca="1" si="16"/>
        <v>#REF!</v>
      </c>
      <c r="AG926" s="102" t="str">
        <f t="shared" ref="AG926:AH926" ca="1" si="944">AE926/V926</f>
        <v>#REF!</v>
      </c>
      <c r="AH926" s="102" t="str">
        <f t="shared" ca="1" si="944"/>
        <v>#REF!</v>
      </c>
    </row>
    <row r="927" spans="1:34" ht="13.2">
      <c r="A927" s="251"/>
      <c r="B927" s="251"/>
      <c r="C927" s="252"/>
      <c r="D927" s="252"/>
      <c r="E927" s="114"/>
      <c r="F927" s="252"/>
      <c r="G927" s="125" t="s">
        <v>145</v>
      </c>
      <c r="I927" s="172"/>
      <c r="J927" s="82" t="str">
        <f t="shared" ca="1" si="0"/>
        <v>#REF!</v>
      </c>
      <c r="K927" s="82" t="str">
        <f t="shared" ca="1" si="1"/>
        <v>#REF!</v>
      </c>
      <c r="L927" s="82" t="str">
        <f t="shared" ca="1" si="44"/>
        <v>#REF!</v>
      </c>
      <c r="M927" s="93"/>
      <c r="N927" s="93"/>
      <c r="O927" s="95">
        <f t="shared" si="2"/>
        <v>0</v>
      </c>
      <c r="P927" s="96">
        <f t="shared" si="3"/>
        <v>0</v>
      </c>
      <c r="Q927" s="97">
        <f t="shared" si="4"/>
        <v>0</v>
      </c>
      <c r="R927" s="97" t="str">
        <f ca="1">ROUNDUP(HLOOKUP(IF(CEILING(L927,0.5)&lt;1,0.5,CEILING(L927,0.5)),'배송비 조회'!A$44:AO$56,7,0)*B$3,-2)</f>
        <v>#REF!</v>
      </c>
      <c r="S927" s="97">
        <v>0</v>
      </c>
      <c r="T927" s="97" t="str">
        <f t="shared" ca="1" si="42"/>
        <v>#REF!</v>
      </c>
      <c r="U927" s="97" t="str">
        <f t="shared" ca="1" si="29"/>
        <v>#REF!</v>
      </c>
      <c r="V927" s="97" t="str">
        <f t="shared" ca="1" si="7"/>
        <v>#REF!</v>
      </c>
      <c r="W927" s="97" t="str">
        <f t="shared" ca="1" si="8"/>
        <v>#REF!</v>
      </c>
      <c r="X927" s="121">
        <v>0</v>
      </c>
      <c r="Y927" s="121" t="str">
        <f t="shared" ca="1" si="9"/>
        <v>#REF!</v>
      </c>
      <c r="Z927" s="121" t="str">
        <f t="shared" ca="1" si="10"/>
        <v>#REF!</v>
      </c>
      <c r="AA927" s="99" t="str">
        <f t="shared" ca="1" si="11"/>
        <v>#REF!</v>
      </c>
      <c r="AB927" s="234" t="str">
        <f t="shared" ca="1" si="12"/>
        <v>#REF!</v>
      </c>
      <c r="AC927" s="257" t="str">
        <f t="shared" ca="1" si="13"/>
        <v>#REF!</v>
      </c>
      <c r="AD927" s="234" t="str">
        <f t="shared" ca="1" si="14"/>
        <v>#REF!</v>
      </c>
      <c r="AE927" s="100" t="str">
        <f t="shared" ca="1" si="15"/>
        <v>#REF!</v>
      </c>
      <c r="AF927" s="101" t="str">
        <f t="shared" ca="1" si="16"/>
        <v>#REF!</v>
      </c>
      <c r="AG927" s="102" t="str">
        <f t="shared" ref="AG927:AH927" ca="1" si="945">AE927/V927</f>
        <v>#REF!</v>
      </c>
      <c r="AH927" s="102" t="str">
        <f t="shared" ca="1" si="945"/>
        <v>#REF!</v>
      </c>
    </row>
    <row r="928" spans="1:34" ht="13.2">
      <c r="A928" s="251"/>
      <c r="B928" s="251"/>
      <c r="C928" s="252"/>
      <c r="D928" s="252"/>
      <c r="E928" s="114"/>
      <c r="F928" s="252"/>
      <c r="G928" s="125" t="s">
        <v>145</v>
      </c>
      <c r="I928" s="172"/>
      <c r="J928" s="82" t="str">
        <f t="shared" ca="1" si="0"/>
        <v>#REF!</v>
      </c>
      <c r="K928" s="82" t="str">
        <f t="shared" ca="1" si="1"/>
        <v>#REF!</v>
      </c>
      <c r="L928" s="82" t="str">
        <f t="shared" ca="1" si="44"/>
        <v>#REF!</v>
      </c>
      <c r="M928" s="93"/>
      <c r="N928" s="93"/>
      <c r="O928" s="95">
        <f t="shared" si="2"/>
        <v>0</v>
      </c>
      <c r="P928" s="96">
        <f t="shared" si="3"/>
        <v>0</v>
      </c>
      <c r="Q928" s="97">
        <f t="shared" si="4"/>
        <v>0</v>
      </c>
      <c r="R928" s="97" t="str">
        <f ca="1">ROUNDUP(HLOOKUP(IF(CEILING(L928,0.5)&lt;1,0.5,CEILING(L928,0.5)),'배송비 조회'!A$44:AO$56,7,0)*B$3,-2)</f>
        <v>#REF!</v>
      </c>
      <c r="S928" s="97">
        <v>0</v>
      </c>
      <c r="T928" s="97" t="str">
        <f t="shared" ca="1" si="42"/>
        <v>#REF!</v>
      </c>
      <c r="U928" s="97" t="str">
        <f t="shared" ca="1" si="29"/>
        <v>#REF!</v>
      </c>
      <c r="V928" s="97" t="str">
        <f t="shared" ca="1" si="7"/>
        <v>#REF!</v>
      </c>
      <c r="W928" s="97" t="str">
        <f t="shared" ca="1" si="8"/>
        <v>#REF!</v>
      </c>
      <c r="X928" s="121">
        <v>0</v>
      </c>
      <c r="Y928" s="121" t="str">
        <f t="shared" ca="1" si="9"/>
        <v>#REF!</v>
      </c>
      <c r="Z928" s="121" t="str">
        <f t="shared" ca="1" si="10"/>
        <v>#REF!</v>
      </c>
      <c r="AA928" s="99" t="str">
        <f t="shared" ca="1" si="11"/>
        <v>#REF!</v>
      </c>
      <c r="AB928" s="234" t="str">
        <f t="shared" ca="1" si="12"/>
        <v>#REF!</v>
      </c>
      <c r="AC928" s="257" t="str">
        <f t="shared" ca="1" si="13"/>
        <v>#REF!</v>
      </c>
      <c r="AD928" s="234" t="str">
        <f t="shared" ca="1" si="14"/>
        <v>#REF!</v>
      </c>
      <c r="AE928" s="100" t="str">
        <f t="shared" ca="1" si="15"/>
        <v>#REF!</v>
      </c>
      <c r="AF928" s="101" t="str">
        <f t="shared" ca="1" si="16"/>
        <v>#REF!</v>
      </c>
      <c r="AG928" s="102" t="str">
        <f t="shared" ref="AG928:AH928" ca="1" si="946">AE928/V928</f>
        <v>#REF!</v>
      </c>
      <c r="AH928" s="102" t="str">
        <f t="shared" ca="1" si="946"/>
        <v>#REF!</v>
      </c>
    </row>
    <row r="929" spans="1:34" ht="13.2">
      <c r="A929" s="251"/>
      <c r="B929" s="251"/>
      <c r="C929" s="252"/>
      <c r="D929" s="252"/>
      <c r="E929" s="114"/>
      <c r="F929" s="252"/>
      <c r="G929" s="125" t="s">
        <v>145</v>
      </c>
      <c r="I929" s="172"/>
      <c r="J929" s="82" t="str">
        <f t="shared" ca="1" si="0"/>
        <v>#REF!</v>
      </c>
      <c r="K929" s="82" t="str">
        <f t="shared" ca="1" si="1"/>
        <v>#REF!</v>
      </c>
      <c r="L929" s="82" t="str">
        <f t="shared" ca="1" si="44"/>
        <v>#REF!</v>
      </c>
      <c r="M929" s="93"/>
      <c r="N929" s="93"/>
      <c r="O929" s="95">
        <f t="shared" si="2"/>
        <v>0</v>
      </c>
      <c r="P929" s="96">
        <f t="shared" si="3"/>
        <v>0</v>
      </c>
      <c r="Q929" s="97">
        <f t="shared" si="4"/>
        <v>0</v>
      </c>
      <c r="R929" s="97" t="str">
        <f ca="1">ROUNDUP(HLOOKUP(IF(CEILING(L929,0.5)&lt;1,0.5,CEILING(L929,0.5)),'배송비 조회'!A$44:AO$56,7,0)*B$3,-2)</f>
        <v>#REF!</v>
      </c>
      <c r="S929" s="97">
        <v>0</v>
      </c>
      <c r="T929" s="97" t="str">
        <f t="shared" ca="1" si="42"/>
        <v>#REF!</v>
      </c>
      <c r="U929" s="97" t="str">
        <f t="shared" ca="1" si="29"/>
        <v>#REF!</v>
      </c>
      <c r="V929" s="97" t="str">
        <f t="shared" ca="1" si="7"/>
        <v>#REF!</v>
      </c>
      <c r="W929" s="97" t="str">
        <f t="shared" ca="1" si="8"/>
        <v>#REF!</v>
      </c>
      <c r="X929" s="121">
        <v>0</v>
      </c>
      <c r="Y929" s="121" t="str">
        <f t="shared" ca="1" si="9"/>
        <v>#REF!</v>
      </c>
      <c r="Z929" s="121" t="str">
        <f t="shared" ca="1" si="10"/>
        <v>#REF!</v>
      </c>
      <c r="AA929" s="99" t="str">
        <f t="shared" ca="1" si="11"/>
        <v>#REF!</v>
      </c>
      <c r="AB929" s="234" t="str">
        <f t="shared" ca="1" si="12"/>
        <v>#REF!</v>
      </c>
      <c r="AC929" s="257" t="str">
        <f t="shared" ca="1" si="13"/>
        <v>#REF!</v>
      </c>
      <c r="AD929" s="234" t="str">
        <f t="shared" ca="1" si="14"/>
        <v>#REF!</v>
      </c>
      <c r="AE929" s="100" t="str">
        <f t="shared" ca="1" si="15"/>
        <v>#REF!</v>
      </c>
      <c r="AF929" s="101" t="str">
        <f t="shared" ca="1" si="16"/>
        <v>#REF!</v>
      </c>
      <c r="AG929" s="102" t="str">
        <f t="shared" ref="AG929:AH929" ca="1" si="947">AE929/V929</f>
        <v>#REF!</v>
      </c>
      <c r="AH929" s="102" t="str">
        <f t="shared" ca="1" si="947"/>
        <v>#REF!</v>
      </c>
    </row>
    <row r="930" spans="1:34" ht="13.2">
      <c r="A930" s="251"/>
      <c r="B930" s="251"/>
      <c r="C930" s="252"/>
      <c r="D930" s="252"/>
      <c r="E930" s="114"/>
      <c r="F930" s="252"/>
      <c r="G930" s="125" t="s">
        <v>145</v>
      </c>
      <c r="I930" s="172"/>
      <c r="J930" s="82" t="str">
        <f t="shared" ca="1" si="0"/>
        <v>#REF!</v>
      </c>
      <c r="K930" s="82" t="str">
        <f t="shared" ca="1" si="1"/>
        <v>#REF!</v>
      </c>
      <c r="L930" s="82" t="str">
        <f t="shared" ca="1" si="44"/>
        <v>#REF!</v>
      </c>
      <c r="M930" s="93"/>
      <c r="N930" s="93"/>
      <c r="O930" s="95">
        <f t="shared" si="2"/>
        <v>0</v>
      </c>
      <c r="P930" s="96">
        <f t="shared" si="3"/>
        <v>0</v>
      </c>
      <c r="Q930" s="97">
        <f t="shared" si="4"/>
        <v>0</v>
      </c>
      <c r="R930" s="97" t="str">
        <f ca="1">ROUNDUP(HLOOKUP(IF(CEILING(L930,0.5)&lt;1,0.5,CEILING(L930,0.5)),'배송비 조회'!A$44:AO$56,7,0)*B$3,-2)</f>
        <v>#REF!</v>
      </c>
      <c r="S930" s="97">
        <v>0</v>
      </c>
      <c r="T930" s="97" t="str">
        <f t="shared" ca="1" si="42"/>
        <v>#REF!</v>
      </c>
      <c r="U930" s="97" t="str">
        <f t="shared" ca="1" si="29"/>
        <v>#REF!</v>
      </c>
      <c r="V930" s="97" t="str">
        <f t="shared" ca="1" si="7"/>
        <v>#REF!</v>
      </c>
      <c r="W930" s="97" t="str">
        <f t="shared" ca="1" si="8"/>
        <v>#REF!</v>
      </c>
      <c r="X930" s="121">
        <v>0</v>
      </c>
      <c r="Y930" s="121" t="str">
        <f t="shared" ca="1" si="9"/>
        <v>#REF!</v>
      </c>
      <c r="Z930" s="121" t="str">
        <f t="shared" ca="1" si="10"/>
        <v>#REF!</v>
      </c>
      <c r="AA930" s="99" t="str">
        <f t="shared" ca="1" si="11"/>
        <v>#REF!</v>
      </c>
      <c r="AB930" s="234" t="str">
        <f t="shared" ca="1" si="12"/>
        <v>#REF!</v>
      </c>
      <c r="AC930" s="257" t="str">
        <f t="shared" ca="1" si="13"/>
        <v>#REF!</v>
      </c>
      <c r="AD930" s="234" t="str">
        <f t="shared" ca="1" si="14"/>
        <v>#REF!</v>
      </c>
      <c r="AE930" s="100" t="str">
        <f t="shared" ca="1" si="15"/>
        <v>#REF!</v>
      </c>
      <c r="AF930" s="101" t="str">
        <f t="shared" ca="1" si="16"/>
        <v>#REF!</v>
      </c>
      <c r="AG930" s="102" t="str">
        <f t="shared" ref="AG930:AH930" ca="1" si="948">AE930/V930</f>
        <v>#REF!</v>
      </c>
      <c r="AH930" s="102" t="str">
        <f t="shared" ca="1" si="948"/>
        <v>#REF!</v>
      </c>
    </row>
    <row r="931" spans="1:34" ht="13.2">
      <c r="A931" s="251"/>
      <c r="B931" s="251"/>
      <c r="C931" s="252"/>
      <c r="D931" s="252"/>
      <c r="E931" s="114"/>
      <c r="F931" s="252"/>
      <c r="G931" s="125" t="s">
        <v>145</v>
      </c>
      <c r="I931" s="172"/>
      <c r="J931" s="82" t="str">
        <f t="shared" ca="1" si="0"/>
        <v>#REF!</v>
      </c>
      <c r="K931" s="82" t="str">
        <f t="shared" ca="1" si="1"/>
        <v>#REF!</v>
      </c>
      <c r="L931" s="82" t="str">
        <f t="shared" ca="1" si="44"/>
        <v>#REF!</v>
      </c>
      <c r="M931" s="93"/>
      <c r="N931" s="93"/>
      <c r="O931" s="95">
        <f t="shared" si="2"/>
        <v>0</v>
      </c>
      <c r="P931" s="96">
        <f t="shared" si="3"/>
        <v>0</v>
      </c>
      <c r="Q931" s="97">
        <f t="shared" si="4"/>
        <v>0</v>
      </c>
      <c r="R931" s="97" t="str">
        <f ca="1">ROUNDUP(HLOOKUP(IF(CEILING(L931,0.5)&lt;1,0.5,CEILING(L931,0.5)),'배송비 조회'!A$44:AO$56,7,0)*B$3,-2)</f>
        <v>#REF!</v>
      </c>
      <c r="S931" s="97">
        <v>0</v>
      </c>
      <c r="T931" s="97" t="str">
        <f t="shared" ca="1" si="42"/>
        <v>#REF!</v>
      </c>
      <c r="U931" s="97" t="str">
        <f t="shared" ca="1" si="29"/>
        <v>#REF!</v>
      </c>
      <c r="V931" s="97" t="str">
        <f t="shared" ca="1" si="7"/>
        <v>#REF!</v>
      </c>
      <c r="W931" s="97" t="str">
        <f t="shared" ca="1" si="8"/>
        <v>#REF!</v>
      </c>
      <c r="X931" s="121">
        <v>0</v>
      </c>
      <c r="Y931" s="121" t="str">
        <f t="shared" ca="1" si="9"/>
        <v>#REF!</v>
      </c>
      <c r="Z931" s="121" t="str">
        <f t="shared" ca="1" si="10"/>
        <v>#REF!</v>
      </c>
      <c r="AA931" s="99" t="str">
        <f t="shared" ca="1" si="11"/>
        <v>#REF!</v>
      </c>
      <c r="AB931" s="234" t="str">
        <f t="shared" ca="1" si="12"/>
        <v>#REF!</v>
      </c>
      <c r="AC931" s="257" t="str">
        <f t="shared" ca="1" si="13"/>
        <v>#REF!</v>
      </c>
      <c r="AD931" s="234" t="str">
        <f t="shared" ca="1" si="14"/>
        <v>#REF!</v>
      </c>
      <c r="AE931" s="100" t="str">
        <f t="shared" ca="1" si="15"/>
        <v>#REF!</v>
      </c>
      <c r="AF931" s="101" t="str">
        <f t="shared" ca="1" si="16"/>
        <v>#REF!</v>
      </c>
      <c r="AG931" s="102" t="str">
        <f t="shared" ref="AG931:AH931" ca="1" si="949">AE931/V931</f>
        <v>#REF!</v>
      </c>
      <c r="AH931" s="102" t="str">
        <f t="shared" ca="1" si="949"/>
        <v>#REF!</v>
      </c>
    </row>
    <row r="932" spans="1:34" ht="13.2">
      <c r="A932" s="251"/>
      <c r="B932" s="251"/>
      <c r="C932" s="252"/>
      <c r="D932" s="252"/>
      <c r="E932" s="114"/>
      <c r="F932" s="252"/>
      <c r="G932" s="125" t="s">
        <v>145</v>
      </c>
      <c r="I932" s="172"/>
      <c r="J932" s="82" t="str">
        <f t="shared" ca="1" si="0"/>
        <v>#REF!</v>
      </c>
      <c r="K932" s="82" t="str">
        <f t="shared" ca="1" si="1"/>
        <v>#REF!</v>
      </c>
      <c r="L932" s="82" t="str">
        <f t="shared" ca="1" si="44"/>
        <v>#REF!</v>
      </c>
      <c r="M932" s="93"/>
      <c r="N932" s="93"/>
      <c r="O932" s="95">
        <f t="shared" si="2"/>
        <v>0</v>
      </c>
      <c r="P932" s="96">
        <f t="shared" si="3"/>
        <v>0</v>
      </c>
      <c r="Q932" s="97">
        <f t="shared" si="4"/>
        <v>0</v>
      </c>
      <c r="R932" s="97" t="str">
        <f ca="1">ROUNDUP(HLOOKUP(IF(CEILING(L932,0.5)&lt;1,0.5,CEILING(L932,0.5)),'배송비 조회'!A$44:AO$56,7,0)*B$3,-2)</f>
        <v>#REF!</v>
      </c>
      <c r="S932" s="97">
        <v>0</v>
      </c>
      <c r="T932" s="97" t="str">
        <f t="shared" ca="1" si="42"/>
        <v>#REF!</v>
      </c>
      <c r="U932" s="97" t="str">
        <f t="shared" ca="1" si="29"/>
        <v>#REF!</v>
      </c>
      <c r="V932" s="97" t="str">
        <f t="shared" ca="1" si="7"/>
        <v>#REF!</v>
      </c>
      <c r="W932" s="97" t="str">
        <f t="shared" ca="1" si="8"/>
        <v>#REF!</v>
      </c>
      <c r="X932" s="121">
        <v>0</v>
      </c>
      <c r="Y932" s="121" t="str">
        <f t="shared" ca="1" si="9"/>
        <v>#REF!</v>
      </c>
      <c r="Z932" s="121" t="str">
        <f t="shared" ca="1" si="10"/>
        <v>#REF!</v>
      </c>
      <c r="AA932" s="99" t="str">
        <f t="shared" ca="1" si="11"/>
        <v>#REF!</v>
      </c>
      <c r="AB932" s="234" t="str">
        <f t="shared" ca="1" si="12"/>
        <v>#REF!</v>
      </c>
      <c r="AC932" s="257" t="str">
        <f t="shared" ca="1" si="13"/>
        <v>#REF!</v>
      </c>
      <c r="AD932" s="234" t="str">
        <f t="shared" ca="1" si="14"/>
        <v>#REF!</v>
      </c>
      <c r="AE932" s="100" t="str">
        <f t="shared" ca="1" si="15"/>
        <v>#REF!</v>
      </c>
      <c r="AF932" s="101" t="str">
        <f t="shared" ca="1" si="16"/>
        <v>#REF!</v>
      </c>
      <c r="AG932" s="102" t="str">
        <f t="shared" ref="AG932:AH932" ca="1" si="950">AE932/V932</f>
        <v>#REF!</v>
      </c>
      <c r="AH932" s="102" t="str">
        <f t="shared" ca="1" si="950"/>
        <v>#REF!</v>
      </c>
    </row>
    <row r="933" spans="1:34" ht="13.2">
      <c r="A933" s="251"/>
      <c r="B933" s="251"/>
      <c r="C933" s="252"/>
      <c r="D933" s="252"/>
      <c r="E933" s="114"/>
      <c r="F933" s="252"/>
      <c r="G933" s="125" t="s">
        <v>145</v>
      </c>
      <c r="I933" s="172"/>
      <c r="J933" s="82" t="str">
        <f t="shared" ca="1" si="0"/>
        <v>#REF!</v>
      </c>
      <c r="K933" s="82" t="str">
        <f t="shared" ca="1" si="1"/>
        <v>#REF!</v>
      </c>
      <c r="L933" s="82" t="str">
        <f t="shared" ca="1" si="44"/>
        <v>#REF!</v>
      </c>
      <c r="M933" s="93"/>
      <c r="N933" s="93"/>
      <c r="O933" s="95">
        <f t="shared" si="2"/>
        <v>0</v>
      </c>
      <c r="P933" s="96">
        <f t="shared" si="3"/>
        <v>0</v>
      </c>
      <c r="Q933" s="97">
        <f t="shared" si="4"/>
        <v>0</v>
      </c>
      <c r="R933" s="97" t="str">
        <f ca="1">ROUNDUP(HLOOKUP(IF(CEILING(L933,0.5)&lt;1,0.5,CEILING(L933,0.5)),'배송비 조회'!A$44:AO$56,7,0)*B$3,-2)</f>
        <v>#REF!</v>
      </c>
      <c r="S933" s="97">
        <v>0</v>
      </c>
      <c r="T933" s="97" t="str">
        <f t="shared" ca="1" si="42"/>
        <v>#REF!</v>
      </c>
      <c r="U933" s="97" t="str">
        <f t="shared" ca="1" si="29"/>
        <v>#REF!</v>
      </c>
      <c r="V933" s="97" t="str">
        <f t="shared" ca="1" si="7"/>
        <v>#REF!</v>
      </c>
      <c r="W933" s="97" t="str">
        <f t="shared" ca="1" si="8"/>
        <v>#REF!</v>
      </c>
      <c r="X933" s="121">
        <v>0</v>
      </c>
      <c r="Y933" s="121" t="str">
        <f t="shared" ca="1" si="9"/>
        <v>#REF!</v>
      </c>
      <c r="Z933" s="121" t="str">
        <f t="shared" ca="1" si="10"/>
        <v>#REF!</v>
      </c>
      <c r="AA933" s="99" t="str">
        <f t="shared" ca="1" si="11"/>
        <v>#REF!</v>
      </c>
      <c r="AB933" s="234" t="str">
        <f t="shared" ca="1" si="12"/>
        <v>#REF!</v>
      </c>
      <c r="AC933" s="257" t="str">
        <f t="shared" ca="1" si="13"/>
        <v>#REF!</v>
      </c>
      <c r="AD933" s="234" t="str">
        <f t="shared" ca="1" si="14"/>
        <v>#REF!</v>
      </c>
      <c r="AE933" s="100" t="str">
        <f t="shared" ca="1" si="15"/>
        <v>#REF!</v>
      </c>
      <c r="AF933" s="101" t="str">
        <f t="shared" ca="1" si="16"/>
        <v>#REF!</v>
      </c>
      <c r="AG933" s="102" t="str">
        <f t="shared" ref="AG933:AH933" ca="1" si="951">AE933/V933</f>
        <v>#REF!</v>
      </c>
      <c r="AH933" s="102" t="str">
        <f t="shared" ca="1" si="951"/>
        <v>#REF!</v>
      </c>
    </row>
    <row r="934" spans="1:34" ht="13.2">
      <c r="A934" s="251"/>
      <c r="B934" s="251"/>
      <c r="C934" s="252"/>
      <c r="D934" s="252"/>
      <c r="E934" s="114"/>
      <c r="F934" s="252"/>
      <c r="G934" s="125" t="s">
        <v>145</v>
      </c>
      <c r="I934" s="172"/>
      <c r="J934" s="82" t="str">
        <f t="shared" ca="1" si="0"/>
        <v>#REF!</v>
      </c>
      <c r="K934" s="82" t="str">
        <f t="shared" ca="1" si="1"/>
        <v>#REF!</v>
      </c>
      <c r="L934" s="82" t="str">
        <f t="shared" ca="1" si="44"/>
        <v>#REF!</v>
      </c>
      <c r="M934" s="93"/>
      <c r="N934" s="93"/>
      <c r="O934" s="95">
        <f t="shared" si="2"/>
        <v>0</v>
      </c>
      <c r="P934" s="96">
        <f t="shared" si="3"/>
        <v>0</v>
      </c>
      <c r="Q934" s="97">
        <f t="shared" si="4"/>
        <v>0</v>
      </c>
      <c r="R934" s="97" t="str">
        <f ca="1">ROUNDUP(HLOOKUP(IF(CEILING(L934,0.5)&lt;1,0.5,CEILING(L934,0.5)),'배송비 조회'!A$44:AO$56,7,0)*B$3,-2)</f>
        <v>#REF!</v>
      </c>
      <c r="S934" s="97">
        <v>0</v>
      </c>
      <c r="T934" s="97" t="str">
        <f t="shared" ca="1" si="42"/>
        <v>#REF!</v>
      </c>
      <c r="U934" s="97" t="str">
        <f t="shared" ca="1" si="29"/>
        <v>#REF!</v>
      </c>
      <c r="V934" s="97" t="str">
        <f t="shared" ca="1" si="7"/>
        <v>#REF!</v>
      </c>
      <c r="W934" s="97" t="str">
        <f t="shared" ca="1" si="8"/>
        <v>#REF!</v>
      </c>
      <c r="X934" s="121">
        <v>0</v>
      </c>
      <c r="Y934" s="121" t="str">
        <f t="shared" ca="1" si="9"/>
        <v>#REF!</v>
      </c>
      <c r="Z934" s="121" t="str">
        <f t="shared" ca="1" si="10"/>
        <v>#REF!</v>
      </c>
      <c r="AA934" s="99" t="str">
        <f t="shared" ca="1" si="11"/>
        <v>#REF!</v>
      </c>
      <c r="AB934" s="234" t="str">
        <f t="shared" ca="1" si="12"/>
        <v>#REF!</v>
      </c>
      <c r="AC934" s="257" t="str">
        <f t="shared" ca="1" si="13"/>
        <v>#REF!</v>
      </c>
      <c r="AD934" s="234" t="str">
        <f t="shared" ca="1" si="14"/>
        <v>#REF!</v>
      </c>
      <c r="AE934" s="100" t="str">
        <f t="shared" ca="1" si="15"/>
        <v>#REF!</v>
      </c>
      <c r="AF934" s="101" t="str">
        <f t="shared" ca="1" si="16"/>
        <v>#REF!</v>
      </c>
      <c r="AG934" s="102" t="str">
        <f t="shared" ref="AG934:AH934" ca="1" si="952">AE934/V934</f>
        <v>#REF!</v>
      </c>
      <c r="AH934" s="102" t="str">
        <f t="shared" ca="1" si="952"/>
        <v>#REF!</v>
      </c>
    </row>
    <row r="935" spans="1:34" ht="13.2">
      <c r="A935" s="251"/>
      <c r="B935" s="251"/>
      <c r="C935" s="252"/>
      <c r="D935" s="252"/>
      <c r="E935" s="114"/>
      <c r="F935" s="252"/>
      <c r="G935" s="125" t="s">
        <v>145</v>
      </c>
      <c r="I935" s="172"/>
      <c r="J935" s="82" t="str">
        <f t="shared" ca="1" si="0"/>
        <v>#REF!</v>
      </c>
      <c r="K935" s="82" t="str">
        <f t="shared" ca="1" si="1"/>
        <v>#REF!</v>
      </c>
      <c r="L935" s="82" t="str">
        <f t="shared" ca="1" si="44"/>
        <v>#REF!</v>
      </c>
      <c r="M935" s="93"/>
      <c r="N935" s="93"/>
      <c r="O935" s="95">
        <f t="shared" si="2"/>
        <v>0</v>
      </c>
      <c r="P935" s="96">
        <f t="shared" si="3"/>
        <v>0</v>
      </c>
      <c r="Q935" s="97">
        <f t="shared" si="4"/>
        <v>0</v>
      </c>
      <c r="R935" s="97" t="str">
        <f ca="1">ROUNDUP(HLOOKUP(IF(CEILING(L935,0.5)&lt;1,0.5,CEILING(L935,0.5)),'배송비 조회'!A$44:AO$56,7,0)*B$3,-2)</f>
        <v>#REF!</v>
      </c>
      <c r="S935" s="97">
        <v>0</v>
      </c>
      <c r="T935" s="97" t="str">
        <f t="shared" ca="1" si="42"/>
        <v>#REF!</v>
      </c>
      <c r="U935" s="97" t="str">
        <f t="shared" ca="1" si="29"/>
        <v>#REF!</v>
      </c>
      <c r="V935" s="97" t="str">
        <f t="shared" ca="1" si="7"/>
        <v>#REF!</v>
      </c>
      <c r="W935" s="97" t="str">
        <f t="shared" ca="1" si="8"/>
        <v>#REF!</v>
      </c>
      <c r="X935" s="121">
        <v>0</v>
      </c>
      <c r="Y935" s="121" t="str">
        <f t="shared" ca="1" si="9"/>
        <v>#REF!</v>
      </c>
      <c r="Z935" s="121" t="str">
        <f t="shared" ca="1" si="10"/>
        <v>#REF!</v>
      </c>
      <c r="AA935" s="99" t="str">
        <f t="shared" ca="1" si="11"/>
        <v>#REF!</v>
      </c>
      <c r="AB935" s="234" t="str">
        <f t="shared" ca="1" si="12"/>
        <v>#REF!</v>
      </c>
      <c r="AC935" s="257" t="str">
        <f t="shared" ca="1" si="13"/>
        <v>#REF!</v>
      </c>
      <c r="AD935" s="234" t="str">
        <f t="shared" ca="1" si="14"/>
        <v>#REF!</v>
      </c>
      <c r="AE935" s="100" t="str">
        <f t="shared" ca="1" si="15"/>
        <v>#REF!</v>
      </c>
      <c r="AF935" s="101" t="str">
        <f t="shared" ca="1" si="16"/>
        <v>#REF!</v>
      </c>
      <c r="AG935" s="102" t="str">
        <f t="shared" ref="AG935:AH935" ca="1" si="953">AE935/V935</f>
        <v>#REF!</v>
      </c>
      <c r="AH935" s="102" t="str">
        <f t="shared" ca="1" si="953"/>
        <v>#REF!</v>
      </c>
    </row>
    <row r="936" spans="1:34" ht="13.2">
      <c r="A936" s="251"/>
      <c r="B936" s="251"/>
      <c r="C936" s="252"/>
      <c r="D936" s="252"/>
      <c r="E936" s="114"/>
      <c r="F936" s="252"/>
      <c r="G936" s="125" t="s">
        <v>145</v>
      </c>
      <c r="I936" s="172"/>
      <c r="J936" s="82" t="str">
        <f t="shared" ca="1" si="0"/>
        <v>#REF!</v>
      </c>
      <c r="K936" s="82" t="str">
        <f t="shared" ca="1" si="1"/>
        <v>#REF!</v>
      </c>
      <c r="L936" s="82" t="str">
        <f t="shared" ca="1" si="44"/>
        <v>#REF!</v>
      </c>
      <c r="M936" s="93"/>
      <c r="N936" s="93"/>
      <c r="O936" s="95">
        <f t="shared" si="2"/>
        <v>0</v>
      </c>
      <c r="P936" s="96">
        <f t="shared" si="3"/>
        <v>0</v>
      </c>
      <c r="Q936" s="97">
        <f t="shared" si="4"/>
        <v>0</v>
      </c>
      <c r="R936" s="97" t="str">
        <f ca="1">ROUNDUP(HLOOKUP(IF(CEILING(L936,0.5)&lt;1,0.5,CEILING(L936,0.5)),'배송비 조회'!A$44:AO$56,7,0)*B$3,-2)</f>
        <v>#REF!</v>
      </c>
      <c r="S936" s="97">
        <v>0</v>
      </c>
      <c r="T936" s="97" t="str">
        <f t="shared" ca="1" si="42"/>
        <v>#REF!</v>
      </c>
      <c r="U936" s="97" t="str">
        <f t="shared" ca="1" si="29"/>
        <v>#REF!</v>
      </c>
      <c r="V936" s="97" t="str">
        <f t="shared" ca="1" si="7"/>
        <v>#REF!</v>
      </c>
      <c r="W936" s="97" t="str">
        <f t="shared" ca="1" si="8"/>
        <v>#REF!</v>
      </c>
      <c r="X936" s="121">
        <v>0</v>
      </c>
      <c r="Y936" s="121" t="str">
        <f t="shared" ca="1" si="9"/>
        <v>#REF!</v>
      </c>
      <c r="Z936" s="121" t="str">
        <f t="shared" ca="1" si="10"/>
        <v>#REF!</v>
      </c>
      <c r="AA936" s="99" t="str">
        <f t="shared" ca="1" si="11"/>
        <v>#REF!</v>
      </c>
      <c r="AB936" s="234" t="str">
        <f t="shared" ca="1" si="12"/>
        <v>#REF!</v>
      </c>
      <c r="AC936" s="257" t="str">
        <f t="shared" ca="1" si="13"/>
        <v>#REF!</v>
      </c>
      <c r="AD936" s="234" t="str">
        <f t="shared" ca="1" si="14"/>
        <v>#REF!</v>
      </c>
      <c r="AE936" s="100" t="str">
        <f t="shared" ca="1" si="15"/>
        <v>#REF!</v>
      </c>
      <c r="AF936" s="101" t="str">
        <f t="shared" ca="1" si="16"/>
        <v>#REF!</v>
      </c>
      <c r="AG936" s="102" t="str">
        <f t="shared" ref="AG936:AH936" ca="1" si="954">AE936/V936</f>
        <v>#REF!</v>
      </c>
      <c r="AH936" s="102" t="str">
        <f t="shared" ca="1" si="954"/>
        <v>#REF!</v>
      </c>
    </row>
    <row r="937" spans="1:34" ht="13.2">
      <c r="A937" s="251"/>
      <c r="B937" s="251"/>
      <c r="C937" s="252"/>
      <c r="D937" s="252"/>
      <c r="E937" s="114"/>
      <c r="F937" s="252"/>
      <c r="G937" s="125" t="s">
        <v>145</v>
      </c>
      <c r="I937" s="172"/>
      <c r="J937" s="82" t="str">
        <f t="shared" ca="1" si="0"/>
        <v>#REF!</v>
      </c>
      <c r="K937" s="82" t="str">
        <f t="shared" ca="1" si="1"/>
        <v>#REF!</v>
      </c>
      <c r="L937" s="82" t="str">
        <f t="shared" ca="1" si="44"/>
        <v>#REF!</v>
      </c>
      <c r="M937" s="93"/>
      <c r="N937" s="93"/>
      <c r="O937" s="95">
        <f t="shared" si="2"/>
        <v>0</v>
      </c>
      <c r="P937" s="96">
        <f t="shared" si="3"/>
        <v>0</v>
      </c>
      <c r="Q937" s="97">
        <f t="shared" si="4"/>
        <v>0</v>
      </c>
      <c r="R937" s="97" t="str">
        <f ca="1">ROUNDUP(HLOOKUP(IF(CEILING(L937,0.5)&lt;1,0.5,CEILING(L937,0.5)),'배송비 조회'!A$44:AO$56,7,0)*B$3,-2)</f>
        <v>#REF!</v>
      </c>
      <c r="S937" s="97">
        <v>0</v>
      </c>
      <c r="T937" s="97" t="str">
        <f t="shared" ca="1" si="42"/>
        <v>#REF!</v>
      </c>
      <c r="U937" s="97" t="str">
        <f t="shared" ca="1" si="29"/>
        <v>#REF!</v>
      </c>
      <c r="V937" s="97" t="str">
        <f t="shared" ca="1" si="7"/>
        <v>#REF!</v>
      </c>
      <c r="W937" s="97" t="str">
        <f t="shared" ca="1" si="8"/>
        <v>#REF!</v>
      </c>
      <c r="X937" s="121">
        <v>0</v>
      </c>
      <c r="Y937" s="121" t="str">
        <f t="shared" ca="1" si="9"/>
        <v>#REF!</v>
      </c>
      <c r="Z937" s="121" t="str">
        <f t="shared" ca="1" si="10"/>
        <v>#REF!</v>
      </c>
      <c r="AA937" s="99" t="str">
        <f t="shared" ca="1" si="11"/>
        <v>#REF!</v>
      </c>
      <c r="AB937" s="234" t="str">
        <f t="shared" ca="1" si="12"/>
        <v>#REF!</v>
      </c>
      <c r="AC937" s="257" t="str">
        <f t="shared" ca="1" si="13"/>
        <v>#REF!</v>
      </c>
      <c r="AD937" s="234" t="str">
        <f t="shared" ca="1" si="14"/>
        <v>#REF!</v>
      </c>
      <c r="AE937" s="100" t="str">
        <f t="shared" ca="1" si="15"/>
        <v>#REF!</v>
      </c>
      <c r="AF937" s="101" t="str">
        <f t="shared" ca="1" si="16"/>
        <v>#REF!</v>
      </c>
      <c r="AG937" s="102" t="str">
        <f t="shared" ref="AG937:AH937" ca="1" si="955">AE937/V937</f>
        <v>#REF!</v>
      </c>
      <c r="AH937" s="102" t="str">
        <f t="shared" ca="1" si="955"/>
        <v>#REF!</v>
      </c>
    </row>
    <row r="938" spans="1:34" ht="13.2">
      <c r="A938" s="251"/>
      <c r="B938" s="251"/>
      <c r="C938" s="252"/>
      <c r="D938" s="252"/>
      <c r="E938" s="114"/>
      <c r="F938" s="252"/>
      <c r="G938" s="125" t="s">
        <v>145</v>
      </c>
      <c r="I938" s="172"/>
      <c r="J938" s="82" t="str">
        <f t="shared" ca="1" si="0"/>
        <v>#REF!</v>
      </c>
      <c r="K938" s="82" t="str">
        <f t="shared" ca="1" si="1"/>
        <v>#REF!</v>
      </c>
      <c r="L938" s="82" t="str">
        <f t="shared" ca="1" si="44"/>
        <v>#REF!</v>
      </c>
      <c r="M938" s="93"/>
      <c r="N938" s="93"/>
      <c r="O938" s="95">
        <f t="shared" si="2"/>
        <v>0</v>
      </c>
      <c r="P938" s="96">
        <f t="shared" si="3"/>
        <v>0</v>
      </c>
      <c r="Q938" s="97">
        <f t="shared" si="4"/>
        <v>0</v>
      </c>
      <c r="R938" s="97" t="str">
        <f ca="1">ROUNDUP(HLOOKUP(IF(CEILING(L938,0.5)&lt;1,0.5,CEILING(L938,0.5)),'배송비 조회'!A$44:AO$56,7,0)*B$3,-2)</f>
        <v>#REF!</v>
      </c>
      <c r="S938" s="97">
        <v>0</v>
      </c>
      <c r="T938" s="97" t="str">
        <f t="shared" ca="1" si="42"/>
        <v>#REF!</v>
      </c>
      <c r="U938" s="97" t="str">
        <f t="shared" ca="1" si="29"/>
        <v>#REF!</v>
      </c>
      <c r="V938" s="97" t="str">
        <f t="shared" ca="1" si="7"/>
        <v>#REF!</v>
      </c>
      <c r="W938" s="97" t="str">
        <f t="shared" ca="1" si="8"/>
        <v>#REF!</v>
      </c>
      <c r="X938" s="121">
        <v>0</v>
      </c>
      <c r="Y938" s="121" t="str">
        <f t="shared" ca="1" si="9"/>
        <v>#REF!</v>
      </c>
      <c r="Z938" s="121" t="str">
        <f t="shared" ca="1" si="10"/>
        <v>#REF!</v>
      </c>
      <c r="AA938" s="99" t="str">
        <f t="shared" ca="1" si="11"/>
        <v>#REF!</v>
      </c>
      <c r="AB938" s="234" t="str">
        <f t="shared" ca="1" si="12"/>
        <v>#REF!</v>
      </c>
      <c r="AC938" s="257" t="str">
        <f t="shared" ca="1" si="13"/>
        <v>#REF!</v>
      </c>
      <c r="AD938" s="234" t="str">
        <f t="shared" ca="1" si="14"/>
        <v>#REF!</v>
      </c>
      <c r="AE938" s="100" t="str">
        <f t="shared" ca="1" si="15"/>
        <v>#REF!</v>
      </c>
      <c r="AF938" s="101" t="str">
        <f t="shared" ca="1" si="16"/>
        <v>#REF!</v>
      </c>
      <c r="AG938" s="102" t="str">
        <f t="shared" ref="AG938:AH938" ca="1" si="956">AE938/V938</f>
        <v>#REF!</v>
      </c>
      <c r="AH938" s="102" t="str">
        <f t="shared" ca="1" si="956"/>
        <v>#REF!</v>
      </c>
    </row>
    <row r="939" spans="1:34" ht="13.2">
      <c r="A939" s="251"/>
      <c r="B939" s="251"/>
      <c r="C939" s="252"/>
      <c r="D939" s="252"/>
      <c r="E939" s="114"/>
      <c r="F939" s="252"/>
      <c r="G939" s="125" t="s">
        <v>145</v>
      </c>
      <c r="I939" s="172"/>
      <c r="J939" s="82" t="str">
        <f t="shared" ca="1" si="0"/>
        <v>#REF!</v>
      </c>
      <c r="K939" s="82" t="str">
        <f t="shared" ca="1" si="1"/>
        <v>#REF!</v>
      </c>
      <c r="L939" s="82" t="str">
        <f t="shared" ca="1" si="44"/>
        <v>#REF!</v>
      </c>
      <c r="M939" s="93"/>
      <c r="N939" s="93"/>
      <c r="O939" s="95">
        <f t="shared" si="2"/>
        <v>0</v>
      </c>
      <c r="P939" s="96">
        <f t="shared" si="3"/>
        <v>0</v>
      </c>
      <c r="Q939" s="97">
        <f t="shared" si="4"/>
        <v>0</v>
      </c>
      <c r="R939" s="97" t="str">
        <f ca="1">ROUNDUP(HLOOKUP(IF(CEILING(L939,0.5)&lt;1,0.5,CEILING(L939,0.5)),'배송비 조회'!A$44:AO$56,7,0)*B$3,-2)</f>
        <v>#REF!</v>
      </c>
      <c r="S939" s="97">
        <v>0</v>
      </c>
      <c r="T939" s="97" t="str">
        <f t="shared" ca="1" si="42"/>
        <v>#REF!</v>
      </c>
      <c r="U939" s="97" t="str">
        <f t="shared" ca="1" si="29"/>
        <v>#REF!</v>
      </c>
      <c r="V939" s="97" t="str">
        <f t="shared" ca="1" si="7"/>
        <v>#REF!</v>
      </c>
      <c r="W939" s="97" t="str">
        <f t="shared" ca="1" si="8"/>
        <v>#REF!</v>
      </c>
      <c r="X939" s="121">
        <v>0</v>
      </c>
      <c r="Y939" s="121" t="str">
        <f t="shared" ca="1" si="9"/>
        <v>#REF!</v>
      </c>
      <c r="Z939" s="121" t="str">
        <f t="shared" ca="1" si="10"/>
        <v>#REF!</v>
      </c>
      <c r="AA939" s="99" t="str">
        <f t="shared" ca="1" si="11"/>
        <v>#REF!</v>
      </c>
      <c r="AB939" s="234" t="str">
        <f t="shared" ca="1" si="12"/>
        <v>#REF!</v>
      </c>
      <c r="AC939" s="257" t="str">
        <f t="shared" ca="1" si="13"/>
        <v>#REF!</v>
      </c>
      <c r="AD939" s="234" t="str">
        <f t="shared" ca="1" si="14"/>
        <v>#REF!</v>
      </c>
      <c r="AE939" s="100" t="str">
        <f t="shared" ca="1" si="15"/>
        <v>#REF!</v>
      </c>
      <c r="AF939" s="101" t="str">
        <f t="shared" ca="1" si="16"/>
        <v>#REF!</v>
      </c>
      <c r="AG939" s="102" t="str">
        <f t="shared" ref="AG939:AH939" ca="1" si="957">AE939/V939</f>
        <v>#REF!</v>
      </c>
      <c r="AH939" s="102" t="str">
        <f t="shared" ca="1" si="957"/>
        <v>#REF!</v>
      </c>
    </row>
    <row r="940" spans="1:34" ht="13.2">
      <c r="A940" s="251"/>
      <c r="B940" s="251"/>
      <c r="C940" s="252"/>
      <c r="D940" s="252"/>
      <c r="E940" s="114"/>
      <c r="F940" s="252"/>
      <c r="G940" s="125" t="s">
        <v>145</v>
      </c>
      <c r="I940" s="172"/>
      <c r="J940" s="82" t="str">
        <f t="shared" ca="1" si="0"/>
        <v>#REF!</v>
      </c>
      <c r="K940" s="82" t="str">
        <f t="shared" ca="1" si="1"/>
        <v>#REF!</v>
      </c>
      <c r="L940" s="82" t="str">
        <f t="shared" ca="1" si="44"/>
        <v>#REF!</v>
      </c>
      <c r="M940" s="93"/>
      <c r="N940" s="93"/>
      <c r="O940" s="95">
        <f t="shared" si="2"/>
        <v>0</v>
      </c>
      <c r="P940" s="96">
        <f t="shared" si="3"/>
        <v>0</v>
      </c>
      <c r="Q940" s="97">
        <f t="shared" si="4"/>
        <v>0</v>
      </c>
      <c r="R940" s="97" t="str">
        <f ca="1">ROUNDUP(HLOOKUP(IF(CEILING(L940,0.5)&lt;1,0.5,CEILING(L940,0.5)),'배송비 조회'!A$44:AO$56,7,0)*B$3,-2)</f>
        <v>#REF!</v>
      </c>
      <c r="S940" s="97">
        <v>0</v>
      </c>
      <c r="T940" s="97" t="str">
        <f t="shared" ca="1" si="42"/>
        <v>#REF!</v>
      </c>
      <c r="U940" s="97" t="str">
        <f t="shared" ca="1" si="29"/>
        <v>#REF!</v>
      </c>
      <c r="V940" s="97" t="str">
        <f t="shared" ca="1" si="7"/>
        <v>#REF!</v>
      </c>
      <c r="W940" s="97" t="str">
        <f t="shared" ca="1" si="8"/>
        <v>#REF!</v>
      </c>
      <c r="X940" s="121">
        <v>0</v>
      </c>
      <c r="Y940" s="121" t="str">
        <f t="shared" ca="1" si="9"/>
        <v>#REF!</v>
      </c>
      <c r="Z940" s="121" t="str">
        <f t="shared" ca="1" si="10"/>
        <v>#REF!</v>
      </c>
      <c r="AA940" s="99" t="str">
        <f t="shared" ca="1" si="11"/>
        <v>#REF!</v>
      </c>
      <c r="AB940" s="234" t="str">
        <f t="shared" ca="1" si="12"/>
        <v>#REF!</v>
      </c>
      <c r="AC940" s="257" t="str">
        <f t="shared" ca="1" si="13"/>
        <v>#REF!</v>
      </c>
      <c r="AD940" s="234" t="str">
        <f t="shared" ca="1" si="14"/>
        <v>#REF!</v>
      </c>
      <c r="AE940" s="100" t="str">
        <f t="shared" ca="1" si="15"/>
        <v>#REF!</v>
      </c>
      <c r="AF940" s="101" t="str">
        <f t="shared" ca="1" si="16"/>
        <v>#REF!</v>
      </c>
      <c r="AG940" s="102" t="str">
        <f t="shared" ref="AG940:AH940" ca="1" si="958">AE940/V940</f>
        <v>#REF!</v>
      </c>
      <c r="AH940" s="102" t="str">
        <f t="shared" ca="1" si="958"/>
        <v>#REF!</v>
      </c>
    </row>
    <row r="941" spans="1:34" ht="13.2">
      <c r="A941" s="251"/>
      <c r="B941" s="251"/>
      <c r="C941" s="252"/>
      <c r="D941" s="252"/>
      <c r="E941" s="114"/>
      <c r="F941" s="252"/>
      <c r="G941" s="125" t="s">
        <v>145</v>
      </c>
      <c r="I941" s="172"/>
      <c r="J941" s="82" t="str">
        <f t="shared" ca="1" si="0"/>
        <v>#REF!</v>
      </c>
      <c r="K941" s="82" t="str">
        <f t="shared" ca="1" si="1"/>
        <v>#REF!</v>
      </c>
      <c r="L941" s="82" t="str">
        <f t="shared" ca="1" si="44"/>
        <v>#REF!</v>
      </c>
      <c r="M941" s="93"/>
      <c r="N941" s="93"/>
      <c r="O941" s="95">
        <f t="shared" si="2"/>
        <v>0</v>
      </c>
      <c r="P941" s="96">
        <f t="shared" si="3"/>
        <v>0</v>
      </c>
      <c r="Q941" s="97">
        <f t="shared" si="4"/>
        <v>0</v>
      </c>
      <c r="R941" s="97" t="str">
        <f ca="1">ROUNDUP(HLOOKUP(IF(CEILING(L941,0.5)&lt;1,0.5,CEILING(L941,0.5)),'배송비 조회'!A$44:AO$56,7,0)*B$3,-2)</f>
        <v>#REF!</v>
      </c>
      <c r="S941" s="97">
        <v>0</v>
      </c>
      <c r="T941" s="97" t="str">
        <f t="shared" ca="1" si="42"/>
        <v>#REF!</v>
      </c>
      <c r="U941" s="97" t="str">
        <f t="shared" ca="1" si="29"/>
        <v>#REF!</v>
      </c>
      <c r="V941" s="97" t="str">
        <f t="shared" ca="1" si="7"/>
        <v>#REF!</v>
      </c>
      <c r="W941" s="97" t="str">
        <f t="shared" ca="1" si="8"/>
        <v>#REF!</v>
      </c>
      <c r="X941" s="121">
        <v>0</v>
      </c>
      <c r="Y941" s="121" t="str">
        <f t="shared" ca="1" si="9"/>
        <v>#REF!</v>
      </c>
      <c r="Z941" s="121" t="str">
        <f t="shared" ca="1" si="10"/>
        <v>#REF!</v>
      </c>
      <c r="AA941" s="99" t="str">
        <f t="shared" ca="1" si="11"/>
        <v>#REF!</v>
      </c>
      <c r="AB941" s="234" t="str">
        <f t="shared" ca="1" si="12"/>
        <v>#REF!</v>
      </c>
      <c r="AC941" s="257" t="str">
        <f t="shared" ca="1" si="13"/>
        <v>#REF!</v>
      </c>
      <c r="AD941" s="234" t="str">
        <f t="shared" ca="1" si="14"/>
        <v>#REF!</v>
      </c>
      <c r="AE941" s="100" t="str">
        <f t="shared" ca="1" si="15"/>
        <v>#REF!</v>
      </c>
      <c r="AF941" s="101" t="str">
        <f t="shared" ca="1" si="16"/>
        <v>#REF!</v>
      </c>
      <c r="AG941" s="102" t="str">
        <f t="shared" ref="AG941:AH941" ca="1" si="959">AE941/V941</f>
        <v>#REF!</v>
      </c>
      <c r="AH941" s="102" t="str">
        <f t="shared" ca="1" si="959"/>
        <v>#REF!</v>
      </c>
    </row>
    <row r="942" spans="1:34" ht="13.2">
      <c r="A942" s="251"/>
      <c r="B942" s="251"/>
      <c r="C942" s="252"/>
      <c r="D942" s="252"/>
      <c r="E942" s="114"/>
      <c r="F942" s="252"/>
      <c r="G942" s="125" t="s">
        <v>145</v>
      </c>
      <c r="I942" s="172"/>
      <c r="J942" s="82" t="str">
        <f t="shared" ca="1" si="0"/>
        <v>#REF!</v>
      </c>
      <c r="K942" s="82" t="str">
        <f t="shared" ca="1" si="1"/>
        <v>#REF!</v>
      </c>
      <c r="L942" s="82" t="str">
        <f t="shared" ca="1" si="44"/>
        <v>#REF!</v>
      </c>
      <c r="M942" s="93"/>
      <c r="N942" s="93"/>
      <c r="O942" s="95">
        <f t="shared" si="2"/>
        <v>0</v>
      </c>
      <c r="P942" s="96">
        <f t="shared" si="3"/>
        <v>0</v>
      </c>
      <c r="Q942" s="97">
        <f t="shared" si="4"/>
        <v>0</v>
      </c>
      <c r="R942" s="97" t="str">
        <f ca="1">ROUNDUP(HLOOKUP(IF(CEILING(L942,0.5)&lt;1,0.5,CEILING(L942,0.5)),'배송비 조회'!A$44:AO$56,7,0)*B$3,-2)</f>
        <v>#REF!</v>
      </c>
      <c r="S942" s="97">
        <v>0</v>
      </c>
      <c r="T942" s="97" t="str">
        <f t="shared" ca="1" si="42"/>
        <v>#REF!</v>
      </c>
      <c r="U942" s="97" t="str">
        <f t="shared" ca="1" si="29"/>
        <v>#REF!</v>
      </c>
      <c r="V942" s="97" t="str">
        <f t="shared" ca="1" si="7"/>
        <v>#REF!</v>
      </c>
      <c r="W942" s="97" t="str">
        <f t="shared" ca="1" si="8"/>
        <v>#REF!</v>
      </c>
      <c r="X942" s="121">
        <v>0</v>
      </c>
      <c r="Y942" s="121" t="str">
        <f t="shared" ca="1" si="9"/>
        <v>#REF!</v>
      </c>
      <c r="Z942" s="121" t="str">
        <f t="shared" ca="1" si="10"/>
        <v>#REF!</v>
      </c>
      <c r="AA942" s="99" t="str">
        <f t="shared" ca="1" si="11"/>
        <v>#REF!</v>
      </c>
      <c r="AB942" s="234" t="str">
        <f t="shared" ca="1" si="12"/>
        <v>#REF!</v>
      </c>
      <c r="AC942" s="257" t="str">
        <f t="shared" ca="1" si="13"/>
        <v>#REF!</v>
      </c>
      <c r="AD942" s="234" t="str">
        <f t="shared" ca="1" si="14"/>
        <v>#REF!</v>
      </c>
      <c r="AE942" s="100" t="str">
        <f t="shared" ca="1" si="15"/>
        <v>#REF!</v>
      </c>
      <c r="AF942" s="101" t="str">
        <f t="shared" ca="1" si="16"/>
        <v>#REF!</v>
      </c>
      <c r="AG942" s="102" t="str">
        <f t="shared" ref="AG942:AH942" ca="1" si="960">AE942/V942</f>
        <v>#REF!</v>
      </c>
      <c r="AH942" s="102" t="str">
        <f t="shared" ca="1" si="960"/>
        <v>#REF!</v>
      </c>
    </row>
    <row r="943" spans="1:34" ht="13.2">
      <c r="A943" s="251"/>
      <c r="B943" s="251"/>
      <c r="C943" s="252"/>
      <c r="D943" s="252"/>
      <c r="E943" s="114"/>
      <c r="F943" s="252"/>
      <c r="G943" s="125" t="s">
        <v>145</v>
      </c>
      <c r="I943" s="172"/>
      <c r="J943" s="82" t="str">
        <f t="shared" ca="1" si="0"/>
        <v>#REF!</v>
      </c>
      <c r="K943" s="82" t="str">
        <f t="shared" ca="1" si="1"/>
        <v>#REF!</v>
      </c>
      <c r="L943" s="82" t="str">
        <f t="shared" ca="1" si="44"/>
        <v>#REF!</v>
      </c>
      <c r="M943" s="93"/>
      <c r="N943" s="93"/>
      <c r="O943" s="95">
        <f t="shared" si="2"/>
        <v>0</v>
      </c>
      <c r="P943" s="96">
        <f t="shared" si="3"/>
        <v>0</v>
      </c>
      <c r="Q943" s="97">
        <f t="shared" si="4"/>
        <v>0</v>
      </c>
      <c r="R943" s="97" t="str">
        <f ca="1">ROUNDUP(HLOOKUP(IF(CEILING(L943,0.5)&lt;1,0.5,CEILING(L943,0.5)),'배송비 조회'!A$44:AO$56,7,0)*B$3,-2)</f>
        <v>#REF!</v>
      </c>
      <c r="S943" s="97">
        <v>0</v>
      </c>
      <c r="T943" s="97" t="str">
        <f t="shared" ca="1" si="42"/>
        <v>#REF!</v>
      </c>
      <c r="U943" s="97" t="str">
        <f t="shared" ca="1" si="29"/>
        <v>#REF!</v>
      </c>
      <c r="V943" s="97" t="str">
        <f t="shared" ca="1" si="7"/>
        <v>#REF!</v>
      </c>
      <c r="W943" s="97" t="str">
        <f t="shared" ca="1" si="8"/>
        <v>#REF!</v>
      </c>
      <c r="X943" s="121">
        <v>0</v>
      </c>
      <c r="Y943" s="121" t="str">
        <f t="shared" ca="1" si="9"/>
        <v>#REF!</v>
      </c>
      <c r="Z943" s="121" t="str">
        <f t="shared" ca="1" si="10"/>
        <v>#REF!</v>
      </c>
      <c r="AA943" s="99" t="str">
        <f t="shared" ca="1" si="11"/>
        <v>#REF!</v>
      </c>
      <c r="AB943" s="234" t="str">
        <f t="shared" ca="1" si="12"/>
        <v>#REF!</v>
      </c>
      <c r="AC943" s="257" t="str">
        <f t="shared" ca="1" si="13"/>
        <v>#REF!</v>
      </c>
      <c r="AD943" s="234" t="str">
        <f t="shared" ca="1" si="14"/>
        <v>#REF!</v>
      </c>
      <c r="AE943" s="100" t="str">
        <f t="shared" ca="1" si="15"/>
        <v>#REF!</v>
      </c>
      <c r="AF943" s="101" t="str">
        <f t="shared" ca="1" si="16"/>
        <v>#REF!</v>
      </c>
      <c r="AG943" s="102" t="str">
        <f t="shared" ref="AG943:AH943" ca="1" si="961">AE943/V943</f>
        <v>#REF!</v>
      </c>
      <c r="AH943" s="102" t="str">
        <f t="shared" ca="1" si="961"/>
        <v>#REF!</v>
      </c>
    </row>
    <row r="944" spans="1:34" ht="13.2">
      <c r="A944" s="251"/>
      <c r="B944" s="251"/>
      <c r="C944" s="252"/>
      <c r="D944" s="252"/>
      <c r="E944" s="114"/>
      <c r="F944" s="252"/>
      <c r="G944" s="125" t="s">
        <v>145</v>
      </c>
      <c r="I944" s="172"/>
      <c r="J944" s="82" t="str">
        <f t="shared" ca="1" si="0"/>
        <v>#REF!</v>
      </c>
      <c r="K944" s="82" t="str">
        <f t="shared" ca="1" si="1"/>
        <v>#REF!</v>
      </c>
      <c r="L944" s="82" t="str">
        <f t="shared" ca="1" si="44"/>
        <v>#REF!</v>
      </c>
      <c r="M944" s="93"/>
      <c r="N944" s="93"/>
      <c r="O944" s="95">
        <f t="shared" si="2"/>
        <v>0</v>
      </c>
      <c r="P944" s="96">
        <f t="shared" si="3"/>
        <v>0</v>
      </c>
      <c r="Q944" s="97">
        <f t="shared" si="4"/>
        <v>0</v>
      </c>
      <c r="R944" s="97" t="str">
        <f ca="1">ROUNDUP(HLOOKUP(IF(CEILING(L944,0.5)&lt;1,0.5,CEILING(L944,0.5)),'배송비 조회'!A$44:AO$56,7,0)*B$3,-2)</f>
        <v>#REF!</v>
      </c>
      <c r="S944" s="97">
        <v>0</v>
      </c>
      <c r="T944" s="97" t="str">
        <f t="shared" ca="1" si="42"/>
        <v>#REF!</v>
      </c>
      <c r="U944" s="97" t="str">
        <f t="shared" ca="1" si="29"/>
        <v>#REF!</v>
      </c>
      <c r="V944" s="97" t="str">
        <f t="shared" ca="1" si="7"/>
        <v>#REF!</v>
      </c>
      <c r="W944" s="97" t="str">
        <f t="shared" ca="1" si="8"/>
        <v>#REF!</v>
      </c>
      <c r="X944" s="121">
        <v>0</v>
      </c>
      <c r="Y944" s="121" t="str">
        <f t="shared" ca="1" si="9"/>
        <v>#REF!</v>
      </c>
      <c r="Z944" s="121" t="str">
        <f t="shared" ca="1" si="10"/>
        <v>#REF!</v>
      </c>
      <c r="AA944" s="99" t="str">
        <f t="shared" ca="1" si="11"/>
        <v>#REF!</v>
      </c>
      <c r="AB944" s="234" t="str">
        <f t="shared" ca="1" si="12"/>
        <v>#REF!</v>
      </c>
      <c r="AC944" s="257" t="str">
        <f t="shared" ca="1" si="13"/>
        <v>#REF!</v>
      </c>
      <c r="AD944" s="234" t="str">
        <f t="shared" ca="1" si="14"/>
        <v>#REF!</v>
      </c>
      <c r="AE944" s="100" t="str">
        <f t="shared" ca="1" si="15"/>
        <v>#REF!</v>
      </c>
      <c r="AF944" s="101" t="str">
        <f t="shared" ca="1" si="16"/>
        <v>#REF!</v>
      </c>
      <c r="AG944" s="102" t="str">
        <f t="shared" ref="AG944:AH944" ca="1" si="962">AE944/V944</f>
        <v>#REF!</v>
      </c>
      <c r="AH944" s="102" t="str">
        <f t="shared" ca="1" si="962"/>
        <v>#REF!</v>
      </c>
    </row>
    <row r="945" spans="1:34" ht="13.2">
      <c r="A945" s="251"/>
      <c r="B945" s="251"/>
      <c r="C945" s="252"/>
      <c r="D945" s="252"/>
      <c r="E945" s="114"/>
      <c r="F945" s="252"/>
      <c r="G945" s="125" t="s">
        <v>145</v>
      </c>
      <c r="I945" s="172"/>
      <c r="J945" s="82" t="str">
        <f t="shared" ca="1" si="0"/>
        <v>#REF!</v>
      </c>
      <c r="K945" s="82" t="str">
        <f t="shared" ca="1" si="1"/>
        <v>#REF!</v>
      </c>
      <c r="L945" s="82" t="str">
        <f t="shared" ca="1" si="44"/>
        <v>#REF!</v>
      </c>
      <c r="M945" s="93"/>
      <c r="N945" s="93"/>
      <c r="O945" s="95">
        <f t="shared" si="2"/>
        <v>0</v>
      </c>
      <c r="P945" s="96">
        <f t="shared" si="3"/>
        <v>0</v>
      </c>
      <c r="Q945" s="97">
        <f t="shared" si="4"/>
        <v>0</v>
      </c>
      <c r="R945" s="97" t="str">
        <f ca="1">ROUNDUP(HLOOKUP(IF(CEILING(L945,0.5)&lt;1,0.5,CEILING(L945,0.5)),'배송비 조회'!A$44:AO$56,7,0)*B$3,-2)</f>
        <v>#REF!</v>
      </c>
      <c r="S945" s="97">
        <v>0</v>
      </c>
      <c r="T945" s="97" t="str">
        <f t="shared" ca="1" si="42"/>
        <v>#REF!</v>
      </c>
      <c r="U945" s="97" t="str">
        <f t="shared" ca="1" si="29"/>
        <v>#REF!</v>
      </c>
      <c r="V945" s="97" t="str">
        <f t="shared" ca="1" si="7"/>
        <v>#REF!</v>
      </c>
      <c r="W945" s="97" t="str">
        <f t="shared" ca="1" si="8"/>
        <v>#REF!</v>
      </c>
      <c r="X945" s="121">
        <v>0</v>
      </c>
      <c r="Y945" s="121" t="str">
        <f t="shared" ca="1" si="9"/>
        <v>#REF!</v>
      </c>
      <c r="Z945" s="121" t="str">
        <f t="shared" ca="1" si="10"/>
        <v>#REF!</v>
      </c>
      <c r="AA945" s="99" t="str">
        <f t="shared" ca="1" si="11"/>
        <v>#REF!</v>
      </c>
      <c r="AB945" s="234" t="str">
        <f t="shared" ca="1" si="12"/>
        <v>#REF!</v>
      </c>
      <c r="AC945" s="257" t="str">
        <f t="shared" ca="1" si="13"/>
        <v>#REF!</v>
      </c>
      <c r="AD945" s="234" t="str">
        <f t="shared" ca="1" si="14"/>
        <v>#REF!</v>
      </c>
      <c r="AE945" s="100" t="str">
        <f t="shared" ca="1" si="15"/>
        <v>#REF!</v>
      </c>
      <c r="AF945" s="101" t="str">
        <f t="shared" ca="1" si="16"/>
        <v>#REF!</v>
      </c>
      <c r="AG945" s="102" t="str">
        <f t="shared" ref="AG945:AH945" ca="1" si="963">AE945/V945</f>
        <v>#REF!</v>
      </c>
      <c r="AH945" s="102" t="str">
        <f t="shared" ca="1" si="963"/>
        <v>#REF!</v>
      </c>
    </row>
    <row r="946" spans="1:34" ht="13.2">
      <c r="A946" s="251"/>
      <c r="B946" s="251"/>
      <c r="C946" s="252"/>
      <c r="D946" s="252"/>
      <c r="E946" s="114"/>
      <c r="F946" s="252"/>
      <c r="G946" s="125" t="s">
        <v>145</v>
      </c>
      <c r="I946" s="172"/>
      <c r="J946" s="82" t="str">
        <f t="shared" ca="1" si="0"/>
        <v>#REF!</v>
      </c>
      <c r="K946" s="82" t="str">
        <f t="shared" ca="1" si="1"/>
        <v>#REF!</v>
      </c>
      <c r="L946" s="82" t="str">
        <f t="shared" ca="1" si="44"/>
        <v>#REF!</v>
      </c>
      <c r="M946" s="93"/>
      <c r="N946" s="93"/>
      <c r="O946" s="95">
        <f t="shared" si="2"/>
        <v>0</v>
      </c>
      <c r="P946" s="96">
        <f t="shared" si="3"/>
        <v>0</v>
      </c>
      <c r="Q946" s="97">
        <f t="shared" si="4"/>
        <v>0</v>
      </c>
      <c r="R946" s="97" t="str">
        <f ca="1">ROUNDUP(HLOOKUP(IF(CEILING(L946,0.5)&lt;1,0.5,CEILING(L946,0.5)),'배송비 조회'!A$44:AO$56,7,0)*B$3,-2)</f>
        <v>#REF!</v>
      </c>
      <c r="S946" s="97">
        <v>0</v>
      </c>
      <c r="T946" s="97" t="str">
        <f t="shared" ca="1" si="42"/>
        <v>#REF!</v>
      </c>
      <c r="U946" s="97" t="str">
        <f t="shared" ca="1" si="29"/>
        <v>#REF!</v>
      </c>
      <c r="V946" s="97" t="str">
        <f t="shared" ca="1" si="7"/>
        <v>#REF!</v>
      </c>
      <c r="W946" s="97" t="str">
        <f t="shared" ca="1" si="8"/>
        <v>#REF!</v>
      </c>
      <c r="X946" s="121">
        <v>0</v>
      </c>
      <c r="Y946" s="121" t="str">
        <f t="shared" ca="1" si="9"/>
        <v>#REF!</v>
      </c>
      <c r="Z946" s="121" t="str">
        <f t="shared" ca="1" si="10"/>
        <v>#REF!</v>
      </c>
      <c r="AA946" s="99" t="str">
        <f t="shared" ca="1" si="11"/>
        <v>#REF!</v>
      </c>
      <c r="AB946" s="234" t="str">
        <f t="shared" ca="1" si="12"/>
        <v>#REF!</v>
      </c>
      <c r="AC946" s="257" t="str">
        <f t="shared" ca="1" si="13"/>
        <v>#REF!</v>
      </c>
      <c r="AD946" s="234" t="str">
        <f t="shared" ca="1" si="14"/>
        <v>#REF!</v>
      </c>
      <c r="AE946" s="100" t="str">
        <f t="shared" ca="1" si="15"/>
        <v>#REF!</v>
      </c>
      <c r="AF946" s="101" t="str">
        <f t="shared" ca="1" si="16"/>
        <v>#REF!</v>
      </c>
      <c r="AG946" s="102" t="str">
        <f t="shared" ref="AG946:AH946" ca="1" si="964">AE946/V946</f>
        <v>#REF!</v>
      </c>
      <c r="AH946" s="102" t="str">
        <f t="shared" ca="1" si="964"/>
        <v>#REF!</v>
      </c>
    </row>
    <row r="947" spans="1:34" ht="13.2">
      <c r="A947" s="251"/>
      <c r="B947" s="251"/>
      <c r="C947" s="252"/>
      <c r="D947" s="252"/>
      <c r="E947" s="114"/>
      <c r="F947" s="252"/>
      <c r="G947" s="125" t="s">
        <v>145</v>
      </c>
      <c r="I947" s="172"/>
      <c r="J947" s="82" t="str">
        <f t="shared" ca="1" si="0"/>
        <v>#REF!</v>
      </c>
      <c r="K947" s="82" t="str">
        <f t="shared" ca="1" si="1"/>
        <v>#REF!</v>
      </c>
      <c r="L947" s="82" t="str">
        <f t="shared" ca="1" si="44"/>
        <v>#REF!</v>
      </c>
      <c r="M947" s="93"/>
      <c r="N947" s="93"/>
      <c r="O947" s="95">
        <f t="shared" si="2"/>
        <v>0</v>
      </c>
      <c r="P947" s="96">
        <f t="shared" si="3"/>
        <v>0</v>
      </c>
      <c r="Q947" s="97">
        <f t="shared" si="4"/>
        <v>0</v>
      </c>
      <c r="R947" s="97" t="str">
        <f ca="1">ROUNDUP(HLOOKUP(IF(CEILING(L947,0.5)&lt;1,0.5,CEILING(L947,0.5)),'배송비 조회'!A$44:AO$56,7,0)*B$3,-2)</f>
        <v>#REF!</v>
      </c>
      <c r="S947" s="97">
        <v>0</v>
      </c>
      <c r="T947" s="97" t="str">
        <f t="shared" ca="1" si="42"/>
        <v>#REF!</v>
      </c>
      <c r="U947" s="97" t="str">
        <f t="shared" ca="1" si="29"/>
        <v>#REF!</v>
      </c>
      <c r="V947" s="97" t="str">
        <f t="shared" ca="1" si="7"/>
        <v>#REF!</v>
      </c>
      <c r="W947" s="97" t="str">
        <f t="shared" ca="1" si="8"/>
        <v>#REF!</v>
      </c>
      <c r="X947" s="121">
        <v>0</v>
      </c>
      <c r="Y947" s="121" t="str">
        <f t="shared" ca="1" si="9"/>
        <v>#REF!</v>
      </c>
      <c r="Z947" s="121" t="str">
        <f t="shared" ca="1" si="10"/>
        <v>#REF!</v>
      </c>
      <c r="AA947" s="99" t="str">
        <f t="shared" ca="1" si="11"/>
        <v>#REF!</v>
      </c>
      <c r="AB947" s="234" t="str">
        <f t="shared" ca="1" si="12"/>
        <v>#REF!</v>
      </c>
      <c r="AC947" s="257" t="str">
        <f t="shared" ca="1" si="13"/>
        <v>#REF!</v>
      </c>
      <c r="AD947" s="234" t="str">
        <f t="shared" ca="1" si="14"/>
        <v>#REF!</v>
      </c>
      <c r="AE947" s="100" t="str">
        <f t="shared" ca="1" si="15"/>
        <v>#REF!</v>
      </c>
      <c r="AF947" s="101" t="str">
        <f t="shared" ca="1" si="16"/>
        <v>#REF!</v>
      </c>
      <c r="AG947" s="102" t="str">
        <f t="shared" ref="AG947:AH947" ca="1" si="965">AE947/V947</f>
        <v>#REF!</v>
      </c>
      <c r="AH947" s="102" t="str">
        <f t="shared" ca="1" si="965"/>
        <v>#REF!</v>
      </c>
    </row>
    <row r="948" spans="1:34" ht="13.2">
      <c r="A948" s="251"/>
      <c r="B948" s="251"/>
      <c r="C948" s="252"/>
      <c r="D948" s="252"/>
      <c r="E948" s="114"/>
      <c r="F948" s="252"/>
      <c r="G948" s="125" t="s">
        <v>145</v>
      </c>
      <c r="I948" s="172"/>
      <c r="J948" s="82" t="str">
        <f t="shared" ca="1" si="0"/>
        <v>#REF!</v>
      </c>
      <c r="K948" s="82" t="str">
        <f t="shared" ca="1" si="1"/>
        <v>#REF!</v>
      </c>
      <c r="L948" s="82" t="str">
        <f t="shared" ca="1" si="44"/>
        <v>#REF!</v>
      </c>
      <c r="M948" s="93"/>
      <c r="N948" s="93"/>
      <c r="O948" s="95">
        <f t="shared" si="2"/>
        <v>0</v>
      </c>
      <c r="P948" s="96">
        <f t="shared" si="3"/>
        <v>0</v>
      </c>
      <c r="Q948" s="97">
        <f t="shared" si="4"/>
        <v>0</v>
      </c>
      <c r="R948" s="97" t="str">
        <f ca="1">ROUNDUP(HLOOKUP(IF(CEILING(L948,0.5)&lt;1,0.5,CEILING(L948,0.5)),'배송비 조회'!A$44:AO$56,7,0)*B$3,-2)</f>
        <v>#REF!</v>
      </c>
      <c r="S948" s="97">
        <v>0</v>
      </c>
      <c r="T948" s="97" t="str">
        <f t="shared" ca="1" si="42"/>
        <v>#REF!</v>
      </c>
      <c r="U948" s="97" t="str">
        <f t="shared" ca="1" si="29"/>
        <v>#REF!</v>
      </c>
      <c r="V948" s="97" t="str">
        <f t="shared" ca="1" si="7"/>
        <v>#REF!</v>
      </c>
      <c r="W948" s="97" t="str">
        <f t="shared" ca="1" si="8"/>
        <v>#REF!</v>
      </c>
      <c r="X948" s="121">
        <v>0</v>
      </c>
      <c r="Y948" s="121" t="str">
        <f t="shared" ca="1" si="9"/>
        <v>#REF!</v>
      </c>
      <c r="Z948" s="121" t="str">
        <f t="shared" ca="1" si="10"/>
        <v>#REF!</v>
      </c>
      <c r="AA948" s="99" t="str">
        <f t="shared" ca="1" si="11"/>
        <v>#REF!</v>
      </c>
      <c r="AB948" s="234" t="str">
        <f t="shared" ca="1" si="12"/>
        <v>#REF!</v>
      </c>
      <c r="AC948" s="257" t="str">
        <f t="shared" ca="1" si="13"/>
        <v>#REF!</v>
      </c>
      <c r="AD948" s="234" t="str">
        <f t="shared" ca="1" si="14"/>
        <v>#REF!</v>
      </c>
      <c r="AE948" s="100" t="str">
        <f t="shared" ca="1" si="15"/>
        <v>#REF!</v>
      </c>
      <c r="AF948" s="101" t="str">
        <f t="shared" ca="1" si="16"/>
        <v>#REF!</v>
      </c>
      <c r="AG948" s="102" t="str">
        <f t="shared" ref="AG948:AH948" ca="1" si="966">AE948/V948</f>
        <v>#REF!</v>
      </c>
      <c r="AH948" s="102" t="str">
        <f t="shared" ca="1" si="966"/>
        <v>#REF!</v>
      </c>
    </row>
    <row r="949" spans="1:34" ht="13.2">
      <c r="A949" s="251"/>
      <c r="B949" s="251"/>
      <c r="C949" s="252"/>
      <c r="D949" s="252"/>
      <c r="E949" s="114"/>
      <c r="F949" s="252"/>
      <c r="G949" s="125" t="s">
        <v>145</v>
      </c>
      <c r="I949" s="172"/>
      <c r="J949" s="82" t="str">
        <f t="shared" ca="1" si="0"/>
        <v>#REF!</v>
      </c>
      <c r="K949" s="82" t="str">
        <f t="shared" ca="1" si="1"/>
        <v>#REF!</v>
      </c>
      <c r="L949" s="82" t="str">
        <f t="shared" ca="1" si="44"/>
        <v>#REF!</v>
      </c>
      <c r="M949" s="93"/>
      <c r="N949" s="93"/>
      <c r="O949" s="95">
        <f t="shared" si="2"/>
        <v>0</v>
      </c>
      <c r="P949" s="96">
        <f t="shared" si="3"/>
        <v>0</v>
      </c>
      <c r="Q949" s="97">
        <f t="shared" si="4"/>
        <v>0</v>
      </c>
      <c r="R949" s="97" t="str">
        <f ca="1">ROUNDUP(HLOOKUP(IF(CEILING(L949,0.5)&lt;1,0.5,CEILING(L949,0.5)),'배송비 조회'!A$44:AO$56,7,0)*B$3,-2)</f>
        <v>#REF!</v>
      </c>
      <c r="S949" s="97">
        <v>0</v>
      </c>
      <c r="T949" s="97" t="str">
        <f t="shared" ca="1" si="42"/>
        <v>#REF!</v>
      </c>
      <c r="U949" s="97" t="str">
        <f t="shared" ca="1" si="29"/>
        <v>#REF!</v>
      </c>
      <c r="V949" s="97" t="str">
        <f t="shared" ca="1" si="7"/>
        <v>#REF!</v>
      </c>
      <c r="W949" s="97" t="str">
        <f t="shared" ca="1" si="8"/>
        <v>#REF!</v>
      </c>
      <c r="X949" s="121">
        <v>0</v>
      </c>
      <c r="Y949" s="121" t="str">
        <f t="shared" ca="1" si="9"/>
        <v>#REF!</v>
      </c>
      <c r="Z949" s="121" t="str">
        <f t="shared" ca="1" si="10"/>
        <v>#REF!</v>
      </c>
      <c r="AA949" s="99" t="str">
        <f t="shared" ca="1" si="11"/>
        <v>#REF!</v>
      </c>
      <c r="AB949" s="234" t="str">
        <f t="shared" ca="1" si="12"/>
        <v>#REF!</v>
      </c>
      <c r="AC949" s="257" t="str">
        <f t="shared" ca="1" si="13"/>
        <v>#REF!</v>
      </c>
      <c r="AD949" s="234" t="str">
        <f t="shared" ca="1" si="14"/>
        <v>#REF!</v>
      </c>
      <c r="AE949" s="100" t="str">
        <f t="shared" ca="1" si="15"/>
        <v>#REF!</v>
      </c>
      <c r="AF949" s="101" t="str">
        <f t="shared" ca="1" si="16"/>
        <v>#REF!</v>
      </c>
      <c r="AG949" s="102" t="str">
        <f t="shared" ref="AG949:AH949" ca="1" si="967">AE949/V949</f>
        <v>#REF!</v>
      </c>
      <c r="AH949" s="102" t="str">
        <f t="shared" ca="1" si="967"/>
        <v>#REF!</v>
      </c>
    </row>
    <row r="950" spans="1:34" ht="13.2">
      <c r="A950" s="251"/>
      <c r="B950" s="251"/>
      <c r="C950" s="252"/>
      <c r="D950" s="252"/>
      <c r="E950" s="114"/>
      <c r="F950" s="252"/>
      <c r="G950" s="125" t="s">
        <v>145</v>
      </c>
      <c r="I950" s="172"/>
      <c r="J950" s="82" t="str">
        <f t="shared" ca="1" si="0"/>
        <v>#REF!</v>
      </c>
      <c r="K950" s="82" t="str">
        <f t="shared" ca="1" si="1"/>
        <v>#REF!</v>
      </c>
      <c r="L950" s="82" t="str">
        <f t="shared" ca="1" si="44"/>
        <v>#REF!</v>
      </c>
      <c r="M950" s="93"/>
      <c r="N950" s="93"/>
      <c r="O950" s="95">
        <f t="shared" si="2"/>
        <v>0</v>
      </c>
      <c r="P950" s="96">
        <f t="shared" si="3"/>
        <v>0</v>
      </c>
      <c r="Q950" s="97">
        <f t="shared" si="4"/>
        <v>0</v>
      </c>
      <c r="R950" s="97" t="str">
        <f ca="1">ROUNDUP(HLOOKUP(IF(CEILING(L950,0.5)&lt;1,0.5,CEILING(L950,0.5)),'배송비 조회'!A$44:AO$56,7,0)*B$3,-2)</f>
        <v>#REF!</v>
      </c>
      <c r="S950" s="97">
        <v>0</v>
      </c>
      <c r="T950" s="97" t="str">
        <f t="shared" ca="1" si="42"/>
        <v>#REF!</v>
      </c>
      <c r="U950" s="97" t="str">
        <f t="shared" ca="1" si="29"/>
        <v>#REF!</v>
      </c>
      <c r="V950" s="97" t="str">
        <f t="shared" ca="1" si="7"/>
        <v>#REF!</v>
      </c>
      <c r="W950" s="97" t="str">
        <f t="shared" ca="1" si="8"/>
        <v>#REF!</v>
      </c>
      <c r="X950" s="121">
        <v>0</v>
      </c>
      <c r="Y950" s="121" t="str">
        <f t="shared" ca="1" si="9"/>
        <v>#REF!</v>
      </c>
      <c r="Z950" s="121" t="str">
        <f t="shared" ca="1" si="10"/>
        <v>#REF!</v>
      </c>
      <c r="AA950" s="99" t="str">
        <f t="shared" ca="1" si="11"/>
        <v>#REF!</v>
      </c>
      <c r="AB950" s="234" t="str">
        <f t="shared" ca="1" si="12"/>
        <v>#REF!</v>
      </c>
      <c r="AC950" s="257" t="str">
        <f t="shared" ca="1" si="13"/>
        <v>#REF!</v>
      </c>
      <c r="AD950" s="234" t="str">
        <f t="shared" ca="1" si="14"/>
        <v>#REF!</v>
      </c>
      <c r="AE950" s="100" t="str">
        <f t="shared" ca="1" si="15"/>
        <v>#REF!</v>
      </c>
      <c r="AF950" s="101" t="str">
        <f t="shared" ca="1" si="16"/>
        <v>#REF!</v>
      </c>
      <c r="AG950" s="102" t="str">
        <f t="shared" ref="AG950:AH950" ca="1" si="968">AE950/V950</f>
        <v>#REF!</v>
      </c>
      <c r="AH950" s="102" t="str">
        <f t="shared" ca="1" si="968"/>
        <v>#REF!</v>
      </c>
    </row>
    <row r="951" spans="1:34" ht="13.2">
      <c r="A951" s="251"/>
      <c r="B951" s="251"/>
      <c r="C951" s="252"/>
      <c r="D951" s="252"/>
      <c r="E951" s="114"/>
      <c r="F951" s="252"/>
      <c r="G951" s="125" t="s">
        <v>145</v>
      </c>
      <c r="I951" s="172"/>
      <c r="J951" s="82" t="str">
        <f t="shared" ca="1" si="0"/>
        <v>#REF!</v>
      </c>
      <c r="K951" s="82" t="str">
        <f t="shared" ca="1" si="1"/>
        <v>#REF!</v>
      </c>
      <c r="L951" s="82" t="str">
        <f t="shared" ca="1" si="44"/>
        <v>#REF!</v>
      </c>
      <c r="M951" s="93"/>
      <c r="N951" s="93"/>
      <c r="O951" s="95">
        <f t="shared" si="2"/>
        <v>0</v>
      </c>
      <c r="P951" s="96">
        <f t="shared" si="3"/>
        <v>0</v>
      </c>
      <c r="Q951" s="97">
        <f t="shared" si="4"/>
        <v>0</v>
      </c>
      <c r="R951" s="97" t="str">
        <f ca="1">ROUNDUP(HLOOKUP(IF(CEILING(L951,0.5)&lt;1,0.5,CEILING(L951,0.5)),'배송비 조회'!A$44:AO$56,7,0)*B$3,-2)</f>
        <v>#REF!</v>
      </c>
      <c r="S951" s="97">
        <v>0</v>
      </c>
      <c r="T951" s="97" t="str">
        <f t="shared" ca="1" si="42"/>
        <v>#REF!</v>
      </c>
      <c r="U951" s="97" t="str">
        <f t="shared" ca="1" si="29"/>
        <v>#REF!</v>
      </c>
      <c r="V951" s="97" t="str">
        <f t="shared" ca="1" si="7"/>
        <v>#REF!</v>
      </c>
      <c r="W951" s="97" t="str">
        <f t="shared" ca="1" si="8"/>
        <v>#REF!</v>
      </c>
      <c r="X951" s="121">
        <v>0</v>
      </c>
      <c r="Y951" s="121" t="str">
        <f t="shared" ca="1" si="9"/>
        <v>#REF!</v>
      </c>
      <c r="Z951" s="121" t="str">
        <f t="shared" ca="1" si="10"/>
        <v>#REF!</v>
      </c>
      <c r="AA951" s="99" t="str">
        <f t="shared" ca="1" si="11"/>
        <v>#REF!</v>
      </c>
      <c r="AB951" s="234" t="str">
        <f t="shared" ca="1" si="12"/>
        <v>#REF!</v>
      </c>
      <c r="AC951" s="257" t="str">
        <f t="shared" ca="1" si="13"/>
        <v>#REF!</v>
      </c>
      <c r="AD951" s="234" t="str">
        <f t="shared" ca="1" si="14"/>
        <v>#REF!</v>
      </c>
      <c r="AE951" s="100" t="str">
        <f t="shared" ca="1" si="15"/>
        <v>#REF!</v>
      </c>
      <c r="AF951" s="101" t="str">
        <f t="shared" ca="1" si="16"/>
        <v>#REF!</v>
      </c>
      <c r="AG951" s="102" t="str">
        <f t="shared" ref="AG951:AH951" ca="1" si="969">AE951/V951</f>
        <v>#REF!</v>
      </c>
      <c r="AH951" s="102" t="str">
        <f t="shared" ca="1" si="969"/>
        <v>#REF!</v>
      </c>
    </row>
    <row r="952" spans="1:34" ht="13.2">
      <c r="A952" s="251"/>
      <c r="B952" s="251"/>
      <c r="C952" s="252"/>
      <c r="D952" s="252"/>
      <c r="E952" s="114"/>
      <c r="F952" s="252"/>
      <c r="G952" s="125" t="s">
        <v>145</v>
      </c>
      <c r="I952" s="172"/>
      <c r="J952" s="82" t="str">
        <f t="shared" ca="1" si="0"/>
        <v>#REF!</v>
      </c>
      <c r="K952" s="82" t="str">
        <f t="shared" ca="1" si="1"/>
        <v>#REF!</v>
      </c>
      <c r="L952" s="82" t="str">
        <f t="shared" ca="1" si="44"/>
        <v>#REF!</v>
      </c>
      <c r="M952" s="93"/>
      <c r="N952" s="93"/>
      <c r="O952" s="95">
        <f t="shared" si="2"/>
        <v>0</v>
      </c>
      <c r="P952" s="96">
        <f t="shared" si="3"/>
        <v>0</v>
      </c>
      <c r="Q952" s="97">
        <f t="shared" si="4"/>
        <v>0</v>
      </c>
      <c r="R952" s="97" t="str">
        <f ca="1">ROUNDUP(HLOOKUP(IF(CEILING(L952,0.5)&lt;1,0.5,CEILING(L952,0.5)),'배송비 조회'!A$44:AO$56,7,0)*B$3,-2)</f>
        <v>#REF!</v>
      </c>
      <c r="S952" s="97">
        <v>0</v>
      </c>
      <c r="T952" s="97" t="str">
        <f t="shared" ca="1" si="42"/>
        <v>#REF!</v>
      </c>
      <c r="U952" s="97" t="str">
        <f t="shared" ca="1" si="29"/>
        <v>#REF!</v>
      </c>
      <c r="V952" s="97" t="str">
        <f t="shared" ca="1" si="7"/>
        <v>#REF!</v>
      </c>
      <c r="W952" s="97" t="str">
        <f t="shared" ca="1" si="8"/>
        <v>#REF!</v>
      </c>
      <c r="X952" s="121">
        <v>0</v>
      </c>
      <c r="Y952" s="121" t="str">
        <f t="shared" ca="1" si="9"/>
        <v>#REF!</v>
      </c>
      <c r="Z952" s="121" t="str">
        <f t="shared" ca="1" si="10"/>
        <v>#REF!</v>
      </c>
      <c r="AA952" s="99" t="str">
        <f t="shared" ca="1" si="11"/>
        <v>#REF!</v>
      </c>
      <c r="AB952" s="234" t="str">
        <f t="shared" ca="1" si="12"/>
        <v>#REF!</v>
      </c>
      <c r="AC952" s="257" t="str">
        <f t="shared" ca="1" si="13"/>
        <v>#REF!</v>
      </c>
      <c r="AD952" s="234" t="str">
        <f t="shared" ca="1" si="14"/>
        <v>#REF!</v>
      </c>
      <c r="AE952" s="100" t="str">
        <f t="shared" ca="1" si="15"/>
        <v>#REF!</v>
      </c>
      <c r="AF952" s="101" t="str">
        <f t="shared" ca="1" si="16"/>
        <v>#REF!</v>
      </c>
      <c r="AG952" s="102" t="str">
        <f t="shared" ref="AG952:AH952" ca="1" si="970">AE952/V952</f>
        <v>#REF!</v>
      </c>
      <c r="AH952" s="102" t="str">
        <f t="shared" ca="1" si="970"/>
        <v>#REF!</v>
      </c>
    </row>
    <row r="953" spans="1:34" ht="13.2">
      <c r="A953" s="251"/>
      <c r="B953" s="251"/>
      <c r="C953" s="252"/>
      <c r="D953" s="252"/>
      <c r="E953" s="114"/>
      <c r="F953" s="252"/>
      <c r="G953" s="125" t="s">
        <v>145</v>
      </c>
      <c r="I953" s="172"/>
      <c r="J953" s="82" t="str">
        <f t="shared" ca="1" si="0"/>
        <v>#REF!</v>
      </c>
      <c r="K953" s="82" t="str">
        <f t="shared" ca="1" si="1"/>
        <v>#REF!</v>
      </c>
      <c r="L953" s="82" t="str">
        <f t="shared" ca="1" si="44"/>
        <v>#REF!</v>
      </c>
      <c r="M953" s="93"/>
      <c r="N953" s="93"/>
      <c r="O953" s="95">
        <f t="shared" si="2"/>
        <v>0</v>
      </c>
      <c r="P953" s="96">
        <f t="shared" si="3"/>
        <v>0</v>
      </c>
      <c r="Q953" s="97">
        <f t="shared" si="4"/>
        <v>0</v>
      </c>
      <c r="R953" s="97" t="str">
        <f ca="1">ROUNDUP(HLOOKUP(IF(CEILING(L953,0.5)&lt;1,0.5,CEILING(L953,0.5)),'배송비 조회'!A$44:AO$56,7,0)*B$3,-2)</f>
        <v>#REF!</v>
      </c>
      <c r="S953" s="97">
        <v>0</v>
      </c>
      <c r="T953" s="97" t="str">
        <f t="shared" ca="1" si="42"/>
        <v>#REF!</v>
      </c>
      <c r="U953" s="97" t="str">
        <f t="shared" ca="1" si="29"/>
        <v>#REF!</v>
      </c>
      <c r="V953" s="97" t="str">
        <f t="shared" ca="1" si="7"/>
        <v>#REF!</v>
      </c>
      <c r="W953" s="97" t="str">
        <f t="shared" ca="1" si="8"/>
        <v>#REF!</v>
      </c>
      <c r="X953" s="121">
        <v>0</v>
      </c>
      <c r="Y953" s="121" t="str">
        <f t="shared" ca="1" si="9"/>
        <v>#REF!</v>
      </c>
      <c r="Z953" s="121" t="str">
        <f t="shared" ca="1" si="10"/>
        <v>#REF!</v>
      </c>
      <c r="AA953" s="99" t="str">
        <f t="shared" ca="1" si="11"/>
        <v>#REF!</v>
      </c>
      <c r="AB953" s="234" t="str">
        <f t="shared" ca="1" si="12"/>
        <v>#REF!</v>
      </c>
      <c r="AC953" s="257" t="str">
        <f t="shared" ca="1" si="13"/>
        <v>#REF!</v>
      </c>
      <c r="AD953" s="234" t="str">
        <f t="shared" ca="1" si="14"/>
        <v>#REF!</v>
      </c>
      <c r="AE953" s="100" t="str">
        <f t="shared" ca="1" si="15"/>
        <v>#REF!</v>
      </c>
      <c r="AF953" s="101" t="str">
        <f t="shared" ca="1" si="16"/>
        <v>#REF!</v>
      </c>
      <c r="AG953" s="102" t="str">
        <f t="shared" ref="AG953:AH953" ca="1" si="971">AE953/V953</f>
        <v>#REF!</v>
      </c>
      <c r="AH953" s="102" t="str">
        <f t="shared" ca="1" si="971"/>
        <v>#REF!</v>
      </c>
    </row>
    <row r="954" spans="1:34" ht="13.2">
      <c r="A954" s="251"/>
      <c r="B954" s="251"/>
      <c r="C954" s="252"/>
      <c r="D954" s="252"/>
      <c r="E954" s="114"/>
      <c r="F954" s="252"/>
      <c r="G954" s="125" t="s">
        <v>145</v>
      </c>
      <c r="I954" s="172"/>
      <c r="J954" s="82" t="str">
        <f t="shared" ca="1" si="0"/>
        <v>#REF!</v>
      </c>
      <c r="K954" s="82" t="str">
        <f t="shared" ca="1" si="1"/>
        <v>#REF!</v>
      </c>
      <c r="L954" s="82" t="str">
        <f t="shared" ca="1" si="44"/>
        <v>#REF!</v>
      </c>
      <c r="M954" s="93"/>
      <c r="N954" s="93"/>
      <c r="O954" s="95">
        <f t="shared" si="2"/>
        <v>0</v>
      </c>
      <c r="P954" s="96">
        <f t="shared" si="3"/>
        <v>0</v>
      </c>
      <c r="Q954" s="97">
        <f t="shared" si="4"/>
        <v>0</v>
      </c>
      <c r="R954" s="97" t="str">
        <f ca="1">ROUNDUP(HLOOKUP(IF(CEILING(L954,0.5)&lt;1,0.5,CEILING(L954,0.5)),'배송비 조회'!A$44:AO$56,7,0)*B$3,-2)</f>
        <v>#REF!</v>
      </c>
      <c r="S954" s="97">
        <v>0</v>
      </c>
      <c r="T954" s="97" t="str">
        <f t="shared" ca="1" si="42"/>
        <v>#REF!</v>
      </c>
      <c r="U954" s="97" t="str">
        <f t="shared" ca="1" si="29"/>
        <v>#REF!</v>
      </c>
      <c r="V954" s="97" t="str">
        <f t="shared" ca="1" si="7"/>
        <v>#REF!</v>
      </c>
      <c r="W954" s="97" t="str">
        <f t="shared" ca="1" si="8"/>
        <v>#REF!</v>
      </c>
      <c r="X954" s="121">
        <v>0</v>
      </c>
      <c r="Y954" s="121" t="str">
        <f t="shared" ca="1" si="9"/>
        <v>#REF!</v>
      </c>
      <c r="Z954" s="121" t="str">
        <f t="shared" ca="1" si="10"/>
        <v>#REF!</v>
      </c>
      <c r="AA954" s="99" t="str">
        <f t="shared" ca="1" si="11"/>
        <v>#REF!</v>
      </c>
      <c r="AB954" s="234" t="str">
        <f t="shared" ca="1" si="12"/>
        <v>#REF!</v>
      </c>
      <c r="AC954" s="257" t="str">
        <f t="shared" ca="1" si="13"/>
        <v>#REF!</v>
      </c>
      <c r="AD954" s="234" t="str">
        <f t="shared" ca="1" si="14"/>
        <v>#REF!</v>
      </c>
      <c r="AE954" s="100" t="str">
        <f t="shared" ca="1" si="15"/>
        <v>#REF!</v>
      </c>
      <c r="AF954" s="101" t="str">
        <f t="shared" ca="1" si="16"/>
        <v>#REF!</v>
      </c>
      <c r="AG954" s="102" t="str">
        <f t="shared" ref="AG954:AH954" ca="1" si="972">AE954/V954</f>
        <v>#REF!</v>
      </c>
      <c r="AH954" s="102" t="str">
        <f t="shared" ca="1" si="972"/>
        <v>#REF!</v>
      </c>
    </row>
    <row r="955" spans="1:34" ht="13.2">
      <c r="A955" s="251"/>
      <c r="B955" s="251"/>
      <c r="C955" s="252"/>
      <c r="D955" s="252"/>
      <c r="E955" s="114"/>
      <c r="F955" s="252"/>
      <c r="G955" s="125" t="s">
        <v>145</v>
      </c>
      <c r="I955" s="172"/>
      <c r="J955" s="82" t="str">
        <f t="shared" ca="1" si="0"/>
        <v>#REF!</v>
      </c>
      <c r="K955" s="82" t="str">
        <f t="shared" ca="1" si="1"/>
        <v>#REF!</v>
      </c>
      <c r="L955" s="82" t="str">
        <f t="shared" ca="1" si="44"/>
        <v>#REF!</v>
      </c>
      <c r="M955" s="93"/>
      <c r="N955" s="93"/>
      <c r="O955" s="95">
        <f t="shared" si="2"/>
        <v>0</v>
      </c>
      <c r="P955" s="96">
        <f t="shared" si="3"/>
        <v>0</v>
      </c>
      <c r="Q955" s="97">
        <f t="shared" si="4"/>
        <v>0</v>
      </c>
      <c r="R955" s="97" t="str">
        <f ca="1">ROUNDUP(HLOOKUP(IF(CEILING(L955,0.5)&lt;1,0.5,CEILING(L955,0.5)),'배송비 조회'!A$44:AO$56,7,0)*B$3,-2)</f>
        <v>#REF!</v>
      </c>
      <c r="S955" s="97">
        <v>0</v>
      </c>
      <c r="T955" s="97" t="str">
        <f t="shared" ca="1" si="42"/>
        <v>#REF!</v>
      </c>
      <c r="U955" s="97" t="str">
        <f t="shared" ca="1" si="29"/>
        <v>#REF!</v>
      </c>
      <c r="V955" s="97" t="str">
        <f t="shared" ca="1" si="7"/>
        <v>#REF!</v>
      </c>
      <c r="W955" s="97" t="str">
        <f t="shared" ca="1" si="8"/>
        <v>#REF!</v>
      </c>
      <c r="X955" s="121">
        <v>0</v>
      </c>
      <c r="Y955" s="121" t="str">
        <f t="shared" ca="1" si="9"/>
        <v>#REF!</v>
      </c>
      <c r="Z955" s="121" t="str">
        <f t="shared" ca="1" si="10"/>
        <v>#REF!</v>
      </c>
      <c r="AA955" s="99" t="str">
        <f t="shared" ca="1" si="11"/>
        <v>#REF!</v>
      </c>
      <c r="AB955" s="234" t="str">
        <f t="shared" ca="1" si="12"/>
        <v>#REF!</v>
      </c>
      <c r="AC955" s="257" t="str">
        <f t="shared" ca="1" si="13"/>
        <v>#REF!</v>
      </c>
      <c r="AD955" s="234" t="str">
        <f t="shared" ca="1" si="14"/>
        <v>#REF!</v>
      </c>
      <c r="AE955" s="100" t="str">
        <f t="shared" ca="1" si="15"/>
        <v>#REF!</v>
      </c>
      <c r="AF955" s="101" t="str">
        <f t="shared" ca="1" si="16"/>
        <v>#REF!</v>
      </c>
      <c r="AG955" s="102" t="str">
        <f t="shared" ref="AG955:AH955" ca="1" si="973">AE955/V955</f>
        <v>#REF!</v>
      </c>
      <c r="AH955" s="102" t="str">
        <f t="shared" ca="1" si="973"/>
        <v>#REF!</v>
      </c>
    </row>
    <row r="956" spans="1:34" ht="13.2">
      <c r="A956" s="251"/>
      <c r="B956" s="251"/>
      <c r="C956" s="252"/>
      <c r="D956" s="252"/>
      <c r="E956" s="114"/>
      <c r="F956" s="252"/>
      <c r="G956" s="125" t="s">
        <v>145</v>
      </c>
      <c r="I956" s="172"/>
      <c r="J956" s="82" t="str">
        <f t="shared" ca="1" si="0"/>
        <v>#REF!</v>
      </c>
      <c r="K956" s="82" t="str">
        <f t="shared" ca="1" si="1"/>
        <v>#REF!</v>
      </c>
      <c r="L956" s="82" t="str">
        <f t="shared" ca="1" si="44"/>
        <v>#REF!</v>
      </c>
      <c r="M956" s="93"/>
      <c r="N956" s="93"/>
      <c r="O956" s="95">
        <f t="shared" si="2"/>
        <v>0</v>
      </c>
      <c r="P956" s="96">
        <f t="shared" si="3"/>
        <v>0</v>
      </c>
      <c r="Q956" s="97">
        <f t="shared" si="4"/>
        <v>0</v>
      </c>
      <c r="R956" s="97" t="str">
        <f ca="1">ROUNDUP(HLOOKUP(IF(CEILING(L956,0.5)&lt;1,0.5,CEILING(L956,0.5)),'배송비 조회'!A$44:AO$56,7,0)*B$3,-2)</f>
        <v>#REF!</v>
      </c>
      <c r="S956" s="97">
        <v>0</v>
      </c>
      <c r="T956" s="97" t="str">
        <f t="shared" ca="1" si="42"/>
        <v>#REF!</v>
      </c>
      <c r="U956" s="97" t="str">
        <f t="shared" ca="1" si="29"/>
        <v>#REF!</v>
      </c>
      <c r="V956" s="97" t="str">
        <f t="shared" ca="1" si="7"/>
        <v>#REF!</v>
      </c>
      <c r="W956" s="97" t="str">
        <f t="shared" ca="1" si="8"/>
        <v>#REF!</v>
      </c>
      <c r="X956" s="121">
        <v>0</v>
      </c>
      <c r="Y956" s="121" t="str">
        <f t="shared" ca="1" si="9"/>
        <v>#REF!</v>
      </c>
      <c r="Z956" s="121" t="str">
        <f t="shared" ca="1" si="10"/>
        <v>#REF!</v>
      </c>
      <c r="AA956" s="99" t="str">
        <f t="shared" ca="1" si="11"/>
        <v>#REF!</v>
      </c>
      <c r="AB956" s="234" t="str">
        <f t="shared" ca="1" si="12"/>
        <v>#REF!</v>
      </c>
      <c r="AC956" s="257" t="str">
        <f t="shared" ca="1" si="13"/>
        <v>#REF!</v>
      </c>
      <c r="AD956" s="234" t="str">
        <f t="shared" ca="1" si="14"/>
        <v>#REF!</v>
      </c>
      <c r="AE956" s="100" t="str">
        <f t="shared" ca="1" si="15"/>
        <v>#REF!</v>
      </c>
      <c r="AF956" s="101" t="str">
        <f t="shared" ca="1" si="16"/>
        <v>#REF!</v>
      </c>
      <c r="AG956" s="102" t="str">
        <f t="shared" ref="AG956:AH956" ca="1" si="974">AE956/V956</f>
        <v>#REF!</v>
      </c>
      <c r="AH956" s="102" t="str">
        <f t="shared" ca="1" si="974"/>
        <v>#REF!</v>
      </c>
    </row>
    <row r="957" spans="1:34" ht="13.2">
      <c r="A957" s="251"/>
      <c r="B957" s="251"/>
      <c r="C957" s="252"/>
      <c r="D957" s="252"/>
      <c r="E957" s="114"/>
      <c r="F957" s="252"/>
      <c r="G957" s="125" t="s">
        <v>145</v>
      </c>
      <c r="I957" s="172"/>
      <c r="J957" s="82" t="str">
        <f t="shared" ca="1" si="0"/>
        <v>#REF!</v>
      </c>
      <c r="K957" s="82" t="str">
        <f t="shared" ca="1" si="1"/>
        <v>#REF!</v>
      </c>
      <c r="L957" s="82" t="str">
        <f t="shared" ca="1" si="44"/>
        <v>#REF!</v>
      </c>
      <c r="M957" s="93"/>
      <c r="N957" s="93"/>
      <c r="O957" s="95">
        <f t="shared" si="2"/>
        <v>0</v>
      </c>
      <c r="P957" s="96">
        <f t="shared" si="3"/>
        <v>0</v>
      </c>
      <c r="Q957" s="97">
        <f t="shared" si="4"/>
        <v>0</v>
      </c>
      <c r="R957" s="97" t="str">
        <f ca="1">ROUNDUP(HLOOKUP(IF(CEILING(L957,0.5)&lt;1,0.5,CEILING(L957,0.5)),'배송비 조회'!A$44:AO$56,7,0)*B$3,-2)</f>
        <v>#REF!</v>
      </c>
      <c r="S957" s="97">
        <v>0</v>
      </c>
      <c r="T957" s="97" t="str">
        <f t="shared" ca="1" si="42"/>
        <v>#REF!</v>
      </c>
      <c r="U957" s="97" t="str">
        <f t="shared" ca="1" si="29"/>
        <v>#REF!</v>
      </c>
      <c r="V957" s="97" t="str">
        <f t="shared" ca="1" si="7"/>
        <v>#REF!</v>
      </c>
      <c r="W957" s="97" t="str">
        <f t="shared" ca="1" si="8"/>
        <v>#REF!</v>
      </c>
      <c r="X957" s="121">
        <v>0</v>
      </c>
      <c r="Y957" s="121" t="str">
        <f t="shared" ca="1" si="9"/>
        <v>#REF!</v>
      </c>
      <c r="Z957" s="121" t="str">
        <f t="shared" ca="1" si="10"/>
        <v>#REF!</v>
      </c>
      <c r="AA957" s="99" t="str">
        <f t="shared" ca="1" si="11"/>
        <v>#REF!</v>
      </c>
      <c r="AB957" s="234" t="str">
        <f t="shared" ca="1" si="12"/>
        <v>#REF!</v>
      </c>
      <c r="AC957" s="257" t="str">
        <f t="shared" ca="1" si="13"/>
        <v>#REF!</v>
      </c>
      <c r="AD957" s="234" t="str">
        <f t="shared" ca="1" si="14"/>
        <v>#REF!</v>
      </c>
      <c r="AE957" s="100" t="str">
        <f t="shared" ca="1" si="15"/>
        <v>#REF!</v>
      </c>
      <c r="AF957" s="101" t="str">
        <f t="shared" ca="1" si="16"/>
        <v>#REF!</v>
      </c>
      <c r="AG957" s="102" t="str">
        <f t="shared" ref="AG957:AH957" ca="1" si="975">AE957/V957</f>
        <v>#REF!</v>
      </c>
      <c r="AH957" s="102" t="str">
        <f t="shared" ca="1" si="975"/>
        <v>#REF!</v>
      </c>
    </row>
    <row r="958" spans="1:34" ht="13.2">
      <c r="A958" s="251"/>
      <c r="B958" s="251"/>
      <c r="C958" s="252"/>
      <c r="D958" s="252"/>
      <c r="E958" s="114"/>
      <c r="F958" s="252"/>
      <c r="G958" s="125" t="s">
        <v>145</v>
      </c>
      <c r="I958" s="172"/>
      <c r="J958" s="82" t="str">
        <f t="shared" ca="1" si="0"/>
        <v>#REF!</v>
      </c>
      <c r="K958" s="82" t="str">
        <f t="shared" ca="1" si="1"/>
        <v>#REF!</v>
      </c>
      <c r="L958" s="82" t="str">
        <f t="shared" ca="1" si="44"/>
        <v>#REF!</v>
      </c>
      <c r="M958" s="93"/>
      <c r="N958" s="93"/>
      <c r="O958" s="95">
        <f t="shared" si="2"/>
        <v>0</v>
      </c>
      <c r="P958" s="96">
        <f t="shared" si="3"/>
        <v>0</v>
      </c>
      <c r="Q958" s="97">
        <f t="shared" si="4"/>
        <v>0</v>
      </c>
      <c r="R958" s="97" t="str">
        <f ca="1">ROUNDUP(HLOOKUP(IF(CEILING(L958,0.5)&lt;1,0.5,CEILING(L958,0.5)),'배송비 조회'!A$44:AO$56,7,0)*B$3,-2)</f>
        <v>#REF!</v>
      </c>
      <c r="S958" s="97">
        <v>0</v>
      </c>
      <c r="T958" s="97" t="str">
        <f t="shared" ca="1" si="42"/>
        <v>#REF!</v>
      </c>
      <c r="U958" s="97" t="str">
        <f t="shared" ca="1" si="29"/>
        <v>#REF!</v>
      </c>
      <c r="V958" s="97" t="str">
        <f t="shared" ca="1" si="7"/>
        <v>#REF!</v>
      </c>
      <c r="W958" s="97" t="str">
        <f t="shared" ca="1" si="8"/>
        <v>#REF!</v>
      </c>
      <c r="X958" s="121">
        <v>0</v>
      </c>
      <c r="Y958" s="121" t="str">
        <f t="shared" ca="1" si="9"/>
        <v>#REF!</v>
      </c>
      <c r="Z958" s="121" t="str">
        <f t="shared" ca="1" si="10"/>
        <v>#REF!</v>
      </c>
      <c r="AA958" s="99" t="str">
        <f t="shared" ca="1" si="11"/>
        <v>#REF!</v>
      </c>
      <c r="AB958" s="234" t="str">
        <f t="shared" ca="1" si="12"/>
        <v>#REF!</v>
      </c>
      <c r="AC958" s="257" t="str">
        <f t="shared" ca="1" si="13"/>
        <v>#REF!</v>
      </c>
      <c r="AD958" s="234" t="str">
        <f t="shared" ca="1" si="14"/>
        <v>#REF!</v>
      </c>
      <c r="AE958" s="100" t="str">
        <f t="shared" ca="1" si="15"/>
        <v>#REF!</v>
      </c>
      <c r="AF958" s="101" t="str">
        <f t="shared" ca="1" si="16"/>
        <v>#REF!</v>
      </c>
      <c r="AG958" s="102" t="str">
        <f t="shared" ref="AG958:AH958" ca="1" si="976">AE958/V958</f>
        <v>#REF!</v>
      </c>
      <c r="AH958" s="102" t="str">
        <f t="shared" ca="1" si="976"/>
        <v>#REF!</v>
      </c>
    </row>
    <row r="959" spans="1:34" ht="13.2">
      <c r="A959" s="251"/>
      <c r="B959" s="251"/>
      <c r="C959" s="252"/>
      <c r="D959" s="252"/>
      <c r="E959" s="114"/>
      <c r="F959" s="252"/>
      <c r="G959" s="125" t="s">
        <v>145</v>
      </c>
      <c r="I959" s="172"/>
      <c r="J959" s="82" t="str">
        <f t="shared" ca="1" si="0"/>
        <v>#REF!</v>
      </c>
      <c r="K959" s="82" t="str">
        <f t="shared" ca="1" si="1"/>
        <v>#REF!</v>
      </c>
      <c r="L959" s="82" t="str">
        <f t="shared" ca="1" si="44"/>
        <v>#REF!</v>
      </c>
      <c r="M959" s="93"/>
      <c r="N959" s="93"/>
      <c r="O959" s="95">
        <f t="shared" si="2"/>
        <v>0</v>
      </c>
      <c r="P959" s="96">
        <f t="shared" si="3"/>
        <v>0</v>
      </c>
      <c r="Q959" s="97">
        <f t="shared" si="4"/>
        <v>0</v>
      </c>
      <c r="R959" s="97" t="str">
        <f ca="1">ROUNDUP(HLOOKUP(IF(CEILING(L959,0.5)&lt;1,0.5,CEILING(L959,0.5)),'배송비 조회'!A$44:AO$56,7,0)*B$3,-2)</f>
        <v>#REF!</v>
      </c>
      <c r="S959" s="97">
        <v>0</v>
      </c>
      <c r="T959" s="97" t="str">
        <f t="shared" ca="1" si="42"/>
        <v>#REF!</v>
      </c>
      <c r="U959" s="97" t="str">
        <f t="shared" ca="1" si="29"/>
        <v>#REF!</v>
      </c>
      <c r="V959" s="97" t="str">
        <f t="shared" ca="1" si="7"/>
        <v>#REF!</v>
      </c>
      <c r="W959" s="97" t="str">
        <f t="shared" ca="1" si="8"/>
        <v>#REF!</v>
      </c>
      <c r="X959" s="121">
        <v>0</v>
      </c>
      <c r="Y959" s="121" t="str">
        <f t="shared" ca="1" si="9"/>
        <v>#REF!</v>
      </c>
      <c r="Z959" s="121" t="str">
        <f t="shared" ca="1" si="10"/>
        <v>#REF!</v>
      </c>
      <c r="AA959" s="99" t="str">
        <f t="shared" ca="1" si="11"/>
        <v>#REF!</v>
      </c>
      <c r="AB959" s="234" t="str">
        <f t="shared" ca="1" si="12"/>
        <v>#REF!</v>
      </c>
      <c r="AC959" s="257" t="str">
        <f t="shared" ca="1" si="13"/>
        <v>#REF!</v>
      </c>
      <c r="AD959" s="234" t="str">
        <f t="shared" ca="1" si="14"/>
        <v>#REF!</v>
      </c>
      <c r="AE959" s="100" t="str">
        <f t="shared" ca="1" si="15"/>
        <v>#REF!</v>
      </c>
      <c r="AF959" s="101" t="str">
        <f t="shared" ca="1" si="16"/>
        <v>#REF!</v>
      </c>
      <c r="AG959" s="102" t="str">
        <f t="shared" ref="AG959:AH959" ca="1" si="977">AE959/V959</f>
        <v>#REF!</v>
      </c>
      <c r="AH959" s="102" t="str">
        <f t="shared" ca="1" si="977"/>
        <v>#REF!</v>
      </c>
    </row>
    <row r="960" spans="1:34" ht="13.2">
      <c r="A960" s="251"/>
      <c r="B960" s="251"/>
      <c r="C960" s="252"/>
      <c r="D960" s="252"/>
      <c r="E960" s="114"/>
      <c r="F960" s="252"/>
      <c r="G960" s="125" t="s">
        <v>145</v>
      </c>
      <c r="I960" s="172"/>
      <c r="J960" s="82" t="str">
        <f t="shared" ca="1" si="0"/>
        <v>#REF!</v>
      </c>
      <c r="K960" s="82" t="str">
        <f t="shared" ca="1" si="1"/>
        <v>#REF!</v>
      </c>
      <c r="L960" s="82" t="str">
        <f t="shared" ca="1" si="44"/>
        <v>#REF!</v>
      </c>
      <c r="M960" s="93"/>
      <c r="N960" s="93"/>
      <c r="O960" s="95">
        <f t="shared" si="2"/>
        <v>0</v>
      </c>
      <c r="P960" s="96">
        <f t="shared" si="3"/>
        <v>0</v>
      </c>
      <c r="Q960" s="97">
        <f t="shared" si="4"/>
        <v>0</v>
      </c>
      <c r="R960" s="97" t="str">
        <f ca="1">ROUNDUP(HLOOKUP(IF(CEILING(L960,0.5)&lt;1,0.5,CEILING(L960,0.5)),'배송비 조회'!A$44:AO$56,7,0)*B$3,-2)</f>
        <v>#REF!</v>
      </c>
      <c r="S960" s="97">
        <v>0</v>
      </c>
      <c r="T960" s="97" t="str">
        <f t="shared" ca="1" si="42"/>
        <v>#REF!</v>
      </c>
      <c r="U960" s="97" t="str">
        <f t="shared" ca="1" si="29"/>
        <v>#REF!</v>
      </c>
      <c r="V960" s="97" t="str">
        <f t="shared" ca="1" si="7"/>
        <v>#REF!</v>
      </c>
      <c r="W960" s="97" t="str">
        <f t="shared" ca="1" si="8"/>
        <v>#REF!</v>
      </c>
      <c r="X960" s="121">
        <v>0</v>
      </c>
      <c r="Y960" s="121" t="str">
        <f t="shared" ca="1" si="9"/>
        <v>#REF!</v>
      </c>
      <c r="Z960" s="121" t="str">
        <f t="shared" ca="1" si="10"/>
        <v>#REF!</v>
      </c>
      <c r="AA960" s="99" t="str">
        <f t="shared" ca="1" si="11"/>
        <v>#REF!</v>
      </c>
      <c r="AB960" s="234" t="str">
        <f t="shared" ca="1" si="12"/>
        <v>#REF!</v>
      </c>
      <c r="AC960" s="257" t="str">
        <f t="shared" ca="1" si="13"/>
        <v>#REF!</v>
      </c>
      <c r="AD960" s="234" t="str">
        <f t="shared" ca="1" si="14"/>
        <v>#REF!</v>
      </c>
      <c r="AE960" s="100" t="str">
        <f t="shared" ca="1" si="15"/>
        <v>#REF!</v>
      </c>
      <c r="AF960" s="101" t="str">
        <f t="shared" ca="1" si="16"/>
        <v>#REF!</v>
      </c>
      <c r="AG960" s="102" t="str">
        <f t="shared" ref="AG960:AH960" ca="1" si="978">AE960/V960</f>
        <v>#REF!</v>
      </c>
      <c r="AH960" s="102" t="str">
        <f t="shared" ca="1" si="978"/>
        <v>#REF!</v>
      </c>
    </row>
    <row r="961" spans="1:34" ht="13.2">
      <c r="A961" s="251"/>
      <c r="B961" s="251"/>
      <c r="C961" s="252"/>
      <c r="D961" s="252"/>
      <c r="E961" s="114"/>
      <c r="F961" s="252"/>
      <c r="G961" s="125" t="s">
        <v>145</v>
      </c>
      <c r="I961" s="172"/>
      <c r="J961" s="82" t="str">
        <f t="shared" ca="1" si="0"/>
        <v>#REF!</v>
      </c>
      <c r="K961" s="82" t="str">
        <f t="shared" ca="1" si="1"/>
        <v>#REF!</v>
      </c>
      <c r="L961" s="82" t="str">
        <f t="shared" ca="1" si="44"/>
        <v>#REF!</v>
      </c>
      <c r="M961" s="93"/>
      <c r="N961" s="93"/>
      <c r="O961" s="95">
        <f t="shared" si="2"/>
        <v>0</v>
      </c>
      <c r="P961" s="96">
        <f t="shared" si="3"/>
        <v>0</v>
      </c>
      <c r="Q961" s="97">
        <f t="shared" si="4"/>
        <v>0</v>
      </c>
      <c r="R961" s="97" t="str">
        <f ca="1">ROUNDUP(HLOOKUP(IF(CEILING(L961,0.5)&lt;1,0.5,CEILING(L961,0.5)),'배송비 조회'!A$44:AO$56,7,0)*B$3,-2)</f>
        <v>#REF!</v>
      </c>
      <c r="S961" s="97">
        <v>0</v>
      </c>
      <c r="T961" s="97" t="str">
        <f t="shared" ca="1" si="42"/>
        <v>#REF!</v>
      </c>
      <c r="U961" s="97" t="str">
        <f t="shared" ca="1" si="29"/>
        <v>#REF!</v>
      </c>
      <c r="V961" s="97" t="str">
        <f t="shared" ca="1" si="7"/>
        <v>#REF!</v>
      </c>
      <c r="W961" s="97" t="str">
        <f t="shared" ca="1" si="8"/>
        <v>#REF!</v>
      </c>
      <c r="X961" s="121">
        <v>0</v>
      </c>
      <c r="Y961" s="121" t="str">
        <f t="shared" ca="1" si="9"/>
        <v>#REF!</v>
      </c>
      <c r="Z961" s="121" t="str">
        <f t="shared" ca="1" si="10"/>
        <v>#REF!</v>
      </c>
      <c r="AA961" s="99" t="str">
        <f t="shared" ca="1" si="11"/>
        <v>#REF!</v>
      </c>
      <c r="AB961" s="234" t="str">
        <f t="shared" ca="1" si="12"/>
        <v>#REF!</v>
      </c>
      <c r="AC961" s="257" t="str">
        <f t="shared" ca="1" si="13"/>
        <v>#REF!</v>
      </c>
      <c r="AD961" s="234" t="str">
        <f t="shared" ca="1" si="14"/>
        <v>#REF!</v>
      </c>
      <c r="AE961" s="100" t="str">
        <f t="shared" ca="1" si="15"/>
        <v>#REF!</v>
      </c>
      <c r="AF961" s="101" t="str">
        <f t="shared" ca="1" si="16"/>
        <v>#REF!</v>
      </c>
      <c r="AG961" s="102" t="str">
        <f t="shared" ref="AG961:AH961" ca="1" si="979">AE961/V961</f>
        <v>#REF!</v>
      </c>
      <c r="AH961" s="102" t="str">
        <f t="shared" ca="1" si="979"/>
        <v>#REF!</v>
      </c>
    </row>
    <row r="962" spans="1:34" ht="13.2">
      <c r="A962" s="251"/>
      <c r="B962" s="251"/>
      <c r="C962" s="252"/>
      <c r="D962" s="252"/>
      <c r="E962" s="114"/>
      <c r="F962" s="252"/>
      <c r="G962" s="125" t="s">
        <v>145</v>
      </c>
      <c r="I962" s="172"/>
      <c r="J962" s="82" t="str">
        <f t="shared" ca="1" si="0"/>
        <v>#REF!</v>
      </c>
      <c r="K962" s="82" t="str">
        <f t="shared" ca="1" si="1"/>
        <v>#REF!</v>
      </c>
      <c r="L962" s="82" t="str">
        <f t="shared" ca="1" si="44"/>
        <v>#REF!</v>
      </c>
      <c r="M962" s="93"/>
      <c r="N962" s="93"/>
      <c r="O962" s="95">
        <f t="shared" si="2"/>
        <v>0</v>
      </c>
      <c r="P962" s="96">
        <f t="shared" si="3"/>
        <v>0</v>
      </c>
      <c r="Q962" s="97">
        <f t="shared" si="4"/>
        <v>0</v>
      </c>
      <c r="R962" s="97" t="str">
        <f ca="1">ROUNDUP(HLOOKUP(IF(CEILING(L962,0.5)&lt;1,0.5,CEILING(L962,0.5)),'배송비 조회'!A$44:AO$56,7,0)*B$3,-2)</f>
        <v>#REF!</v>
      </c>
      <c r="S962" s="97">
        <v>0</v>
      </c>
      <c r="T962" s="97" t="str">
        <f t="shared" ca="1" si="42"/>
        <v>#REF!</v>
      </c>
      <c r="U962" s="97" t="str">
        <f t="shared" ca="1" si="29"/>
        <v>#REF!</v>
      </c>
      <c r="V962" s="97" t="str">
        <f t="shared" ca="1" si="7"/>
        <v>#REF!</v>
      </c>
      <c r="W962" s="97" t="str">
        <f t="shared" ca="1" si="8"/>
        <v>#REF!</v>
      </c>
      <c r="X962" s="121">
        <v>0</v>
      </c>
      <c r="Y962" s="121" t="str">
        <f t="shared" ca="1" si="9"/>
        <v>#REF!</v>
      </c>
      <c r="Z962" s="121" t="str">
        <f t="shared" ca="1" si="10"/>
        <v>#REF!</v>
      </c>
      <c r="AA962" s="99" t="str">
        <f t="shared" ca="1" si="11"/>
        <v>#REF!</v>
      </c>
      <c r="AB962" s="234" t="str">
        <f t="shared" ca="1" si="12"/>
        <v>#REF!</v>
      </c>
      <c r="AC962" s="257" t="str">
        <f t="shared" ca="1" si="13"/>
        <v>#REF!</v>
      </c>
      <c r="AD962" s="234" t="str">
        <f t="shared" ca="1" si="14"/>
        <v>#REF!</v>
      </c>
      <c r="AE962" s="100" t="str">
        <f t="shared" ca="1" si="15"/>
        <v>#REF!</v>
      </c>
      <c r="AF962" s="101" t="str">
        <f t="shared" ca="1" si="16"/>
        <v>#REF!</v>
      </c>
      <c r="AG962" s="102" t="str">
        <f t="shared" ref="AG962:AH962" ca="1" si="980">AE962/V962</f>
        <v>#REF!</v>
      </c>
      <c r="AH962" s="102" t="str">
        <f t="shared" ca="1" si="980"/>
        <v>#REF!</v>
      </c>
    </row>
    <row r="963" spans="1:34" ht="13.2">
      <c r="A963" s="251"/>
      <c r="B963" s="251"/>
      <c r="C963" s="252"/>
      <c r="D963" s="252"/>
      <c r="E963" s="114"/>
      <c r="F963" s="252"/>
      <c r="G963" s="125" t="s">
        <v>145</v>
      </c>
      <c r="I963" s="172"/>
      <c r="J963" s="82" t="str">
        <f t="shared" ca="1" si="0"/>
        <v>#REF!</v>
      </c>
      <c r="K963" s="82" t="str">
        <f t="shared" ca="1" si="1"/>
        <v>#REF!</v>
      </c>
      <c r="L963" s="82" t="str">
        <f t="shared" ca="1" si="44"/>
        <v>#REF!</v>
      </c>
      <c r="M963" s="93"/>
      <c r="N963" s="93"/>
      <c r="O963" s="95">
        <f t="shared" si="2"/>
        <v>0</v>
      </c>
      <c r="P963" s="96">
        <f t="shared" si="3"/>
        <v>0</v>
      </c>
      <c r="Q963" s="97">
        <f t="shared" si="4"/>
        <v>0</v>
      </c>
      <c r="R963" s="97" t="str">
        <f ca="1">ROUNDUP(HLOOKUP(IF(CEILING(L963,0.5)&lt;1,0.5,CEILING(L963,0.5)),'배송비 조회'!A$44:AO$56,7,0)*B$3,-2)</f>
        <v>#REF!</v>
      </c>
      <c r="S963" s="97">
        <v>0</v>
      </c>
      <c r="T963" s="97" t="str">
        <f t="shared" ca="1" si="42"/>
        <v>#REF!</v>
      </c>
      <c r="U963" s="97" t="str">
        <f t="shared" ca="1" si="29"/>
        <v>#REF!</v>
      </c>
      <c r="V963" s="97" t="str">
        <f t="shared" ca="1" si="7"/>
        <v>#REF!</v>
      </c>
      <c r="W963" s="97" t="str">
        <f t="shared" ca="1" si="8"/>
        <v>#REF!</v>
      </c>
      <c r="X963" s="121">
        <v>0</v>
      </c>
      <c r="Y963" s="121" t="str">
        <f t="shared" ca="1" si="9"/>
        <v>#REF!</v>
      </c>
      <c r="Z963" s="121" t="str">
        <f t="shared" ca="1" si="10"/>
        <v>#REF!</v>
      </c>
      <c r="AA963" s="99" t="str">
        <f t="shared" ca="1" si="11"/>
        <v>#REF!</v>
      </c>
      <c r="AB963" s="234" t="str">
        <f t="shared" ca="1" si="12"/>
        <v>#REF!</v>
      </c>
      <c r="AC963" s="257" t="str">
        <f t="shared" ca="1" si="13"/>
        <v>#REF!</v>
      </c>
      <c r="AD963" s="234" t="str">
        <f t="shared" ca="1" si="14"/>
        <v>#REF!</v>
      </c>
      <c r="AE963" s="100" t="str">
        <f t="shared" ca="1" si="15"/>
        <v>#REF!</v>
      </c>
      <c r="AF963" s="101" t="str">
        <f t="shared" ca="1" si="16"/>
        <v>#REF!</v>
      </c>
      <c r="AG963" s="102" t="str">
        <f t="shared" ref="AG963:AH963" ca="1" si="981">AE963/V963</f>
        <v>#REF!</v>
      </c>
      <c r="AH963" s="102" t="str">
        <f t="shared" ca="1" si="981"/>
        <v>#REF!</v>
      </c>
    </row>
    <row r="964" spans="1:34" ht="13.2">
      <c r="A964" s="251"/>
      <c r="B964" s="251"/>
      <c r="C964" s="252"/>
      <c r="D964" s="252"/>
      <c r="E964" s="114"/>
      <c r="F964" s="252"/>
      <c r="G964" s="125" t="s">
        <v>145</v>
      </c>
      <c r="I964" s="172"/>
      <c r="J964" s="82" t="str">
        <f t="shared" ca="1" si="0"/>
        <v>#REF!</v>
      </c>
      <c r="K964" s="82" t="str">
        <f t="shared" ca="1" si="1"/>
        <v>#REF!</v>
      </c>
      <c r="L964" s="82" t="str">
        <f t="shared" ca="1" si="44"/>
        <v>#REF!</v>
      </c>
      <c r="M964" s="93"/>
      <c r="N964" s="93"/>
      <c r="O964" s="95">
        <f t="shared" si="2"/>
        <v>0</v>
      </c>
      <c r="P964" s="96">
        <f t="shared" si="3"/>
        <v>0</v>
      </c>
      <c r="Q964" s="97">
        <f t="shared" si="4"/>
        <v>0</v>
      </c>
      <c r="R964" s="97" t="str">
        <f ca="1">ROUNDUP(HLOOKUP(IF(CEILING(L964,0.5)&lt;1,0.5,CEILING(L964,0.5)),'배송비 조회'!A$44:AO$56,7,0)*B$3,-2)</f>
        <v>#REF!</v>
      </c>
      <c r="S964" s="97">
        <v>0</v>
      </c>
      <c r="T964" s="97" t="str">
        <f t="shared" ca="1" si="42"/>
        <v>#REF!</v>
      </c>
      <c r="U964" s="97" t="str">
        <f t="shared" ca="1" si="29"/>
        <v>#REF!</v>
      </c>
      <c r="V964" s="97" t="str">
        <f t="shared" ca="1" si="7"/>
        <v>#REF!</v>
      </c>
      <c r="W964" s="97" t="str">
        <f t="shared" ca="1" si="8"/>
        <v>#REF!</v>
      </c>
      <c r="X964" s="121">
        <v>0</v>
      </c>
      <c r="Y964" s="121" t="str">
        <f t="shared" ca="1" si="9"/>
        <v>#REF!</v>
      </c>
      <c r="Z964" s="121" t="str">
        <f t="shared" ca="1" si="10"/>
        <v>#REF!</v>
      </c>
      <c r="AA964" s="99" t="str">
        <f t="shared" ca="1" si="11"/>
        <v>#REF!</v>
      </c>
      <c r="AB964" s="234" t="str">
        <f t="shared" ca="1" si="12"/>
        <v>#REF!</v>
      </c>
      <c r="AC964" s="257" t="str">
        <f t="shared" ca="1" si="13"/>
        <v>#REF!</v>
      </c>
      <c r="AD964" s="234" t="str">
        <f t="shared" ca="1" si="14"/>
        <v>#REF!</v>
      </c>
      <c r="AE964" s="100" t="str">
        <f t="shared" ca="1" si="15"/>
        <v>#REF!</v>
      </c>
      <c r="AF964" s="101" t="str">
        <f t="shared" ca="1" si="16"/>
        <v>#REF!</v>
      </c>
      <c r="AG964" s="102" t="str">
        <f t="shared" ref="AG964:AH964" ca="1" si="982">AE964/V964</f>
        <v>#REF!</v>
      </c>
      <c r="AH964" s="102" t="str">
        <f t="shared" ca="1" si="982"/>
        <v>#REF!</v>
      </c>
    </row>
    <row r="965" spans="1:34" ht="13.2">
      <c r="A965" s="251"/>
      <c r="B965" s="251"/>
      <c r="C965" s="252"/>
      <c r="D965" s="252"/>
      <c r="E965" s="114"/>
      <c r="F965" s="252"/>
      <c r="G965" s="125" t="s">
        <v>145</v>
      </c>
      <c r="I965" s="172"/>
      <c r="J965" s="82" t="str">
        <f t="shared" ca="1" si="0"/>
        <v>#REF!</v>
      </c>
      <c r="K965" s="82" t="str">
        <f t="shared" ca="1" si="1"/>
        <v>#REF!</v>
      </c>
      <c r="L965" s="82" t="str">
        <f t="shared" ca="1" si="44"/>
        <v>#REF!</v>
      </c>
      <c r="M965" s="93"/>
      <c r="N965" s="93"/>
      <c r="O965" s="95">
        <f t="shared" si="2"/>
        <v>0</v>
      </c>
      <c r="P965" s="96">
        <f t="shared" si="3"/>
        <v>0</v>
      </c>
      <c r="Q965" s="97">
        <f t="shared" si="4"/>
        <v>0</v>
      </c>
      <c r="R965" s="97" t="str">
        <f ca="1">ROUNDUP(HLOOKUP(IF(CEILING(L965,0.5)&lt;1,0.5,CEILING(L965,0.5)),'배송비 조회'!A$44:AO$56,7,0)*B$3,-2)</f>
        <v>#REF!</v>
      </c>
      <c r="S965" s="97">
        <v>0</v>
      </c>
      <c r="T965" s="97" t="str">
        <f t="shared" ca="1" si="42"/>
        <v>#REF!</v>
      </c>
      <c r="U965" s="97" t="str">
        <f t="shared" ca="1" si="29"/>
        <v>#REF!</v>
      </c>
      <c r="V965" s="97" t="str">
        <f t="shared" ca="1" si="7"/>
        <v>#REF!</v>
      </c>
      <c r="W965" s="97" t="str">
        <f t="shared" ca="1" si="8"/>
        <v>#REF!</v>
      </c>
      <c r="X965" s="121">
        <v>0</v>
      </c>
      <c r="Y965" s="121" t="str">
        <f t="shared" ca="1" si="9"/>
        <v>#REF!</v>
      </c>
      <c r="Z965" s="121" t="str">
        <f t="shared" ca="1" si="10"/>
        <v>#REF!</v>
      </c>
      <c r="AA965" s="99" t="str">
        <f t="shared" ca="1" si="11"/>
        <v>#REF!</v>
      </c>
      <c r="AB965" s="234" t="str">
        <f t="shared" ca="1" si="12"/>
        <v>#REF!</v>
      </c>
      <c r="AC965" s="257" t="str">
        <f t="shared" ca="1" si="13"/>
        <v>#REF!</v>
      </c>
      <c r="AD965" s="234" t="str">
        <f t="shared" ca="1" si="14"/>
        <v>#REF!</v>
      </c>
      <c r="AE965" s="100" t="str">
        <f t="shared" ca="1" si="15"/>
        <v>#REF!</v>
      </c>
      <c r="AF965" s="101" t="str">
        <f t="shared" ca="1" si="16"/>
        <v>#REF!</v>
      </c>
      <c r="AG965" s="102" t="str">
        <f t="shared" ref="AG965:AH965" ca="1" si="983">AE965/V965</f>
        <v>#REF!</v>
      </c>
      <c r="AH965" s="102" t="str">
        <f t="shared" ca="1" si="983"/>
        <v>#REF!</v>
      </c>
    </row>
    <row r="966" spans="1:34" ht="13.2">
      <c r="A966" s="251"/>
      <c r="B966" s="251"/>
      <c r="C966" s="252"/>
      <c r="D966" s="252"/>
      <c r="E966" s="114"/>
      <c r="F966" s="252"/>
      <c r="G966" s="125" t="s">
        <v>145</v>
      </c>
      <c r="I966" s="172"/>
      <c r="J966" s="82" t="str">
        <f t="shared" ca="1" si="0"/>
        <v>#REF!</v>
      </c>
      <c r="K966" s="82" t="str">
        <f t="shared" ca="1" si="1"/>
        <v>#REF!</v>
      </c>
      <c r="L966" s="82" t="str">
        <f t="shared" ca="1" si="44"/>
        <v>#REF!</v>
      </c>
      <c r="M966" s="93"/>
      <c r="N966" s="93"/>
      <c r="O966" s="95">
        <f t="shared" si="2"/>
        <v>0</v>
      </c>
      <c r="P966" s="96">
        <f t="shared" si="3"/>
        <v>0</v>
      </c>
      <c r="Q966" s="97">
        <f t="shared" si="4"/>
        <v>0</v>
      </c>
      <c r="R966" s="97" t="str">
        <f ca="1">ROUNDUP(HLOOKUP(IF(CEILING(L966,0.5)&lt;1,0.5,CEILING(L966,0.5)),'배송비 조회'!A$44:AO$56,7,0)*B$3,-2)</f>
        <v>#REF!</v>
      </c>
      <c r="S966" s="97">
        <v>0</v>
      </c>
      <c r="T966" s="97" t="str">
        <f t="shared" ca="1" si="42"/>
        <v>#REF!</v>
      </c>
      <c r="U966" s="97" t="str">
        <f t="shared" ca="1" si="29"/>
        <v>#REF!</v>
      </c>
      <c r="V966" s="97" t="str">
        <f t="shared" ca="1" si="7"/>
        <v>#REF!</v>
      </c>
      <c r="W966" s="97" t="str">
        <f t="shared" ca="1" si="8"/>
        <v>#REF!</v>
      </c>
      <c r="X966" s="121">
        <v>0</v>
      </c>
      <c r="Y966" s="121" t="str">
        <f t="shared" ca="1" si="9"/>
        <v>#REF!</v>
      </c>
      <c r="Z966" s="121" t="str">
        <f t="shared" ca="1" si="10"/>
        <v>#REF!</v>
      </c>
      <c r="AA966" s="99" t="str">
        <f t="shared" ca="1" si="11"/>
        <v>#REF!</v>
      </c>
      <c r="AB966" s="234" t="str">
        <f t="shared" ca="1" si="12"/>
        <v>#REF!</v>
      </c>
      <c r="AC966" s="257" t="str">
        <f t="shared" ca="1" si="13"/>
        <v>#REF!</v>
      </c>
      <c r="AD966" s="234" t="str">
        <f t="shared" ca="1" si="14"/>
        <v>#REF!</v>
      </c>
      <c r="AE966" s="100" t="str">
        <f t="shared" ca="1" si="15"/>
        <v>#REF!</v>
      </c>
      <c r="AF966" s="101" t="str">
        <f t="shared" ca="1" si="16"/>
        <v>#REF!</v>
      </c>
      <c r="AG966" s="102" t="str">
        <f t="shared" ref="AG966:AH966" ca="1" si="984">AE966/V966</f>
        <v>#REF!</v>
      </c>
      <c r="AH966" s="102" t="str">
        <f t="shared" ca="1" si="984"/>
        <v>#REF!</v>
      </c>
    </row>
    <row r="967" spans="1:34" ht="13.2">
      <c r="A967" s="251"/>
      <c r="B967" s="251"/>
      <c r="C967" s="252"/>
      <c r="D967" s="252"/>
      <c r="E967" s="114"/>
      <c r="F967" s="252"/>
      <c r="G967" s="125" t="s">
        <v>145</v>
      </c>
      <c r="I967" s="172"/>
      <c r="J967" s="82" t="str">
        <f t="shared" ca="1" si="0"/>
        <v>#REF!</v>
      </c>
      <c r="K967" s="82" t="str">
        <f t="shared" ca="1" si="1"/>
        <v>#REF!</v>
      </c>
      <c r="L967" s="82" t="str">
        <f t="shared" ca="1" si="44"/>
        <v>#REF!</v>
      </c>
      <c r="M967" s="93"/>
      <c r="N967" s="93"/>
      <c r="O967" s="95">
        <f t="shared" si="2"/>
        <v>0</v>
      </c>
      <c r="P967" s="96">
        <f t="shared" si="3"/>
        <v>0</v>
      </c>
      <c r="Q967" s="97">
        <f t="shared" si="4"/>
        <v>0</v>
      </c>
      <c r="R967" s="97" t="str">
        <f ca="1">ROUNDUP(HLOOKUP(IF(CEILING(L967,0.5)&lt;1,0.5,CEILING(L967,0.5)),'배송비 조회'!A$44:AO$56,7,0)*B$3,-2)</f>
        <v>#REF!</v>
      </c>
      <c r="S967" s="97">
        <v>0</v>
      </c>
      <c r="T967" s="97" t="str">
        <f t="shared" ca="1" si="42"/>
        <v>#REF!</v>
      </c>
      <c r="U967" s="97" t="str">
        <f t="shared" ca="1" si="29"/>
        <v>#REF!</v>
      </c>
      <c r="V967" s="97" t="str">
        <f t="shared" ca="1" si="7"/>
        <v>#REF!</v>
      </c>
      <c r="W967" s="97" t="str">
        <f t="shared" ca="1" si="8"/>
        <v>#REF!</v>
      </c>
      <c r="X967" s="121">
        <v>0</v>
      </c>
      <c r="Y967" s="121" t="str">
        <f t="shared" ca="1" si="9"/>
        <v>#REF!</v>
      </c>
      <c r="Z967" s="121" t="str">
        <f t="shared" ca="1" si="10"/>
        <v>#REF!</v>
      </c>
      <c r="AA967" s="99" t="str">
        <f t="shared" ca="1" si="11"/>
        <v>#REF!</v>
      </c>
      <c r="AB967" s="234" t="str">
        <f t="shared" ca="1" si="12"/>
        <v>#REF!</v>
      </c>
      <c r="AC967" s="257" t="str">
        <f t="shared" ca="1" si="13"/>
        <v>#REF!</v>
      </c>
      <c r="AD967" s="234" t="str">
        <f t="shared" ca="1" si="14"/>
        <v>#REF!</v>
      </c>
      <c r="AE967" s="100" t="str">
        <f t="shared" ca="1" si="15"/>
        <v>#REF!</v>
      </c>
      <c r="AF967" s="101" t="str">
        <f t="shared" ca="1" si="16"/>
        <v>#REF!</v>
      </c>
      <c r="AG967" s="102" t="str">
        <f t="shared" ref="AG967:AH967" ca="1" si="985">AE967/V967</f>
        <v>#REF!</v>
      </c>
      <c r="AH967" s="102" t="str">
        <f t="shared" ca="1" si="985"/>
        <v>#REF!</v>
      </c>
    </row>
    <row r="968" spans="1:34" ht="13.2">
      <c r="A968" s="251"/>
      <c r="B968" s="251"/>
      <c r="C968" s="252"/>
      <c r="D968" s="252"/>
      <c r="E968" s="114"/>
      <c r="F968" s="252"/>
      <c r="G968" s="125" t="s">
        <v>145</v>
      </c>
      <c r="I968" s="172"/>
      <c r="J968" s="82" t="str">
        <f t="shared" ca="1" si="0"/>
        <v>#REF!</v>
      </c>
      <c r="K968" s="82" t="str">
        <f t="shared" ca="1" si="1"/>
        <v>#REF!</v>
      </c>
      <c r="L968" s="82" t="str">
        <f t="shared" ca="1" si="44"/>
        <v>#REF!</v>
      </c>
      <c r="M968" s="93"/>
      <c r="N968" s="93"/>
      <c r="O968" s="95">
        <f t="shared" si="2"/>
        <v>0</v>
      </c>
      <c r="P968" s="96">
        <f t="shared" si="3"/>
        <v>0</v>
      </c>
      <c r="Q968" s="97">
        <f t="shared" si="4"/>
        <v>0</v>
      </c>
      <c r="R968" s="97" t="str">
        <f ca="1">ROUNDUP(HLOOKUP(IF(CEILING(L968,0.5)&lt;1,0.5,CEILING(L968,0.5)),'배송비 조회'!A$44:AO$56,7,0)*B$3,-2)</f>
        <v>#REF!</v>
      </c>
      <c r="S968" s="97">
        <v>0</v>
      </c>
      <c r="T968" s="97" t="str">
        <f t="shared" ca="1" si="42"/>
        <v>#REF!</v>
      </c>
      <c r="U968" s="97" t="str">
        <f t="shared" ca="1" si="29"/>
        <v>#REF!</v>
      </c>
      <c r="V968" s="97" t="str">
        <f t="shared" ca="1" si="7"/>
        <v>#REF!</v>
      </c>
      <c r="W968" s="97" t="str">
        <f t="shared" ca="1" si="8"/>
        <v>#REF!</v>
      </c>
      <c r="X968" s="121">
        <v>0</v>
      </c>
      <c r="Y968" s="121" t="str">
        <f t="shared" ca="1" si="9"/>
        <v>#REF!</v>
      </c>
      <c r="Z968" s="121" t="str">
        <f t="shared" ca="1" si="10"/>
        <v>#REF!</v>
      </c>
      <c r="AA968" s="99" t="str">
        <f t="shared" ca="1" si="11"/>
        <v>#REF!</v>
      </c>
      <c r="AB968" s="234" t="str">
        <f t="shared" ca="1" si="12"/>
        <v>#REF!</v>
      </c>
      <c r="AC968" s="257" t="str">
        <f t="shared" ca="1" si="13"/>
        <v>#REF!</v>
      </c>
      <c r="AD968" s="234" t="str">
        <f t="shared" ca="1" si="14"/>
        <v>#REF!</v>
      </c>
      <c r="AE968" s="100" t="str">
        <f t="shared" ca="1" si="15"/>
        <v>#REF!</v>
      </c>
      <c r="AF968" s="101" t="str">
        <f t="shared" ca="1" si="16"/>
        <v>#REF!</v>
      </c>
      <c r="AG968" s="102" t="str">
        <f t="shared" ref="AG968:AH968" ca="1" si="986">AE968/V968</f>
        <v>#REF!</v>
      </c>
      <c r="AH968" s="102" t="str">
        <f t="shared" ca="1" si="986"/>
        <v>#REF!</v>
      </c>
    </row>
    <row r="969" spans="1:34" ht="13.2">
      <c r="A969" s="251"/>
      <c r="B969" s="251"/>
      <c r="C969" s="252"/>
      <c r="D969" s="252"/>
      <c r="E969" s="114"/>
      <c r="F969" s="252"/>
      <c r="G969" s="125" t="s">
        <v>145</v>
      </c>
      <c r="I969" s="172"/>
      <c r="J969" s="82" t="str">
        <f t="shared" ca="1" si="0"/>
        <v>#REF!</v>
      </c>
      <c r="K969" s="82" t="str">
        <f t="shared" ca="1" si="1"/>
        <v>#REF!</v>
      </c>
      <c r="L969" s="82" t="str">
        <f t="shared" ca="1" si="44"/>
        <v>#REF!</v>
      </c>
      <c r="M969" s="93"/>
      <c r="N969" s="93"/>
      <c r="O969" s="95">
        <f t="shared" si="2"/>
        <v>0</v>
      </c>
      <c r="P969" s="96">
        <f t="shared" si="3"/>
        <v>0</v>
      </c>
      <c r="Q969" s="97">
        <f t="shared" si="4"/>
        <v>0</v>
      </c>
      <c r="R969" s="97" t="str">
        <f ca="1">ROUNDUP(HLOOKUP(IF(CEILING(L969,0.5)&lt;1,0.5,CEILING(L969,0.5)),'배송비 조회'!A$44:AO$56,7,0)*B$3,-2)</f>
        <v>#REF!</v>
      </c>
      <c r="S969" s="97">
        <v>0</v>
      </c>
      <c r="T969" s="97" t="str">
        <f t="shared" ca="1" si="42"/>
        <v>#REF!</v>
      </c>
      <c r="U969" s="97" t="str">
        <f t="shared" ca="1" si="29"/>
        <v>#REF!</v>
      </c>
      <c r="V969" s="97" t="str">
        <f t="shared" ca="1" si="7"/>
        <v>#REF!</v>
      </c>
      <c r="W969" s="97" t="str">
        <f t="shared" ca="1" si="8"/>
        <v>#REF!</v>
      </c>
      <c r="X969" s="121">
        <v>0</v>
      </c>
      <c r="Y969" s="121" t="str">
        <f t="shared" ca="1" si="9"/>
        <v>#REF!</v>
      </c>
      <c r="Z969" s="121" t="str">
        <f t="shared" ca="1" si="10"/>
        <v>#REF!</v>
      </c>
      <c r="AA969" s="99" t="str">
        <f t="shared" ca="1" si="11"/>
        <v>#REF!</v>
      </c>
      <c r="AB969" s="234" t="str">
        <f t="shared" ca="1" si="12"/>
        <v>#REF!</v>
      </c>
      <c r="AC969" s="257" t="str">
        <f t="shared" ca="1" si="13"/>
        <v>#REF!</v>
      </c>
      <c r="AD969" s="234" t="str">
        <f t="shared" ca="1" si="14"/>
        <v>#REF!</v>
      </c>
      <c r="AE969" s="100" t="str">
        <f t="shared" ca="1" si="15"/>
        <v>#REF!</v>
      </c>
      <c r="AF969" s="101" t="str">
        <f t="shared" ca="1" si="16"/>
        <v>#REF!</v>
      </c>
      <c r="AG969" s="102" t="str">
        <f t="shared" ref="AG969:AH969" ca="1" si="987">AE969/V969</f>
        <v>#REF!</v>
      </c>
      <c r="AH969" s="102" t="str">
        <f t="shared" ca="1" si="987"/>
        <v>#REF!</v>
      </c>
    </row>
    <row r="970" spans="1:34" ht="13.2">
      <c r="A970" s="251"/>
      <c r="B970" s="251"/>
      <c r="C970" s="252"/>
      <c r="D970" s="252"/>
      <c r="E970" s="114"/>
      <c r="F970" s="252"/>
      <c r="G970" s="125" t="s">
        <v>145</v>
      </c>
      <c r="I970" s="172"/>
      <c r="J970" s="82" t="str">
        <f t="shared" ca="1" si="0"/>
        <v>#REF!</v>
      </c>
      <c r="K970" s="82" t="str">
        <f t="shared" ca="1" si="1"/>
        <v>#REF!</v>
      </c>
      <c r="L970" s="82" t="str">
        <f t="shared" ca="1" si="44"/>
        <v>#REF!</v>
      </c>
      <c r="M970" s="93"/>
      <c r="N970" s="93"/>
      <c r="O970" s="95">
        <f t="shared" si="2"/>
        <v>0</v>
      </c>
      <c r="P970" s="96">
        <f t="shared" si="3"/>
        <v>0</v>
      </c>
      <c r="Q970" s="97">
        <f t="shared" si="4"/>
        <v>0</v>
      </c>
      <c r="R970" s="97" t="str">
        <f ca="1">ROUNDUP(HLOOKUP(IF(CEILING(L970,0.5)&lt;1,0.5,CEILING(L970,0.5)),'배송비 조회'!A$44:AO$56,7,0)*B$3,-2)</f>
        <v>#REF!</v>
      </c>
      <c r="S970" s="97">
        <v>0</v>
      </c>
      <c r="T970" s="97" t="str">
        <f t="shared" ca="1" si="42"/>
        <v>#REF!</v>
      </c>
      <c r="U970" s="97" t="str">
        <f t="shared" ca="1" si="29"/>
        <v>#REF!</v>
      </c>
      <c r="V970" s="97" t="str">
        <f t="shared" ca="1" si="7"/>
        <v>#REF!</v>
      </c>
      <c r="W970" s="97" t="str">
        <f t="shared" ca="1" si="8"/>
        <v>#REF!</v>
      </c>
      <c r="X970" s="121">
        <v>0</v>
      </c>
      <c r="Y970" s="121" t="str">
        <f t="shared" ca="1" si="9"/>
        <v>#REF!</v>
      </c>
      <c r="Z970" s="121" t="str">
        <f t="shared" ca="1" si="10"/>
        <v>#REF!</v>
      </c>
      <c r="AA970" s="99" t="str">
        <f t="shared" ca="1" si="11"/>
        <v>#REF!</v>
      </c>
      <c r="AB970" s="234" t="str">
        <f t="shared" ca="1" si="12"/>
        <v>#REF!</v>
      </c>
      <c r="AC970" s="257" t="str">
        <f t="shared" ca="1" si="13"/>
        <v>#REF!</v>
      </c>
      <c r="AD970" s="234" t="str">
        <f t="shared" ca="1" si="14"/>
        <v>#REF!</v>
      </c>
      <c r="AE970" s="100" t="str">
        <f t="shared" ca="1" si="15"/>
        <v>#REF!</v>
      </c>
      <c r="AF970" s="101" t="str">
        <f t="shared" ca="1" si="16"/>
        <v>#REF!</v>
      </c>
      <c r="AG970" s="102" t="str">
        <f t="shared" ref="AG970:AH970" ca="1" si="988">AE970/V970</f>
        <v>#REF!</v>
      </c>
      <c r="AH970" s="102" t="str">
        <f t="shared" ca="1" si="988"/>
        <v>#REF!</v>
      </c>
    </row>
    <row r="971" spans="1:34" ht="13.2">
      <c r="A971" s="251"/>
      <c r="B971" s="251"/>
      <c r="C971" s="252"/>
      <c r="D971" s="252"/>
      <c r="E971" s="114"/>
      <c r="F971" s="252"/>
      <c r="G971" s="125" t="s">
        <v>145</v>
      </c>
      <c r="I971" s="172"/>
      <c r="J971" s="82" t="str">
        <f t="shared" ca="1" si="0"/>
        <v>#REF!</v>
      </c>
      <c r="K971" s="82" t="str">
        <f t="shared" ca="1" si="1"/>
        <v>#REF!</v>
      </c>
      <c r="L971" s="82" t="str">
        <f t="shared" ca="1" si="44"/>
        <v>#REF!</v>
      </c>
      <c r="M971" s="93"/>
      <c r="N971" s="93"/>
      <c r="O971" s="95">
        <f t="shared" si="2"/>
        <v>0</v>
      </c>
      <c r="P971" s="96">
        <f t="shared" si="3"/>
        <v>0</v>
      </c>
      <c r="Q971" s="97">
        <f t="shared" si="4"/>
        <v>0</v>
      </c>
      <c r="R971" s="97" t="str">
        <f ca="1">ROUNDUP(HLOOKUP(IF(CEILING(L971,0.5)&lt;1,0.5,CEILING(L971,0.5)),'배송비 조회'!A$44:AO$56,7,0)*B$3,-2)</f>
        <v>#REF!</v>
      </c>
      <c r="S971" s="97">
        <v>0</v>
      </c>
      <c r="T971" s="97" t="str">
        <f t="shared" ca="1" si="42"/>
        <v>#REF!</v>
      </c>
      <c r="U971" s="97" t="str">
        <f t="shared" ca="1" si="29"/>
        <v>#REF!</v>
      </c>
      <c r="V971" s="97" t="str">
        <f t="shared" ca="1" si="7"/>
        <v>#REF!</v>
      </c>
      <c r="W971" s="97" t="str">
        <f t="shared" ca="1" si="8"/>
        <v>#REF!</v>
      </c>
      <c r="X971" s="121">
        <v>0</v>
      </c>
      <c r="Y971" s="121" t="str">
        <f t="shared" ca="1" si="9"/>
        <v>#REF!</v>
      </c>
      <c r="Z971" s="121" t="str">
        <f t="shared" ca="1" si="10"/>
        <v>#REF!</v>
      </c>
      <c r="AA971" s="99" t="str">
        <f t="shared" ca="1" si="11"/>
        <v>#REF!</v>
      </c>
      <c r="AB971" s="234" t="str">
        <f t="shared" ca="1" si="12"/>
        <v>#REF!</v>
      </c>
      <c r="AC971" s="257" t="str">
        <f t="shared" ca="1" si="13"/>
        <v>#REF!</v>
      </c>
      <c r="AD971" s="234" t="str">
        <f t="shared" ca="1" si="14"/>
        <v>#REF!</v>
      </c>
      <c r="AE971" s="100" t="str">
        <f t="shared" ca="1" si="15"/>
        <v>#REF!</v>
      </c>
      <c r="AF971" s="101" t="str">
        <f t="shared" ca="1" si="16"/>
        <v>#REF!</v>
      </c>
      <c r="AG971" s="102" t="str">
        <f t="shared" ref="AG971:AH971" ca="1" si="989">AE971/V971</f>
        <v>#REF!</v>
      </c>
      <c r="AH971" s="102" t="str">
        <f t="shared" ca="1" si="989"/>
        <v>#REF!</v>
      </c>
    </row>
    <row r="972" spans="1:34" ht="13.2">
      <c r="A972" s="251"/>
      <c r="B972" s="251"/>
      <c r="C972" s="252"/>
      <c r="D972" s="252"/>
      <c r="E972" s="114"/>
      <c r="F972" s="252"/>
      <c r="G972" s="125" t="s">
        <v>145</v>
      </c>
      <c r="I972" s="172"/>
      <c r="J972" s="82" t="str">
        <f t="shared" ca="1" si="0"/>
        <v>#REF!</v>
      </c>
      <c r="K972" s="82" t="str">
        <f t="shared" ca="1" si="1"/>
        <v>#REF!</v>
      </c>
      <c r="L972" s="82" t="str">
        <f t="shared" ca="1" si="44"/>
        <v>#REF!</v>
      </c>
      <c r="M972" s="93"/>
      <c r="N972" s="93"/>
      <c r="O972" s="95">
        <f t="shared" si="2"/>
        <v>0</v>
      </c>
      <c r="P972" s="96">
        <f t="shared" si="3"/>
        <v>0</v>
      </c>
      <c r="Q972" s="97">
        <f t="shared" si="4"/>
        <v>0</v>
      </c>
      <c r="R972" s="97" t="str">
        <f ca="1">ROUNDUP(HLOOKUP(IF(CEILING(L972,0.5)&lt;1,0.5,CEILING(L972,0.5)),'배송비 조회'!A$44:AO$56,7,0)*B$3,-2)</f>
        <v>#REF!</v>
      </c>
      <c r="S972" s="97">
        <v>0</v>
      </c>
      <c r="T972" s="97" t="str">
        <f t="shared" ca="1" si="42"/>
        <v>#REF!</v>
      </c>
      <c r="U972" s="97" t="str">
        <f t="shared" ca="1" si="29"/>
        <v>#REF!</v>
      </c>
      <c r="V972" s="97" t="str">
        <f t="shared" ca="1" si="7"/>
        <v>#REF!</v>
      </c>
      <c r="W972" s="97" t="str">
        <f t="shared" ca="1" si="8"/>
        <v>#REF!</v>
      </c>
      <c r="X972" s="121">
        <v>0</v>
      </c>
      <c r="Y972" s="121" t="str">
        <f t="shared" ca="1" si="9"/>
        <v>#REF!</v>
      </c>
      <c r="Z972" s="121" t="str">
        <f t="shared" ca="1" si="10"/>
        <v>#REF!</v>
      </c>
      <c r="AA972" s="99" t="str">
        <f t="shared" ca="1" si="11"/>
        <v>#REF!</v>
      </c>
      <c r="AB972" s="234" t="str">
        <f t="shared" ca="1" si="12"/>
        <v>#REF!</v>
      </c>
      <c r="AC972" s="257" t="str">
        <f t="shared" ca="1" si="13"/>
        <v>#REF!</v>
      </c>
      <c r="AD972" s="234" t="str">
        <f t="shared" ca="1" si="14"/>
        <v>#REF!</v>
      </c>
      <c r="AE972" s="100" t="str">
        <f t="shared" ca="1" si="15"/>
        <v>#REF!</v>
      </c>
      <c r="AF972" s="101" t="str">
        <f t="shared" ca="1" si="16"/>
        <v>#REF!</v>
      </c>
      <c r="AG972" s="102" t="str">
        <f t="shared" ref="AG972:AH972" ca="1" si="990">AE972/V972</f>
        <v>#REF!</v>
      </c>
      <c r="AH972" s="102" t="str">
        <f t="shared" ca="1" si="990"/>
        <v>#REF!</v>
      </c>
    </row>
    <row r="973" spans="1:34" ht="13.2">
      <c r="A973" s="251"/>
      <c r="B973" s="251"/>
      <c r="C973" s="252"/>
      <c r="D973" s="252"/>
      <c r="E973" s="114"/>
      <c r="F973" s="252"/>
      <c r="G973" s="125" t="s">
        <v>145</v>
      </c>
      <c r="I973" s="172"/>
      <c r="J973" s="82" t="str">
        <f t="shared" ca="1" si="0"/>
        <v>#REF!</v>
      </c>
      <c r="K973" s="82" t="str">
        <f t="shared" ca="1" si="1"/>
        <v>#REF!</v>
      </c>
      <c r="L973" s="82" t="str">
        <f t="shared" ca="1" si="44"/>
        <v>#REF!</v>
      </c>
      <c r="M973" s="93"/>
      <c r="N973" s="93"/>
      <c r="O973" s="95">
        <f t="shared" si="2"/>
        <v>0</v>
      </c>
      <c r="P973" s="96">
        <f t="shared" si="3"/>
        <v>0</v>
      </c>
      <c r="Q973" s="97">
        <f t="shared" si="4"/>
        <v>0</v>
      </c>
      <c r="R973" s="97" t="str">
        <f ca="1">ROUNDUP(HLOOKUP(IF(CEILING(L973,0.5)&lt;1,0.5,CEILING(L973,0.5)),'배송비 조회'!A$44:AO$56,7,0)*B$3,-2)</f>
        <v>#REF!</v>
      </c>
      <c r="S973" s="97">
        <v>0</v>
      </c>
      <c r="T973" s="97" t="str">
        <f t="shared" ca="1" si="42"/>
        <v>#REF!</v>
      </c>
      <c r="U973" s="97" t="str">
        <f t="shared" ca="1" si="29"/>
        <v>#REF!</v>
      </c>
      <c r="V973" s="97" t="str">
        <f t="shared" ca="1" si="7"/>
        <v>#REF!</v>
      </c>
      <c r="W973" s="97" t="str">
        <f t="shared" ca="1" si="8"/>
        <v>#REF!</v>
      </c>
      <c r="X973" s="121">
        <v>0</v>
      </c>
      <c r="Y973" s="121" t="str">
        <f t="shared" ca="1" si="9"/>
        <v>#REF!</v>
      </c>
      <c r="Z973" s="121" t="str">
        <f t="shared" ca="1" si="10"/>
        <v>#REF!</v>
      </c>
      <c r="AA973" s="99" t="str">
        <f t="shared" ca="1" si="11"/>
        <v>#REF!</v>
      </c>
      <c r="AB973" s="234" t="str">
        <f t="shared" ca="1" si="12"/>
        <v>#REF!</v>
      </c>
      <c r="AC973" s="257" t="str">
        <f t="shared" ca="1" si="13"/>
        <v>#REF!</v>
      </c>
      <c r="AD973" s="234" t="str">
        <f t="shared" ca="1" si="14"/>
        <v>#REF!</v>
      </c>
      <c r="AE973" s="100" t="str">
        <f t="shared" ca="1" si="15"/>
        <v>#REF!</v>
      </c>
      <c r="AF973" s="101" t="str">
        <f t="shared" ca="1" si="16"/>
        <v>#REF!</v>
      </c>
      <c r="AG973" s="102" t="str">
        <f t="shared" ref="AG973:AH973" ca="1" si="991">AE973/V973</f>
        <v>#REF!</v>
      </c>
      <c r="AH973" s="102" t="str">
        <f t="shared" ca="1" si="991"/>
        <v>#REF!</v>
      </c>
    </row>
    <row r="974" spans="1:34" ht="13.2">
      <c r="A974" s="251"/>
      <c r="B974" s="251"/>
      <c r="C974" s="252"/>
      <c r="D974" s="252"/>
      <c r="E974" s="114"/>
      <c r="F974" s="252"/>
      <c r="G974" s="125" t="s">
        <v>145</v>
      </c>
      <c r="I974" s="172"/>
      <c r="J974" s="82" t="str">
        <f t="shared" ca="1" si="0"/>
        <v>#REF!</v>
      </c>
      <c r="K974" s="82" t="str">
        <f t="shared" ca="1" si="1"/>
        <v>#REF!</v>
      </c>
      <c r="L974" s="82" t="str">
        <f t="shared" ca="1" si="44"/>
        <v>#REF!</v>
      </c>
      <c r="M974" s="93"/>
      <c r="N974" s="93"/>
      <c r="O974" s="95">
        <f t="shared" si="2"/>
        <v>0</v>
      </c>
      <c r="P974" s="96">
        <f t="shared" si="3"/>
        <v>0</v>
      </c>
      <c r="Q974" s="97">
        <f t="shared" si="4"/>
        <v>0</v>
      </c>
      <c r="R974" s="97" t="str">
        <f ca="1">ROUNDUP(HLOOKUP(IF(CEILING(L974,0.5)&lt;1,0.5,CEILING(L974,0.5)),'배송비 조회'!A$44:AO$56,7,0)*B$3,-2)</f>
        <v>#REF!</v>
      </c>
      <c r="S974" s="97">
        <v>0</v>
      </c>
      <c r="T974" s="97" t="str">
        <f t="shared" ca="1" si="42"/>
        <v>#REF!</v>
      </c>
      <c r="U974" s="97" t="str">
        <f t="shared" ca="1" si="29"/>
        <v>#REF!</v>
      </c>
      <c r="V974" s="97" t="str">
        <f t="shared" ca="1" si="7"/>
        <v>#REF!</v>
      </c>
      <c r="W974" s="97" t="str">
        <f t="shared" ca="1" si="8"/>
        <v>#REF!</v>
      </c>
      <c r="X974" s="121">
        <v>0</v>
      </c>
      <c r="Y974" s="121" t="str">
        <f t="shared" ca="1" si="9"/>
        <v>#REF!</v>
      </c>
      <c r="Z974" s="121" t="str">
        <f t="shared" ca="1" si="10"/>
        <v>#REF!</v>
      </c>
      <c r="AA974" s="99" t="str">
        <f t="shared" ca="1" si="11"/>
        <v>#REF!</v>
      </c>
      <c r="AB974" s="234" t="str">
        <f t="shared" ca="1" si="12"/>
        <v>#REF!</v>
      </c>
      <c r="AC974" s="257" t="str">
        <f t="shared" ca="1" si="13"/>
        <v>#REF!</v>
      </c>
      <c r="AD974" s="234" t="str">
        <f t="shared" ca="1" si="14"/>
        <v>#REF!</v>
      </c>
      <c r="AE974" s="100" t="str">
        <f t="shared" ca="1" si="15"/>
        <v>#REF!</v>
      </c>
      <c r="AF974" s="101" t="str">
        <f t="shared" ca="1" si="16"/>
        <v>#REF!</v>
      </c>
      <c r="AG974" s="102" t="str">
        <f t="shared" ref="AG974:AH974" ca="1" si="992">AE974/V974</f>
        <v>#REF!</v>
      </c>
      <c r="AH974" s="102" t="str">
        <f t="shared" ca="1" si="992"/>
        <v>#REF!</v>
      </c>
    </row>
    <row r="975" spans="1:34" ht="13.2">
      <c r="A975" s="251"/>
      <c r="B975" s="251"/>
      <c r="C975" s="252"/>
      <c r="D975" s="252"/>
      <c r="E975" s="114"/>
      <c r="F975" s="252"/>
      <c r="G975" s="125" t="s">
        <v>145</v>
      </c>
      <c r="I975" s="172"/>
      <c r="J975" s="82" t="str">
        <f t="shared" ca="1" si="0"/>
        <v>#REF!</v>
      </c>
      <c r="K975" s="82" t="str">
        <f t="shared" ca="1" si="1"/>
        <v>#REF!</v>
      </c>
      <c r="L975" s="82" t="str">
        <f t="shared" ca="1" si="44"/>
        <v>#REF!</v>
      </c>
      <c r="M975" s="93"/>
      <c r="N975" s="93"/>
      <c r="O975" s="95">
        <f t="shared" si="2"/>
        <v>0</v>
      </c>
      <c r="P975" s="96">
        <f t="shared" si="3"/>
        <v>0</v>
      </c>
      <c r="Q975" s="97">
        <f t="shared" si="4"/>
        <v>0</v>
      </c>
      <c r="R975" s="97" t="str">
        <f ca="1">ROUNDUP(HLOOKUP(IF(CEILING(L975,0.5)&lt;1,0.5,CEILING(L975,0.5)),'배송비 조회'!A$44:AO$56,7,0)*B$3,-2)</f>
        <v>#REF!</v>
      </c>
      <c r="S975" s="97">
        <v>0</v>
      </c>
      <c r="T975" s="97" t="str">
        <f t="shared" ca="1" si="42"/>
        <v>#REF!</v>
      </c>
      <c r="U975" s="97" t="str">
        <f t="shared" ca="1" si="29"/>
        <v>#REF!</v>
      </c>
      <c r="V975" s="97" t="str">
        <f t="shared" ca="1" si="7"/>
        <v>#REF!</v>
      </c>
      <c r="W975" s="97" t="str">
        <f t="shared" ca="1" si="8"/>
        <v>#REF!</v>
      </c>
      <c r="X975" s="121">
        <v>0</v>
      </c>
      <c r="Y975" s="121" t="str">
        <f t="shared" ca="1" si="9"/>
        <v>#REF!</v>
      </c>
      <c r="Z975" s="121" t="str">
        <f t="shared" ca="1" si="10"/>
        <v>#REF!</v>
      </c>
      <c r="AA975" s="99" t="str">
        <f t="shared" ca="1" si="11"/>
        <v>#REF!</v>
      </c>
      <c r="AB975" s="234" t="str">
        <f t="shared" ca="1" si="12"/>
        <v>#REF!</v>
      </c>
      <c r="AC975" s="257" t="str">
        <f t="shared" ca="1" si="13"/>
        <v>#REF!</v>
      </c>
      <c r="AD975" s="234" t="str">
        <f t="shared" ca="1" si="14"/>
        <v>#REF!</v>
      </c>
      <c r="AE975" s="100" t="str">
        <f t="shared" ca="1" si="15"/>
        <v>#REF!</v>
      </c>
      <c r="AF975" s="101" t="str">
        <f t="shared" ca="1" si="16"/>
        <v>#REF!</v>
      </c>
      <c r="AG975" s="102" t="str">
        <f t="shared" ref="AG975:AH975" ca="1" si="993">AE975/V975</f>
        <v>#REF!</v>
      </c>
      <c r="AH975" s="102" t="str">
        <f t="shared" ca="1" si="993"/>
        <v>#REF!</v>
      </c>
    </row>
    <row r="976" spans="1:34" ht="13.2">
      <c r="A976" s="251"/>
      <c r="B976" s="251"/>
      <c r="C976" s="252"/>
      <c r="D976" s="252"/>
      <c r="E976" s="114"/>
      <c r="F976" s="252"/>
      <c r="G976" s="125" t="s">
        <v>145</v>
      </c>
      <c r="I976" s="172"/>
      <c r="J976" s="82" t="str">
        <f t="shared" ca="1" si="0"/>
        <v>#REF!</v>
      </c>
      <c r="K976" s="82" t="str">
        <f t="shared" ca="1" si="1"/>
        <v>#REF!</v>
      </c>
      <c r="L976" s="82" t="str">
        <f t="shared" ca="1" si="44"/>
        <v>#REF!</v>
      </c>
      <c r="M976" s="93"/>
      <c r="N976" s="93"/>
      <c r="O976" s="95">
        <f t="shared" si="2"/>
        <v>0</v>
      </c>
      <c r="P976" s="96">
        <f t="shared" si="3"/>
        <v>0</v>
      </c>
      <c r="Q976" s="97">
        <f t="shared" si="4"/>
        <v>0</v>
      </c>
      <c r="R976" s="97" t="str">
        <f ca="1">ROUNDUP(HLOOKUP(IF(CEILING(L976,0.5)&lt;1,0.5,CEILING(L976,0.5)),'배송비 조회'!A$44:AO$56,7,0)*B$3,-2)</f>
        <v>#REF!</v>
      </c>
      <c r="S976" s="97">
        <v>0</v>
      </c>
      <c r="T976" s="97" t="str">
        <f t="shared" ca="1" si="42"/>
        <v>#REF!</v>
      </c>
      <c r="U976" s="97" t="str">
        <f t="shared" ca="1" si="29"/>
        <v>#REF!</v>
      </c>
      <c r="V976" s="97" t="str">
        <f t="shared" ca="1" si="7"/>
        <v>#REF!</v>
      </c>
      <c r="W976" s="97" t="str">
        <f t="shared" ca="1" si="8"/>
        <v>#REF!</v>
      </c>
      <c r="X976" s="121">
        <v>0</v>
      </c>
      <c r="Y976" s="121" t="str">
        <f t="shared" ca="1" si="9"/>
        <v>#REF!</v>
      </c>
      <c r="Z976" s="121" t="str">
        <f t="shared" ca="1" si="10"/>
        <v>#REF!</v>
      </c>
      <c r="AA976" s="99" t="str">
        <f t="shared" ca="1" si="11"/>
        <v>#REF!</v>
      </c>
      <c r="AB976" s="234" t="str">
        <f t="shared" ca="1" si="12"/>
        <v>#REF!</v>
      </c>
      <c r="AC976" s="257" t="str">
        <f t="shared" ca="1" si="13"/>
        <v>#REF!</v>
      </c>
      <c r="AD976" s="234" t="str">
        <f t="shared" ca="1" si="14"/>
        <v>#REF!</v>
      </c>
      <c r="AE976" s="100" t="str">
        <f t="shared" ca="1" si="15"/>
        <v>#REF!</v>
      </c>
      <c r="AF976" s="101" t="str">
        <f t="shared" ca="1" si="16"/>
        <v>#REF!</v>
      </c>
      <c r="AG976" s="102" t="str">
        <f t="shared" ref="AG976:AH976" ca="1" si="994">AE976/V976</f>
        <v>#REF!</v>
      </c>
      <c r="AH976" s="102" t="str">
        <f t="shared" ca="1" si="994"/>
        <v>#REF!</v>
      </c>
    </row>
    <row r="977" spans="1:34" ht="13.2">
      <c r="A977" s="251"/>
      <c r="B977" s="251"/>
      <c r="C977" s="252"/>
      <c r="D977" s="252"/>
      <c r="E977" s="114"/>
      <c r="F977" s="252"/>
      <c r="G977" s="125" t="s">
        <v>145</v>
      </c>
      <c r="I977" s="172"/>
      <c r="J977" s="82" t="str">
        <f t="shared" ca="1" si="0"/>
        <v>#REF!</v>
      </c>
      <c r="K977" s="82" t="str">
        <f t="shared" ca="1" si="1"/>
        <v>#REF!</v>
      </c>
      <c r="L977" s="82" t="str">
        <f t="shared" ca="1" si="44"/>
        <v>#REF!</v>
      </c>
      <c r="M977" s="93"/>
      <c r="N977" s="93"/>
      <c r="O977" s="95">
        <f t="shared" si="2"/>
        <v>0</v>
      </c>
      <c r="P977" s="96">
        <f t="shared" si="3"/>
        <v>0</v>
      </c>
      <c r="Q977" s="97">
        <f t="shared" si="4"/>
        <v>0</v>
      </c>
      <c r="R977" s="97" t="str">
        <f ca="1">ROUNDUP(HLOOKUP(IF(CEILING(L977,0.5)&lt;1,0.5,CEILING(L977,0.5)),'배송비 조회'!A$44:AO$56,7,0)*B$3,-2)</f>
        <v>#REF!</v>
      </c>
      <c r="S977" s="97">
        <v>0</v>
      </c>
      <c r="T977" s="97" t="str">
        <f t="shared" ca="1" si="42"/>
        <v>#REF!</v>
      </c>
      <c r="U977" s="97" t="str">
        <f t="shared" ca="1" si="29"/>
        <v>#REF!</v>
      </c>
      <c r="V977" s="97" t="str">
        <f t="shared" ca="1" si="7"/>
        <v>#REF!</v>
      </c>
      <c r="W977" s="97" t="str">
        <f t="shared" ca="1" si="8"/>
        <v>#REF!</v>
      </c>
      <c r="X977" s="121">
        <v>0</v>
      </c>
      <c r="Y977" s="121" t="str">
        <f t="shared" ca="1" si="9"/>
        <v>#REF!</v>
      </c>
      <c r="Z977" s="121" t="str">
        <f t="shared" ca="1" si="10"/>
        <v>#REF!</v>
      </c>
      <c r="AA977" s="99" t="str">
        <f t="shared" ca="1" si="11"/>
        <v>#REF!</v>
      </c>
      <c r="AB977" s="234" t="str">
        <f t="shared" ca="1" si="12"/>
        <v>#REF!</v>
      </c>
      <c r="AC977" s="257" t="str">
        <f t="shared" ca="1" si="13"/>
        <v>#REF!</v>
      </c>
      <c r="AD977" s="234" t="str">
        <f t="shared" ca="1" si="14"/>
        <v>#REF!</v>
      </c>
      <c r="AE977" s="100" t="str">
        <f t="shared" ca="1" si="15"/>
        <v>#REF!</v>
      </c>
      <c r="AF977" s="101" t="str">
        <f t="shared" ca="1" si="16"/>
        <v>#REF!</v>
      </c>
      <c r="AG977" s="102" t="str">
        <f t="shared" ref="AG977:AH977" ca="1" si="995">AE977/V977</f>
        <v>#REF!</v>
      </c>
      <c r="AH977" s="102" t="str">
        <f t="shared" ca="1" si="995"/>
        <v>#REF!</v>
      </c>
    </row>
    <row r="978" spans="1:34" ht="13.2">
      <c r="A978" s="251"/>
      <c r="B978" s="251"/>
      <c r="C978" s="252"/>
      <c r="D978" s="252"/>
      <c r="E978" s="114"/>
      <c r="F978" s="252"/>
      <c r="G978" s="125" t="s">
        <v>145</v>
      </c>
      <c r="I978" s="172"/>
      <c r="J978" s="82" t="str">
        <f t="shared" ca="1" si="0"/>
        <v>#REF!</v>
      </c>
      <c r="K978" s="82" t="str">
        <f t="shared" ca="1" si="1"/>
        <v>#REF!</v>
      </c>
      <c r="L978" s="82" t="str">
        <f t="shared" ca="1" si="44"/>
        <v>#REF!</v>
      </c>
      <c r="M978" s="93"/>
      <c r="N978" s="93"/>
      <c r="O978" s="95">
        <f t="shared" si="2"/>
        <v>0</v>
      </c>
      <c r="P978" s="96">
        <f t="shared" si="3"/>
        <v>0</v>
      </c>
      <c r="Q978" s="97">
        <f t="shared" si="4"/>
        <v>0</v>
      </c>
      <c r="R978" s="97" t="str">
        <f ca="1">ROUNDUP(HLOOKUP(IF(CEILING(L978,0.5)&lt;1,0.5,CEILING(L978,0.5)),'배송비 조회'!A$44:AO$56,7,0)*B$3,-2)</f>
        <v>#REF!</v>
      </c>
      <c r="S978" s="97">
        <v>0</v>
      </c>
      <c r="T978" s="97" t="str">
        <f t="shared" ca="1" si="42"/>
        <v>#REF!</v>
      </c>
      <c r="U978" s="97" t="str">
        <f t="shared" ca="1" si="29"/>
        <v>#REF!</v>
      </c>
      <c r="V978" s="97" t="str">
        <f t="shared" ca="1" si="7"/>
        <v>#REF!</v>
      </c>
      <c r="W978" s="97" t="str">
        <f t="shared" ca="1" si="8"/>
        <v>#REF!</v>
      </c>
      <c r="X978" s="121">
        <v>0</v>
      </c>
      <c r="Y978" s="121" t="str">
        <f t="shared" ca="1" si="9"/>
        <v>#REF!</v>
      </c>
      <c r="Z978" s="121" t="str">
        <f t="shared" ca="1" si="10"/>
        <v>#REF!</v>
      </c>
      <c r="AA978" s="99" t="str">
        <f t="shared" ca="1" si="11"/>
        <v>#REF!</v>
      </c>
      <c r="AB978" s="234" t="str">
        <f t="shared" ca="1" si="12"/>
        <v>#REF!</v>
      </c>
      <c r="AC978" s="257" t="str">
        <f t="shared" ca="1" si="13"/>
        <v>#REF!</v>
      </c>
      <c r="AD978" s="234" t="str">
        <f t="shared" ca="1" si="14"/>
        <v>#REF!</v>
      </c>
      <c r="AE978" s="100" t="str">
        <f t="shared" ca="1" si="15"/>
        <v>#REF!</v>
      </c>
      <c r="AF978" s="101" t="str">
        <f t="shared" ca="1" si="16"/>
        <v>#REF!</v>
      </c>
      <c r="AG978" s="102" t="str">
        <f t="shared" ref="AG978:AH978" ca="1" si="996">AE978/V978</f>
        <v>#REF!</v>
      </c>
      <c r="AH978" s="102" t="str">
        <f t="shared" ca="1" si="996"/>
        <v>#REF!</v>
      </c>
    </row>
    <row r="979" spans="1:34" ht="13.2">
      <c r="A979" s="251"/>
      <c r="B979" s="251"/>
      <c r="C979" s="252"/>
      <c r="D979" s="252"/>
      <c r="E979" s="114"/>
      <c r="F979" s="252"/>
      <c r="G979" s="125" t="s">
        <v>145</v>
      </c>
      <c r="I979" s="172"/>
      <c r="J979" s="82" t="str">
        <f t="shared" ca="1" si="0"/>
        <v>#REF!</v>
      </c>
      <c r="K979" s="82" t="str">
        <f t="shared" ca="1" si="1"/>
        <v>#REF!</v>
      </c>
      <c r="L979" s="82" t="str">
        <f t="shared" ca="1" si="44"/>
        <v>#REF!</v>
      </c>
      <c r="M979" s="93"/>
      <c r="N979" s="93"/>
      <c r="O979" s="95">
        <f t="shared" si="2"/>
        <v>0</v>
      </c>
      <c r="P979" s="96">
        <f t="shared" si="3"/>
        <v>0</v>
      </c>
      <c r="Q979" s="97">
        <f t="shared" si="4"/>
        <v>0</v>
      </c>
      <c r="R979" s="97" t="str">
        <f ca="1">ROUNDUP(HLOOKUP(IF(CEILING(L979,0.5)&lt;1,0.5,CEILING(L979,0.5)),'배송비 조회'!A$44:AO$56,7,0)*B$3,-2)</f>
        <v>#REF!</v>
      </c>
      <c r="S979" s="97">
        <v>0</v>
      </c>
      <c r="T979" s="97" t="str">
        <f t="shared" ca="1" si="42"/>
        <v>#REF!</v>
      </c>
      <c r="U979" s="97" t="str">
        <f t="shared" ca="1" si="29"/>
        <v>#REF!</v>
      </c>
      <c r="V979" s="97" t="str">
        <f t="shared" ca="1" si="7"/>
        <v>#REF!</v>
      </c>
      <c r="W979" s="97" t="str">
        <f t="shared" ca="1" si="8"/>
        <v>#REF!</v>
      </c>
      <c r="X979" s="121">
        <v>0</v>
      </c>
      <c r="Y979" s="121" t="str">
        <f t="shared" ca="1" si="9"/>
        <v>#REF!</v>
      </c>
      <c r="Z979" s="121" t="str">
        <f t="shared" ca="1" si="10"/>
        <v>#REF!</v>
      </c>
      <c r="AA979" s="99" t="str">
        <f t="shared" ca="1" si="11"/>
        <v>#REF!</v>
      </c>
      <c r="AB979" s="234" t="str">
        <f t="shared" ca="1" si="12"/>
        <v>#REF!</v>
      </c>
      <c r="AC979" s="257" t="str">
        <f t="shared" ca="1" si="13"/>
        <v>#REF!</v>
      </c>
      <c r="AD979" s="234" t="str">
        <f t="shared" ca="1" si="14"/>
        <v>#REF!</v>
      </c>
      <c r="AE979" s="100" t="str">
        <f t="shared" ca="1" si="15"/>
        <v>#REF!</v>
      </c>
      <c r="AF979" s="101" t="str">
        <f t="shared" ca="1" si="16"/>
        <v>#REF!</v>
      </c>
      <c r="AG979" s="102" t="str">
        <f t="shared" ref="AG979:AH979" ca="1" si="997">AE979/V979</f>
        <v>#REF!</v>
      </c>
      <c r="AH979" s="102" t="str">
        <f t="shared" ca="1" si="997"/>
        <v>#REF!</v>
      </c>
    </row>
    <row r="980" spans="1:34" ht="13.2">
      <c r="A980" s="251"/>
      <c r="B980" s="251"/>
      <c r="C980" s="252"/>
      <c r="D980" s="252"/>
      <c r="E980" s="114"/>
      <c r="F980" s="252"/>
      <c r="G980" s="125" t="s">
        <v>145</v>
      </c>
      <c r="I980" s="172"/>
      <c r="J980" s="82" t="str">
        <f t="shared" ca="1" si="0"/>
        <v>#REF!</v>
      </c>
      <c r="K980" s="82" t="str">
        <f t="shared" ca="1" si="1"/>
        <v>#REF!</v>
      </c>
      <c r="L980" s="82" t="str">
        <f t="shared" ca="1" si="44"/>
        <v>#REF!</v>
      </c>
      <c r="M980" s="93"/>
      <c r="N980" s="93"/>
      <c r="O980" s="95">
        <f t="shared" si="2"/>
        <v>0</v>
      </c>
      <c r="P980" s="96">
        <f t="shared" si="3"/>
        <v>0</v>
      </c>
      <c r="Q980" s="97">
        <f t="shared" si="4"/>
        <v>0</v>
      </c>
      <c r="R980" s="97" t="str">
        <f ca="1">ROUNDUP(HLOOKUP(IF(CEILING(L980,0.5)&lt;1,0.5,CEILING(L980,0.5)),'배송비 조회'!A$44:AO$56,7,0)*B$3,-2)</f>
        <v>#REF!</v>
      </c>
      <c r="S980" s="97">
        <v>0</v>
      </c>
      <c r="T980" s="97" t="str">
        <f t="shared" ca="1" si="42"/>
        <v>#REF!</v>
      </c>
      <c r="U980" s="97" t="str">
        <f t="shared" ca="1" si="29"/>
        <v>#REF!</v>
      </c>
      <c r="V980" s="97" t="str">
        <f t="shared" ca="1" si="7"/>
        <v>#REF!</v>
      </c>
      <c r="W980" s="97" t="str">
        <f t="shared" ca="1" si="8"/>
        <v>#REF!</v>
      </c>
      <c r="X980" s="121">
        <v>0</v>
      </c>
      <c r="Y980" s="121" t="str">
        <f t="shared" ca="1" si="9"/>
        <v>#REF!</v>
      </c>
      <c r="Z980" s="121" t="str">
        <f t="shared" ca="1" si="10"/>
        <v>#REF!</v>
      </c>
      <c r="AA980" s="99" t="str">
        <f t="shared" ca="1" si="11"/>
        <v>#REF!</v>
      </c>
      <c r="AB980" s="234" t="str">
        <f t="shared" ca="1" si="12"/>
        <v>#REF!</v>
      </c>
      <c r="AC980" s="257" t="str">
        <f t="shared" ca="1" si="13"/>
        <v>#REF!</v>
      </c>
      <c r="AD980" s="234" t="str">
        <f t="shared" ca="1" si="14"/>
        <v>#REF!</v>
      </c>
      <c r="AE980" s="100" t="str">
        <f t="shared" ca="1" si="15"/>
        <v>#REF!</v>
      </c>
      <c r="AF980" s="101" t="str">
        <f t="shared" ca="1" si="16"/>
        <v>#REF!</v>
      </c>
      <c r="AG980" s="102" t="str">
        <f t="shared" ref="AG980:AH980" ca="1" si="998">AE980/V980</f>
        <v>#REF!</v>
      </c>
      <c r="AH980" s="102" t="str">
        <f t="shared" ca="1" si="998"/>
        <v>#REF!</v>
      </c>
    </row>
    <row r="981" spans="1:34" ht="13.2">
      <c r="A981" s="251"/>
      <c r="B981" s="251"/>
      <c r="C981" s="252"/>
      <c r="D981" s="252"/>
      <c r="E981" s="114"/>
      <c r="F981" s="252"/>
      <c r="G981" s="125" t="s">
        <v>145</v>
      </c>
      <c r="I981" s="172"/>
      <c r="J981" s="82" t="str">
        <f t="shared" ca="1" si="0"/>
        <v>#REF!</v>
      </c>
      <c r="K981" s="82" t="str">
        <f t="shared" ca="1" si="1"/>
        <v>#REF!</v>
      </c>
      <c r="L981" s="82" t="str">
        <f t="shared" ca="1" si="44"/>
        <v>#REF!</v>
      </c>
      <c r="M981" s="93"/>
      <c r="N981" s="93"/>
      <c r="O981" s="95">
        <f t="shared" si="2"/>
        <v>0</v>
      </c>
      <c r="P981" s="96">
        <f t="shared" si="3"/>
        <v>0</v>
      </c>
      <c r="Q981" s="97">
        <f t="shared" si="4"/>
        <v>0</v>
      </c>
      <c r="R981" s="97" t="str">
        <f ca="1">ROUNDUP(HLOOKUP(IF(CEILING(L981,0.5)&lt;1,0.5,CEILING(L981,0.5)),'배송비 조회'!A$44:AO$56,7,0)*B$3,-2)</f>
        <v>#REF!</v>
      </c>
      <c r="S981" s="97">
        <v>0</v>
      </c>
      <c r="T981" s="97" t="str">
        <f t="shared" ca="1" si="42"/>
        <v>#REF!</v>
      </c>
      <c r="U981" s="97" t="str">
        <f t="shared" ca="1" si="29"/>
        <v>#REF!</v>
      </c>
      <c r="V981" s="97" t="str">
        <f t="shared" ca="1" si="7"/>
        <v>#REF!</v>
      </c>
      <c r="W981" s="97" t="str">
        <f t="shared" ca="1" si="8"/>
        <v>#REF!</v>
      </c>
      <c r="X981" s="121">
        <v>0</v>
      </c>
      <c r="Y981" s="121" t="str">
        <f t="shared" ca="1" si="9"/>
        <v>#REF!</v>
      </c>
      <c r="Z981" s="121" t="str">
        <f t="shared" ca="1" si="10"/>
        <v>#REF!</v>
      </c>
      <c r="AA981" s="99" t="str">
        <f t="shared" ca="1" si="11"/>
        <v>#REF!</v>
      </c>
      <c r="AB981" s="234" t="str">
        <f t="shared" ca="1" si="12"/>
        <v>#REF!</v>
      </c>
      <c r="AC981" s="257" t="str">
        <f t="shared" ca="1" si="13"/>
        <v>#REF!</v>
      </c>
      <c r="AD981" s="234" t="str">
        <f t="shared" ca="1" si="14"/>
        <v>#REF!</v>
      </c>
      <c r="AE981" s="100" t="str">
        <f t="shared" ca="1" si="15"/>
        <v>#REF!</v>
      </c>
      <c r="AF981" s="101" t="str">
        <f t="shared" ca="1" si="16"/>
        <v>#REF!</v>
      </c>
      <c r="AG981" s="102" t="str">
        <f t="shared" ref="AG981:AH981" ca="1" si="999">AE981/V981</f>
        <v>#REF!</v>
      </c>
      <c r="AH981" s="102" t="str">
        <f t="shared" ca="1" si="999"/>
        <v>#REF!</v>
      </c>
    </row>
    <row r="982" spans="1:34" ht="13.2">
      <c r="A982" s="251"/>
      <c r="B982" s="251"/>
      <c r="C982" s="252"/>
      <c r="D982" s="252"/>
      <c r="E982" s="114"/>
      <c r="F982" s="252"/>
      <c r="G982" s="125" t="s">
        <v>145</v>
      </c>
      <c r="I982" s="172"/>
      <c r="J982" s="82" t="str">
        <f t="shared" ca="1" si="0"/>
        <v>#REF!</v>
      </c>
      <c r="K982" s="82" t="str">
        <f t="shared" ca="1" si="1"/>
        <v>#REF!</v>
      </c>
      <c r="L982" s="82" t="str">
        <f t="shared" ca="1" si="44"/>
        <v>#REF!</v>
      </c>
      <c r="M982" s="93"/>
      <c r="N982" s="93"/>
      <c r="O982" s="95">
        <f t="shared" si="2"/>
        <v>0</v>
      </c>
      <c r="P982" s="96">
        <f t="shared" si="3"/>
        <v>0</v>
      </c>
      <c r="Q982" s="97">
        <f t="shared" si="4"/>
        <v>0</v>
      </c>
      <c r="R982" s="97" t="str">
        <f ca="1">ROUNDUP(HLOOKUP(IF(CEILING(L982,0.5)&lt;1,0.5,CEILING(L982,0.5)),'배송비 조회'!A$44:AO$56,7,0)*B$3,-2)</f>
        <v>#REF!</v>
      </c>
      <c r="S982" s="97">
        <v>0</v>
      </c>
      <c r="T982" s="97" t="str">
        <f t="shared" ca="1" si="42"/>
        <v>#REF!</v>
      </c>
      <c r="U982" s="97" t="str">
        <f t="shared" ca="1" si="29"/>
        <v>#REF!</v>
      </c>
      <c r="V982" s="97" t="str">
        <f t="shared" ca="1" si="7"/>
        <v>#REF!</v>
      </c>
      <c r="W982" s="97" t="str">
        <f t="shared" ca="1" si="8"/>
        <v>#REF!</v>
      </c>
      <c r="X982" s="121">
        <v>0</v>
      </c>
      <c r="Y982" s="121" t="str">
        <f t="shared" ca="1" si="9"/>
        <v>#REF!</v>
      </c>
      <c r="Z982" s="121" t="str">
        <f t="shared" ca="1" si="10"/>
        <v>#REF!</v>
      </c>
      <c r="AA982" s="99" t="str">
        <f t="shared" ca="1" si="11"/>
        <v>#REF!</v>
      </c>
      <c r="AB982" s="234" t="str">
        <f t="shared" ca="1" si="12"/>
        <v>#REF!</v>
      </c>
      <c r="AC982" s="257" t="str">
        <f t="shared" ca="1" si="13"/>
        <v>#REF!</v>
      </c>
      <c r="AD982" s="234" t="str">
        <f t="shared" ca="1" si="14"/>
        <v>#REF!</v>
      </c>
      <c r="AE982" s="100" t="str">
        <f t="shared" ca="1" si="15"/>
        <v>#REF!</v>
      </c>
      <c r="AF982" s="101" t="str">
        <f t="shared" ca="1" si="16"/>
        <v>#REF!</v>
      </c>
      <c r="AG982" s="102" t="str">
        <f t="shared" ref="AG982:AH982" ca="1" si="1000">AE982/V982</f>
        <v>#REF!</v>
      </c>
      <c r="AH982" s="102" t="str">
        <f t="shared" ca="1" si="1000"/>
        <v>#REF!</v>
      </c>
    </row>
    <row r="983" spans="1:34" ht="13.2">
      <c r="A983" s="251"/>
      <c r="B983" s="251"/>
      <c r="C983" s="252"/>
      <c r="D983" s="252"/>
      <c r="E983" s="114"/>
      <c r="F983" s="252"/>
      <c r="G983" s="125" t="s">
        <v>145</v>
      </c>
      <c r="I983" s="172"/>
      <c r="J983" s="82" t="str">
        <f t="shared" ca="1" si="0"/>
        <v>#REF!</v>
      </c>
      <c r="K983" s="82" t="str">
        <f t="shared" ca="1" si="1"/>
        <v>#REF!</v>
      </c>
      <c r="L983" s="82" t="str">
        <f t="shared" ca="1" si="44"/>
        <v>#REF!</v>
      </c>
      <c r="M983" s="93"/>
      <c r="N983" s="93"/>
      <c r="O983" s="95">
        <f t="shared" si="2"/>
        <v>0</v>
      </c>
      <c r="P983" s="96">
        <f t="shared" si="3"/>
        <v>0</v>
      </c>
      <c r="Q983" s="97">
        <f t="shared" si="4"/>
        <v>0</v>
      </c>
      <c r="R983" s="97" t="str">
        <f ca="1">ROUNDUP(HLOOKUP(IF(CEILING(L983,0.5)&lt;1,0.5,CEILING(L983,0.5)),'배송비 조회'!A$44:AO$56,7,0)*B$3,-2)</f>
        <v>#REF!</v>
      </c>
      <c r="S983" s="97">
        <v>0</v>
      </c>
      <c r="T983" s="97" t="str">
        <f t="shared" ca="1" si="42"/>
        <v>#REF!</v>
      </c>
      <c r="U983" s="97" t="str">
        <f t="shared" ca="1" si="29"/>
        <v>#REF!</v>
      </c>
      <c r="V983" s="97" t="str">
        <f t="shared" ca="1" si="7"/>
        <v>#REF!</v>
      </c>
      <c r="W983" s="97" t="str">
        <f t="shared" ca="1" si="8"/>
        <v>#REF!</v>
      </c>
      <c r="X983" s="121">
        <v>0</v>
      </c>
      <c r="Y983" s="121" t="str">
        <f t="shared" ca="1" si="9"/>
        <v>#REF!</v>
      </c>
      <c r="Z983" s="121" t="str">
        <f t="shared" ca="1" si="10"/>
        <v>#REF!</v>
      </c>
      <c r="AA983" s="99" t="str">
        <f t="shared" ca="1" si="11"/>
        <v>#REF!</v>
      </c>
      <c r="AB983" s="234" t="str">
        <f t="shared" ca="1" si="12"/>
        <v>#REF!</v>
      </c>
      <c r="AC983" s="257" t="str">
        <f t="shared" ca="1" si="13"/>
        <v>#REF!</v>
      </c>
      <c r="AD983" s="234" t="str">
        <f t="shared" ca="1" si="14"/>
        <v>#REF!</v>
      </c>
      <c r="AE983" s="100" t="str">
        <f t="shared" ca="1" si="15"/>
        <v>#REF!</v>
      </c>
      <c r="AF983" s="101" t="str">
        <f t="shared" ca="1" si="16"/>
        <v>#REF!</v>
      </c>
      <c r="AG983" s="102" t="str">
        <f t="shared" ref="AG983:AH983" ca="1" si="1001">AE983/V983</f>
        <v>#REF!</v>
      </c>
      <c r="AH983" s="102" t="str">
        <f t="shared" ca="1" si="1001"/>
        <v>#REF!</v>
      </c>
    </row>
    <row r="984" spans="1:34" ht="13.2">
      <c r="A984" s="251"/>
      <c r="B984" s="251"/>
      <c r="C984" s="252"/>
      <c r="D984" s="252"/>
      <c r="E984" s="114"/>
      <c r="F984" s="252"/>
      <c r="G984" s="125" t="s">
        <v>145</v>
      </c>
      <c r="I984" s="172"/>
      <c r="J984" s="82" t="str">
        <f t="shared" ca="1" si="0"/>
        <v>#REF!</v>
      </c>
      <c r="K984" s="82" t="str">
        <f t="shared" ca="1" si="1"/>
        <v>#REF!</v>
      </c>
      <c r="L984" s="82" t="str">
        <f t="shared" ca="1" si="44"/>
        <v>#REF!</v>
      </c>
      <c r="M984" s="93"/>
      <c r="N984" s="93"/>
      <c r="O984" s="95">
        <f t="shared" si="2"/>
        <v>0</v>
      </c>
      <c r="P984" s="96">
        <f t="shared" si="3"/>
        <v>0</v>
      </c>
      <c r="Q984" s="97">
        <f t="shared" si="4"/>
        <v>0</v>
      </c>
      <c r="R984" s="97" t="str">
        <f ca="1">ROUNDUP(HLOOKUP(IF(CEILING(L984,0.5)&lt;1,0.5,CEILING(L984,0.5)),'배송비 조회'!A$44:AO$56,7,0)*B$3,-2)</f>
        <v>#REF!</v>
      </c>
      <c r="S984" s="97">
        <v>0</v>
      </c>
      <c r="T984" s="97" t="str">
        <f t="shared" ca="1" si="42"/>
        <v>#REF!</v>
      </c>
      <c r="U984" s="97" t="str">
        <f t="shared" ca="1" si="29"/>
        <v>#REF!</v>
      </c>
      <c r="V984" s="97" t="str">
        <f t="shared" ca="1" si="7"/>
        <v>#REF!</v>
      </c>
      <c r="W984" s="97" t="str">
        <f t="shared" ca="1" si="8"/>
        <v>#REF!</v>
      </c>
      <c r="X984" s="121">
        <v>0</v>
      </c>
      <c r="Y984" s="121" t="str">
        <f t="shared" ca="1" si="9"/>
        <v>#REF!</v>
      </c>
      <c r="Z984" s="121" t="str">
        <f t="shared" ca="1" si="10"/>
        <v>#REF!</v>
      </c>
      <c r="AA984" s="99" t="str">
        <f t="shared" ca="1" si="11"/>
        <v>#REF!</v>
      </c>
      <c r="AB984" s="234" t="str">
        <f t="shared" ca="1" si="12"/>
        <v>#REF!</v>
      </c>
      <c r="AC984" s="257" t="str">
        <f t="shared" ca="1" si="13"/>
        <v>#REF!</v>
      </c>
      <c r="AD984" s="234" t="str">
        <f t="shared" ca="1" si="14"/>
        <v>#REF!</v>
      </c>
      <c r="AE984" s="100" t="str">
        <f t="shared" ca="1" si="15"/>
        <v>#REF!</v>
      </c>
      <c r="AF984" s="101" t="str">
        <f t="shared" ca="1" si="16"/>
        <v>#REF!</v>
      </c>
      <c r="AG984" s="102" t="str">
        <f t="shared" ref="AG984:AH984" ca="1" si="1002">AE984/V984</f>
        <v>#REF!</v>
      </c>
      <c r="AH984" s="102" t="str">
        <f t="shared" ca="1" si="1002"/>
        <v>#REF!</v>
      </c>
    </row>
    <row r="985" spans="1:34" ht="13.2">
      <c r="A985" s="251"/>
      <c r="B985" s="251"/>
      <c r="C985" s="252"/>
      <c r="D985" s="252"/>
      <c r="E985" s="114"/>
      <c r="F985" s="252"/>
      <c r="G985" s="125" t="s">
        <v>145</v>
      </c>
      <c r="I985" s="172"/>
      <c r="J985" s="82" t="str">
        <f t="shared" ca="1" si="0"/>
        <v>#REF!</v>
      </c>
      <c r="K985" s="82" t="str">
        <f t="shared" ca="1" si="1"/>
        <v>#REF!</v>
      </c>
      <c r="L985" s="82" t="str">
        <f t="shared" ca="1" si="44"/>
        <v>#REF!</v>
      </c>
      <c r="M985" s="93"/>
      <c r="N985" s="93"/>
      <c r="O985" s="95">
        <f t="shared" si="2"/>
        <v>0</v>
      </c>
      <c r="P985" s="96">
        <f t="shared" si="3"/>
        <v>0</v>
      </c>
      <c r="Q985" s="97">
        <f t="shared" si="4"/>
        <v>0</v>
      </c>
      <c r="R985" s="97" t="str">
        <f ca="1">ROUNDUP(HLOOKUP(IF(CEILING(L985,0.5)&lt;1,0.5,CEILING(L985,0.5)),'배송비 조회'!A$44:AO$56,7,0)*B$3,-2)</f>
        <v>#REF!</v>
      </c>
      <c r="S985" s="97">
        <v>0</v>
      </c>
      <c r="T985" s="97" t="str">
        <f t="shared" ca="1" si="42"/>
        <v>#REF!</v>
      </c>
      <c r="U985" s="97" t="str">
        <f t="shared" ca="1" si="29"/>
        <v>#REF!</v>
      </c>
      <c r="V985" s="97" t="str">
        <f t="shared" ca="1" si="7"/>
        <v>#REF!</v>
      </c>
      <c r="W985" s="97" t="str">
        <f t="shared" ca="1" si="8"/>
        <v>#REF!</v>
      </c>
      <c r="X985" s="121">
        <v>0</v>
      </c>
      <c r="Y985" s="121" t="str">
        <f t="shared" ca="1" si="9"/>
        <v>#REF!</v>
      </c>
      <c r="Z985" s="121" t="str">
        <f t="shared" ca="1" si="10"/>
        <v>#REF!</v>
      </c>
      <c r="AA985" s="99" t="str">
        <f t="shared" ca="1" si="11"/>
        <v>#REF!</v>
      </c>
      <c r="AB985" s="234" t="str">
        <f t="shared" ca="1" si="12"/>
        <v>#REF!</v>
      </c>
      <c r="AC985" s="257" t="str">
        <f t="shared" ca="1" si="13"/>
        <v>#REF!</v>
      </c>
      <c r="AD985" s="234" t="str">
        <f t="shared" ca="1" si="14"/>
        <v>#REF!</v>
      </c>
      <c r="AE985" s="100" t="str">
        <f t="shared" ca="1" si="15"/>
        <v>#REF!</v>
      </c>
      <c r="AF985" s="101" t="str">
        <f t="shared" ca="1" si="16"/>
        <v>#REF!</v>
      </c>
      <c r="AG985" s="102" t="str">
        <f t="shared" ref="AG985:AH985" ca="1" si="1003">AE985/V985</f>
        <v>#REF!</v>
      </c>
      <c r="AH985" s="102" t="str">
        <f t="shared" ca="1" si="1003"/>
        <v>#REF!</v>
      </c>
    </row>
    <row r="986" spans="1:34" ht="13.2">
      <c r="A986" s="251"/>
      <c r="B986" s="251"/>
      <c r="C986" s="252"/>
      <c r="D986" s="252"/>
      <c r="E986" s="114"/>
      <c r="F986" s="252"/>
      <c r="G986" s="125" t="s">
        <v>145</v>
      </c>
      <c r="I986" s="172"/>
      <c r="J986" s="82" t="str">
        <f t="shared" ca="1" si="0"/>
        <v>#REF!</v>
      </c>
      <c r="K986" s="82" t="str">
        <f t="shared" ca="1" si="1"/>
        <v>#REF!</v>
      </c>
      <c r="L986" s="82" t="str">
        <f t="shared" ca="1" si="44"/>
        <v>#REF!</v>
      </c>
      <c r="M986" s="93"/>
      <c r="N986" s="93"/>
      <c r="O986" s="95">
        <f t="shared" si="2"/>
        <v>0</v>
      </c>
      <c r="P986" s="96">
        <f t="shared" si="3"/>
        <v>0</v>
      </c>
      <c r="Q986" s="97">
        <f t="shared" si="4"/>
        <v>0</v>
      </c>
      <c r="R986" s="97" t="str">
        <f ca="1">ROUNDUP(HLOOKUP(IF(CEILING(L986,0.5)&lt;1,0.5,CEILING(L986,0.5)),'배송비 조회'!A$44:AO$56,7,0)*B$3,-2)</f>
        <v>#REF!</v>
      </c>
      <c r="S986" s="97">
        <v>0</v>
      </c>
      <c r="T986" s="97" t="str">
        <f t="shared" ca="1" si="42"/>
        <v>#REF!</v>
      </c>
      <c r="U986" s="97" t="str">
        <f t="shared" ca="1" si="29"/>
        <v>#REF!</v>
      </c>
      <c r="V986" s="97" t="str">
        <f t="shared" ca="1" si="7"/>
        <v>#REF!</v>
      </c>
      <c r="W986" s="97" t="str">
        <f t="shared" ca="1" si="8"/>
        <v>#REF!</v>
      </c>
      <c r="X986" s="121">
        <v>0</v>
      </c>
      <c r="Y986" s="121" t="str">
        <f t="shared" ca="1" si="9"/>
        <v>#REF!</v>
      </c>
      <c r="Z986" s="121" t="str">
        <f t="shared" ca="1" si="10"/>
        <v>#REF!</v>
      </c>
      <c r="AA986" s="99" t="str">
        <f t="shared" ca="1" si="11"/>
        <v>#REF!</v>
      </c>
      <c r="AB986" s="234" t="str">
        <f t="shared" ca="1" si="12"/>
        <v>#REF!</v>
      </c>
      <c r="AC986" s="257" t="str">
        <f t="shared" ca="1" si="13"/>
        <v>#REF!</v>
      </c>
      <c r="AD986" s="234" t="str">
        <f t="shared" ca="1" si="14"/>
        <v>#REF!</v>
      </c>
      <c r="AE986" s="100" t="str">
        <f t="shared" ca="1" si="15"/>
        <v>#REF!</v>
      </c>
      <c r="AF986" s="101" t="str">
        <f t="shared" ca="1" si="16"/>
        <v>#REF!</v>
      </c>
      <c r="AG986" s="102" t="str">
        <f t="shared" ref="AG986:AH986" ca="1" si="1004">AE986/V986</f>
        <v>#REF!</v>
      </c>
      <c r="AH986" s="102" t="str">
        <f t="shared" ca="1" si="1004"/>
        <v>#REF!</v>
      </c>
    </row>
    <row r="987" spans="1:34" ht="13.2">
      <c r="A987" s="251"/>
      <c r="B987" s="251"/>
      <c r="C987" s="252"/>
      <c r="D987" s="252"/>
      <c r="E987" s="114"/>
      <c r="F987" s="252"/>
      <c r="G987" s="125" t="s">
        <v>145</v>
      </c>
      <c r="I987" s="172"/>
      <c r="J987" s="82" t="str">
        <f t="shared" ca="1" si="0"/>
        <v>#REF!</v>
      </c>
      <c r="K987" s="82" t="str">
        <f t="shared" ca="1" si="1"/>
        <v>#REF!</v>
      </c>
      <c r="L987" s="82" t="str">
        <f t="shared" ca="1" si="44"/>
        <v>#REF!</v>
      </c>
      <c r="M987" s="93"/>
      <c r="N987" s="93"/>
      <c r="O987" s="95">
        <f t="shared" si="2"/>
        <v>0</v>
      </c>
      <c r="P987" s="96">
        <f t="shared" si="3"/>
        <v>0</v>
      </c>
      <c r="Q987" s="97">
        <f t="shared" si="4"/>
        <v>0</v>
      </c>
      <c r="R987" s="97" t="str">
        <f ca="1">ROUNDUP(HLOOKUP(IF(CEILING(L987,0.5)&lt;1,0.5,CEILING(L987,0.5)),'배송비 조회'!A$44:AO$56,7,0)*B$3,-2)</f>
        <v>#REF!</v>
      </c>
      <c r="S987" s="97">
        <v>0</v>
      </c>
      <c r="T987" s="97" t="str">
        <f t="shared" ca="1" si="42"/>
        <v>#REF!</v>
      </c>
      <c r="U987" s="97" t="str">
        <f t="shared" ca="1" si="29"/>
        <v>#REF!</v>
      </c>
      <c r="V987" s="97" t="str">
        <f t="shared" ca="1" si="7"/>
        <v>#REF!</v>
      </c>
      <c r="W987" s="97" t="str">
        <f t="shared" ca="1" si="8"/>
        <v>#REF!</v>
      </c>
      <c r="X987" s="121">
        <v>0</v>
      </c>
      <c r="Y987" s="121" t="str">
        <f t="shared" ca="1" si="9"/>
        <v>#REF!</v>
      </c>
      <c r="Z987" s="121" t="str">
        <f t="shared" ca="1" si="10"/>
        <v>#REF!</v>
      </c>
      <c r="AA987" s="99" t="str">
        <f t="shared" ca="1" si="11"/>
        <v>#REF!</v>
      </c>
      <c r="AB987" s="234" t="str">
        <f t="shared" ca="1" si="12"/>
        <v>#REF!</v>
      </c>
      <c r="AC987" s="257" t="str">
        <f t="shared" ca="1" si="13"/>
        <v>#REF!</v>
      </c>
      <c r="AD987" s="234" t="str">
        <f t="shared" ca="1" si="14"/>
        <v>#REF!</v>
      </c>
      <c r="AE987" s="100" t="str">
        <f t="shared" ca="1" si="15"/>
        <v>#REF!</v>
      </c>
      <c r="AF987" s="101" t="str">
        <f t="shared" ca="1" si="16"/>
        <v>#REF!</v>
      </c>
      <c r="AG987" s="102" t="str">
        <f t="shared" ref="AG987:AH987" ca="1" si="1005">AE987/V987</f>
        <v>#REF!</v>
      </c>
      <c r="AH987" s="102" t="str">
        <f t="shared" ca="1" si="1005"/>
        <v>#REF!</v>
      </c>
    </row>
    <row r="988" spans="1:34" ht="13.2">
      <c r="A988" s="251"/>
      <c r="B988" s="251"/>
      <c r="C988" s="252"/>
      <c r="D988" s="252"/>
      <c r="E988" s="114"/>
      <c r="F988" s="252"/>
      <c r="G988" s="125" t="s">
        <v>145</v>
      </c>
      <c r="I988" s="172"/>
      <c r="J988" s="82" t="str">
        <f t="shared" ca="1" si="0"/>
        <v>#REF!</v>
      </c>
      <c r="K988" s="82" t="str">
        <f t="shared" ca="1" si="1"/>
        <v>#REF!</v>
      </c>
      <c r="L988" s="82" t="str">
        <f t="shared" ca="1" si="44"/>
        <v>#REF!</v>
      </c>
      <c r="M988" s="93"/>
      <c r="N988" s="93"/>
      <c r="O988" s="95">
        <f t="shared" si="2"/>
        <v>0</v>
      </c>
      <c r="P988" s="96">
        <f t="shared" si="3"/>
        <v>0</v>
      </c>
      <c r="Q988" s="97">
        <f t="shared" si="4"/>
        <v>0</v>
      </c>
      <c r="R988" s="97" t="str">
        <f ca="1">ROUNDUP(HLOOKUP(IF(CEILING(L988,0.5)&lt;1,0.5,CEILING(L988,0.5)),'배송비 조회'!A$44:AO$56,7,0)*B$3,-2)</f>
        <v>#REF!</v>
      </c>
      <c r="S988" s="97">
        <v>0</v>
      </c>
      <c r="T988" s="97" t="str">
        <f t="shared" ca="1" si="42"/>
        <v>#REF!</v>
      </c>
      <c r="U988" s="97" t="str">
        <f t="shared" ca="1" si="29"/>
        <v>#REF!</v>
      </c>
      <c r="V988" s="97" t="str">
        <f t="shared" ca="1" si="7"/>
        <v>#REF!</v>
      </c>
      <c r="W988" s="97" t="str">
        <f t="shared" ca="1" si="8"/>
        <v>#REF!</v>
      </c>
      <c r="X988" s="121">
        <v>0</v>
      </c>
      <c r="Y988" s="121" t="str">
        <f t="shared" ca="1" si="9"/>
        <v>#REF!</v>
      </c>
      <c r="Z988" s="121" t="str">
        <f t="shared" ca="1" si="10"/>
        <v>#REF!</v>
      </c>
      <c r="AA988" s="99" t="str">
        <f t="shared" ca="1" si="11"/>
        <v>#REF!</v>
      </c>
      <c r="AB988" s="234" t="str">
        <f t="shared" ca="1" si="12"/>
        <v>#REF!</v>
      </c>
      <c r="AC988" s="257" t="str">
        <f t="shared" ca="1" si="13"/>
        <v>#REF!</v>
      </c>
      <c r="AD988" s="234" t="str">
        <f t="shared" ca="1" si="14"/>
        <v>#REF!</v>
      </c>
      <c r="AE988" s="100" t="str">
        <f t="shared" ca="1" si="15"/>
        <v>#REF!</v>
      </c>
      <c r="AF988" s="101" t="str">
        <f t="shared" ca="1" si="16"/>
        <v>#REF!</v>
      </c>
      <c r="AG988" s="102" t="str">
        <f t="shared" ref="AG988:AH988" ca="1" si="1006">AE988/V988</f>
        <v>#REF!</v>
      </c>
      <c r="AH988" s="102" t="str">
        <f t="shared" ca="1" si="1006"/>
        <v>#REF!</v>
      </c>
    </row>
    <row r="989" spans="1:34" ht="13.2">
      <c r="A989" s="251"/>
      <c r="B989" s="251"/>
      <c r="C989" s="252"/>
      <c r="D989" s="252"/>
      <c r="E989" s="114"/>
      <c r="F989" s="252"/>
      <c r="G989" s="125" t="s">
        <v>145</v>
      </c>
      <c r="I989" s="172"/>
      <c r="J989" s="82" t="str">
        <f t="shared" ca="1" si="0"/>
        <v>#REF!</v>
      </c>
      <c r="K989" s="82" t="str">
        <f t="shared" ca="1" si="1"/>
        <v>#REF!</v>
      </c>
      <c r="L989" s="82" t="str">
        <f t="shared" ca="1" si="44"/>
        <v>#REF!</v>
      </c>
      <c r="M989" s="93"/>
      <c r="N989" s="93"/>
      <c r="O989" s="95">
        <f t="shared" si="2"/>
        <v>0</v>
      </c>
      <c r="P989" s="96">
        <f t="shared" si="3"/>
        <v>0</v>
      </c>
      <c r="Q989" s="97">
        <f t="shared" si="4"/>
        <v>0</v>
      </c>
      <c r="R989" s="97" t="str">
        <f ca="1">ROUNDUP(HLOOKUP(IF(CEILING(L989,0.5)&lt;1,0.5,CEILING(L989,0.5)),'배송비 조회'!A$44:AO$56,7,0)*B$3,-2)</f>
        <v>#REF!</v>
      </c>
      <c r="S989" s="97">
        <v>0</v>
      </c>
      <c r="T989" s="97" t="str">
        <f t="shared" ca="1" si="42"/>
        <v>#REF!</v>
      </c>
      <c r="U989" s="97" t="str">
        <f t="shared" ca="1" si="29"/>
        <v>#REF!</v>
      </c>
      <c r="V989" s="97" t="str">
        <f t="shared" ca="1" si="7"/>
        <v>#REF!</v>
      </c>
      <c r="W989" s="97" t="str">
        <f t="shared" ca="1" si="8"/>
        <v>#REF!</v>
      </c>
      <c r="X989" s="121">
        <v>0</v>
      </c>
      <c r="Y989" s="121" t="str">
        <f t="shared" ca="1" si="9"/>
        <v>#REF!</v>
      </c>
      <c r="Z989" s="121" t="str">
        <f t="shared" ca="1" si="10"/>
        <v>#REF!</v>
      </c>
      <c r="AA989" s="99" t="str">
        <f t="shared" ca="1" si="11"/>
        <v>#REF!</v>
      </c>
      <c r="AB989" s="234" t="str">
        <f t="shared" ca="1" si="12"/>
        <v>#REF!</v>
      </c>
      <c r="AC989" s="257" t="str">
        <f t="shared" ca="1" si="13"/>
        <v>#REF!</v>
      </c>
      <c r="AD989" s="234" t="str">
        <f t="shared" ca="1" si="14"/>
        <v>#REF!</v>
      </c>
      <c r="AE989" s="100" t="str">
        <f t="shared" ca="1" si="15"/>
        <v>#REF!</v>
      </c>
      <c r="AF989" s="101" t="str">
        <f t="shared" ca="1" si="16"/>
        <v>#REF!</v>
      </c>
      <c r="AG989" s="102" t="str">
        <f t="shared" ref="AG989:AH989" ca="1" si="1007">AE989/V989</f>
        <v>#REF!</v>
      </c>
      <c r="AH989" s="102" t="str">
        <f t="shared" ca="1" si="1007"/>
        <v>#REF!</v>
      </c>
    </row>
    <row r="990" spans="1:34" ht="13.2">
      <c r="A990" s="251"/>
      <c r="B990" s="251"/>
      <c r="C990" s="252"/>
      <c r="D990" s="252"/>
      <c r="E990" s="114"/>
      <c r="F990" s="252"/>
      <c r="G990" s="125" t="s">
        <v>145</v>
      </c>
      <c r="I990" s="172"/>
      <c r="J990" s="82" t="str">
        <f t="shared" ca="1" si="0"/>
        <v>#REF!</v>
      </c>
      <c r="K990" s="82" t="str">
        <f t="shared" ca="1" si="1"/>
        <v>#REF!</v>
      </c>
      <c r="L990" s="82" t="str">
        <f t="shared" ca="1" si="44"/>
        <v>#REF!</v>
      </c>
      <c r="M990" s="93"/>
      <c r="N990" s="93"/>
      <c r="O990" s="95">
        <f t="shared" si="2"/>
        <v>0</v>
      </c>
      <c r="P990" s="96">
        <f t="shared" si="3"/>
        <v>0</v>
      </c>
      <c r="Q990" s="97">
        <f t="shared" si="4"/>
        <v>0</v>
      </c>
      <c r="R990" s="97" t="str">
        <f ca="1">ROUNDUP(HLOOKUP(IF(CEILING(L990,0.5)&lt;1,0.5,CEILING(L990,0.5)),'배송비 조회'!A$44:AO$56,7,0)*B$3,-2)</f>
        <v>#REF!</v>
      </c>
      <c r="S990" s="97">
        <v>0</v>
      </c>
      <c r="T990" s="97" t="str">
        <f t="shared" ca="1" si="42"/>
        <v>#REF!</v>
      </c>
      <c r="U990" s="97" t="str">
        <f t="shared" ca="1" si="29"/>
        <v>#REF!</v>
      </c>
      <c r="V990" s="97" t="str">
        <f t="shared" ca="1" si="7"/>
        <v>#REF!</v>
      </c>
      <c r="W990" s="97" t="str">
        <f t="shared" ca="1" si="8"/>
        <v>#REF!</v>
      </c>
      <c r="X990" s="121">
        <v>0</v>
      </c>
      <c r="Y990" s="121" t="str">
        <f t="shared" ca="1" si="9"/>
        <v>#REF!</v>
      </c>
      <c r="Z990" s="121" t="str">
        <f t="shared" ca="1" si="10"/>
        <v>#REF!</v>
      </c>
      <c r="AA990" s="99" t="str">
        <f t="shared" ca="1" si="11"/>
        <v>#REF!</v>
      </c>
      <c r="AB990" s="234" t="str">
        <f t="shared" ca="1" si="12"/>
        <v>#REF!</v>
      </c>
      <c r="AC990" s="257" t="str">
        <f t="shared" ca="1" si="13"/>
        <v>#REF!</v>
      </c>
      <c r="AD990" s="234" t="str">
        <f t="shared" ca="1" si="14"/>
        <v>#REF!</v>
      </c>
      <c r="AE990" s="100" t="str">
        <f t="shared" ca="1" si="15"/>
        <v>#REF!</v>
      </c>
      <c r="AF990" s="101" t="str">
        <f t="shared" ca="1" si="16"/>
        <v>#REF!</v>
      </c>
      <c r="AG990" s="102" t="str">
        <f t="shared" ref="AG990:AH990" ca="1" si="1008">AE990/V990</f>
        <v>#REF!</v>
      </c>
      <c r="AH990" s="102" t="str">
        <f t="shared" ca="1" si="1008"/>
        <v>#REF!</v>
      </c>
    </row>
    <row r="991" spans="1:34" ht="13.2">
      <c r="A991" s="251"/>
      <c r="B991" s="251"/>
      <c r="C991" s="252"/>
      <c r="D991" s="252"/>
      <c r="E991" s="114"/>
      <c r="F991" s="252"/>
      <c r="G991" s="125" t="s">
        <v>145</v>
      </c>
      <c r="I991" s="172"/>
      <c r="J991" s="82" t="str">
        <f t="shared" ca="1" si="0"/>
        <v>#REF!</v>
      </c>
      <c r="K991" s="82" t="str">
        <f t="shared" ca="1" si="1"/>
        <v>#REF!</v>
      </c>
      <c r="L991" s="82" t="str">
        <f t="shared" ca="1" si="44"/>
        <v>#REF!</v>
      </c>
      <c r="M991" s="93"/>
      <c r="N991" s="93"/>
      <c r="O991" s="95">
        <f t="shared" si="2"/>
        <v>0</v>
      </c>
      <c r="P991" s="96">
        <f t="shared" si="3"/>
        <v>0</v>
      </c>
      <c r="Q991" s="97">
        <f t="shared" si="4"/>
        <v>0</v>
      </c>
      <c r="R991" s="97" t="str">
        <f ca="1">ROUNDUP(HLOOKUP(IF(CEILING(L991,0.5)&lt;1,0.5,CEILING(L991,0.5)),'배송비 조회'!A$44:AO$56,7,0)*B$3,-2)</f>
        <v>#REF!</v>
      </c>
      <c r="S991" s="97">
        <v>0</v>
      </c>
      <c r="T991" s="97" t="str">
        <f t="shared" ca="1" si="42"/>
        <v>#REF!</v>
      </c>
      <c r="U991" s="97" t="str">
        <f t="shared" ca="1" si="29"/>
        <v>#REF!</v>
      </c>
      <c r="V991" s="97" t="str">
        <f t="shared" ca="1" si="7"/>
        <v>#REF!</v>
      </c>
      <c r="W991" s="97" t="str">
        <f t="shared" ca="1" si="8"/>
        <v>#REF!</v>
      </c>
      <c r="X991" s="121">
        <v>0</v>
      </c>
      <c r="Y991" s="121" t="str">
        <f t="shared" ca="1" si="9"/>
        <v>#REF!</v>
      </c>
      <c r="Z991" s="121" t="str">
        <f t="shared" ca="1" si="10"/>
        <v>#REF!</v>
      </c>
      <c r="AA991" s="99" t="str">
        <f t="shared" ca="1" si="11"/>
        <v>#REF!</v>
      </c>
      <c r="AB991" s="234" t="str">
        <f t="shared" ca="1" si="12"/>
        <v>#REF!</v>
      </c>
      <c r="AC991" s="257" t="str">
        <f t="shared" ca="1" si="13"/>
        <v>#REF!</v>
      </c>
      <c r="AD991" s="234" t="str">
        <f t="shared" ca="1" si="14"/>
        <v>#REF!</v>
      </c>
      <c r="AE991" s="100" t="str">
        <f t="shared" ca="1" si="15"/>
        <v>#REF!</v>
      </c>
      <c r="AF991" s="101" t="str">
        <f t="shared" ca="1" si="16"/>
        <v>#REF!</v>
      </c>
      <c r="AG991" s="102" t="str">
        <f t="shared" ref="AG991:AH991" ca="1" si="1009">AE991/V991</f>
        <v>#REF!</v>
      </c>
      <c r="AH991" s="102" t="str">
        <f t="shared" ca="1" si="1009"/>
        <v>#REF!</v>
      </c>
    </row>
    <row r="992" spans="1:34" ht="13.2">
      <c r="A992" s="251"/>
      <c r="B992" s="251"/>
      <c r="C992" s="252"/>
      <c r="D992" s="252"/>
      <c r="E992" s="114"/>
      <c r="F992" s="252"/>
      <c r="G992" s="125" t="s">
        <v>145</v>
      </c>
      <c r="I992" s="172"/>
      <c r="J992" s="82" t="str">
        <f t="shared" ca="1" si="0"/>
        <v>#REF!</v>
      </c>
      <c r="K992" s="82" t="str">
        <f t="shared" ca="1" si="1"/>
        <v>#REF!</v>
      </c>
      <c r="L992" s="82" t="str">
        <f t="shared" ca="1" si="44"/>
        <v>#REF!</v>
      </c>
      <c r="M992" s="93"/>
      <c r="N992" s="93"/>
      <c r="O992" s="95">
        <f t="shared" si="2"/>
        <v>0</v>
      </c>
      <c r="P992" s="96">
        <f t="shared" si="3"/>
        <v>0</v>
      </c>
      <c r="Q992" s="97">
        <f t="shared" si="4"/>
        <v>0</v>
      </c>
      <c r="R992" s="97" t="str">
        <f ca="1">ROUNDUP(HLOOKUP(IF(CEILING(L992,0.5)&lt;1,0.5,CEILING(L992,0.5)),'배송비 조회'!A$44:AO$56,7,0)*B$3,-2)</f>
        <v>#REF!</v>
      </c>
      <c r="S992" s="97">
        <v>0</v>
      </c>
      <c r="T992" s="97" t="str">
        <f t="shared" ca="1" si="42"/>
        <v>#REF!</v>
      </c>
      <c r="U992" s="97" t="str">
        <f t="shared" ca="1" si="29"/>
        <v>#REF!</v>
      </c>
      <c r="V992" s="97" t="str">
        <f t="shared" ca="1" si="7"/>
        <v>#REF!</v>
      </c>
      <c r="W992" s="97" t="str">
        <f t="shared" ca="1" si="8"/>
        <v>#REF!</v>
      </c>
      <c r="X992" s="121">
        <v>0</v>
      </c>
      <c r="Y992" s="121" t="str">
        <f t="shared" ca="1" si="9"/>
        <v>#REF!</v>
      </c>
      <c r="Z992" s="121" t="str">
        <f t="shared" ca="1" si="10"/>
        <v>#REF!</v>
      </c>
      <c r="AA992" s="99" t="str">
        <f t="shared" ca="1" si="11"/>
        <v>#REF!</v>
      </c>
      <c r="AB992" s="234" t="str">
        <f t="shared" ca="1" si="12"/>
        <v>#REF!</v>
      </c>
      <c r="AC992" s="257" t="str">
        <f t="shared" ca="1" si="13"/>
        <v>#REF!</v>
      </c>
      <c r="AD992" s="234" t="str">
        <f t="shared" ca="1" si="14"/>
        <v>#REF!</v>
      </c>
      <c r="AE992" s="100" t="str">
        <f t="shared" ca="1" si="15"/>
        <v>#REF!</v>
      </c>
      <c r="AF992" s="101" t="str">
        <f t="shared" ca="1" si="16"/>
        <v>#REF!</v>
      </c>
      <c r="AG992" s="102" t="str">
        <f t="shared" ref="AG992:AH992" ca="1" si="1010">AE992/V992</f>
        <v>#REF!</v>
      </c>
      <c r="AH992" s="102" t="str">
        <f t="shared" ca="1" si="1010"/>
        <v>#REF!</v>
      </c>
    </row>
    <row r="993" spans="1:34" ht="13.2">
      <c r="A993" s="251"/>
      <c r="B993" s="251"/>
      <c r="C993" s="252"/>
      <c r="D993" s="252"/>
      <c r="E993" s="114"/>
      <c r="F993" s="252"/>
      <c r="G993" s="125" t="s">
        <v>145</v>
      </c>
      <c r="I993" s="172"/>
      <c r="J993" s="82" t="str">
        <f t="shared" ca="1" si="0"/>
        <v>#REF!</v>
      </c>
      <c r="K993" s="82" t="str">
        <f t="shared" ca="1" si="1"/>
        <v>#REF!</v>
      </c>
      <c r="L993" s="82" t="str">
        <f t="shared" ca="1" si="44"/>
        <v>#REF!</v>
      </c>
      <c r="M993" s="93"/>
      <c r="N993" s="93"/>
      <c r="O993" s="95">
        <f t="shared" si="2"/>
        <v>0</v>
      </c>
      <c r="P993" s="96">
        <f t="shared" si="3"/>
        <v>0</v>
      </c>
      <c r="Q993" s="97">
        <f t="shared" si="4"/>
        <v>0</v>
      </c>
      <c r="R993" s="97" t="str">
        <f ca="1">ROUNDUP(HLOOKUP(IF(CEILING(L993,0.5)&lt;1,0.5,CEILING(L993,0.5)),'배송비 조회'!A$44:AO$56,7,0)*B$3,-2)</f>
        <v>#REF!</v>
      </c>
      <c r="S993" s="97">
        <v>0</v>
      </c>
      <c r="T993" s="97" t="str">
        <f t="shared" ca="1" si="42"/>
        <v>#REF!</v>
      </c>
      <c r="U993" s="97" t="str">
        <f t="shared" ca="1" si="29"/>
        <v>#REF!</v>
      </c>
      <c r="V993" s="97" t="str">
        <f t="shared" ca="1" si="7"/>
        <v>#REF!</v>
      </c>
      <c r="W993" s="97" t="str">
        <f t="shared" ca="1" si="8"/>
        <v>#REF!</v>
      </c>
      <c r="X993" s="121">
        <v>0</v>
      </c>
      <c r="Y993" s="121" t="str">
        <f t="shared" ca="1" si="9"/>
        <v>#REF!</v>
      </c>
      <c r="Z993" s="121" t="str">
        <f t="shared" ca="1" si="10"/>
        <v>#REF!</v>
      </c>
      <c r="AA993" s="99" t="str">
        <f t="shared" ca="1" si="11"/>
        <v>#REF!</v>
      </c>
      <c r="AB993" s="234" t="str">
        <f t="shared" ca="1" si="12"/>
        <v>#REF!</v>
      </c>
      <c r="AC993" s="257" t="str">
        <f t="shared" ca="1" si="13"/>
        <v>#REF!</v>
      </c>
      <c r="AD993" s="234" t="str">
        <f t="shared" ca="1" si="14"/>
        <v>#REF!</v>
      </c>
      <c r="AE993" s="100" t="str">
        <f t="shared" ca="1" si="15"/>
        <v>#REF!</v>
      </c>
      <c r="AF993" s="101" t="str">
        <f t="shared" ca="1" si="16"/>
        <v>#REF!</v>
      </c>
      <c r="AG993" s="102" t="str">
        <f t="shared" ref="AG993:AH993" ca="1" si="1011">AE993/V993</f>
        <v>#REF!</v>
      </c>
      <c r="AH993" s="102" t="str">
        <f t="shared" ca="1" si="1011"/>
        <v>#REF!</v>
      </c>
    </row>
    <row r="994" spans="1:34" ht="13.2">
      <c r="A994" s="251"/>
      <c r="B994" s="251"/>
      <c r="C994" s="252"/>
      <c r="D994" s="252"/>
      <c r="E994" s="114"/>
      <c r="F994" s="252"/>
      <c r="G994" s="125" t="s">
        <v>145</v>
      </c>
      <c r="I994" s="172"/>
      <c r="J994" s="82" t="str">
        <f t="shared" ca="1" si="0"/>
        <v>#REF!</v>
      </c>
      <c r="K994" s="82" t="str">
        <f t="shared" ca="1" si="1"/>
        <v>#REF!</v>
      </c>
      <c r="L994" s="82" t="str">
        <f t="shared" ca="1" si="44"/>
        <v>#REF!</v>
      </c>
      <c r="M994" s="93"/>
      <c r="N994" s="93"/>
      <c r="O994" s="95">
        <f t="shared" si="2"/>
        <v>0</v>
      </c>
      <c r="P994" s="96">
        <f t="shared" si="3"/>
        <v>0</v>
      </c>
      <c r="Q994" s="97">
        <f t="shared" si="4"/>
        <v>0</v>
      </c>
      <c r="R994" s="97" t="str">
        <f ca="1">ROUNDUP(HLOOKUP(IF(CEILING(L994,0.5)&lt;1,0.5,CEILING(L994,0.5)),'배송비 조회'!A$44:AO$56,7,0)*B$3,-2)</f>
        <v>#REF!</v>
      </c>
      <c r="S994" s="97">
        <v>0</v>
      </c>
      <c r="T994" s="97" t="str">
        <f t="shared" ca="1" si="42"/>
        <v>#REF!</v>
      </c>
      <c r="U994" s="97" t="str">
        <f t="shared" ca="1" si="29"/>
        <v>#REF!</v>
      </c>
      <c r="V994" s="97" t="str">
        <f t="shared" ca="1" si="7"/>
        <v>#REF!</v>
      </c>
      <c r="W994" s="97" t="str">
        <f t="shared" ca="1" si="8"/>
        <v>#REF!</v>
      </c>
      <c r="X994" s="121">
        <v>0</v>
      </c>
      <c r="Y994" s="121" t="str">
        <f t="shared" ca="1" si="9"/>
        <v>#REF!</v>
      </c>
      <c r="Z994" s="121" t="str">
        <f t="shared" ca="1" si="10"/>
        <v>#REF!</v>
      </c>
      <c r="AA994" s="99" t="str">
        <f t="shared" ca="1" si="11"/>
        <v>#REF!</v>
      </c>
      <c r="AB994" s="234" t="str">
        <f t="shared" ca="1" si="12"/>
        <v>#REF!</v>
      </c>
      <c r="AC994" s="257" t="str">
        <f t="shared" ca="1" si="13"/>
        <v>#REF!</v>
      </c>
      <c r="AD994" s="234" t="str">
        <f t="shared" ca="1" si="14"/>
        <v>#REF!</v>
      </c>
      <c r="AE994" s="100" t="str">
        <f t="shared" ca="1" si="15"/>
        <v>#REF!</v>
      </c>
      <c r="AF994" s="101" t="str">
        <f t="shared" ca="1" si="16"/>
        <v>#REF!</v>
      </c>
      <c r="AG994" s="102" t="str">
        <f t="shared" ref="AG994:AH994" ca="1" si="1012">AE994/V994</f>
        <v>#REF!</v>
      </c>
      <c r="AH994" s="102" t="str">
        <f t="shared" ca="1" si="1012"/>
        <v>#REF!</v>
      </c>
    </row>
  </sheetData>
  <mergeCells count="40">
    <mergeCell ref="AG1:AH1"/>
    <mergeCell ref="M1:M2"/>
    <mergeCell ref="N1:N2"/>
    <mergeCell ref="O1:O2"/>
    <mergeCell ref="P1:P2"/>
    <mergeCell ref="Q1:Q2"/>
    <mergeCell ref="R1:R2"/>
    <mergeCell ref="S1:S2"/>
    <mergeCell ref="T1:U1"/>
    <mergeCell ref="V1:W1"/>
    <mergeCell ref="X1:AA1"/>
    <mergeCell ref="AB1:AC1"/>
    <mergeCell ref="AE1:AF1"/>
    <mergeCell ref="A1:B1"/>
    <mergeCell ref="C1:D1"/>
    <mergeCell ref="E1:E2"/>
    <mergeCell ref="F1:F2"/>
    <mergeCell ref="G1:H2"/>
    <mergeCell ref="I1:I2"/>
    <mergeCell ref="J1:L1"/>
    <mergeCell ref="C9:C13"/>
    <mergeCell ref="D9:D13"/>
    <mergeCell ref="C14:C16"/>
    <mergeCell ref="D14:D16"/>
    <mergeCell ref="E14:E16"/>
    <mergeCell ref="C18:C25"/>
    <mergeCell ref="D18:D25"/>
    <mergeCell ref="E18:E25"/>
    <mergeCell ref="A5:A8"/>
    <mergeCell ref="B5:B8"/>
    <mergeCell ref="C5:C8"/>
    <mergeCell ref="D5:D8"/>
    <mergeCell ref="E5:E8"/>
    <mergeCell ref="B9:B13"/>
    <mergeCell ref="E9:E13"/>
    <mergeCell ref="A9:A13"/>
    <mergeCell ref="A14:A16"/>
    <mergeCell ref="B14:B16"/>
    <mergeCell ref="A18:A25"/>
    <mergeCell ref="B18:B25"/>
  </mergeCells>
  <phoneticPr fontId="6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Y69"/>
  <sheetViews>
    <sheetView workbookViewId="0">
      <selection sqref="A1:I7"/>
    </sheetView>
  </sheetViews>
  <sheetFormatPr defaultColWidth="14.44140625" defaultRowHeight="15.75" customHeight="1"/>
  <sheetData>
    <row r="1" spans="1:31" ht="15.75" customHeight="1">
      <c r="A1" s="372" t="s">
        <v>984</v>
      </c>
      <c r="B1" s="297"/>
      <c r="C1" s="297"/>
      <c r="D1" s="297"/>
      <c r="E1" s="297"/>
      <c r="F1" s="297"/>
      <c r="G1" s="297"/>
      <c r="H1" s="297"/>
      <c r="I1" s="297"/>
    </row>
    <row r="2" spans="1:31" ht="15.75" customHeight="1">
      <c r="A2" s="297"/>
      <c r="B2" s="297"/>
      <c r="C2" s="297"/>
      <c r="D2" s="297"/>
      <c r="E2" s="297"/>
      <c r="F2" s="297"/>
      <c r="G2" s="297"/>
      <c r="H2" s="297"/>
      <c r="I2" s="297"/>
    </row>
    <row r="3" spans="1:31" ht="15.75" customHeight="1">
      <c r="A3" s="297"/>
      <c r="B3" s="297"/>
      <c r="C3" s="297"/>
      <c r="D3" s="297"/>
      <c r="E3" s="297"/>
      <c r="F3" s="297"/>
      <c r="G3" s="297"/>
      <c r="H3" s="297"/>
      <c r="I3" s="297"/>
    </row>
    <row r="4" spans="1:31" ht="15.75" customHeight="1">
      <c r="A4" s="297"/>
      <c r="B4" s="297"/>
      <c r="C4" s="297"/>
      <c r="D4" s="297"/>
      <c r="E4" s="297"/>
      <c r="F4" s="297"/>
      <c r="G4" s="297"/>
      <c r="H4" s="297"/>
      <c r="I4" s="297"/>
    </row>
    <row r="5" spans="1:31" ht="15.75" customHeight="1">
      <c r="A5" s="297"/>
      <c r="B5" s="297"/>
      <c r="C5" s="297"/>
      <c r="D5" s="297"/>
      <c r="E5" s="297"/>
      <c r="F5" s="297"/>
      <c r="G5" s="297"/>
      <c r="H5" s="297"/>
      <c r="I5" s="297"/>
    </row>
    <row r="6" spans="1:31" ht="15.75" customHeight="1">
      <c r="A6" s="297"/>
      <c r="B6" s="297"/>
      <c r="C6" s="297"/>
      <c r="D6" s="297"/>
      <c r="E6" s="297"/>
      <c r="F6" s="297"/>
      <c r="G6" s="297"/>
      <c r="H6" s="297"/>
      <c r="I6" s="297"/>
    </row>
    <row r="7" spans="1:31" ht="15.75" customHeight="1">
      <c r="A7" s="297"/>
      <c r="B7" s="297"/>
      <c r="C7" s="297"/>
      <c r="D7" s="297"/>
      <c r="E7" s="297"/>
      <c r="F7" s="297"/>
      <c r="G7" s="297"/>
      <c r="H7" s="297"/>
      <c r="I7" s="297"/>
    </row>
    <row r="9" spans="1:31" ht="13.8">
      <c r="A9" s="42" t="s">
        <v>985</v>
      </c>
      <c r="B9" s="43"/>
      <c r="C9" s="43"/>
      <c r="D9" s="43"/>
      <c r="E9" s="43"/>
      <c r="F9" s="43"/>
      <c r="G9" s="43"/>
      <c r="H9" s="43"/>
      <c r="I9" s="43"/>
      <c r="J9" s="43"/>
      <c r="K9" s="43"/>
      <c r="L9" s="43"/>
      <c r="M9" s="43"/>
      <c r="N9" s="43"/>
      <c r="O9" s="43"/>
      <c r="P9" s="43"/>
      <c r="Q9" s="43"/>
      <c r="R9" s="43"/>
      <c r="S9" s="43"/>
      <c r="T9" s="43"/>
      <c r="U9" s="43"/>
    </row>
    <row r="10" spans="1:31" ht="13.8">
      <c r="A10" s="42" t="s">
        <v>986</v>
      </c>
      <c r="B10" s="43">
        <v>1</v>
      </c>
      <c r="C10" s="43">
        <v>2</v>
      </c>
      <c r="D10" s="43">
        <v>3</v>
      </c>
      <c r="E10" s="43">
        <v>4</v>
      </c>
      <c r="F10" s="43">
        <v>5</v>
      </c>
      <c r="G10" s="43">
        <v>6</v>
      </c>
      <c r="H10" s="43">
        <v>7</v>
      </c>
      <c r="I10" s="43">
        <v>8</v>
      </c>
      <c r="J10" s="43">
        <v>9</v>
      </c>
      <c r="K10" s="43">
        <v>10</v>
      </c>
      <c r="L10" s="43">
        <v>11</v>
      </c>
      <c r="M10" s="43">
        <v>12</v>
      </c>
      <c r="N10" s="43">
        <v>13</v>
      </c>
      <c r="O10" s="43">
        <v>14</v>
      </c>
      <c r="P10" s="43">
        <v>15</v>
      </c>
      <c r="Q10" s="43">
        <v>16</v>
      </c>
      <c r="R10" s="43">
        <v>17</v>
      </c>
      <c r="S10" s="43">
        <v>18</v>
      </c>
      <c r="T10" s="43">
        <v>19</v>
      </c>
      <c r="U10" s="43">
        <v>20</v>
      </c>
      <c r="V10" s="28">
        <v>21</v>
      </c>
      <c r="W10" s="43">
        <v>22</v>
      </c>
      <c r="X10" s="28">
        <v>23</v>
      </c>
      <c r="Y10" s="43">
        <v>24</v>
      </c>
      <c r="Z10" s="28">
        <v>25</v>
      </c>
      <c r="AA10" s="43">
        <v>26</v>
      </c>
      <c r="AB10" s="28">
        <v>27</v>
      </c>
      <c r="AC10" s="43">
        <v>28</v>
      </c>
      <c r="AD10" s="43">
        <v>29</v>
      </c>
      <c r="AE10" s="28">
        <v>30</v>
      </c>
    </row>
    <row r="11" spans="1:31" ht="13.8">
      <c r="A11" s="44" t="s">
        <v>987</v>
      </c>
      <c r="B11" s="43">
        <v>5</v>
      </c>
      <c r="C11" s="43">
        <v>6.5</v>
      </c>
      <c r="D11" s="43">
        <v>8</v>
      </c>
      <c r="E11" s="43">
        <v>9.5</v>
      </c>
      <c r="F11" s="43">
        <v>11</v>
      </c>
      <c r="G11" s="43">
        <v>12.5</v>
      </c>
      <c r="H11" s="43">
        <v>14</v>
      </c>
      <c r="I11" s="43">
        <v>15.5</v>
      </c>
      <c r="J11" s="43">
        <v>17</v>
      </c>
      <c r="K11" s="43">
        <v>18.5</v>
      </c>
      <c r="L11" s="43">
        <v>20</v>
      </c>
      <c r="M11" s="43">
        <v>21.5</v>
      </c>
      <c r="N11" s="43">
        <v>23</v>
      </c>
      <c r="O11" s="43">
        <v>24.5</v>
      </c>
      <c r="P11" s="43">
        <v>26</v>
      </c>
      <c r="Q11" s="43">
        <v>27.5</v>
      </c>
      <c r="R11" s="43">
        <v>29</v>
      </c>
      <c r="S11" s="43">
        <v>30.5</v>
      </c>
      <c r="T11" s="43">
        <v>32</v>
      </c>
      <c r="U11" s="43">
        <v>33.5</v>
      </c>
      <c r="V11" s="43">
        <v>35</v>
      </c>
      <c r="W11" s="43">
        <v>36.5</v>
      </c>
      <c r="X11" s="43">
        <v>38</v>
      </c>
      <c r="Y11" s="43">
        <v>39.5</v>
      </c>
      <c r="Z11" s="43">
        <v>41</v>
      </c>
      <c r="AA11" s="43">
        <v>42.5</v>
      </c>
      <c r="AB11" s="43">
        <v>44</v>
      </c>
      <c r="AC11" s="43">
        <v>45.5</v>
      </c>
      <c r="AD11" s="43">
        <v>47</v>
      </c>
      <c r="AE11" s="43">
        <v>48.5</v>
      </c>
    </row>
    <row r="12" spans="1:31" ht="13.8">
      <c r="A12" s="45" t="s">
        <v>988</v>
      </c>
      <c r="B12" s="43">
        <v>6</v>
      </c>
      <c r="C12" s="43">
        <v>7.6</v>
      </c>
      <c r="D12" s="43">
        <v>9.1999999999999993</v>
      </c>
      <c r="E12" s="43">
        <v>10.8</v>
      </c>
      <c r="F12" s="43">
        <v>12.4</v>
      </c>
      <c r="G12" s="43">
        <v>14</v>
      </c>
      <c r="H12" s="43">
        <v>15.6</v>
      </c>
      <c r="I12" s="43">
        <v>17.2</v>
      </c>
      <c r="J12" s="43">
        <v>18.8</v>
      </c>
      <c r="K12" s="43">
        <v>20.399999999999999</v>
      </c>
      <c r="L12" s="43">
        <v>22</v>
      </c>
      <c r="M12" s="43">
        <v>23.6</v>
      </c>
      <c r="N12" s="43">
        <v>25.2</v>
      </c>
      <c r="O12" s="43">
        <v>26.8</v>
      </c>
      <c r="P12" s="43">
        <v>28.4</v>
      </c>
      <c r="Q12" s="43">
        <v>30</v>
      </c>
      <c r="R12" s="43">
        <v>31.6</v>
      </c>
      <c r="S12" s="43">
        <v>33.200000000000003</v>
      </c>
      <c r="T12" s="43">
        <v>34.799999999999997</v>
      </c>
      <c r="U12" s="43">
        <v>36.4</v>
      </c>
      <c r="V12" s="43">
        <v>38</v>
      </c>
      <c r="W12" s="43">
        <v>39.6</v>
      </c>
      <c r="X12" s="43">
        <v>41.2</v>
      </c>
      <c r="Y12" s="43">
        <v>42.800000000000097</v>
      </c>
      <c r="Z12" s="43">
        <v>44.400000000000098</v>
      </c>
      <c r="AA12" s="43">
        <v>46.000000000000099</v>
      </c>
      <c r="AB12" s="43">
        <v>47.600000000000101</v>
      </c>
      <c r="AC12" s="43">
        <v>49.200000000000102</v>
      </c>
      <c r="AD12" s="43">
        <v>50.800000000000097</v>
      </c>
      <c r="AE12" s="43">
        <v>52.400000000000098</v>
      </c>
    </row>
    <row r="13" spans="1:31" ht="13.8">
      <c r="A13" s="45" t="s">
        <v>990</v>
      </c>
      <c r="B13" s="43">
        <v>8</v>
      </c>
      <c r="C13" s="43">
        <v>9.8000000000000007</v>
      </c>
      <c r="D13" s="43">
        <v>11.6</v>
      </c>
      <c r="E13" s="43">
        <v>13.4</v>
      </c>
      <c r="F13" s="43">
        <v>15.2</v>
      </c>
      <c r="G13" s="43">
        <v>17</v>
      </c>
      <c r="H13" s="43">
        <v>18.8</v>
      </c>
      <c r="I13" s="43">
        <v>20.6</v>
      </c>
      <c r="J13" s="43">
        <v>22.4</v>
      </c>
      <c r="K13" s="43">
        <v>24.2</v>
      </c>
      <c r="L13" s="43">
        <v>26</v>
      </c>
      <c r="M13" s="43">
        <v>27.8</v>
      </c>
      <c r="N13" s="43">
        <v>29.6</v>
      </c>
      <c r="O13" s="43">
        <v>31.4</v>
      </c>
      <c r="P13" s="43">
        <v>33.200000000000003</v>
      </c>
      <c r="Q13" s="43">
        <v>35</v>
      </c>
      <c r="R13" s="43">
        <v>36.799999999999997</v>
      </c>
      <c r="S13" s="43">
        <v>38.6</v>
      </c>
      <c r="T13" s="43">
        <v>40.4</v>
      </c>
      <c r="U13" s="43">
        <v>42.2</v>
      </c>
      <c r="V13" s="43">
        <v>44</v>
      </c>
      <c r="W13" s="43">
        <v>45.8</v>
      </c>
      <c r="X13" s="43">
        <v>47.6</v>
      </c>
      <c r="Y13" s="43">
        <v>49.400000000000098</v>
      </c>
      <c r="Z13" s="43">
        <v>51.200000000000102</v>
      </c>
      <c r="AA13" s="43">
        <v>53.000000000000099</v>
      </c>
      <c r="AB13" s="43">
        <v>54.800000000000097</v>
      </c>
      <c r="AC13" s="43">
        <v>56.600000000000101</v>
      </c>
      <c r="AD13" s="43">
        <v>58.400000000000098</v>
      </c>
      <c r="AE13" s="43">
        <v>60.200000000000102</v>
      </c>
    </row>
    <row r="14" spans="1:31" ht="13.8">
      <c r="A14" s="45" t="s">
        <v>991</v>
      </c>
      <c r="B14" s="43">
        <v>7.2</v>
      </c>
      <c r="C14" s="43">
        <v>8.9499999999999993</v>
      </c>
      <c r="D14" s="43">
        <v>10.7</v>
      </c>
      <c r="E14" s="43">
        <v>12.45</v>
      </c>
      <c r="F14" s="43">
        <v>14.2</v>
      </c>
      <c r="G14" s="43">
        <v>15.95</v>
      </c>
      <c r="H14" s="43">
        <v>17.7</v>
      </c>
      <c r="I14" s="43">
        <v>19.45</v>
      </c>
      <c r="J14" s="43">
        <v>21.2</v>
      </c>
      <c r="K14" s="43">
        <v>22.95</v>
      </c>
      <c r="L14" s="43">
        <v>24.7</v>
      </c>
      <c r="M14" s="43">
        <v>26.45</v>
      </c>
      <c r="N14" s="43">
        <v>28.2</v>
      </c>
      <c r="O14" s="43">
        <v>29.95</v>
      </c>
      <c r="P14" s="43">
        <v>31.7</v>
      </c>
      <c r="Q14" s="43">
        <v>33.450000000000003</v>
      </c>
      <c r="R14" s="43">
        <v>35.200000000000003</v>
      </c>
      <c r="S14" s="43">
        <v>36.950000000000003</v>
      </c>
      <c r="T14" s="43">
        <v>38.700000000000003</v>
      </c>
      <c r="U14" s="43">
        <v>40.450000000000003</v>
      </c>
      <c r="V14" s="43">
        <v>42.2</v>
      </c>
      <c r="W14" s="43">
        <v>43.95</v>
      </c>
      <c r="X14" s="43">
        <v>45.7</v>
      </c>
      <c r="Y14" s="43">
        <v>47.45</v>
      </c>
      <c r="Z14" s="43">
        <v>49.2</v>
      </c>
      <c r="AA14" s="43">
        <v>50.95</v>
      </c>
      <c r="AB14" s="43">
        <v>52.7</v>
      </c>
      <c r="AC14" s="43">
        <v>54.45</v>
      </c>
      <c r="AD14" s="43">
        <v>56.2</v>
      </c>
      <c r="AE14" s="43">
        <v>57.95</v>
      </c>
    </row>
    <row r="15" spans="1:31" ht="13.8">
      <c r="A15" s="45" t="s">
        <v>992</v>
      </c>
      <c r="B15" s="43">
        <v>7.2</v>
      </c>
      <c r="C15" s="43">
        <v>8.9499999999999993</v>
      </c>
      <c r="D15" s="43">
        <v>10.7</v>
      </c>
      <c r="E15" s="43">
        <v>12.45</v>
      </c>
      <c r="F15" s="43">
        <v>14.2</v>
      </c>
      <c r="G15" s="43">
        <v>15.95</v>
      </c>
      <c r="H15" s="43">
        <v>17.7</v>
      </c>
      <c r="I15" s="43">
        <v>19.45</v>
      </c>
      <c r="J15" s="43">
        <v>21.2</v>
      </c>
      <c r="K15" s="43">
        <v>22.95</v>
      </c>
      <c r="L15" s="43">
        <v>24.7</v>
      </c>
      <c r="M15" s="43">
        <v>26.45</v>
      </c>
      <c r="N15" s="43">
        <v>28.2</v>
      </c>
      <c r="O15" s="43">
        <v>29.95</v>
      </c>
      <c r="P15" s="43">
        <v>31.7</v>
      </c>
      <c r="Q15" s="43">
        <v>33.450000000000003</v>
      </c>
      <c r="R15" s="43">
        <v>35.200000000000003</v>
      </c>
      <c r="S15" s="43">
        <v>36.950000000000003</v>
      </c>
      <c r="T15" s="43">
        <v>38.700000000000003</v>
      </c>
      <c r="U15" s="43">
        <v>40.450000000000003</v>
      </c>
      <c r="V15" s="43">
        <v>42.2</v>
      </c>
      <c r="W15" s="43">
        <v>43.95</v>
      </c>
      <c r="X15" s="43">
        <v>45.7</v>
      </c>
      <c r="Y15" s="43">
        <v>47.45</v>
      </c>
      <c r="Z15" s="43">
        <v>49.2</v>
      </c>
      <c r="AA15" s="43">
        <v>50.95</v>
      </c>
      <c r="AB15" s="43">
        <v>52.7</v>
      </c>
      <c r="AC15" s="43">
        <v>54.45</v>
      </c>
      <c r="AD15" s="43">
        <v>56.2</v>
      </c>
      <c r="AE15" s="43">
        <v>57.95</v>
      </c>
    </row>
    <row r="16" spans="1:31" ht="13.8">
      <c r="A16" s="45" t="s">
        <v>993</v>
      </c>
      <c r="B16" s="43">
        <v>7.2</v>
      </c>
      <c r="C16" s="43">
        <v>8.9499999999999993</v>
      </c>
      <c r="D16" s="43">
        <v>10.7</v>
      </c>
      <c r="E16" s="43">
        <v>12.45</v>
      </c>
      <c r="F16" s="43">
        <v>14.2</v>
      </c>
      <c r="G16" s="43">
        <v>15.95</v>
      </c>
      <c r="H16" s="43">
        <v>17.7</v>
      </c>
      <c r="I16" s="43">
        <v>19.45</v>
      </c>
      <c r="J16" s="43">
        <v>21.2</v>
      </c>
      <c r="K16" s="43">
        <v>22.95</v>
      </c>
      <c r="L16" s="43">
        <v>24.7</v>
      </c>
      <c r="M16" s="43">
        <v>26.45</v>
      </c>
      <c r="N16" s="43">
        <v>28.2</v>
      </c>
      <c r="O16" s="43">
        <v>29.95</v>
      </c>
      <c r="P16" s="43">
        <v>31.7</v>
      </c>
      <c r="Q16" s="43">
        <v>33.450000000000003</v>
      </c>
      <c r="R16" s="43">
        <v>35.200000000000003</v>
      </c>
      <c r="S16" s="43">
        <v>36.950000000000003</v>
      </c>
      <c r="T16" s="43">
        <v>38.700000000000003</v>
      </c>
      <c r="U16" s="43">
        <v>40.450000000000003</v>
      </c>
      <c r="V16" s="43">
        <v>42.2</v>
      </c>
      <c r="W16" s="43">
        <v>43.95</v>
      </c>
      <c r="X16" s="43">
        <v>45.7</v>
      </c>
      <c r="Y16" s="43">
        <v>47.45</v>
      </c>
      <c r="Z16" s="43">
        <v>49.2</v>
      </c>
      <c r="AA16" s="43">
        <v>50.95</v>
      </c>
      <c r="AB16" s="43">
        <v>52.7</v>
      </c>
      <c r="AC16" s="43">
        <v>54.45</v>
      </c>
      <c r="AD16" s="43">
        <v>56.2</v>
      </c>
      <c r="AE16" s="43">
        <v>57.95</v>
      </c>
    </row>
    <row r="17" spans="1:51" ht="13.8">
      <c r="A17" s="45" t="s">
        <v>994</v>
      </c>
      <c r="B17" s="43">
        <v>7.2</v>
      </c>
      <c r="C17" s="43">
        <v>8.9499999999999993</v>
      </c>
      <c r="D17" s="43">
        <v>10.7</v>
      </c>
      <c r="E17" s="43">
        <v>12.45</v>
      </c>
      <c r="F17" s="43">
        <v>14.2</v>
      </c>
      <c r="G17" s="43">
        <v>15.95</v>
      </c>
      <c r="H17" s="43">
        <v>17.7</v>
      </c>
      <c r="I17" s="43">
        <v>19.45</v>
      </c>
      <c r="J17" s="43">
        <v>21.2</v>
      </c>
      <c r="K17" s="43">
        <v>22.95</v>
      </c>
      <c r="L17" s="43">
        <v>24.7</v>
      </c>
      <c r="M17" s="43">
        <v>26.45</v>
      </c>
      <c r="N17" s="43">
        <v>28.2</v>
      </c>
      <c r="O17" s="43">
        <v>29.95</v>
      </c>
      <c r="P17" s="43">
        <v>31.7</v>
      </c>
      <c r="Q17" s="43">
        <v>33.450000000000003</v>
      </c>
      <c r="R17" s="43">
        <v>35.200000000000003</v>
      </c>
      <c r="S17" s="43">
        <v>36.950000000000003</v>
      </c>
      <c r="T17" s="43">
        <v>38.700000000000003</v>
      </c>
      <c r="U17" s="43">
        <v>40.450000000000003</v>
      </c>
      <c r="V17" s="43">
        <v>42.2</v>
      </c>
      <c r="W17" s="43">
        <v>43.95</v>
      </c>
      <c r="X17" s="43">
        <v>45.7</v>
      </c>
      <c r="Y17" s="43">
        <v>47.45</v>
      </c>
      <c r="Z17" s="43">
        <v>49.2</v>
      </c>
      <c r="AA17" s="43">
        <v>50.95</v>
      </c>
      <c r="AB17" s="43">
        <v>52.7</v>
      </c>
      <c r="AC17" s="43">
        <v>54.45</v>
      </c>
      <c r="AD17" s="43">
        <v>56.2</v>
      </c>
      <c r="AE17" s="43">
        <v>57.95</v>
      </c>
    </row>
    <row r="18" spans="1:51" ht="13.8">
      <c r="A18" s="45" t="s">
        <v>995</v>
      </c>
      <c r="B18" s="43">
        <v>7.2</v>
      </c>
      <c r="C18" s="43">
        <v>8.9499999999999993</v>
      </c>
      <c r="D18" s="43">
        <v>10.7</v>
      </c>
      <c r="E18" s="43">
        <v>12.45</v>
      </c>
      <c r="F18" s="43">
        <v>14.2</v>
      </c>
      <c r="G18" s="43">
        <v>15.95</v>
      </c>
      <c r="H18" s="43">
        <v>17.7</v>
      </c>
      <c r="I18" s="43">
        <v>19.45</v>
      </c>
      <c r="J18" s="43">
        <v>21.2</v>
      </c>
      <c r="K18" s="43">
        <v>22.95</v>
      </c>
      <c r="L18" s="43">
        <v>24.7</v>
      </c>
      <c r="M18" s="43">
        <v>26.45</v>
      </c>
      <c r="N18" s="43">
        <v>28.2</v>
      </c>
      <c r="O18" s="43">
        <v>29.95</v>
      </c>
      <c r="P18" s="43">
        <v>31.7</v>
      </c>
      <c r="Q18" s="43">
        <v>33.450000000000003</v>
      </c>
      <c r="R18" s="43">
        <v>35.200000000000003</v>
      </c>
      <c r="S18" s="43">
        <v>36.950000000000003</v>
      </c>
      <c r="T18" s="43">
        <v>38.700000000000003</v>
      </c>
      <c r="U18" s="43">
        <v>40.450000000000003</v>
      </c>
      <c r="V18" s="43">
        <v>42.2</v>
      </c>
      <c r="W18" s="43">
        <v>43.95</v>
      </c>
      <c r="X18" s="43">
        <v>45.7</v>
      </c>
      <c r="Y18" s="43">
        <v>47.45</v>
      </c>
      <c r="Z18" s="43">
        <v>49.2</v>
      </c>
      <c r="AA18" s="43">
        <v>50.95</v>
      </c>
      <c r="AB18" s="43">
        <v>52.7</v>
      </c>
      <c r="AC18" s="43">
        <v>54.45</v>
      </c>
      <c r="AD18" s="43">
        <v>56.2</v>
      </c>
      <c r="AE18" s="43">
        <v>57.95</v>
      </c>
    </row>
    <row r="19" spans="1:51" ht="13.8">
      <c r="A19" s="45" t="s">
        <v>996</v>
      </c>
      <c r="B19" s="43">
        <v>7.2</v>
      </c>
      <c r="C19" s="43">
        <v>8.9499999999999993</v>
      </c>
      <c r="D19" s="43">
        <v>10.7</v>
      </c>
      <c r="E19" s="43">
        <v>12.45</v>
      </c>
      <c r="F19" s="43">
        <v>14.2</v>
      </c>
      <c r="G19" s="43">
        <v>15.95</v>
      </c>
      <c r="H19" s="43">
        <v>17.7</v>
      </c>
      <c r="I19" s="43">
        <v>19.45</v>
      </c>
      <c r="J19" s="43">
        <v>21.2</v>
      </c>
      <c r="K19" s="43">
        <v>22.95</v>
      </c>
      <c r="L19" s="43">
        <v>24.7</v>
      </c>
      <c r="M19" s="43">
        <v>26.45</v>
      </c>
      <c r="N19" s="43">
        <v>28.2</v>
      </c>
      <c r="O19" s="43">
        <v>29.95</v>
      </c>
      <c r="P19" s="43">
        <v>31.7</v>
      </c>
      <c r="Q19" s="43">
        <v>33.450000000000003</v>
      </c>
      <c r="R19" s="43">
        <v>35.200000000000003</v>
      </c>
      <c r="S19" s="43">
        <v>36.950000000000003</v>
      </c>
      <c r="T19" s="43">
        <v>38.700000000000003</v>
      </c>
      <c r="U19" s="43">
        <v>40.450000000000003</v>
      </c>
      <c r="V19" s="43">
        <v>42.2</v>
      </c>
      <c r="W19" s="43">
        <v>43.95</v>
      </c>
      <c r="X19" s="43">
        <v>45.7</v>
      </c>
      <c r="Y19" s="43">
        <v>47.45</v>
      </c>
      <c r="Z19" s="43">
        <v>49.2</v>
      </c>
      <c r="AA19" s="43">
        <v>50.95</v>
      </c>
      <c r="AB19" s="43">
        <v>52.7</v>
      </c>
      <c r="AC19" s="43">
        <v>54.45</v>
      </c>
      <c r="AD19" s="43">
        <v>56.2</v>
      </c>
      <c r="AE19" s="43">
        <v>57.95</v>
      </c>
    </row>
    <row r="20" spans="1:51" ht="13.8">
      <c r="A20" s="45" t="s">
        <v>997</v>
      </c>
      <c r="B20" s="43">
        <v>7.2</v>
      </c>
      <c r="C20" s="43">
        <v>8.9499999999999993</v>
      </c>
      <c r="D20" s="43">
        <v>10.7</v>
      </c>
      <c r="E20" s="43">
        <v>12.45</v>
      </c>
      <c r="F20" s="43">
        <v>14.2</v>
      </c>
      <c r="G20" s="43">
        <v>15.95</v>
      </c>
      <c r="H20" s="43">
        <v>17.7</v>
      </c>
      <c r="I20" s="43">
        <v>19.45</v>
      </c>
      <c r="J20" s="43">
        <v>21.2</v>
      </c>
      <c r="K20" s="43">
        <v>22.95</v>
      </c>
      <c r="L20" s="43">
        <v>24.7</v>
      </c>
      <c r="M20" s="43">
        <v>26.45</v>
      </c>
      <c r="N20" s="43">
        <v>28.2</v>
      </c>
      <c r="O20" s="43">
        <v>29.95</v>
      </c>
      <c r="P20" s="43">
        <v>31.7</v>
      </c>
      <c r="Q20" s="43">
        <v>33.450000000000003</v>
      </c>
      <c r="R20" s="43">
        <v>35.200000000000003</v>
      </c>
      <c r="S20" s="43">
        <v>36.950000000000003</v>
      </c>
      <c r="T20" s="43">
        <v>38.700000000000003</v>
      </c>
      <c r="U20" s="43">
        <v>40.450000000000003</v>
      </c>
      <c r="V20" s="43">
        <v>42.2</v>
      </c>
      <c r="W20" s="43">
        <v>43.95</v>
      </c>
      <c r="X20" s="43">
        <v>45.7</v>
      </c>
      <c r="Y20" s="43">
        <v>47.45</v>
      </c>
      <c r="Z20" s="43">
        <v>49.2</v>
      </c>
      <c r="AA20" s="43">
        <v>50.95</v>
      </c>
      <c r="AB20" s="43">
        <v>52.7</v>
      </c>
      <c r="AC20" s="43">
        <v>54.45</v>
      </c>
      <c r="AD20" s="43">
        <v>56.2</v>
      </c>
      <c r="AE20" s="43">
        <v>57.95</v>
      </c>
    </row>
    <row r="21" spans="1:51" ht="13.8">
      <c r="A21" s="45" t="s">
        <v>998</v>
      </c>
      <c r="B21" s="43">
        <v>7.2</v>
      </c>
      <c r="C21" s="43">
        <v>8.9499999999999993</v>
      </c>
      <c r="D21" s="43">
        <v>10.7</v>
      </c>
      <c r="E21" s="43">
        <v>12.45</v>
      </c>
      <c r="F21" s="43">
        <v>14.2</v>
      </c>
      <c r="G21" s="43">
        <v>15.95</v>
      </c>
      <c r="H21" s="43">
        <v>17.7</v>
      </c>
      <c r="I21" s="43">
        <v>19.45</v>
      </c>
      <c r="J21" s="43">
        <v>21.2</v>
      </c>
      <c r="K21" s="43">
        <v>22.95</v>
      </c>
      <c r="L21" s="43">
        <v>24.7</v>
      </c>
      <c r="M21" s="43">
        <v>26.45</v>
      </c>
      <c r="N21" s="43">
        <v>28.2</v>
      </c>
      <c r="O21" s="43">
        <v>29.95</v>
      </c>
      <c r="P21" s="43">
        <v>31.7</v>
      </c>
      <c r="Q21" s="43">
        <v>33.450000000000003</v>
      </c>
      <c r="R21" s="43">
        <v>35.200000000000003</v>
      </c>
      <c r="S21" s="43">
        <v>36.950000000000003</v>
      </c>
      <c r="T21" s="43">
        <v>38.700000000000003</v>
      </c>
      <c r="U21" s="43">
        <v>40.450000000000003</v>
      </c>
      <c r="V21" s="43">
        <v>42.2</v>
      </c>
      <c r="W21" s="43">
        <v>43.95</v>
      </c>
      <c r="X21" s="43">
        <v>45.7</v>
      </c>
      <c r="Y21" s="43">
        <v>47.45</v>
      </c>
      <c r="Z21" s="43">
        <v>49.2</v>
      </c>
      <c r="AA21" s="43">
        <v>50.95</v>
      </c>
      <c r="AB21" s="43">
        <v>52.7</v>
      </c>
      <c r="AC21" s="43">
        <v>54.45</v>
      </c>
      <c r="AD21" s="43">
        <v>56.2</v>
      </c>
      <c r="AE21" s="43">
        <v>57.95</v>
      </c>
    </row>
    <row r="22" spans="1:51" ht="13.8">
      <c r="A22" s="45" t="s">
        <v>1001</v>
      </c>
      <c r="B22" s="43">
        <v>7</v>
      </c>
      <c r="C22" s="43">
        <v>8.65</v>
      </c>
      <c r="D22" s="43">
        <v>10.3</v>
      </c>
      <c r="E22" s="43">
        <v>11.95</v>
      </c>
      <c r="F22" s="43">
        <v>13.6</v>
      </c>
      <c r="G22" s="43">
        <v>15.25</v>
      </c>
      <c r="H22" s="43">
        <v>16.899999999999999</v>
      </c>
      <c r="I22" s="43">
        <v>18.55</v>
      </c>
      <c r="J22" s="43">
        <v>20.2</v>
      </c>
      <c r="K22" s="43">
        <v>21.85</v>
      </c>
      <c r="L22" s="43">
        <v>23.5</v>
      </c>
      <c r="M22" s="43">
        <v>25.15</v>
      </c>
      <c r="N22" s="43">
        <v>26.8</v>
      </c>
      <c r="O22" s="43">
        <v>28.45</v>
      </c>
      <c r="P22" s="43">
        <v>30.1</v>
      </c>
      <c r="Q22" s="43">
        <v>31.75</v>
      </c>
      <c r="R22" s="43">
        <v>33.4</v>
      </c>
      <c r="S22" s="43">
        <v>35.049999999999997</v>
      </c>
      <c r="T22" s="43">
        <v>36.700000000000003</v>
      </c>
      <c r="U22" s="43">
        <v>38.35</v>
      </c>
      <c r="V22" s="43">
        <v>40</v>
      </c>
      <c r="W22" s="43">
        <v>41.65</v>
      </c>
      <c r="X22" s="43">
        <v>43.3</v>
      </c>
      <c r="Y22" s="43">
        <v>44.95</v>
      </c>
      <c r="Z22" s="43">
        <v>46.599999999999902</v>
      </c>
      <c r="AA22" s="43">
        <v>48.249999999999901</v>
      </c>
      <c r="AB22" s="43">
        <v>49.899999999999899</v>
      </c>
      <c r="AC22" s="43">
        <v>51.549999999999898</v>
      </c>
      <c r="AD22" s="43">
        <v>53.199999999999903</v>
      </c>
      <c r="AE22" s="43">
        <v>54.849999999999902</v>
      </c>
    </row>
    <row r="24" spans="1:51" ht="13.2">
      <c r="A24" s="373" t="s">
        <v>1002</v>
      </c>
      <c r="B24" s="297"/>
      <c r="C24" s="297"/>
      <c r="D24" s="297"/>
      <c r="E24" s="297"/>
      <c r="F24" s="297"/>
      <c r="G24" s="297"/>
      <c r="H24" s="297"/>
      <c r="I24" s="297"/>
    </row>
    <row r="25" spans="1:51" ht="15.75" customHeight="1">
      <c r="A25" s="297"/>
      <c r="B25" s="297"/>
      <c r="C25" s="297"/>
      <c r="D25" s="297"/>
      <c r="E25" s="297"/>
      <c r="F25" s="297"/>
      <c r="G25" s="297"/>
      <c r="H25" s="297"/>
      <c r="I25" s="297"/>
    </row>
    <row r="26" spans="1:51" ht="15.75" customHeight="1">
      <c r="A26" s="297"/>
      <c r="B26" s="297"/>
      <c r="C26" s="297"/>
      <c r="D26" s="297"/>
      <c r="E26" s="297"/>
      <c r="F26" s="297"/>
      <c r="G26" s="297"/>
      <c r="H26" s="297"/>
      <c r="I26" s="297"/>
    </row>
    <row r="27" spans="1:51" ht="15.75" customHeight="1">
      <c r="A27" s="297"/>
      <c r="B27" s="297"/>
      <c r="C27" s="297"/>
      <c r="D27" s="297"/>
      <c r="E27" s="297"/>
      <c r="F27" s="297"/>
      <c r="G27" s="297"/>
      <c r="H27" s="297"/>
      <c r="I27" s="297"/>
    </row>
    <row r="28" spans="1:51" ht="15.75" customHeight="1">
      <c r="A28" s="297"/>
      <c r="B28" s="297"/>
      <c r="C28" s="297"/>
      <c r="D28" s="297"/>
      <c r="E28" s="297"/>
      <c r="F28" s="297"/>
      <c r="G28" s="297"/>
      <c r="H28" s="297"/>
      <c r="I28" s="297"/>
    </row>
    <row r="29" spans="1:51" ht="15.75" customHeight="1">
      <c r="A29" s="297"/>
      <c r="B29" s="297"/>
      <c r="C29" s="297"/>
      <c r="D29" s="297"/>
      <c r="E29" s="297"/>
      <c r="F29" s="297"/>
      <c r="G29" s="297"/>
      <c r="H29" s="297"/>
      <c r="I29" s="297"/>
    </row>
    <row r="30" spans="1:51" ht="15.75" customHeight="1">
      <c r="A30" s="297"/>
      <c r="B30" s="297"/>
      <c r="C30" s="297"/>
      <c r="D30" s="297"/>
      <c r="E30" s="297"/>
      <c r="F30" s="297"/>
      <c r="G30" s="297"/>
      <c r="H30" s="297"/>
      <c r="I30" s="297"/>
    </row>
    <row r="31" spans="1:51" ht="13.8">
      <c r="A31" s="46" t="s">
        <v>1003</v>
      </c>
    </row>
    <row r="32" spans="1:51" ht="13.2">
      <c r="A32" s="47" t="s">
        <v>1004</v>
      </c>
      <c r="B32" s="48">
        <v>1</v>
      </c>
      <c r="C32" s="48">
        <v>1.5</v>
      </c>
      <c r="D32" s="48">
        <v>2</v>
      </c>
      <c r="E32" s="48">
        <v>2.5</v>
      </c>
      <c r="F32" s="48">
        <v>3</v>
      </c>
      <c r="G32" s="48">
        <v>3.5</v>
      </c>
      <c r="H32" s="48">
        <v>4</v>
      </c>
      <c r="I32" s="48">
        <v>4.5</v>
      </c>
      <c r="J32" s="48">
        <v>5</v>
      </c>
      <c r="K32" s="48">
        <v>5.5</v>
      </c>
      <c r="L32" s="48">
        <v>6</v>
      </c>
      <c r="M32" s="48">
        <v>6.5</v>
      </c>
      <c r="N32" s="48">
        <v>7</v>
      </c>
      <c r="O32" s="48">
        <v>7.5</v>
      </c>
      <c r="P32" s="48">
        <v>8</v>
      </c>
      <c r="Q32" s="48">
        <v>8.5</v>
      </c>
      <c r="R32" s="48">
        <v>9</v>
      </c>
      <c r="S32" s="48">
        <v>9.5</v>
      </c>
      <c r="T32" s="48">
        <v>10</v>
      </c>
      <c r="U32" s="48">
        <v>10.5</v>
      </c>
      <c r="V32" s="48">
        <v>11</v>
      </c>
      <c r="W32" s="48">
        <v>11.5</v>
      </c>
      <c r="X32" s="48">
        <v>12</v>
      </c>
      <c r="Y32" s="48">
        <v>12.5</v>
      </c>
      <c r="Z32" s="48">
        <v>13</v>
      </c>
      <c r="AA32" s="48">
        <v>13.5</v>
      </c>
      <c r="AB32" s="48">
        <v>14</v>
      </c>
      <c r="AC32" s="48">
        <v>14.5</v>
      </c>
      <c r="AD32" s="48">
        <v>15</v>
      </c>
      <c r="AE32" s="48">
        <v>15.5</v>
      </c>
      <c r="AF32" s="48">
        <v>16</v>
      </c>
      <c r="AG32" s="48">
        <v>16.5</v>
      </c>
      <c r="AH32" s="48">
        <v>17</v>
      </c>
      <c r="AI32" s="48">
        <v>17.5</v>
      </c>
      <c r="AJ32" s="48">
        <v>18</v>
      </c>
      <c r="AK32" s="48">
        <v>18.5</v>
      </c>
      <c r="AL32" s="48">
        <v>19</v>
      </c>
      <c r="AM32" s="48">
        <v>19.5</v>
      </c>
      <c r="AN32" s="48">
        <v>20</v>
      </c>
      <c r="AO32" s="48">
        <v>20.5</v>
      </c>
      <c r="AP32" s="48">
        <v>21</v>
      </c>
      <c r="AQ32" s="48">
        <v>21.5</v>
      </c>
      <c r="AR32" s="48">
        <v>22</v>
      </c>
      <c r="AS32" s="48">
        <v>22.5</v>
      </c>
      <c r="AT32" s="48">
        <v>23</v>
      </c>
      <c r="AU32" s="48">
        <v>23.5</v>
      </c>
      <c r="AV32" s="48">
        <v>24</v>
      </c>
      <c r="AW32" s="48">
        <v>24.5</v>
      </c>
      <c r="AX32" s="48">
        <v>25</v>
      </c>
      <c r="AY32" s="48">
        <v>25.5</v>
      </c>
    </row>
    <row r="33" spans="1:51" ht="13.2">
      <c r="A33" s="49" t="s">
        <v>1005</v>
      </c>
      <c r="B33" s="50">
        <v>8000</v>
      </c>
      <c r="C33" s="50">
        <v>8800</v>
      </c>
      <c r="D33" s="50">
        <v>9600</v>
      </c>
      <c r="E33" s="50">
        <v>10400</v>
      </c>
      <c r="F33" s="50">
        <v>11200</v>
      </c>
      <c r="G33" s="50">
        <v>12000</v>
      </c>
      <c r="H33" s="50">
        <v>12800</v>
      </c>
      <c r="I33" s="50">
        <v>13600</v>
      </c>
      <c r="J33" s="50">
        <v>14400</v>
      </c>
      <c r="K33" s="50">
        <v>15200</v>
      </c>
      <c r="L33" s="50">
        <v>16000</v>
      </c>
      <c r="M33" s="50">
        <v>16800</v>
      </c>
      <c r="N33" s="50">
        <v>17600</v>
      </c>
      <c r="O33" s="50">
        <v>18400</v>
      </c>
      <c r="P33" s="50">
        <v>19200</v>
      </c>
      <c r="Q33" s="50">
        <v>20000</v>
      </c>
      <c r="R33" s="50">
        <v>20800</v>
      </c>
      <c r="S33" s="50">
        <v>21600</v>
      </c>
      <c r="T33" s="50">
        <v>22400</v>
      </c>
      <c r="U33" s="50">
        <v>23200</v>
      </c>
      <c r="V33" s="50">
        <v>24000</v>
      </c>
      <c r="W33" s="50">
        <v>24800</v>
      </c>
      <c r="X33" s="50">
        <v>25600</v>
      </c>
      <c r="Y33" s="50">
        <v>26400</v>
      </c>
      <c r="Z33" s="50">
        <v>27200</v>
      </c>
      <c r="AA33" s="50">
        <v>28000</v>
      </c>
      <c r="AB33" s="50">
        <v>28800</v>
      </c>
      <c r="AC33" s="50">
        <v>29600</v>
      </c>
      <c r="AD33" s="50">
        <v>30400</v>
      </c>
      <c r="AE33" s="50">
        <v>31200</v>
      </c>
      <c r="AF33" s="50">
        <v>32000</v>
      </c>
      <c r="AG33" s="50">
        <v>32800</v>
      </c>
      <c r="AH33" s="50">
        <v>33600</v>
      </c>
      <c r="AI33" s="50">
        <v>34400</v>
      </c>
      <c r="AJ33" s="50">
        <v>35200</v>
      </c>
      <c r="AK33" s="50">
        <v>36000</v>
      </c>
      <c r="AL33" s="50">
        <v>36800</v>
      </c>
      <c r="AM33" s="50">
        <v>37600</v>
      </c>
      <c r="AN33" s="50">
        <v>38400</v>
      </c>
      <c r="AO33" s="50">
        <v>39200</v>
      </c>
      <c r="AP33" s="50">
        <v>40000</v>
      </c>
      <c r="AQ33" s="50">
        <v>40800</v>
      </c>
      <c r="AR33" s="50">
        <v>41600</v>
      </c>
      <c r="AS33" s="50">
        <v>42400</v>
      </c>
      <c r="AT33" s="50">
        <v>43200</v>
      </c>
      <c r="AU33" s="50">
        <v>44000</v>
      </c>
      <c r="AV33" s="50">
        <v>44800</v>
      </c>
      <c r="AW33" s="50">
        <v>45600</v>
      </c>
      <c r="AX33" s="50">
        <v>46400</v>
      </c>
      <c r="AY33" s="50">
        <v>47200</v>
      </c>
    </row>
    <row r="34" spans="1:51" ht="13.2">
      <c r="A34" s="49" t="s">
        <v>1008</v>
      </c>
      <c r="B34" s="50">
        <v>7600</v>
      </c>
      <c r="C34" s="50">
        <v>8360</v>
      </c>
      <c r="D34" s="50">
        <v>9120</v>
      </c>
      <c r="E34" s="50">
        <v>9880</v>
      </c>
      <c r="F34" s="50">
        <v>10640</v>
      </c>
      <c r="G34" s="50">
        <v>11400</v>
      </c>
      <c r="H34" s="50">
        <v>12160</v>
      </c>
      <c r="I34" s="50">
        <v>12920</v>
      </c>
      <c r="J34" s="50">
        <v>13680</v>
      </c>
      <c r="K34" s="50">
        <v>14440</v>
      </c>
      <c r="L34" s="50">
        <v>15200</v>
      </c>
      <c r="M34" s="50">
        <v>15960</v>
      </c>
      <c r="N34" s="50">
        <v>16720</v>
      </c>
      <c r="O34" s="50">
        <v>17480</v>
      </c>
      <c r="P34" s="50">
        <v>18240</v>
      </c>
      <c r="Q34" s="50">
        <v>19000</v>
      </c>
      <c r="R34" s="50">
        <v>19760</v>
      </c>
      <c r="S34" s="50">
        <v>20520</v>
      </c>
      <c r="T34" s="50">
        <v>21280</v>
      </c>
      <c r="U34" s="50">
        <v>22040</v>
      </c>
      <c r="V34" s="50">
        <v>22800</v>
      </c>
      <c r="W34" s="50">
        <v>23560</v>
      </c>
      <c r="X34" s="50">
        <v>24320</v>
      </c>
      <c r="Y34" s="50">
        <v>25080</v>
      </c>
      <c r="Z34" s="50">
        <v>25840</v>
      </c>
      <c r="AA34" s="50">
        <v>26600</v>
      </c>
      <c r="AB34" s="50">
        <v>27360</v>
      </c>
      <c r="AC34" s="50">
        <v>28120</v>
      </c>
      <c r="AD34" s="50">
        <v>28880</v>
      </c>
      <c r="AE34" s="50">
        <v>29640</v>
      </c>
      <c r="AF34" s="50">
        <v>30400</v>
      </c>
      <c r="AG34" s="50">
        <v>31160</v>
      </c>
      <c r="AH34" s="50">
        <v>31920</v>
      </c>
      <c r="AI34" s="50">
        <v>32680</v>
      </c>
      <c r="AJ34" s="50">
        <v>33440</v>
      </c>
      <c r="AK34" s="50">
        <v>34200</v>
      </c>
      <c r="AL34" s="50">
        <v>34960</v>
      </c>
      <c r="AM34" s="50">
        <v>35720</v>
      </c>
      <c r="AN34" s="50">
        <v>36480</v>
      </c>
      <c r="AO34" s="50">
        <v>37240</v>
      </c>
      <c r="AP34" s="50">
        <v>38000</v>
      </c>
      <c r="AQ34" s="50">
        <v>38760</v>
      </c>
      <c r="AR34" s="50">
        <v>39520</v>
      </c>
      <c r="AS34" s="50">
        <v>40280</v>
      </c>
      <c r="AT34" s="50">
        <v>41040</v>
      </c>
      <c r="AU34" s="50">
        <v>41800</v>
      </c>
      <c r="AV34" s="50">
        <v>42560</v>
      </c>
      <c r="AW34" s="50">
        <v>43320</v>
      </c>
      <c r="AX34" s="50">
        <v>44080</v>
      </c>
      <c r="AY34" s="50">
        <v>44840</v>
      </c>
    </row>
    <row r="35" spans="1:51" ht="13.2">
      <c r="A35" s="49" t="s">
        <v>1009</v>
      </c>
      <c r="B35" s="50">
        <v>7200</v>
      </c>
      <c r="C35" s="50">
        <v>7920</v>
      </c>
      <c r="D35" s="50">
        <v>8640</v>
      </c>
      <c r="E35" s="50">
        <v>9360</v>
      </c>
      <c r="F35" s="50">
        <v>10080</v>
      </c>
      <c r="G35" s="50">
        <v>10800</v>
      </c>
      <c r="H35" s="50">
        <v>11520</v>
      </c>
      <c r="I35" s="50">
        <v>12240</v>
      </c>
      <c r="J35" s="50">
        <v>12960</v>
      </c>
      <c r="K35" s="50">
        <v>13680</v>
      </c>
      <c r="L35" s="50">
        <v>14400</v>
      </c>
      <c r="M35" s="50">
        <v>15120</v>
      </c>
      <c r="N35" s="50">
        <v>15840</v>
      </c>
      <c r="O35" s="50">
        <v>16560</v>
      </c>
      <c r="P35" s="50">
        <v>17280</v>
      </c>
      <c r="Q35" s="50">
        <v>18000</v>
      </c>
      <c r="R35" s="50">
        <v>18720</v>
      </c>
      <c r="S35" s="50">
        <v>19440</v>
      </c>
      <c r="T35" s="50">
        <v>20160</v>
      </c>
      <c r="U35" s="50">
        <v>20880</v>
      </c>
      <c r="V35" s="50">
        <v>21600</v>
      </c>
      <c r="W35" s="50">
        <v>22320</v>
      </c>
      <c r="X35" s="50">
        <v>23040</v>
      </c>
      <c r="Y35" s="50">
        <v>23760</v>
      </c>
      <c r="Z35" s="50">
        <v>24480</v>
      </c>
      <c r="AA35" s="50">
        <v>25200</v>
      </c>
      <c r="AB35" s="50">
        <v>25920</v>
      </c>
      <c r="AC35" s="50">
        <v>26640</v>
      </c>
      <c r="AD35" s="50">
        <v>27360</v>
      </c>
      <c r="AE35" s="50">
        <v>28080</v>
      </c>
      <c r="AF35" s="50">
        <v>28800</v>
      </c>
      <c r="AG35" s="50">
        <v>29520</v>
      </c>
      <c r="AH35" s="50">
        <v>30240</v>
      </c>
      <c r="AI35" s="50">
        <v>30960</v>
      </c>
      <c r="AJ35" s="50">
        <v>31680</v>
      </c>
      <c r="AK35" s="50">
        <v>32400</v>
      </c>
      <c r="AL35" s="50">
        <v>33120</v>
      </c>
      <c r="AM35" s="50">
        <v>33840</v>
      </c>
      <c r="AN35" s="50">
        <v>34560</v>
      </c>
      <c r="AO35" s="50">
        <v>35280</v>
      </c>
      <c r="AP35" s="50">
        <v>36000</v>
      </c>
      <c r="AQ35" s="50">
        <v>36720</v>
      </c>
      <c r="AR35" s="50">
        <v>37440</v>
      </c>
      <c r="AS35" s="50">
        <v>38160</v>
      </c>
      <c r="AT35" s="50">
        <v>38880</v>
      </c>
      <c r="AU35" s="50">
        <v>39600</v>
      </c>
      <c r="AV35" s="50">
        <v>40320</v>
      </c>
      <c r="AW35" s="50">
        <v>41040</v>
      </c>
      <c r="AX35" s="50">
        <v>41760</v>
      </c>
      <c r="AY35" s="50">
        <v>42480</v>
      </c>
    </row>
    <row r="36" spans="1:51" ht="13.2">
      <c r="A36" s="49" t="s">
        <v>1010</v>
      </c>
      <c r="B36" s="50">
        <v>6770</v>
      </c>
      <c r="C36" s="50">
        <v>7450</v>
      </c>
      <c r="D36" s="50">
        <v>8130</v>
      </c>
      <c r="E36" s="50">
        <v>8800</v>
      </c>
      <c r="F36" s="50">
        <v>9480</v>
      </c>
      <c r="G36" s="50">
        <v>10160</v>
      </c>
      <c r="H36" s="50">
        <v>10830</v>
      </c>
      <c r="I36" s="50">
        <v>11510</v>
      </c>
      <c r="J36" s="50">
        <v>12190</v>
      </c>
      <c r="K36" s="50">
        <v>12860</v>
      </c>
      <c r="L36" s="50">
        <v>13540</v>
      </c>
      <c r="M36" s="50">
        <v>14220</v>
      </c>
      <c r="N36" s="50">
        <v>14890</v>
      </c>
      <c r="O36" s="50">
        <v>15570</v>
      </c>
      <c r="P36" s="50">
        <v>16250</v>
      </c>
      <c r="Q36" s="50">
        <v>16920</v>
      </c>
      <c r="R36" s="50">
        <v>17600</v>
      </c>
      <c r="S36" s="50">
        <v>18280</v>
      </c>
      <c r="T36" s="50">
        <v>18960</v>
      </c>
      <c r="U36" s="50">
        <v>19630</v>
      </c>
      <c r="V36" s="50">
        <v>20310</v>
      </c>
      <c r="W36" s="50">
        <v>20990</v>
      </c>
      <c r="X36" s="50">
        <v>21660</v>
      </c>
      <c r="Y36" s="50">
        <v>22340</v>
      </c>
      <c r="Z36" s="50">
        <v>23020</v>
      </c>
      <c r="AA36" s="50">
        <v>23690</v>
      </c>
      <c r="AB36" s="50">
        <v>24370</v>
      </c>
      <c r="AC36" s="50">
        <v>25050</v>
      </c>
      <c r="AD36" s="50">
        <v>25720</v>
      </c>
      <c r="AE36" s="50">
        <v>26400</v>
      </c>
      <c r="AF36" s="50">
        <v>27080</v>
      </c>
      <c r="AG36" s="50">
        <v>27750</v>
      </c>
      <c r="AH36" s="50">
        <v>28430</v>
      </c>
      <c r="AI36" s="50">
        <v>29110</v>
      </c>
      <c r="AJ36" s="50">
        <v>29780</v>
      </c>
      <c r="AK36" s="50">
        <v>30460</v>
      </c>
      <c r="AL36" s="50">
        <v>31140</v>
      </c>
      <c r="AM36" s="50">
        <v>31810</v>
      </c>
      <c r="AN36" s="50">
        <v>32490</v>
      </c>
      <c r="AO36" s="50">
        <v>33170</v>
      </c>
      <c r="AP36" s="50">
        <v>33840</v>
      </c>
      <c r="AQ36" s="50">
        <v>34520</v>
      </c>
      <c r="AR36" s="50">
        <v>35200</v>
      </c>
      <c r="AS36" s="50">
        <v>35880</v>
      </c>
      <c r="AT36" s="50">
        <v>36550</v>
      </c>
      <c r="AU36" s="50">
        <v>37230</v>
      </c>
      <c r="AV36" s="50">
        <v>37910</v>
      </c>
      <c r="AW36" s="50">
        <v>38580</v>
      </c>
      <c r="AX36" s="50">
        <v>39260</v>
      </c>
      <c r="AY36" s="50">
        <v>39940</v>
      </c>
    </row>
    <row r="38" spans="1:51" ht="13.2">
      <c r="A38" s="372" t="s">
        <v>1011</v>
      </c>
      <c r="B38" s="297"/>
      <c r="C38" s="297"/>
      <c r="D38" s="297"/>
      <c r="E38" s="297"/>
      <c r="F38" s="297"/>
      <c r="G38" s="297"/>
      <c r="H38" s="297"/>
      <c r="I38" s="297"/>
    </row>
    <row r="39" spans="1:51" ht="15.75" customHeight="1">
      <c r="A39" s="297"/>
      <c r="B39" s="297"/>
      <c r="C39" s="297"/>
      <c r="D39" s="297"/>
      <c r="E39" s="297"/>
      <c r="F39" s="297"/>
      <c r="G39" s="297"/>
      <c r="H39" s="297"/>
      <c r="I39" s="297"/>
    </row>
    <row r="40" spans="1:51" ht="15.75" customHeight="1">
      <c r="A40" s="297"/>
      <c r="B40" s="297"/>
      <c r="C40" s="297"/>
      <c r="D40" s="297"/>
      <c r="E40" s="297"/>
      <c r="F40" s="297"/>
      <c r="G40" s="297"/>
      <c r="H40" s="297"/>
      <c r="I40" s="297"/>
    </row>
    <row r="41" spans="1:51" ht="15.75" customHeight="1">
      <c r="A41" s="297"/>
      <c r="B41" s="297"/>
      <c r="C41" s="297"/>
      <c r="D41" s="297"/>
      <c r="E41" s="297"/>
      <c r="F41" s="297"/>
      <c r="G41" s="297"/>
      <c r="H41" s="297"/>
      <c r="I41" s="297"/>
    </row>
    <row r="43" spans="1:51" ht="13.8">
      <c r="A43" s="42" t="s">
        <v>1012</v>
      </c>
      <c r="B43" s="43"/>
      <c r="C43" s="43"/>
      <c r="D43" s="43"/>
      <c r="E43" s="43"/>
      <c r="F43" s="43"/>
      <c r="G43" s="43"/>
      <c r="H43" s="43"/>
      <c r="I43" s="43"/>
      <c r="J43" s="43"/>
      <c r="K43" s="43"/>
      <c r="L43" s="43"/>
      <c r="M43" s="43"/>
      <c r="N43" s="43"/>
      <c r="O43" s="43"/>
      <c r="P43" s="43"/>
      <c r="Q43" s="43"/>
      <c r="R43" s="43"/>
      <c r="S43" s="43"/>
      <c r="T43" s="43"/>
      <c r="U43" s="43"/>
    </row>
    <row r="44" spans="1:51" ht="13.8">
      <c r="A44" s="42" t="s">
        <v>986</v>
      </c>
      <c r="B44" s="43">
        <v>0.5</v>
      </c>
      <c r="C44" s="43">
        <v>1</v>
      </c>
      <c r="D44" s="43">
        <v>1.5</v>
      </c>
      <c r="E44" s="43">
        <v>2</v>
      </c>
      <c r="F44" s="43">
        <v>2.5</v>
      </c>
      <c r="G44" s="43">
        <v>3</v>
      </c>
      <c r="H44" s="43">
        <v>3.5</v>
      </c>
      <c r="I44" s="43">
        <v>4</v>
      </c>
      <c r="J44" s="43">
        <v>4.5</v>
      </c>
      <c r="K44" s="43">
        <v>5</v>
      </c>
      <c r="L44" s="43">
        <v>5.5</v>
      </c>
      <c r="M44" s="43">
        <v>6</v>
      </c>
      <c r="N44" s="43">
        <v>6.5</v>
      </c>
      <c r="O44" s="43">
        <v>7</v>
      </c>
      <c r="P44" s="43">
        <v>7.5</v>
      </c>
      <c r="Q44" s="43">
        <v>8</v>
      </c>
      <c r="R44" s="43">
        <v>8.5</v>
      </c>
      <c r="S44" s="43">
        <v>9</v>
      </c>
      <c r="T44" s="43">
        <v>9.5</v>
      </c>
      <c r="U44" s="43">
        <v>10</v>
      </c>
      <c r="V44" s="43">
        <v>10.5</v>
      </c>
      <c r="W44" s="43">
        <v>11</v>
      </c>
      <c r="X44" s="43">
        <v>11.5</v>
      </c>
      <c r="Y44" s="43">
        <v>12</v>
      </c>
      <c r="Z44" s="43">
        <v>12.5</v>
      </c>
      <c r="AA44" s="43">
        <v>13</v>
      </c>
      <c r="AB44" s="43">
        <v>13.5</v>
      </c>
      <c r="AC44" s="43">
        <v>14</v>
      </c>
      <c r="AD44" s="43">
        <v>14.5</v>
      </c>
      <c r="AE44" s="43">
        <v>15</v>
      </c>
      <c r="AF44" s="43">
        <v>15.5</v>
      </c>
      <c r="AG44" s="43">
        <v>16</v>
      </c>
      <c r="AH44" s="43">
        <v>16.5</v>
      </c>
      <c r="AI44" s="43">
        <v>17</v>
      </c>
      <c r="AJ44" s="43">
        <v>17.5</v>
      </c>
      <c r="AK44" s="43">
        <v>18</v>
      </c>
      <c r="AL44" s="43">
        <v>18.5</v>
      </c>
      <c r="AM44" s="43">
        <v>19</v>
      </c>
      <c r="AN44" s="43">
        <v>19.5</v>
      </c>
      <c r="AO44" s="43">
        <v>20</v>
      </c>
      <c r="AP44" s="43"/>
      <c r="AQ44" s="43"/>
      <c r="AR44" s="43"/>
      <c r="AS44" s="43"/>
      <c r="AT44" s="43"/>
    </row>
    <row r="45" spans="1:51" ht="13.8">
      <c r="A45" s="44" t="s">
        <v>987</v>
      </c>
      <c r="B45" s="43">
        <v>9</v>
      </c>
      <c r="C45" s="43">
        <v>10.6</v>
      </c>
      <c r="D45" s="43">
        <v>12.2</v>
      </c>
      <c r="E45" s="43">
        <v>13.8</v>
      </c>
      <c r="F45" s="43">
        <v>15.4</v>
      </c>
      <c r="G45" s="43">
        <v>17</v>
      </c>
      <c r="H45" s="43">
        <v>18.600000000000001</v>
      </c>
      <c r="I45" s="43">
        <v>20.2</v>
      </c>
      <c r="J45" s="43">
        <v>21.8</v>
      </c>
      <c r="K45" s="43">
        <v>23.4</v>
      </c>
      <c r="L45" s="43">
        <v>25</v>
      </c>
      <c r="M45" s="43">
        <v>26.6</v>
      </c>
      <c r="N45" s="43">
        <v>28.2</v>
      </c>
      <c r="O45" s="43">
        <v>29.8</v>
      </c>
      <c r="P45" s="43">
        <v>31.4</v>
      </c>
      <c r="Q45" s="43">
        <v>33</v>
      </c>
      <c r="R45" s="43">
        <v>34.6</v>
      </c>
      <c r="S45" s="43">
        <v>36.200000000000003</v>
      </c>
      <c r="T45" s="43">
        <v>37.799999999999997</v>
      </c>
      <c r="U45" s="43">
        <v>39.4</v>
      </c>
      <c r="V45" s="43">
        <v>41</v>
      </c>
      <c r="W45" s="43">
        <v>42.6</v>
      </c>
      <c r="X45" s="43">
        <v>44.2</v>
      </c>
      <c r="Y45" s="43">
        <v>45.8</v>
      </c>
      <c r="Z45" s="43">
        <v>47.4</v>
      </c>
      <c r="AA45" s="43">
        <v>49</v>
      </c>
      <c r="AB45" s="43">
        <v>50.6</v>
      </c>
      <c r="AC45" s="43">
        <v>52.2</v>
      </c>
      <c r="AD45" s="43">
        <v>53.8</v>
      </c>
      <c r="AE45" s="43">
        <v>55.4</v>
      </c>
      <c r="AF45" s="43">
        <v>57</v>
      </c>
      <c r="AG45" s="43">
        <v>58.6</v>
      </c>
      <c r="AH45" s="43">
        <v>60.2</v>
      </c>
      <c r="AI45" s="43">
        <v>61.8</v>
      </c>
      <c r="AJ45" s="43">
        <v>63.4</v>
      </c>
      <c r="AK45" s="43">
        <v>65</v>
      </c>
      <c r="AL45" s="43">
        <v>66.599999999999994</v>
      </c>
      <c r="AM45" s="43">
        <v>68.2</v>
      </c>
      <c r="AN45" s="43">
        <v>69.8</v>
      </c>
      <c r="AO45" s="43">
        <v>71.400000000000006</v>
      </c>
    </row>
    <row r="46" spans="1:51" ht="13.8">
      <c r="A46" s="45" t="s">
        <v>988</v>
      </c>
      <c r="B46" s="43">
        <v>10.5</v>
      </c>
      <c r="C46" s="43">
        <v>12.4</v>
      </c>
      <c r="D46" s="43">
        <v>14.3</v>
      </c>
      <c r="E46" s="43">
        <v>16.2</v>
      </c>
      <c r="F46" s="43">
        <v>18.100000000000001</v>
      </c>
      <c r="G46" s="43">
        <v>20</v>
      </c>
      <c r="H46" s="43">
        <v>21.9</v>
      </c>
      <c r="I46" s="43">
        <v>23.8</v>
      </c>
      <c r="J46" s="43">
        <v>25.7</v>
      </c>
      <c r="K46" s="43">
        <v>27.6</v>
      </c>
      <c r="L46" s="43">
        <v>29.5</v>
      </c>
      <c r="M46" s="43">
        <v>31.4</v>
      </c>
      <c r="N46" s="43">
        <v>33.299999999999997</v>
      </c>
      <c r="O46" s="43">
        <v>35.200000000000003</v>
      </c>
      <c r="P46" s="43">
        <v>37.1</v>
      </c>
      <c r="Q46" s="43">
        <v>39</v>
      </c>
      <c r="R46" s="43">
        <v>40.9</v>
      </c>
      <c r="S46" s="43">
        <v>42.8</v>
      </c>
      <c r="T46" s="43">
        <v>44.7</v>
      </c>
      <c r="U46" s="43">
        <v>46.6</v>
      </c>
      <c r="V46" s="43">
        <v>48.5</v>
      </c>
      <c r="W46" s="43">
        <v>50.4</v>
      </c>
      <c r="X46" s="43">
        <v>52.3</v>
      </c>
      <c r="Y46" s="43">
        <v>54.2</v>
      </c>
      <c r="Z46" s="43">
        <v>56.1</v>
      </c>
      <c r="AA46" s="43">
        <v>58</v>
      </c>
      <c r="AB46" s="43">
        <v>59.9</v>
      </c>
      <c r="AC46" s="43">
        <v>61.8</v>
      </c>
      <c r="AD46" s="43">
        <v>63.7</v>
      </c>
      <c r="AE46" s="43">
        <v>65.599999999999994</v>
      </c>
      <c r="AF46" s="43">
        <v>67.5</v>
      </c>
      <c r="AG46" s="43">
        <v>69.400000000000006</v>
      </c>
      <c r="AH46" s="43">
        <v>71.3</v>
      </c>
      <c r="AI46" s="43">
        <v>73.2</v>
      </c>
      <c r="AJ46" s="43">
        <v>75.099999999999994</v>
      </c>
      <c r="AK46" s="43">
        <v>77</v>
      </c>
      <c r="AL46" s="43">
        <v>78.900000000000006</v>
      </c>
      <c r="AM46" s="43">
        <v>80.8</v>
      </c>
      <c r="AN46" s="43">
        <v>82.7</v>
      </c>
      <c r="AO46" s="43">
        <v>84.6</v>
      </c>
    </row>
    <row r="47" spans="1:51" ht="13.8">
      <c r="A47" s="45" t="s">
        <v>990</v>
      </c>
      <c r="B47" s="43">
        <v>11.5</v>
      </c>
      <c r="C47" s="43">
        <v>13.7</v>
      </c>
      <c r="D47" s="43">
        <v>15.9</v>
      </c>
      <c r="E47" s="43">
        <v>18.100000000000001</v>
      </c>
      <c r="F47" s="43">
        <v>20.3</v>
      </c>
      <c r="G47" s="43">
        <v>22.5</v>
      </c>
      <c r="H47" s="43">
        <v>24.7</v>
      </c>
      <c r="I47" s="43">
        <v>26.9</v>
      </c>
      <c r="J47" s="43">
        <v>29.1</v>
      </c>
      <c r="K47" s="43">
        <v>31.3</v>
      </c>
      <c r="L47" s="43">
        <v>33.5</v>
      </c>
      <c r="M47" s="43">
        <v>35.700000000000003</v>
      </c>
      <c r="N47" s="43">
        <v>37.9</v>
      </c>
      <c r="O47" s="43">
        <v>40.1</v>
      </c>
      <c r="P47" s="43">
        <v>42.3</v>
      </c>
      <c r="Q47" s="43">
        <v>44.5</v>
      </c>
      <c r="R47" s="43">
        <v>46.7</v>
      </c>
      <c r="S47" s="43">
        <v>48.9</v>
      </c>
      <c r="T47" s="43">
        <v>51.1</v>
      </c>
      <c r="U47" s="43">
        <v>53.3</v>
      </c>
      <c r="V47" s="43">
        <v>55.5</v>
      </c>
      <c r="W47" s="43">
        <v>57.7</v>
      </c>
      <c r="X47" s="43">
        <v>59.9</v>
      </c>
      <c r="Y47" s="43">
        <v>62.1</v>
      </c>
      <c r="Z47" s="43">
        <v>64.3</v>
      </c>
      <c r="AA47" s="43">
        <v>66.5</v>
      </c>
      <c r="AB47" s="43">
        <v>68.7</v>
      </c>
      <c r="AC47" s="43">
        <v>70.900000000000006</v>
      </c>
      <c r="AD47" s="43">
        <v>73.099999999999994</v>
      </c>
      <c r="AE47" s="43">
        <v>75.3</v>
      </c>
      <c r="AF47" s="43">
        <v>77.5</v>
      </c>
      <c r="AG47" s="43">
        <v>79.7</v>
      </c>
      <c r="AH47" s="43">
        <v>81.900000000000006</v>
      </c>
      <c r="AI47" s="43">
        <v>84.1</v>
      </c>
      <c r="AJ47" s="43">
        <v>86.3</v>
      </c>
      <c r="AK47" s="43">
        <v>88.5</v>
      </c>
      <c r="AL47" s="43">
        <v>90.7</v>
      </c>
      <c r="AM47" s="43">
        <v>92.9</v>
      </c>
      <c r="AN47" s="43">
        <v>95.1</v>
      </c>
      <c r="AO47" s="43">
        <v>97.3</v>
      </c>
    </row>
    <row r="48" spans="1:51" ht="13.8">
      <c r="A48" s="45" t="s">
        <v>991</v>
      </c>
      <c r="B48" s="43">
        <v>11</v>
      </c>
      <c r="C48" s="43">
        <v>13.2</v>
      </c>
      <c r="D48" s="43">
        <v>15.4</v>
      </c>
      <c r="E48" s="43">
        <v>17.600000000000001</v>
      </c>
      <c r="F48" s="43">
        <v>19.8</v>
      </c>
      <c r="G48" s="43">
        <v>22</v>
      </c>
      <c r="H48" s="43">
        <v>24.2</v>
      </c>
      <c r="I48" s="43">
        <v>26.4</v>
      </c>
      <c r="J48" s="43">
        <v>28.6</v>
      </c>
      <c r="K48" s="43">
        <v>30.8</v>
      </c>
      <c r="L48" s="43">
        <v>33</v>
      </c>
      <c r="M48" s="43">
        <v>35.200000000000003</v>
      </c>
      <c r="N48" s="43">
        <v>37.4</v>
      </c>
      <c r="O48" s="43">
        <v>39.6</v>
      </c>
      <c r="P48" s="43">
        <v>41.8</v>
      </c>
      <c r="Q48" s="43">
        <v>44</v>
      </c>
      <c r="R48" s="43">
        <v>46.2</v>
      </c>
      <c r="S48" s="43">
        <v>48.4</v>
      </c>
      <c r="T48" s="43">
        <v>50.6</v>
      </c>
      <c r="U48" s="43">
        <v>52.8</v>
      </c>
      <c r="V48" s="43">
        <v>55</v>
      </c>
      <c r="W48" s="43">
        <v>57.2</v>
      </c>
      <c r="X48" s="43">
        <v>59.4</v>
      </c>
      <c r="Y48" s="43">
        <v>61.6</v>
      </c>
      <c r="Z48" s="43">
        <v>63.8</v>
      </c>
      <c r="AA48" s="43">
        <v>66</v>
      </c>
      <c r="AB48" s="43">
        <v>68.2</v>
      </c>
      <c r="AC48" s="43">
        <v>70.400000000000006</v>
      </c>
      <c r="AD48" s="43">
        <v>72.599999999999994</v>
      </c>
      <c r="AE48" s="43">
        <v>74.8</v>
      </c>
      <c r="AF48" s="43">
        <v>77</v>
      </c>
      <c r="AG48" s="43">
        <v>79.2</v>
      </c>
      <c r="AH48" s="43">
        <v>81.400000000000006</v>
      </c>
      <c r="AI48" s="43">
        <v>83.6</v>
      </c>
      <c r="AJ48" s="43">
        <v>85.8</v>
      </c>
      <c r="AK48" s="43">
        <v>88</v>
      </c>
      <c r="AL48" s="43">
        <v>90.2</v>
      </c>
      <c r="AM48" s="43">
        <v>92.4</v>
      </c>
      <c r="AN48" s="43">
        <v>94.6</v>
      </c>
      <c r="AO48" s="43">
        <v>96.8</v>
      </c>
    </row>
    <row r="49" spans="1:41" ht="13.8">
      <c r="A49" s="45" t="s">
        <v>992</v>
      </c>
      <c r="B49" s="43">
        <v>11</v>
      </c>
      <c r="C49" s="43">
        <v>13.2</v>
      </c>
      <c r="D49" s="43">
        <v>15.4</v>
      </c>
      <c r="E49" s="43">
        <v>17.600000000000001</v>
      </c>
      <c r="F49" s="43">
        <v>19.8</v>
      </c>
      <c r="G49" s="43">
        <v>22</v>
      </c>
      <c r="H49" s="43">
        <v>24.2</v>
      </c>
      <c r="I49" s="43">
        <v>26.4</v>
      </c>
      <c r="J49" s="43">
        <v>28.6</v>
      </c>
      <c r="K49" s="43">
        <v>30.8</v>
      </c>
      <c r="L49" s="43">
        <v>33</v>
      </c>
      <c r="M49" s="43">
        <v>35.200000000000003</v>
      </c>
      <c r="N49" s="43">
        <v>37.4</v>
      </c>
      <c r="O49" s="43">
        <v>39.6</v>
      </c>
      <c r="P49" s="43">
        <v>41.8</v>
      </c>
      <c r="Q49" s="43">
        <v>44</v>
      </c>
      <c r="R49" s="43">
        <v>46.2</v>
      </c>
      <c r="S49" s="43">
        <v>48.4</v>
      </c>
      <c r="T49" s="43">
        <v>50.6</v>
      </c>
      <c r="U49" s="43">
        <v>52.8</v>
      </c>
      <c r="V49" s="43">
        <v>55</v>
      </c>
      <c r="W49" s="43">
        <v>57.2</v>
      </c>
      <c r="X49" s="43">
        <v>59.4</v>
      </c>
      <c r="Y49" s="43">
        <v>61.6</v>
      </c>
      <c r="Z49" s="43">
        <v>63.8</v>
      </c>
      <c r="AA49" s="43">
        <v>66</v>
      </c>
      <c r="AB49" s="43">
        <v>68.2</v>
      </c>
      <c r="AC49" s="43">
        <v>70.400000000000006</v>
      </c>
      <c r="AD49" s="43">
        <v>72.599999999999994</v>
      </c>
      <c r="AE49" s="43">
        <v>74.8</v>
      </c>
      <c r="AF49" s="43">
        <v>77</v>
      </c>
      <c r="AG49" s="43">
        <v>79.2</v>
      </c>
      <c r="AH49" s="43">
        <v>81.400000000000006</v>
      </c>
      <c r="AI49" s="43">
        <v>83.6</v>
      </c>
      <c r="AJ49" s="43">
        <v>85.8</v>
      </c>
      <c r="AK49" s="43">
        <v>88</v>
      </c>
      <c r="AL49" s="43">
        <v>90.2</v>
      </c>
      <c r="AM49" s="43">
        <v>92.4</v>
      </c>
      <c r="AN49" s="43">
        <v>94.6</v>
      </c>
      <c r="AO49" s="43">
        <v>96.8</v>
      </c>
    </row>
    <row r="50" spans="1:41" ht="13.8">
      <c r="A50" s="45" t="s">
        <v>993</v>
      </c>
      <c r="B50" s="43">
        <v>11</v>
      </c>
      <c r="C50" s="43">
        <v>13.2</v>
      </c>
      <c r="D50" s="43">
        <v>15.4</v>
      </c>
      <c r="E50" s="43">
        <v>17.600000000000001</v>
      </c>
      <c r="F50" s="43">
        <v>19.8</v>
      </c>
      <c r="G50" s="43">
        <v>22</v>
      </c>
      <c r="H50" s="43">
        <v>24.2</v>
      </c>
      <c r="I50" s="43">
        <v>26.4</v>
      </c>
      <c r="J50" s="43">
        <v>28.6</v>
      </c>
      <c r="K50" s="43">
        <v>30.8</v>
      </c>
      <c r="L50" s="43">
        <v>33</v>
      </c>
      <c r="M50" s="43">
        <v>35.200000000000003</v>
      </c>
      <c r="N50" s="43">
        <v>37.4</v>
      </c>
      <c r="O50" s="43">
        <v>39.6</v>
      </c>
      <c r="P50" s="43">
        <v>41.8</v>
      </c>
      <c r="Q50" s="43">
        <v>44</v>
      </c>
      <c r="R50" s="43">
        <v>46.2</v>
      </c>
      <c r="S50" s="43">
        <v>48.4</v>
      </c>
      <c r="T50" s="43">
        <v>50.6</v>
      </c>
      <c r="U50" s="43">
        <v>52.8</v>
      </c>
      <c r="V50" s="43">
        <v>55</v>
      </c>
      <c r="W50" s="43">
        <v>57.2</v>
      </c>
      <c r="X50" s="43">
        <v>59.4</v>
      </c>
      <c r="Y50" s="43">
        <v>61.6</v>
      </c>
      <c r="Z50" s="43">
        <v>63.8</v>
      </c>
      <c r="AA50" s="43">
        <v>66</v>
      </c>
      <c r="AB50" s="43">
        <v>68.2</v>
      </c>
      <c r="AC50" s="43">
        <v>70.400000000000006</v>
      </c>
      <c r="AD50" s="43">
        <v>72.599999999999994</v>
      </c>
      <c r="AE50" s="43">
        <v>74.8</v>
      </c>
      <c r="AF50" s="43">
        <v>77</v>
      </c>
      <c r="AG50" s="43">
        <v>79.2</v>
      </c>
      <c r="AH50" s="43">
        <v>81.400000000000006</v>
      </c>
      <c r="AI50" s="43">
        <v>83.6</v>
      </c>
      <c r="AJ50" s="43">
        <v>85.8</v>
      </c>
      <c r="AK50" s="43">
        <v>88</v>
      </c>
      <c r="AL50" s="43">
        <v>90.2</v>
      </c>
      <c r="AM50" s="43">
        <v>92.4</v>
      </c>
      <c r="AN50" s="43">
        <v>94.6</v>
      </c>
      <c r="AO50" s="43">
        <v>96.8</v>
      </c>
    </row>
    <row r="51" spans="1:41" ht="13.8">
      <c r="A51" s="45" t="s">
        <v>994</v>
      </c>
      <c r="B51" s="43">
        <v>11</v>
      </c>
      <c r="C51" s="43">
        <v>13.2</v>
      </c>
      <c r="D51" s="43">
        <v>15.4</v>
      </c>
      <c r="E51" s="43">
        <v>17.600000000000001</v>
      </c>
      <c r="F51" s="43">
        <v>19.8</v>
      </c>
      <c r="G51" s="43">
        <v>22</v>
      </c>
      <c r="H51" s="43">
        <v>24.2</v>
      </c>
      <c r="I51" s="43">
        <v>26.4</v>
      </c>
      <c r="J51" s="43">
        <v>28.6</v>
      </c>
      <c r="K51" s="43">
        <v>30.8</v>
      </c>
      <c r="L51" s="43">
        <v>33</v>
      </c>
      <c r="M51" s="43">
        <v>35.200000000000003</v>
      </c>
      <c r="N51" s="43">
        <v>37.4</v>
      </c>
      <c r="O51" s="43">
        <v>39.6</v>
      </c>
      <c r="P51" s="43">
        <v>41.8</v>
      </c>
      <c r="Q51" s="43">
        <v>44</v>
      </c>
      <c r="R51" s="43">
        <v>46.2</v>
      </c>
      <c r="S51" s="43">
        <v>48.4</v>
      </c>
      <c r="T51" s="43">
        <v>50.6</v>
      </c>
      <c r="U51" s="43">
        <v>52.8</v>
      </c>
      <c r="V51" s="43">
        <v>55</v>
      </c>
      <c r="W51" s="43">
        <v>57.2</v>
      </c>
      <c r="X51" s="43">
        <v>59.4</v>
      </c>
      <c r="Y51" s="43">
        <v>61.6</v>
      </c>
      <c r="Z51" s="43">
        <v>63.8</v>
      </c>
      <c r="AA51" s="43">
        <v>66</v>
      </c>
      <c r="AB51" s="43">
        <v>68.2</v>
      </c>
      <c r="AC51" s="43">
        <v>70.400000000000006</v>
      </c>
      <c r="AD51" s="43">
        <v>72.599999999999994</v>
      </c>
      <c r="AE51" s="43">
        <v>74.8</v>
      </c>
      <c r="AF51" s="43">
        <v>77</v>
      </c>
      <c r="AG51" s="43">
        <v>79.2</v>
      </c>
      <c r="AH51" s="43">
        <v>81.400000000000006</v>
      </c>
      <c r="AI51" s="43">
        <v>83.6</v>
      </c>
      <c r="AJ51" s="43">
        <v>85.8</v>
      </c>
      <c r="AK51" s="43">
        <v>88</v>
      </c>
      <c r="AL51" s="43">
        <v>90.2</v>
      </c>
      <c r="AM51" s="43">
        <v>92.4</v>
      </c>
      <c r="AN51" s="43">
        <v>94.6</v>
      </c>
      <c r="AO51" s="43">
        <v>96.8</v>
      </c>
    </row>
    <row r="52" spans="1:41" ht="13.8">
      <c r="A52" s="45" t="s">
        <v>995</v>
      </c>
      <c r="B52" s="43">
        <v>11</v>
      </c>
      <c r="C52" s="43">
        <v>13.2</v>
      </c>
      <c r="D52" s="43">
        <v>15.4</v>
      </c>
      <c r="E52" s="43">
        <v>17.600000000000001</v>
      </c>
      <c r="F52" s="43">
        <v>19.8</v>
      </c>
      <c r="G52" s="43">
        <v>22</v>
      </c>
      <c r="H52" s="43">
        <v>24.2</v>
      </c>
      <c r="I52" s="43">
        <v>26.4</v>
      </c>
      <c r="J52" s="43">
        <v>28.6</v>
      </c>
      <c r="K52" s="43">
        <v>30.8</v>
      </c>
      <c r="L52" s="43">
        <v>33</v>
      </c>
      <c r="M52" s="43">
        <v>35.200000000000003</v>
      </c>
      <c r="N52" s="43">
        <v>37.4</v>
      </c>
      <c r="O52" s="43">
        <v>39.6</v>
      </c>
      <c r="P52" s="43">
        <v>41.8</v>
      </c>
      <c r="Q52" s="43">
        <v>44</v>
      </c>
      <c r="R52" s="43">
        <v>46.2</v>
      </c>
      <c r="S52" s="43">
        <v>48.4</v>
      </c>
      <c r="T52" s="43">
        <v>50.6</v>
      </c>
      <c r="U52" s="43">
        <v>52.8</v>
      </c>
      <c r="V52" s="43">
        <v>55</v>
      </c>
      <c r="W52" s="43">
        <v>57.2</v>
      </c>
      <c r="X52" s="43">
        <v>59.4</v>
      </c>
      <c r="Y52" s="43">
        <v>61.6</v>
      </c>
      <c r="Z52" s="43">
        <v>63.8</v>
      </c>
      <c r="AA52" s="43">
        <v>66</v>
      </c>
      <c r="AB52" s="43">
        <v>68.2</v>
      </c>
      <c r="AC52" s="43">
        <v>70.400000000000006</v>
      </c>
      <c r="AD52" s="43">
        <v>72.599999999999994</v>
      </c>
      <c r="AE52" s="43">
        <v>74.8</v>
      </c>
      <c r="AF52" s="43">
        <v>77</v>
      </c>
      <c r="AG52" s="43">
        <v>79.2</v>
      </c>
      <c r="AH52" s="43">
        <v>81.400000000000006</v>
      </c>
      <c r="AI52" s="43">
        <v>83.6</v>
      </c>
      <c r="AJ52" s="43">
        <v>85.8</v>
      </c>
      <c r="AK52" s="43">
        <v>88</v>
      </c>
      <c r="AL52" s="43">
        <v>90.2</v>
      </c>
      <c r="AM52" s="43">
        <v>92.4</v>
      </c>
      <c r="AN52" s="43">
        <v>94.6</v>
      </c>
      <c r="AO52" s="43">
        <v>96.8</v>
      </c>
    </row>
    <row r="53" spans="1:41" ht="13.8">
      <c r="A53" s="45" t="s">
        <v>996</v>
      </c>
      <c r="B53" s="43">
        <v>11</v>
      </c>
      <c r="C53" s="43">
        <v>13.2</v>
      </c>
      <c r="D53" s="43">
        <v>15.4</v>
      </c>
      <c r="E53" s="43">
        <v>17.600000000000001</v>
      </c>
      <c r="F53" s="43">
        <v>19.8</v>
      </c>
      <c r="G53" s="43">
        <v>22</v>
      </c>
      <c r="H53" s="43">
        <v>24.2</v>
      </c>
      <c r="I53" s="43">
        <v>26.4</v>
      </c>
      <c r="J53" s="43">
        <v>28.6</v>
      </c>
      <c r="K53" s="43">
        <v>30.8</v>
      </c>
      <c r="L53" s="43">
        <v>33</v>
      </c>
      <c r="M53" s="43">
        <v>35.200000000000003</v>
      </c>
      <c r="N53" s="43">
        <v>37.4</v>
      </c>
      <c r="O53" s="43">
        <v>39.6</v>
      </c>
      <c r="P53" s="43">
        <v>41.8</v>
      </c>
      <c r="Q53" s="43">
        <v>44</v>
      </c>
      <c r="R53" s="43">
        <v>46.2</v>
      </c>
      <c r="S53" s="43">
        <v>48.4</v>
      </c>
      <c r="T53" s="43">
        <v>50.6</v>
      </c>
      <c r="U53" s="43">
        <v>52.8</v>
      </c>
      <c r="V53" s="43">
        <v>55</v>
      </c>
      <c r="W53" s="43">
        <v>57.2</v>
      </c>
      <c r="X53" s="43">
        <v>59.4</v>
      </c>
      <c r="Y53" s="43">
        <v>61.6</v>
      </c>
      <c r="Z53" s="43">
        <v>63.8</v>
      </c>
      <c r="AA53" s="43">
        <v>66</v>
      </c>
      <c r="AB53" s="43">
        <v>68.2</v>
      </c>
      <c r="AC53" s="43">
        <v>70.400000000000006</v>
      </c>
      <c r="AD53" s="43">
        <v>72.599999999999994</v>
      </c>
      <c r="AE53" s="43">
        <v>74.8</v>
      </c>
      <c r="AF53" s="43">
        <v>77</v>
      </c>
      <c r="AG53" s="43">
        <v>79.2</v>
      </c>
      <c r="AH53" s="43">
        <v>81.400000000000006</v>
      </c>
      <c r="AI53" s="43">
        <v>83.6</v>
      </c>
      <c r="AJ53" s="43">
        <v>85.8</v>
      </c>
      <c r="AK53" s="43">
        <v>88</v>
      </c>
      <c r="AL53" s="43">
        <v>90.2</v>
      </c>
      <c r="AM53" s="43">
        <v>92.4</v>
      </c>
      <c r="AN53" s="43">
        <v>94.6</v>
      </c>
      <c r="AO53" s="43">
        <v>96.8</v>
      </c>
    </row>
    <row r="54" spans="1:41" ht="13.8">
      <c r="A54" s="45" t="s">
        <v>997</v>
      </c>
      <c r="B54" s="43">
        <v>11</v>
      </c>
      <c r="C54" s="43">
        <v>13.2</v>
      </c>
      <c r="D54" s="43">
        <v>15.4</v>
      </c>
      <c r="E54" s="43">
        <v>17.600000000000001</v>
      </c>
      <c r="F54" s="43">
        <v>19.8</v>
      </c>
      <c r="G54" s="43">
        <v>22</v>
      </c>
      <c r="H54" s="43">
        <v>24.2</v>
      </c>
      <c r="I54" s="43">
        <v>26.4</v>
      </c>
      <c r="J54" s="43">
        <v>28.6</v>
      </c>
      <c r="K54" s="43">
        <v>30.8</v>
      </c>
      <c r="L54" s="43">
        <v>33</v>
      </c>
      <c r="M54" s="43">
        <v>35.200000000000003</v>
      </c>
      <c r="N54" s="43">
        <v>37.4</v>
      </c>
      <c r="O54" s="43">
        <v>39.6</v>
      </c>
      <c r="P54" s="43">
        <v>41.8</v>
      </c>
      <c r="Q54" s="43">
        <v>44</v>
      </c>
      <c r="R54" s="43">
        <v>46.2</v>
      </c>
      <c r="S54" s="43">
        <v>48.4</v>
      </c>
      <c r="T54" s="43">
        <v>50.6</v>
      </c>
      <c r="U54" s="43">
        <v>52.8</v>
      </c>
      <c r="V54" s="43">
        <v>55</v>
      </c>
      <c r="W54" s="43">
        <v>57.2</v>
      </c>
      <c r="X54" s="43">
        <v>59.4</v>
      </c>
      <c r="Y54" s="43">
        <v>61.6</v>
      </c>
      <c r="Z54" s="43">
        <v>63.8</v>
      </c>
      <c r="AA54" s="43">
        <v>66</v>
      </c>
      <c r="AB54" s="43">
        <v>68.2</v>
      </c>
      <c r="AC54" s="43">
        <v>70.400000000000006</v>
      </c>
      <c r="AD54" s="43">
        <v>72.599999999999994</v>
      </c>
      <c r="AE54" s="43">
        <v>74.8</v>
      </c>
      <c r="AF54" s="43">
        <v>77</v>
      </c>
      <c r="AG54" s="43">
        <v>79.2</v>
      </c>
      <c r="AH54" s="43">
        <v>81.400000000000006</v>
      </c>
      <c r="AI54" s="43">
        <v>83.6</v>
      </c>
      <c r="AJ54" s="43">
        <v>85.8</v>
      </c>
      <c r="AK54" s="43">
        <v>88</v>
      </c>
      <c r="AL54" s="43">
        <v>90.2</v>
      </c>
      <c r="AM54" s="43">
        <v>92.4</v>
      </c>
      <c r="AN54" s="43">
        <v>94.6</v>
      </c>
      <c r="AO54" s="43">
        <v>96.8</v>
      </c>
    </row>
    <row r="55" spans="1:41" ht="13.8">
      <c r="A55" s="45" t="s">
        <v>998</v>
      </c>
      <c r="B55" s="43">
        <v>11</v>
      </c>
      <c r="C55" s="43">
        <v>13.2</v>
      </c>
      <c r="D55" s="43">
        <v>15.4</v>
      </c>
      <c r="E55" s="43">
        <v>17.600000000000001</v>
      </c>
      <c r="F55" s="43">
        <v>19.8</v>
      </c>
      <c r="G55" s="43">
        <v>22</v>
      </c>
      <c r="H55" s="43">
        <v>24.2</v>
      </c>
      <c r="I55" s="43">
        <v>26.4</v>
      </c>
      <c r="J55" s="43">
        <v>28.6</v>
      </c>
      <c r="K55" s="43">
        <v>30.8</v>
      </c>
      <c r="L55" s="43">
        <v>33</v>
      </c>
      <c r="M55" s="43">
        <v>35.200000000000003</v>
      </c>
      <c r="N55" s="43">
        <v>37.4</v>
      </c>
      <c r="O55" s="43">
        <v>39.6</v>
      </c>
      <c r="P55" s="43">
        <v>41.8</v>
      </c>
      <c r="Q55" s="43">
        <v>44</v>
      </c>
      <c r="R55" s="43">
        <v>46.2</v>
      </c>
      <c r="S55" s="43">
        <v>48.4</v>
      </c>
      <c r="T55" s="43">
        <v>50.6</v>
      </c>
      <c r="U55" s="43">
        <v>52.8</v>
      </c>
      <c r="V55" s="43">
        <v>55</v>
      </c>
      <c r="W55" s="43">
        <v>57.2</v>
      </c>
      <c r="X55" s="43">
        <v>59.4</v>
      </c>
      <c r="Y55" s="43">
        <v>61.6</v>
      </c>
      <c r="Z55" s="43">
        <v>63.8</v>
      </c>
      <c r="AA55" s="43">
        <v>66</v>
      </c>
      <c r="AB55" s="43">
        <v>68.2</v>
      </c>
      <c r="AC55" s="43">
        <v>70.400000000000006</v>
      </c>
      <c r="AD55" s="43">
        <v>72.599999999999994</v>
      </c>
      <c r="AE55" s="43">
        <v>74.8</v>
      </c>
      <c r="AF55" s="43">
        <v>77</v>
      </c>
      <c r="AG55" s="43">
        <v>79.2</v>
      </c>
      <c r="AH55" s="43">
        <v>81.400000000000006</v>
      </c>
      <c r="AI55" s="43">
        <v>83.6</v>
      </c>
      <c r="AJ55" s="43">
        <v>85.8</v>
      </c>
      <c r="AK55" s="43">
        <v>88</v>
      </c>
      <c r="AL55" s="43">
        <v>90.2</v>
      </c>
      <c r="AM55" s="43">
        <v>92.4</v>
      </c>
      <c r="AN55" s="43">
        <v>94.6</v>
      </c>
      <c r="AO55" s="43">
        <v>96.8</v>
      </c>
    </row>
    <row r="56" spans="1:41" ht="13.8">
      <c r="A56" s="45" t="s">
        <v>1001</v>
      </c>
      <c r="B56" s="43">
        <v>10.8</v>
      </c>
      <c r="C56" s="43">
        <v>12.8</v>
      </c>
      <c r="D56" s="43">
        <v>14.8</v>
      </c>
      <c r="E56" s="43">
        <v>16.8</v>
      </c>
      <c r="F56" s="43">
        <v>18.8</v>
      </c>
      <c r="G56" s="43">
        <v>20.8</v>
      </c>
      <c r="H56" s="43">
        <v>22.8</v>
      </c>
      <c r="I56" s="43">
        <v>24.8</v>
      </c>
      <c r="J56" s="43">
        <v>26.8</v>
      </c>
      <c r="K56" s="43">
        <v>28.8</v>
      </c>
      <c r="L56" s="43">
        <v>30.8</v>
      </c>
      <c r="M56" s="43">
        <v>32.799999999999997</v>
      </c>
      <c r="N56" s="43">
        <v>34.799999999999997</v>
      </c>
      <c r="O56" s="43">
        <v>36.799999999999997</v>
      </c>
      <c r="P56" s="43">
        <v>38.799999999999997</v>
      </c>
      <c r="Q56" s="43">
        <v>40.799999999999997</v>
      </c>
      <c r="R56" s="43">
        <v>42.8</v>
      </c>
      <c r="S56" s="43">
        <v>44.8</v>
      </c>
      <c r="T56" s="43">
        <v>46.8</v>
      </c>
      <c r="U56" s="43">
        <v>48.8</v>
      </c>
      <c r="V56" s="43">
        <v>50.8</v>
      </c>
      <c r="W56" s="43">
        <v>52.8</v>
      </c>
      <c r="X56" s="43">
        <v>54.8</v>
      </c>
      <c r="Y56" s="43">
        <v>56.8</v>
      </c>
      <c r="Z56" s="43">
        <v>58.8</v>
      </c>
      <c r="AA56" s="43">
        <v>60.8</v>
      </c>
      <c r="AB56" s="43">
        <v>62.8</v>
      </c>
      <c r="AC56" s="43">
        <v>64.8</v>
      </c>
      <c r="AD56" s="43">
        <v>66.8</v>
      </c>
      <c r="AE56" s="43">
        <v>68.8</v>
      </c>
      <c r="AF56" s="43">
        <v>70.8</v>
      </c>
      <c r="AG56" s="43">
        <v>72.8</v>
      </c>
      <c r="AH56" s="43">
        <v>74.8</v>
      </c>
      <c r="AI56" s="43">
        <v>76.8</v>
      </c>
      <c r="AJ56" s="43">
        <v>78.8</v>
      </c>
      <c r="AK56" s="43">
        <v>80.8</v>
      </c>
      <c r="AL56" s="43">
        <v>82.8</v>
      </c>
      <c r="AM56" s="43">
        <v>84.8</v>
      </c>
      <c r="AN56" s="43">
        <v>86.8</v>
      </c>
      <c r="AO56" s="43">
        <v>88.8</v>
      </c>
    </row>
    <row r="57" spans="1:41" ht="13.2">
      <c r="C57" s="51"/>
    </row>
    <row r="58" spans="1:41" ht="13.2">
      <c r="A58" s="51"/>
      <c r="C58" s="51"/>
    </row>
    <row r="59" spans="1:41" ht="13.2">
      <c r="A59" s="51"/>
      <c r="C59" s="51"/>
    </row>
    <row r="60" spans="1:41" ht="13.2">
      <c r="A60" s="51"/>
      <c r="C60" s="51"/>
    </row>
    <row r="61" spans="1:41" ht="13.2">
      <c r="A61" s="51"/>
      <c r="C61" s="51"/>
    </row>
    <row r="62" spans="1:41" ht="13.2">
      <c r="A62" s="51"/>
      <c r="C62" s="51"/>
    </row>
    <row r="63" spans="1:41" ht="13.2">
      <c r="A63" s="51"/>
      <c r="C63" s="51"/>
    </row>
    <row r="64" spans="1:41" ht="13.2">
      <c r="A64" s="51"/>
      <c r="C64" s="51"/>
    </row>
    <row r="65" spans="1:1" ht="13.2">
      <c r="A65" s="51"/>
    </row>
    <row r="66" spans="1:1" ht="13.2">
      <c r="A66" s="51"/>
    </row>
    <row r="67" spans="1:1" ht="13.2">
      <c r="A67" s="51"/>
    </row>
    <row r="68" spans="1:1" ht="13.2">
      <c r="A68" s="51"/>
    </row>
    <row r="69" spans="1:1" ht="13.2">
      <c r="A69" s="51"/>
    </row>
  </sheetData>
  <mergeCells count="3">
    <mergeCell ref="A1:I7"/>
    <mergeCell ref="A24:I30"/>
    <mergeCell ref="A38:I41"/>
  </mergeCells>
  <phoneticPr fontId="6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999"/>
  <sheetViews>
    <sheetView workbookViewId="0"/>
  </sheetViews>
  <sheetFormatPr defaultColWidth="14.44140625" defaultRowHeight="15.75" customHeight="1"/>
  <cols>
    <col min="1" max="1" width="11.6640625" customWidth="1"/>
    <col min="2" max="2" width="25.44140625" customWidth="1"/>
    <col min="3" max="3" width="30.6640625" customWidth="1"/>
    <col min="4" max="4" width="15.5546875" customWidth="1"/>
    <col min="11" max="11" width="20.33203125" customWidth="1"/>
  </cols>
  <sheetData>
    <row r="1" spans="1:31" ht="15.75" customHeight="1">
      <c r="A1" s="52"/>
      <c r="B1" s="52" t="s">
        <v>1019</v>
      </c>
      <c r="C1" s="52" t="s">
        <v>2</v>
      </c>
      <c r="D1" s="53" t="s">
        <v>1020</v>
      </c>
      <c r="E1" s="52" t="s">
        <v>1021</v>
      </c>
      <c r="F1" s="52" t="s">
        <v>1022</v>
      </c>
      <c r="G1" s="54" t="s">
        <v>1023</v>
      </c>
      <c r="H1" s="55" t="s">
        <v>1024</v>
      </c>
      <c r="I1" s="3" t="s">
        <v>1025</v>
      </c>
      <c r="J1" s="3" t="s">
        <v>1026</v>
      </c>
      <c r="K1" s="3" t="s">
        <v>1027</v>
      </c>
      <c r="L1" s="55" t="s">
        <v>41</v>
      </c>
      <c r="M1" s="55" t="s">
        <v>1028</v>
      </c>
      <c r="N1" s="55" t="s">
        <v>17</v>
      </c>
      <c r="O1" s="55" t="s">
        <v>30</v>
      </c>
      <c r="P1" s="3" t="s">
        <v>1029</v>
      </c>
      <c r="Q1" s="56" t="s">
        <v>20</v>
      </c>
      <c r="R1" s="4"/>
      <c r="S1" s="4"/>
      <c r="T1" s="4"/>
      <c r="U1" s="4"/>
      <c r="V1" s="4"/>
      <c r="W1" s="4"/>
      <c r="X1" s="4"/>
      <c r="Y1" s="4"/>
      <c r="Z1" s="4"/>
      <c r="AA1" s="4"/>
      <c r="AB1" s="4"/>
      <c r="AC1" s="4"/>
      <c r="AD1" s="4"/>
      <c r="AE1" s="4"/>
    </row>
    <row r="2" spans="1:31" ht="15.75" customHeight="1">
      <c r="A2" s="12"/>
      <c r="B2" s="12" t="s">
        <v>1032</v>
      </c>
      <c r="C2" s="12"/>
      <c r="D2" s="57" t="s">
        <v>1033</v>
      </c>
      <c r="E2" s="12">
        <v>145</v>
      </c>
      <c r="F2" s="12">
        <v>0</v>
      </c>
      <c r="G2" s="8">
        <f>E2+F2</f>
        <v>145</v>
      </c>
      <c r="H2" s="13">
        <f>G2*170</f>
        <v>24650</v>
      </c>
      <c r="I2" s="14">
        <v>29000</v>
      </c>
      <c r="J2" s="14">
        <v>10000</v>
      </c>
      <c r="K2" s="58">
        <f>SUM(I2:J2)</f>
        <v>39000</v>
      </c>
      <c r="L2" s="15">
        <f>I2*0.038</f>
        <v>1102</v>
      </c>
      <c r="M2" s="15">
        <f>I2*0.02</f>
        <v>580</v>
      </c>
      <c r="N2" s="10">
        <f>I2+J2-L2-M2</f>
        <v>37318</v>
      </c>
      <c r="O2" s="10">
        <f>N2*0.01</f>
        <v>373.18</v>
      </c>
      <c r="P2" s="35">
        <v>10000</v>
      </c>
      <c r="Q2" s="59">
        <f>N2-H2-O2-P2</f>
        <v>2294.8199999999997</v>
      </c>
      <c r="R2" s="4"/>
      <c r="S2" s="4"/>
      <c r="T2" s="4"/>
      <c r="U2" s="4"/>
      <c r="V2" s="4"/>
      <c r="W2" s="4"/>
      <c r="X2" s="4"/>
      <c r="Y2" s="4"/>
      <c r="Z2" s="4"/>
      <c r="AA2" s="4"/>
      <c r="AB2" s="4"/>
      <c r="AC2" s="4"/>
      <c r="AD2" s="4"/>
      <c r="AE2" s="4"/>
    </row>
    <row r="3" spans="1:31" ht="15.75" customHeight="1">
      <c r="A3" s="60"/>
      <c r="B3" s="60"/>
      <c r="C3" s="60"/>
      <c r="D3" s="61"/>
      <c r="E3" s="60"/>
      <c r="F3" s="60"/>
      <c r="G3" s="62"/>
      <c r="H3" s="63"/>
      <c r="I3" s="64"/>
      <c r="J3" s="64"/>
      <c r="K3" s="65"/>
      <c r="L3" s="66"/>
      <c r="M3" s="66"/>
      <c r="N3" s="67"/>
      <c r="O3" s="67"/>
      <c r="P3" s="68"/>
      <c r="Q3" s="69"/>
      <c r="R3" s="70"/>
      <c r="S3" s="70"/>
      <c r="T3" s="70"/>
      <c r="U3" s="70"/>
      <c r="V3" s="70"/>
      <c r="W3" s="70"/>
      <c r="X3" s="70"/>
      <c r="Y3" s="70"/>
      <c r="Z3" s="70"/>
      <c r="AA3" s="70"/>
      <c r="AB3" s="70"/>
      <c r="AC3" s="70"/>
      <c r="AD3" s="70"/>
      <c r="AE3" s="70"/>
    </row>
    <row r="4" spans="1:31" ht="15.75" customHeight="1">
      <c r="A4" s="11"/>
      <c r="B4" s="11"/>
      <c r="C4" s="11"/>
      <c r="D4" s="9"/>
      <c r="E4" s="11"/>
      <c r="F4" s="11"/>
      <c r="G4" s="8"/>
      <c r="H4" s="13"/>
      <c r="I4" s="14"/>
      <c r="J4" s="14"/>
      <c r="K4" s="58"/>
      <c r="L4" s="15"/>
      <c r="M4" s="15"/>
      <c r="N4" s="10"/>
      <c r="O4" s="10"/>
      <c r="P4" s="35"/>
      <c r="Q4" s="59"/>
      <c r="R4" s="4"/>
      <c r="S4" s="4"/>
      <c r="T4" s="4"/>
      <c r="U4" s="4"/>
      <c r="V4" s="4"/>
      <c r="W4" s="4"/>
      <c r="X4" s="4"/>
      <c r="Y4" s="4"/>
      <c r="Z4" s="4"/>
      <c r="AA4" s="4"/>
      <c r="AB4" s="4"/>
      <c r="AC4" s="4"/>
      <c r="AD4" s="4"/>
      <c r="AE4" s="4"/>
    </row>
    <row r="5" spans="1:31" ht="15.75" customHeight="1">
      <c r="A5" s="11"/>
      <c r="B5" s="11"/>
      <c r="C5" s="11"/>
      <c r="D5" s="9"/>
      <c r="E5" s="7"/>
      <c r="F5" s="7"/>
      <c r="G5" s="7"/>
      <c r="H5" s="16"/>
      <c r="I5" s="16"/>
      <c r="J5" s="16"/>
      <c r="K5" s="16"/>
      <c r="L5" s="16"/>
      <c r="M5" s="16"/>
      <c r="N5" s="16"/>
      <c r="O5" s="16"/>
      <c r="P5" s="16"/>
      <c r="Q5" s="4"/>
      <c r="R5" s="374" t="s">
        <v>1037</v>
      </c>
      <c r="S5" s="297"/>
      <c r="T5" s="297"/>
      <c r="U5" s="297"/>
      <c r="V5" s="297"/>
      <c r="W5" s="4"/>
      <c r="X5" s="4"/>
      <c r="Y5" s="4"/>
      <c r="Z5" s="4"/>
      <c r="AA5" s="4"/>
      <c r="AB5" s="4"/>
      <c r="AC5" s="4"/>
      <c r="AD5" s="4"/>
      <c r="AE5" s="4"/>
    </row>
    <row r="6" spans="1:31" ht="15.75" customHeight="1">
      <c r="A6" s="11"/>
      <c r="B6" s="11"/>
      <c r="C6" s="32"/>
      <c r="D6" s="9"/>
      <c r="E6" s="11"/>
      <c r="F6" s="11"/>
      <c r="G6" s="8"/>
      <c r="H6" s="13"/>
      <c r="I6" s="14"/>
      <c r="J6" s="14"/>
      <c r="K6" s="58"/>
      <c r="L6" s="15"/>
      <c r="M6" s="15"/>
      <c r="N6" s="10"/>
      <c r="O6" s="10"/>
      <c r="P6" s="35"/>
      <c r="Q6" s="59"/>
      <c r="R6" s="297"/>
      <c r="S6" s="297"/>
      <c r="T6" s="297"/>
      <c r="U6" s="297"/>
      <c r="V6" s="297"/>
      <c r="W6" s="4"/>
      <c r="X6" s="4"/>
      <c r="Y6" s="4"/>
      <c r="Z6" s="4"/>
      <c r="AA6" s="4"/>
      <c r="AB6" s="4"/>
      <c r="AC6" s="4"/>
      <c r="AD6" s="4"/>
      <c r="AE6" s="4"/>
    </row>
    <row r="7" spans="1:31" ht="15.75" customHeight="1">
      <c r="A7" s="7"/>
      <c r="B7" s="7"/>
      <c r="C7" s="7"/>
      <c r="D7" s="29"/>
      <c r="E7" s="7"/>
      <c r="F7" s="7"/>
      <c r="G7" s="7"/>
      <c r="H7" s="16"/>
      <c r="I7" s="16"/>
      <c r="J7" s="16"/>
      <c r="K7" s="16"/>
      <c r="L7" s="16"/>
      <c r="M7" s="16"/>
      <c r="N7" s="16"/>
      <c r="O7" s="16"/>
      <c r="P7" s="16"/>
      <c r="Q7" s="4"/>
      <c r="R7" s="4"/>
      <c r="S7" s="4"/>
      <c r="T7" s="4"/>
      <c r="U7" s="4"/>
      <c r="V7" s="4"/>
      <c r="W7" s="4"/>
      <c r="X7" s="4"/>
      <c r="Y7" s="4"/>
      <c r="Z7" s="4"/>
      <c r="AA7" s="4"/>
      <c r="AB7" s="4"/>
      <c r="AC7" s="4"/>
      <c r="AD7" s="4"/>
      <c r="AE7" s="4"/>
    </row>
    <row r="8" spans="1:31" ht="13.2">
      <c r="A8" s="7"/>
      <c r="B8" s="7"/>
      <c r="C8" s="7"/>
      <c r="D8" s="29"/>
      <c r="E8" s="7"/>
      <c r="F8" s="7"/>
      <c r="G8" s="7"/>
      <c r="H8" s="16"/>
      <c r="I8" s="16"/>
      <c r="J8" s="16"/>
      <c r="K8" s="16"/>
      <c r="L8" s="16"/>
      <c r="M8" s="16"/>
      <c r="N8" s="16"/>
      <c r="O8" s="16"/>
      <c r="P8" s="16"/>
      <c r="Q8" s="4"/>
      <c r="R8" s="4"/>
      <c r="S8" s="4"/>
      <c r="T8" s="4"/>
      <c r="U8" s="4"/>
      <c r="V8" s="4"/>
      <c r="W8" s="4"/>
      <c r="X8" s="4"/>
      <c r="Y8" s="4"/>
      <c r="Z8" s="4"/>
      <c r="AA8" s="4"/>
      <c r="AB8" s="4"/>
      <c r="AC8" s="4"/>
      <c r="AD8" s="4"/>
      <c r="AE8" s="4"/>
    </row>
    <row r="9" spans="1:31" ht="13.2">
      <c r="A9" s="7"/>
      <c r="B9" s="7"/>
      <c r="C9" s="7"/>
      <c r="D9" s="29"/>
      <c r="E9" s="7"/>
      <c r="F9" s="7"/>
      <c r="G9" s="7"/>
      <c r="H9" s="16"/>
      <c r="I9" s="16"/>
      <c r="J9" s="16"/>
      <c r="K9" s="16"/>
      <c r="L9" s="16"/>
      <c r="M9" s="16"/>
      <c r="N9" s="16"/>
      <c r="O9" s="16"/>
      <c r="P9" s="16"/>
      <c r="Q9" s="4"/>
      <c r="R9" s="4"/>
      <c r="S9" s="4"/>
      <c r="T9" s="4"/>
      <c r="U9" s="4"/>
      <c r="V9" s="4"/>
      <c r="W9" s="4"/>
      <c r="X9" s="4"/>
      <c r="Y9" s="4"/>
      <c r="Z9" s="4"/>
      <c r="AA9" s="4"/>
      <c r="AB9" s="4"/>
      <c r="AC9" s="4"/>
      <c r="AD9" s="4"/>
      <c r="AE9" s="4"/>
    </row>
    <row r="10" spans="1:31" ht="13.2">
      <c r="A10" s="7"/>
      <c r="B10" s="7"/>
      <c r="C10" s="7"/>
      <c r="D10" s="29"/>
      <c r="E10" s="7"/>
      <c r="F10" s="7"/>
      <c r="G10" s="7"/>
      <c r="H10" s="16"/>
      <c r="I10" s="16"/>
      <c r="J10" s="16"/>
      <c r="K10" s="16"/>
      <c r="L10" s="16"/>
      <c r="M10" s="16"/>
      <c r="N10" s="16"/>
      <c r="O10" s="16"/>
      <c r="P10" s="16"/>
      <c r="Q10" s="4"/>
      <c r="R10" s="4"/>
      <c r="S10" s="4"/>
      <c r="T10" s="4"/>
      <c r="U10" s="4"/>
      <c r="V10" s="4"/>
      <c r="W10" s="4"/>
      <c r="X10" s="4"/>
      <c r="Y10" s="4"/>
      <c r="Z10" s="4"/>
      <c r="AA10" s="4"/>
      <c r="AB10" s="4"/>
      <c r="AC10" s="4"/>
      <c r="AD10" s="4"/>
      <c r="AE10" s="4"/>
    </row>
    <row r="11" spans="1:31" ht="13.2">
      <c r="A11" s="7"/>
      <c r="B11" s="7"/>
      <c r="C11" s="11" t="s">
        <v>1038</v>
      </c>
      <c r="D11" s="29"/>
      <c r="E11" s="7"/>
      <c r="F11" s="7"/>
      <c r="G11" s="7"/>
      <c r="H11" s="16"/>
      <c r="I11" s="16"/>
      <c r="J11" s="16"/>
      <c r="K11" s="16"/>
      <c r="L11" s="16"/>
      <c r="M11" s="16"/>
      <c r="N11" s="16"/>
      <c r="O11" s="16"/>
      <c r="P11" s="16"/>
      <c r="Q11" s="4"/>
      <c r="R11" s="4"/>
      <c r="S11" s="4"/>
      <c r="T11" s="4"/>
      <c r="U11" s="4"/>
      <c r="V11" s="4"/>
      <c r="W11" s="4"/>
      <c r="X11" s="4"/>
      <c r="Y11" s="4"/>
      <c r="Z11" s="4"/>
      <c r="AA11" s="4"/>
      <c r="AB11" s="4"/>
      <c r="AC11" s="4"/>
      <c r="AD11" s="4"/>
      <c r="AE11" s="4"/>
    </row>
    <row r="12" spans="1:31" ht="13.2">
      <c r="A12" s="7"/>
      <c r="B12" s="7"/>
      <c r="C12" s="11" t="s">
        <v>1039</v>
      </c>
      <c r="D12" s="29"/>
      <c r="E12" s="7"/>
      <c r="F12" s="7"/>
      <c r="G12" s="7"/>
      <c r="H12" s="16"/>
      <c r="I12" s="16"/>
      <c r="J12" s="16"/>
      <c r="K12" s="16"/>
      <c r="L12" s="16"/>
      <c r="M12" s="16"/>
      <c r="N12" s="16"/>
      <c r="O12" s="16"/>
      <c r="P12" s="16"/>
      <c r="Q12" s="4"/>
      <c r="R12" s="4"/>
      <c r="S12" s="4"/>
      <c r="T12" s="4"/>
      <c r="U12" s="4"/>
      <c r="V12" s="4"/>
      <c r="W12" s="4"/>
      <c r="X12" s="4"/>
      <c r="Y12" s="4"/>
      <c r="Z12" s="4"/>
      <c r="AA12" s="4"/>
      <c r="AB12" s="4"/>
      <c r="AC12" s="4"/>
      <c r="AD12" s="4"/>
      <c r="AE12" s="4"/>
    </row>
    <row r="13" spans="1:31" ht="13.2">
      <c r="A13" s="7"/>
      <c r="B13" s="7"/>
      <c r="C13" s="11" t="s">
        <v>1040</v>
      </c>
      <c r="D13" s="29">
        <f>1-0.133</f>
        <v>0.86699999999999999</v>
      </c>
      <c r="E13" s="7"/>
      <c r="F13" s="7"/>
      <c r="G13" s="7"/>
      <c r="H13" s="16"/>
      <c r="I13" s="16"/>
      <c r="J13" s="16"/>
      <c r="K13" s="16"/>
      <c r="L13" s="16"/>
      <c r="M13" s="16"/>
      <c r="N13" s="16"/>
      <c r="O13" s="16"/>
      <c r="P13" s="16"/>
      <c r="Q13" s="4"/>
      <c r="R13" s="4"/>
      <c r="S13" s="4"/>
      <c r="T13" s="4"/>
      <c r="U13" s="4"/>
      <c r="V13" s="4"/>
      <c r="W13" s="4"/>
      <c r="X13" s="4"/>
      <c r="Y13" s="4"/>
      <c r="Z13" s="4"/>
      <c r="AA13" s="4"/>
      <c r="AB13" s="4"/>
      <c r="AC13" s="4"/>
      <c r="AD13" s="4"/>
      <c r="AE13" s="4"/>
    </row>
    <row r="14" spans="1:31" ht="13.2">
      <c r="A14" s="7"/>
      <c r="B14" s="7"/>
      <c r="C14" s="7"/>
      <c r="D14" s="9">
        <f>0.3/0.133</f>
        <v>2.2556390977443606</v>
      </c>
      <c r="E14" s="7"/>
      <c r="F14" s="7"/>
      <c r="G14" s="7"/>
      <c r="H14" s="16"/>
      <c r="I14" s="16"/>
      <c r="J14" s="16"/>
      <c r="K14" s="16"/>
      <c r="L14" s="16"/>
      <c r="M14" s="16"/>
      <c r="N14" s="16"/>
      <c r="O14" s="16"/>
      <c r="P14" s="16"/>
      <c r="Q14" s="4"/>
      <c r="R14" s="4"/>
      <c r="S14" s="4"/>
      <c r="T14" s="4"/>
      <c r="U14" s="4"/>
      <c r="V14" s="4"/>
      <c r="W14" s="4"/>
      <c r="X14" s="4"/>
      <c r="Y14" s="4"/>
      <c r="Z14" s="4"/>
      <c r="AA14" s="4"/>
      <c r="AB14" s="4"/>
      <c r="AC14" s="4"/>
      <c r="AD14" s="4"/>
      <c r="AE14" s="4"/>
    </row>
    <row r="15" spans="1:31" ht="13.2">
      <c r="A15" s="7"/>
      <c r="B15" s="7"/>
      <c r="C15" s="11" t="s">
        <v>1043</v>
      </c>
      <c r="D15" s="29"/>
      <c r="E15" s="7"/>
      <c r="F15" s="7"/>
      <c r="G15" s="7"/>
      <c r="H15" s="16"/>
      <c r="I15" s="16"/>
      <c r="J15" s="16"/>
      <c r="K15" s="16"/>
      <c r="L15" s="16"/>
      <c r="M15" s="16"/>
      <c r="N15" s="16"/>
      <c r="O15" s="16"/>
      <c r="P15" s="16"/>
      <c r="Q15" s="4"/>
      <c r="R15" s="4"/>
      <c r="S15" s="4"/>
      <c r="T15" s="4"/>
      <c r="U15" s="4"/>
      <c r="V15" s="4"/>
      <c r="W15" s="4"/>
      <c r="X15" s="4"/>
      <c r="Y15" s="4"/>
      <c r="Z15" s="4"/>
      <c r="AA15" s="4"/>
      <c r="AB15" s="4"/>
      <c r="AC15" s="4"/>
      <c r="AD15" s="4"/>
      <c r="AE15" s="4"/>
    </row>
    <row r="16" spans="1:31" ht="13.2">
      <c r="A16" s="7"/>
      <c r="B16" s="7"/>
      <c r="C16" s="11" t="s">
        <v>1044</v>
      </c>
      <c r="D16" s="29">
        <f>2.25^-1</f>
        <v>0.44444444444444442</v>
      </c>
      <c r="E16" s="7"/>
      <c r="F16" s="7"/>
      <c r="G16" s="7"/>
      <c r="H16" s="16"/>
      <c r="I16" s="16"/>
      <c r="J16" s="16"/>
      <c r="K16" s="16"/>
      <c r="L16" s="16"/>
      <c r="M16" s="16"/>
      <c r="N16" s="16"/>
      <c r="O16" s="16"/>
      <c r="P16" s="16"/>
      <c r="Q16" s="4"/>
      <c r="R16" s="4"/>
      <c r="S16" s="4"/>
      <c r="T16" s="4"/>
      <c r="U16" s="4"/>
      <c r="V16" s="4"/>
      <c r="W16" s="4"/>
      <c r="X16" s="4"/>
      <c r="Y16" s="4"/>
      <c r="Z16" s="4"/>
      <c r="AA16" s="4"/>
      <c r="AB16" s="4"/>
      <c r="AC16" s="4"/>
      <c r="AD16" s="4"/>
      <c r="AE16" s="4"/>
    </row>
    <row r="17" spans="1:31" ht="13.2">
      <c r="A17" s="7"/>
      <c r="B17" s="7"/>
      <c r="C17" s="7"/>
      <c r="D17" s="29"/>
      <c r="E17" s="7"/>
      <c r="F17" s="7"/>
      <c r="G17" s="7"/>
      <c r="H17" s="16"/>
      <c r="I17" s="16"/>
      <c r="J17" s="16"/>
      <c r="K17" s="16"/>
      <c r="L17" s="16"/>
      <c r="M17" s="16"/>
      <c r="N17" s="16"/>
      <c r="O17" s="16"/>
      <c r="P17" s="16"/>
      <c r="Q17" s="4"/>
      <c r="R17" s="4"/>
      <c r="S17" s="4"/>
      <c r="T17" s="4"/>
      <c r="U17" s="4"/>
      <c r="V17" s="4"/>
      <c r="W17" s="4"/>
      <c r="X17" s="4"/>
      <c r="Y17" s="4"/>
      <c r="Z17" s="4"/>
      <c r="AA17" s="4"/>
      <c r="AB17" s="4"/>
      <c r="AC17" s="4"/>
      <c r="AD17" s="4"/>
      <c r="AE17" s="4"/>
    </row>
    <row r="18" spans="1:31" ht="13.2">
      <c r="A18" s="7"/>
      <c r="B18" s="7"/>
      <c r="C18" s="11" t="s">
        <v>1045</v>
      </c>
      <c r="D18" s="29"/>
      <c r="E18" s="7"/>
      <c r="F18" s="7"/>
      <c r="G18" s="7"/>
      <c r="H18" s="16"/>
      <c r="I18" s="16"/>
      <c r="J18" s="16"/>
      <c r="K18" s="16"/>
      <c r="L18" s="16"/>
      <c r="M18" s="16"/>
      <c r="N18" s="16"/>
      <c r="O18" s="16"/>
      <c r="P18" s="16"/>
      <c r="Q18" s="4"/>
      <c r="R18" s="4"/>
      <c r="S18" s="4"/>
      <c r="T18" s="4"/>
      <c r="U18" s="4"/>
      <c r="V18" s="4"/>
      <c r="W18" s="4"/>
      <c r="X18" s="4"/>
      <c r="Y18" s="4"/>
      <c r="Z18" s="4"/>
      <c r="AA18" s="4"/>
      <c r="AB18" s="4"/>
      <c r="AC18" s="4"/>
      <c r="AD18" s="4"/>
      <c r="AE18" s="4"/>
    </row>
    <row r="19" spans="1:31" ht="13.2">
      <c r="A19" s="7"/>
      <c r="B19" s="7"/>
      <c r="C19" s="7"/>
      <c r="D19" s="29"/>
      <c r="E19" s="7"/>
      <c r="F19" s="7"/>
      <c r="G19" s="7"/>
      <c r="H19" s="16"/>
      <c r="I19" s="16"/>
      <c r="J19" s="16"/>
      <c r="K19" s="16"/>
      <c r="L19" s="16"/>
      <c r="M19" s="16"/>
      <c r="N19" s="16"/>
      <c r="O19" s="16"/>
      <c r="P19" s="16"/>
      <c r="Q19" s="4"/>
      <c r="R19" s="4"/>
      <c r="S19" s="4"/>
      <c r="T19" s="4"/>
      <c r="U19" s="4"/>
      <c r="V19" s="4"/>
      <c r="W19" s="4"/>
      <c r="X19" s="4"/>
      <c r="Y19" s="4"/>
      <c r="Z19" s="4"/>
      <c r="AA19" s="4"/>
      <c r="AB19" s="4"/>
      <c r="AC19" s="4"/>
      <c r="AD19" s="4"/>
      <c r="AE19" s="4"/>
    </row>
    <row r="20" spans="1:31" ht="13.2">
      <c r="A20" s="7"/>
      <c r="B20" s="7"/>
      <c r="C20" s="7"/>
      <c r="D20" s="29"/>
      <c r="E20" s="7"/>
      <c r="F20" s="7"/>
      <c r="G20" s="7"/>
      <c r="H20" s="16"/>
      <c r="I20" s="16"/>
      <c r="J20" s="16"/>
      <c r="K20" s="16"/>
      <c r="L20" s="16"/>
      <c r="M20" s="16"/>
      <c r="N20" s="16"/>
      <c r="O20" s="16"/>
      <c r="P20" s="16"/>
      <c r="Q20" s="4"/>
      <c r="R20" s="4"/>
      <c r="S20" s="4"/>
      <c r="T20" s="4"/>
      <c r="U20" s="4"/>
      <c r="V20" s="4"/>
      <c r="W20" s="4"/>
      <c r="X20" s="4"/>
      <c r="Y20" s="4"/>
      <c r="Z20" s="4"/>
      <c r="AA20" s="4"/>
      <c r="AB20" s="4"/>
      <c r="AC20" s="4"/>
      <c r="AD20" s="4"/>
      <c r="AE20" s="4"/>
    </row>
    <row r="21" spans="1:31" ht="13.2">
      <c r="A21" s="7"/>
      <c r="B21" s="7"/>
      <c r="C21" s="7"/>
      <c r="D21" s="29"/>
      <c r="E21" s="7"/>
      <c r="F21" s="7"/>
      <c r="G21" s="7"/>
      <c r="H21" s="16"/>
      <c r="I21" s="16"/>
      <c r="J21" s="16"/>
      <c r="K21" s="16"/>
      <c r="L21" s="16"/>
      <c r="M21" s="16"/>
      <c r="N21" s="16"/>
      <c r="O21" s="16"/>
      <c r="P21" s="16"/>
      <c r="Q21" s="4"/>
      <c r="R21" s="4"/>
      <c r="S21" s="4"/>
      <c r="T21" s="4"/>
      <c r="U21" s="4"/>
      <c r="V21" s="4"/>
      <c r="W21" s="4"/>
      <c r="X21" s="4"/>
      <c r="Y21" s="4"/>
      <c r="Z21" s="4"/>
      <c r="AA21" s="4"/>
      <c r="AB21" s="4"/>
      <c r="AC21" s="4"/>
      <c r="AD21" s="4"/>
      <c r="AE21" s="4"/>
    </row>
    <row r="22" spans="1:31" ht="13.2">
      <c r="A22" s="7"/>
      <c r="B22" s="7"/>
      <c r="C22" s="7"/>
      <c r="D22" s="29"/>
      <c r="E22" s="7"/>
      <c r="F22" s="7"/>
      <c r="G22" s="7"/>
      <c r="H22" s="16"/>
      <c r="I22" s="16"/>
      <c r="J22" s="16"/>
      <c r="K22" s="16"/>
      <c r="L22" s="16"/>
      <c r="M22" s="16"/>
      <c r="N22" s="16"/>
      <c r="O22" s="16"/>
      <c r="P22" s="16"/>
      <c r="Q22" s="4"/>
      <c r="R22" s="4"/>
      <c r="S22" s="4"/>
      <c r="T22" s="4"/>
      <c r="U22" s="4"/>
      <c r="V22" s="4"/>
      <c r="W22" s="4"/>
      <c r="X22" s="4"/>
      <c r="Y22" s="4"/>
      <c r="Z22" s="4"/>
      <c r="AA22" s="4"/>
      <c r="AB22" s="4"/>
      <c r="AC22" s="4"/>
      <c r="AD22" s="4"/>
      <c r="AE22" s="4"/>
    </row>
    <row r="23" spans="1:31" ht="13.2">
      <c r="A23" s="7"/>
      <c r="B23" s="7"/>
      <c r="C23" s="7"/>
      <c r="D23" s="29"/>
      <c r="E23" s="7"/>
      <c r="F23" s="7"/>
      <c r="G23" s="7"/>
      <c r="H23" s="16"/>
      <c r="I23" s="16"/>
      <c r="J23" s="16"/>
      <c r="K23" s="16"/>
      <c r="L23" s="16"/>
      <c r="M23" s="16"/>
      <c r="N23" s="16"/>
      <c r="O23" s="16"/>
      <c r="P23" s="16"/>
      <c r="Q23" s="4"/>
      <c r="R23" s="4"/>
      <c r="S23" s="4"/>
      <c r="T23" s="4"/>
      <c r="U23" s="4"/>
      <c r="V23" s="4"/>
      <c r="W23" s="4"/>
      <c r="X23" s="4"/>
      <c r="Y23" s="4"/>
      <c r="Z23" s="4"/>
      <c r="AA23" s="4"/>
      <c r="AB23" s="4"/>
      <c r="AC23" s="4"/>
      <c r="AD23" s="4"/>
      <c r="AE23" s="4"/>
    </row>
    <row r="24" spans="1:31" ht="13.2">
      <c r="A24" s="7"/>
      <c r="B24" s="7"/>
      <c r="C24" s="7"/>
      <c r="D24" s="29"/>
      <c r="E24" s="7"/>
      <c r="F24" s="7"/>
      <c r="G24" s="7"/>
      <c r="H24" s="16"/>
      <c r="I24" s="16"/>
      <c r="J24" s="16"/>
      <c r="K24" s="16"/>
      <c r="L24" s="16"/>
      <c r="M24" s="16"/>
      <c r="N24" s="16"/>
      <c r="O24" s="16"/>
      <c r="P24" s="16"/>
      <c r="Q24" s="4"/>
      <c r="R24" s="4"/>
      <c r="S24" s="4"/>
      <c r="T24" s="4"/>
      <c r="U24" s="4"/>
      <c r="V24" s="4"/>
      <c r="W24" s="4"/>
      <c r="X24" s="4"/>
      <c r="Y24" s="4"/>
      <c r="Z24" s="4"/>
      <c r="AA24" s="4"/>
      <c r="AB24" s="4"/>
      <c r="AC24" s="4"/>
      <c r="AD24" s="4"/>
      <c r="AE24" s="4"/>
    </row>
    <row r="25" spans="1:31" ht="13.2">
      <c r="A25" s="7"/>
      <c r="B25" s="7"/>
      <c r="C25" s="7"/>
      <c r="D25" s="29"/>
      <c r="E25" s="7"/>
      <c r="F25" s="7"/>
      <c r="G25" s="7"/>
      <c r="H25" s="16"/>
      <c r="I25" s="16"/>
      <c r="J25" s="16"/>
      <c r="K25" s="16"/>
      <c r="L25" s="16"/>
      <c r="M25" s="16"/>
      <c r="N25" s="16"/>
      <c r="O25" s="16"/>
      <c r="P25" s="16"/>
      <c r="Q25" s="4"/>
      <c r="R25" s="4"/>
      <c r="S25" s="4"/>
      <c r="T25" s="4"/>
      <c r="U25" s="4"/>
      <c r="V25" s="4"/>
      <c r="W25" s="4"/>
      <c r="X25" s="4"/>
      <c r="Y25" s="4"/>
      <c r="Z25" s="4"/>
      <c r="AA25" s="4"/>
      <c r="AB25" s="4"/>
      <c r="AC25" s="4"/>
      <c r="AD25" s="4"/>
      <c r="AE25" s="4"/>
    </row>
    <row r="26" spans="1:31" ht="13.2">
      <c r="A26" s="7"/>
      <c r="B26" s="7"/>
      <c r="C26" s="7"/>
      <c r="D26" s="29"/>
      <c r="E26" s="7"/>
      <c r="F26" s="7"/>
      <c r="G26" s="7"/>
      <c r="H26" s="16"/>
      <c r="I26" s="16"/>
      <c r="J26" s="16"/>
      <c r="K26" s="16"/>
      <c r="L26" s="16"/>
      <c r="M26" s="16"/>
      <c r="N26" s="16"/>
      <c r="O26" s="16"/>
      <c r="P26" s="16"/>
      <c r="Q26" s="4"/>
      <c r="R26" s="4"/>
      <c r="S26" s="4"/>
      <c r="T26" s="4"/>
      <c r="U26" s="4"/>
      <c r="V26" s="4"/>
      <c r="W26" s="4"/>
      <c r="X26" s="4"/>
      <c r="Y26" s="4"/>
      <c r="Z26" s="4"/>
      <c r="AA26" s="4"/>
      <c r="AB26" s="4"/>
      <c r="AC26" s="4"/>
      <c r="AD26" s="4"/>
      <c r="AE26" s="4"/>
    </row>
    <row r="27" spans="1:31" ht="13.2">
      <c r="A27" s="7"/>
      <c r="B27" s="7"/>
      <c r="C27" s="7"/>
      <c r="D27" s="29"/>
      <c r="E27" s="7"/>
      <c r="F27" s="7"/>
      <c r="G27" s="7"/>
      <c r="H27" s="16"/>
      <c r="I27" s="16"/>
      <c r="J27" s="16"/>
      <c r="K27" s="16"/>
      <c r="L27" s="16"/>
      <c r="M27" s="16"/>
      <c r="N27" s="16"/>
      <c r="O27" s="16"/>
      <c r="P27" s="16"/>
      <c r="Q27" s="4"/>
      <c r="R27" s="4"/>
      <c r="S27" s="4"/>
      <c r="T27" s="4"/>
      <c r="U27" s="4"/>
      <c r="V27" s="4"/>
      <c r="W27" s="4"/>
      <c r="X27" s="4"/>
      <c r="Y27" s="4"/>
      <c r="Z27" s="4"/>
      <c r="AA27" s="4"/>
      <c r="AB27" s="4"/>
      <c r="AC27" s="4"/>
      <c r="AD27" s="4"/>
      <c r="AE27" s="4"/>
    </row>
    <row r="28" spans="1:31" ht="13.2">
      <c r="A28" s="7"/>
      <c r="B28" s="7"/>
      <c r="C28" s="7"/>
      <c r="D28" s="29"/>
      <c r="E28" s="7"/>
      <c r="F28" s="7"/>
      <c r="G28" s="7"/>
      <c r="H28" s="16"/>
      <c r="I28" s="16"/>
      <c r="J28" s="16"/>
      <c r="K28" s="16"/>
      <c r="L28" s="16"/>
      <c r="M28" s="16"/>
      <c r="N28" s="16"/>
      <c r="O28" s="16"/>
      <c r="P28" s="16"/>
      <c r="Q28" s="4"/>
      <c r="R28" s="4"/>
      <c r="S28" s="4"/>
      <c r="T28" s="4"/>
      <c r="U28" s="4"/>
      <c r="V28" s="4"/>
      <c r="W28" s="4"/>
      <c r="X28" s="4"/>
      <c r="Y28" s="4"/>
      <c r="Z28" s="4"/>
      <c r="AA28" s="4"/>
      <c r="AB28" s="4"/>
      <c r="AC28" s="4"/>
      <c r="AD28" s="4"/>
      <c r="AE28" s="4"/>
    </row>
    <row r="29" spans="1:31" ht="13.2">
      <c r="A29" s="7"/>
      <c r="B29" s="7"/>
      <c r="C29" s="7"/>
      <c r="D29" s="29"/>
      <c r="E29" s="7"/>
      <c r="F29" s="7"/>
      <c r="G29" s="7"/>
      <c r="H29" s="16"/>
      <c r="I29" s="16"/>
      <c r="J29" s="16"/>
      <c r="K29" s="16"/>
      <c r="L29" s="16"/>
      <c r="M29" s="16"/>
      <c r="N29" s="16"/>
      <c r="O29" s="16"/>
      <c r="P29" s="16"/>
      <c r="Q29" s="4"/>
      <c r="R29" s="4"/>
      <c r="S29" s="4"/>
      <c r="T29" s="4"/>
      <c r="U29" s="4"/>
      <c r="V29" s="4"/>
      <c r="W29" s="4"/>
      <c r="X29" s="4"/>
      <c r="Y29" s="4"/>
      <c r="Z29" s="4"/>
      <c r="AA29" s="4"/>
      <c r="AB29" s="4"/>
      <c r="AC29" s="4"/>
      <c r="AD29" s="4"/>
      <c r="AE29" s="4"/>
    </row>
    <row r="30" spans="1:31" ht="13.2">
      <c r="A30" s="7"/>
      <c r="B30" s="7"/>
      <c r="C30" s="7"/>
      <c r="D30" s="29"/>
      <c r="E30" s="7"/>
      <c r="F30" s="7"/>
      <c r="G30" s="7"/>
      <c r="H30" s="16"/>
      <c r="I30" s="16"/>
      <c r="J30" s="16"/>
      <c r="K30" s="16"/>
      <c r="L30" s="16"/>
      <c r="M30" s="16"/>
      <c r="N30" s="16"/>
      <c r="O30" s="16"/>
      <c r="P30" s="16"/>
      <c r="Q30" s="4"/>
      <c r="R30" s="4"/>
      <c r="S30" s="4"/>
      <c r="T30" s="4"/>
      <c r="U30" s="4"/>
      <c r="V30" s="4"/>
      <c r="W30" s="4"/>
      <c r="X30" s="4"/>
      <c r="Y30" s="4"/>
      <c r="Z30" s="4"/>
      <c r="AA30" s="4"/>
      <c r="AB30" s="4"/>
      <c r="AC30" s="4"/>
      <c r="AD30" s="4"/>
      <c r="AE30" s="4"/>
    </row>
    <row r="31" spans="1:31" ht="13.2">
      <c r="A31" s="7"/>
      <c r="B31" s="7"/>
      <c r="C31" s="7"/>
      <c r="D31" s="29"/>
      <c r="E31" s="7"/>
      <c r="F31" s="7"/>
      <c r="G31" s="7"/>
      <c r="H31" s="16"/>
      <c r="I31" s="16"/>
      <c r="J31" s="16"/>
      <c r="K31" s="16"/>
      <c r="L31" s="16"/>
      <c r="M31" s="16"/>
      <c r="N31" s="16"/>
      <c r="O31" s="16"/>
      <c r="P31" s="16"/>
      <c r="Q31" s="4"/>
      <c r="R31" s="4"/>
      <c r="S31" s="4"/>
      <c r="T31" s="4"/>
      <c r="U31" s="4"/>
      <c r="V31" s="4"/>
      <c r="W31" s="4"/>
      <c r="X31" s="4"/>
      <c r="Y31" s="4"/>
      <c r="Z31" s="4"/>
      <c r="AA31" s="4"/>
      <c r="AB31" s="4"/>
      <c r="AC31" s="4"/>
      <c r="AD31" s="4"/>
      <c r="AE31" s="4"/>
    </row>
    <row r="32" spans="1:31" ht="13.2">
      <c r="A32" s="7"/>
      <c r="B32" s="7"/>
      <c r="C32" s="7"/>
      <c r="D32" s="29"/>
      <c r="E32" s="7"/>
      <c r="F32" s="7"/>
      <c r="G32" s="7"/>
      <c r="H32" s="16"/>
      <c r="I32" s="16"/>
      <c r="J32" s="16"/>
      <c r="K32" s="16"/>
      <c r="L32" s="16"/>
      <c r="M32" s="16"/>
      <c r="N32" s="16"/>
      <c r="O32" s="16"/>
      <c r="P32" s="16"/>
      <c r="Q32" s="4"/>
      <c r="R32" s="4"/>
      <c r="S32" s="4"/>
      <c r="T32" s="4"/>
      <c r="U32" s="4"/>
      <c r="V32" s="4"/>
      <c r="W32" s="4"/>
      <c r="X32" s="4"/>
      <c r="Y32" s="4"/>
      <c r="Z32" s="4"/>
      <c r="AA32" s="4"/>
      <c r="AB32" s="4"/>
      <c r="AC32" s="4"/>
      <c r="AD32" s="4"/>
      <c r="AE32" s="4"/>
    </row>
    <row r="33" spans="1:31" ht="13.2">
      <c r="A33" s="7"/>
      <c r="B33" s="7"/>
      <c r="C33" s="7"/>
      <c r="D33" s="29"/>
      <c r="E33" s="7"/>
      <c r="F33" s="7"/>
      <c r="G33" s="7"/>
      <c r="H33" s="16"/>
      <c r="I33" s="16"/>
      <c r="J33" s="16"/>
      <c r="K33" s="16"/>
      <c r="L33" s="16"/>
      <c r="M33" s="16"/>
      <c r="N33" s="16"/>
      <c r="O33" s="16"/>
      <c r="P33" s="16"/>
      <c r="Q33" s="4"/>
      <c r="R33" s="4"/>
      <c r="S33" s="4"/>
      <c r="T33" s="4"/>
      <c r="U33" s="4"/>
      <c r="V33" s="4"/>
      <c r="W33" s="4"/>
      <c r="X33" s="4"/>
      <c r="Y33" s="4"/>
      <c r="Z33" s="4"/>
      <c r="AA33" s="4"/>
      <c r="AB33" s="4"/>
      <c r="AC33" s="4"/>
      <c r="AD33" s="4"/>
      <c r="AE33" s="4"/>
    </row>
    <row r="34" spans="1:31" ht="13.2">
      <c r="A34" s="7"/>
      <c r="B34" s="7"/>
      <c r="C34" s="7"/>
      <c r="D34" s="29"/>
      <c r="E34" s="7"/>
      <c r="F34" s="7"/>
      <c r="G34" s="7"/>
      <c r="H34" s="16"/>
      <c r="I34" s="16"/>
      <c r="J34" s="16"/>
      <c r="K34" s="16"/>
      <c r="L34" s="16"/>
      <c r="M34" s="16"/>
      <c r="N34" s="16"/>
      <c r="O34" s="16"/>
      <c r="P34" s="16"/>
      <c r="Q34" s="4"/>
      <c r="R34" s="4"/>
      <c r="S34" s="4"/>
      <c r="T34" s="4"/>
      <c r="U34" s="4"/>
      <c r="V34" s="4"/>
      <c r="W34" s="4"/>
      <c r="X34" s="4"/>
      <c r="Y34" s="4"/>
      <c r="Z34" s="4"/>
      <c r="AA34" s="4"/>
      <c r="AB34" s="4"/>
      <c r="AC34" s="4"/>
      <c r="AD34" s="4"/>
      <c r="AE34" s="4"/>
    </row>
    <row r="35" spans="1:31" ht="13.2">
      <c r="A35" s="7"/>
      <c r="B35" s="7"/>
      <c r="C35" s="7"/>
      <c r="D35" s="29"/>
      <c r="E35" s="7"/>
      <c r="F35" s="7"/>
      <c r="G35" s="7"/>
      <c r="H35" s="16"/>
      <c r="I35" s="16"/>
      <c r="J35" s="16"/>
      <c r="K35" s="16"/>
      <c r="L35" s="16"/>
      <c r="M35" s="16"/>
      <c r="N35" s="16"/>
      <c r="O35" s="16"/>
      <c r="P35" s="16"/>
      <c r="Q35" s="4"/>
      <c r="R35" s="4"/>
      <c r="S35" s="4"/>
      <c r="T35" s="4"/>
      <c r="U35" s="4"/>
      <c r="V35" s="4"/>
      <c r="W35" s="4"/>
      <c r="X35" s="4"/>
      <c r="Y35" s="4"/>
      <c r="Z35" s="4"/>
      <c r="AA35" s="4"/>
      <c r="AB35" s="4"/>
      <c r="AC35" s="4"/>
      <c r="AD35" s="4"/>
      <c r="AE35" s="4"/>
    </row>
    <row r="36" spans="1:31" ht="13.2">
      <c r="A36" s="7"/>
      <c r="B36" s="7"/>
      <c r="C36" s="7"/>
      <c r="D36" s="29"/>
      <c r="E36" s="7"/>
      <c r="F36" s="7"/>
      <c r="G36" s="7"/>
      <c r="H36" s="16"/>
      <c r="I36" s="16"/>
      <c r="J36" s="16"/>
      <c r="K36" s="16"/>
      <c r="L36" s="16"/>
      <c r="M36" s="16"/>
      <c r="N36" s="16"/>
      <c r="O36" s="16"/>
      <c r="P36" s="16"/>
      <c r="Q36" s="4"/>
      <c r="R36" s="4"/>
      <c r="S36" s="4"/>
      <c r="T36" s="4"/>
      <c r="U36" s="4"/>
      <c r="V36" s="4"/>
      <c r="W36" s="4"/>
      <c r="X36" s="4"/>
      <c r="Y36" s="4"/>
      <c r="Z36" s="4"/>
      <c r="AA36" s="4"/>
      <c r="AB36" s="4"/>
      <c r="AC36" s="4"/>
      <c r="AD36" s="4"/>
      <c r="AE36" s="4"/>
    </row>
    <row r="37" spans="1:31" ht="13.2">
      <c r="A37" s="7"/>
      <c r="B37" s="7"/>
      <c r="C37" s="7"/>
      <c r="D37" s="29"/>
      <c r="E37" s="7"/>
      <c r="F37" s="7"/>
      <c r="G37" s="7"/>
      <c r="H37" s="16"/>
      <c r="I37" s="16"/>
      <c r="J37" s="16"/>
      <c r="K37" s="16"/>
      <c r="L37" s="16"/>
      <c r="M37" s="16"/>
      <c r="N37" s="16"/>
      <c r="O37" s="16"/>
      <c r="P37" s="16"/>
      <c r="Q37" s="4"/>
      <c r="R37" s="4"/>
      <c r="S37" s="4"/>
      <c r="T37" s="4"/>
      <c r="U37" s="4"/>
      <c r="V37" s="4"/>
      <c r="W37" s="4"/>
      <c r="X37" s="4"/>
      <c r="Y37" s="4"/>
      <c r="Z37" s="4"/>
      <c r="AA37" s="4"/>
      <c r="AB37" s="4"/>
      <c r="AC37" s="4"/>
      <c r="AD37" s="4"/>
      <c r="AE37" s="4"/>
    </row>
    <row r="38" spans="1:31" ht="13.2">
      <c r="A38" s="7"/>
      <c r="B38" s="7"/>
      <c r="C38" s="7"/>
      <c r="D38" s="29"/>
      <c r="E38" s="7"/>
      <c r="F38" s="7"/>
      <c r="G38" s="7"/>
      <c r="H38" s="16"/>
      <c r="I38" s="16"/>
      <c r="J38" s="16"/>
      <c r="K38" s="16"/>
      <c r="L38" s="16"/>
      <c r="M38" s="16"/>
      <c r="N38" s="16"/>
      <c r="O38" s="16"/>
      <c r="P38" s="16"/>
      <c r="Q38" s="4"/>
      <c r="R38" s="4"/>
      <c r="S38" s="4"/>
      <c r="T38" s="4"/>
      <c r="U38" s="4"/>
      <c r="V38" s="4"/>
      <c r="W38" s="4"/>
      <c r="X38" s="4"/>
      <c r="Y38" s="4"/>
      <c r="Z38" s="4"/>
      <c r="AA38" s="4"/>
      <c r="AB38" s="4"/>
      <c r="AC38" s="4"/>
      <c r="AD38" s="4"/>
      <c r="AE38" s="4"/>
    </row>
    <row r="39" spans="1:31" ht="13.2">
      <c r="A39" s="7"/>
      <c r="B39" s="7"/>
      <c r="C39" s="7"/>
      <c r="D39" s="29"/>
      <c r="E39" s="7"/>
      <c r="F39" s="7"/>
      <c r="G39" s="7"/>
      <c r="H39" s="16"/>
      <c r="I39" s="16"/>
      <c r="J39" s="16"/>
      <c r="K39" s="16"/>
      <c r="L39" s="16"/>
      <c r="M39" s="16"/>
      <c r="N39" s="16"/>
      <c r="O39" s="16"/>
      <c r="P39" s="16"/>
      <c r="Q39" s="4"/>
      <c r="R39" s="4"/>
      <c r="S39" s="4"/>
      <c r="T39" s="4"/>
      <c r="U39" s="4"/>
      <c r="V39" s="4"/>
      <c r="W39" s="4"/>
      <c r="X39" s="4"/>
      <c r="Y39" s="4"/>
      <c r="Z39" s="4"/>
      <c r="AA39" s="4"/>
      <c r="AB39" s="4"/>
      <c r="AC39" s="4"/>
      <c r="AD39" s="4"/>
      <c r="AE39" s="4"/>
    </row>
    <row r="40" spans="1:31" ht="13.2">
      <c r="A40" s="7"/>
      <c r="B40" s="7"/>
      <c r="C40" s="7"/>
      <c r="D40" s="29"/>
      <c r="E40" s="7"/>
      <c r="F40" s="7"/>
      <c r="G40" s="7"/>
      <c r="H40" s="16"/>
      <c r="I40" s="16"/>
      <c r="J40" s="16"/>
      <c r="K40" s="16"/>
      <c r="L40" s="16"/>
      <c r="M40" s="16"/>
      <c r="N40" s="16"/>
      <c r="O40" s="16"/>
      <c r="P40" s="16"/>
      <c r="Q40" s="4"/>
      <c r="R40" s="4"/>
      <c r="S40" s="4"/>
      <c r="T40" s="4"/>
      <c r="U40" s="4"/>
      <c r="V40" s="4"/>
      <c r="W40" s="4"/>
      <c r="X40" s="4"/>
      <c r="Y40" s="4"/>
      <c r="Z40" s="4"/>
      <c r="AA40" s="4"/>
      <c r="AB40" s="4"/>
      <c r="AC40" s="4"/>
      <c r="AD40" s="4"/>
      <c r="AE40" s="4"/>
    </row>
    <row r="41" spans="1:31" ht="13.2">
      <c r="A41" s="7"/>
      <c r="B41" s="7"/>
      <c r="C41" s="7"/>
      <c r="D41" s="29"/>
      <c r="E41" s="7"/>
      <c r="F41" s="7"/>
      <c r="G41" s="7"/>
      <c r="H41" s="16"/>
      <c r="I41" s="16"/>
      <c r="J41" s="16"/>
      <c r="K41" s="16"/>
      <c r="L41" s="16"/>
      <c r="M41" s="16"/>
      <c r="N41" s="16"/>
      <c r="O41" s="16"/>
      <c r="P41" s="16"/>
      <c r="Q41" s="4"/>
      <c r="R41" s="4"/>
      <c r="S41" s="4"/>
      <c r="T41" s="4"/>
      <c r="U41" s="4"/>
      <c r="V41" s="4"/>
      <c r="W41" s="4"/>
      <c r="X41" s="4"/>
      <c r="Y41" s="4"/>
      <c r="Z41" s="4"/>
      <c r="AA41" s="4"/>
      <c r="AB41" s="4"/>
      <c r="AC41" s="4"/>
      <c r="AD41" s="4"/>
      <c r="AE41" s="4"/>
    </row>
    <row r="42" spans="1:31" ht="13.2">
      <c r="A42" s="7"/>
      <c r="B42" s="7"/>
      <c r="C42" s="7"/>
      <c r="D42" s="29"/>
      <c r="E42" s="7"/>
      <c r="F42" s="7"/>
      <c r="G42" s="7"/>
      <c r="H42" s="16"/>
      <c r="I42" s="16"/>
      <c r="J42" s="16"/>
      <c r="K42" s="16"/>
      <c r="L42" s="16"/>
      <c r="M42" s="16"/>
      <c r="N42" s="16"/>
      <c r="O42" s="16"/>
      <c r="P42" s="16"/>
      <c r="Q42" s="4"/>
      <c r="R42" s="4"/>
      <c r="S42" s="4"/>
      <c r="T42" s="4"/>
      <c r="U42" s="4"/>
      <c r="V42" s="4"/>
      <c r="W42" s="4"/>
      <c r="X42" s="4"/>
      <c r="Y42" s="4"/>
      <c r="Z42" s="4"/>
      <c r="AA42" s="4"/>
      <c r="AB42" s="4"/>
      <c r="AC42" s="4"/>
      <c r="AD42" s="4"/>
      <c r="AE42" s="4"/>
    </row>
    <row r="43" spans="1:31" ht="13.2">
      <c r="A43" s="7"/>
      <c r="B43" s="7"/>
      <c r="C43" s="7"/>
      <c r="D43" s="29"/>
      <c r="E43" s="7"/>
      <c r="F43" s="7"/>
      <c r="G43" s="7"/>
      <c r="H43" s="16"/>
      <c r="I43" s="16"/>
      <c r="J43" s="16"/>
      <c r="K43" s="16"/>
      <c r="L43" s="16"/>
      <c r="M43" s="16"/>
      <c r="N43" s="16"/>
      <c r="O43" s="16"/>
      <c r="P43" s="16"/>
      <c r="Q43" s="4"/>
      <c r="R43" s="4"/>
      <c r="S43" s="4"/>
      <c r="T43" s="4"/>
      <c r="U43" s="4"/>
      <c r="V43" s="4"/>
      <c r="W43" s="4"/>
      <c r="X43" s="4"/>
      <c r="Y43" s="4"/>
      <c r="Z43" s="4"/>
      <c r="AA43" s="4"/>
      <c r="AB43" s="4"/>
      <c r="AC43" s="4"/>
      <c r="AD43" s="4"/>
      <c r="AE43" s="4"/>
    </row>
    <row r="44" spans="1:31" ht="13.2">
      <c r="A44" s="7"/>
      <c r="B44" s="7"/>
      <c r="C44" s="7"/>
      <c r="D44" s="29"/>
      <c r="E44" s="7"/>
      <c r="F44" s="7"/>
      <c r="G44" s="7"/>
      <c r="H44" s="16"/>
      <c r="I44" s="16"/>
      <c r="J44" s="16"/>
      <c r="K44" s="16"/>
      <c r="L44" s="16"/>
      <c r="M44" s="16"/>
      <c r="N44" s="16"/>
      <c r="O44" s="16"/>
      <c r="P44" s="16"/>
      <c r="Q44" s="4"/>
      <c r="R44" s="4"/>
      <c r="S44" s="4"/>
      <c r="T44" s="4"/>
      <c r="U44" s="4"/>
      <c r="V44" s="4"/>
      <c r="W44" s="4"/>
      <c r="X44" s="4"/>
      <c r="Y44" s="4"/>
      <c r="Z44" s="4"/>
      <c r="AA44" s="4"/>
      <c r="AB44" s="4"/>
      <c r="AC44" s="4"/>
      <c r="AD44" s="4"/>
      <c r="AE44" s="4"/>
    </row>
    <row r="45" spans="1:31" ht="13.2">
      <c r="A45" s="7"/>
      <c r="B45" s="7"/>
      <c r="C45" s="7"/>
      <c r="D45" s="29"/>
      <c r="E45" s="7"/>
      <c r="F45" s="7"/>
      <c r="G45" s="7"/>
      <c r="H45" s="16"/>
      <c r="I45" s="16"/>
      <c r="J45" s="16"/>
      <c r="K45" s="16"/>
      <c r="L45" s="16"/>
      <c r="M45" s="16"/>
      <c r="N45" s="16"/>
      <c r="O45" s="16"/>
      <c r="P45" s="16"/>
      <c r="Q45" s="4"/>
      <c r="R45" s="4"/>
      <c r="S45" s="4"/>
      <c r="T45" s="4"/>
      <c r="U45" s="4"/>
      <c r="V45" s="4"/>
      <c r="W45" s="4"/>
      <c r="X45" s="4"/>
      <c r="Y45" s="4"/>
      <c r="Z45" s="4"/>
      <c r="AA45" s="4"/>
      <c r="AB45" s="4"/>
      <c r="AC45" s="4"/>
      <c r="AD45" s="4"/>
      <c r="AE45" s="4"/>
    </row>
    <row r="46" spans="1:31" ht="13.2">
      <c r="A46" s="7"/>
      <c r="B46" s="7"/>
      <c r="C46" s="7"/>
      <c r="D46" s="29"/>
      <c r="E46" s="7"/>
      <c r="F46" s="7"/>
      <c r="G46" s="7"/>
      <c r="H46" s="16"/>
      <c r="I46" s="16"/>
      <c r="J46" s="16"/>
      <c r="K46" s="16"/>
      <c r="L46" s="16"/>
      <c r="M46" s="16"/>
      <c r="N46" s="16"/>
      <c r="O46" s="16"/>
      <c r="P46" s="16"/>
      <c r="Q46" s="4"/>
      <c r="R46" s="4"/>
      <c r="S46" s="4"/>
      <c r="T46" s="4"/>
      <c r="U46" s="4"/>
      <c r="V46" s="4"/>
      <c r="W46" s="4"/>
      <c r="X46" s="4"/>
      <c r="Y46" s="4"/>
      <c r="Z46" s="4"/>
      <c r="AA46" s="4"/>
      <c r="AB46" s="4"/>
      <c r="AC46" s="4"/>
      <c r="AD46" s="4"/>
      <c r="AE46" s="4"/>
    </row>
    <row r="47" spans="1:31" ht="13.2">
      <c r="A47" s="7"/>
      <c r="B47" s="7"/>
      <c r="C47" s="7"/>
      <c r="D47" s="29"/>
      <c r="E47" s="7"/>
      <c r="F47" s="7"/>
      <c r="G47" s="7"/>
      <c r="H47" s="16"/>
      <c r="I47" s="16"/>
      <c r="J47" s="16"/>
      <c r="K47" s="16"/>
      <c r="L47" s="16"/>
      <c r="M47" s="16"/>
      <c r="N47" s="16"/>
      <c r="O47" s="16"/>
      <c r="P47" s="16"/>
      <c r="Q47" s="4"/>
      <c r="R47" s="4"/>
      <c r="S47" s="4"/>
      <c r="T47" s="4"/>
      <c r="U47" s="4"/>
      <c r="V47" s="4"/>
      <c r="W47" s="4"/>
      <c r="X47" s="4"/>
      <c r="Y47" s="4"/>
      <c r="Z47" s="4"/>
      <c r="AA47" s="4"/>
      <c r="AB47" s="4"/>
      <c r="AC47" s="4"/>
      <c r="AD47" s="4"/>
      <c r="AE47" s="4"/>
    </row>
    <row r="48" spans="1:31" ht="13.2">
      <c r="A48" s="7"/>
      <c r="B48" s="7"/>
      <c r="C48" s="7"/>
      <c r="D48" s="29"/>
      <c r="E48" s="7"/>
      <c r="F48" s="7"/>
      <c r="G48" s="7"/>
      <c r="H48" s="16"/>
      <c r="I48" s="16"/>
      <c r="J48" s="16"/>
      <c r="K48" s="16"/>
      <c r="L48" s="16"/>
      <c r="M48" s="16"/>
      <c r="N48" s="16"/>
      <c r="O48" s="16"/>
      <c r="P48" s="16"/>
      <c r="Q48" s="4"/>
      <c r="R48" s="4"/>
      <c r="S48" s="4"/>
      <c r="T48" s="4"/>
      <c r="U48" s="4"/>
      <c r="V48" s="4"/>
      <c r="W48" s="4"/>
      <c r="X48" s="4"/>
      <c r="Y48" s="4"/>
      <c r="Z48" s="4"/>
      <c r="AA48" s="4"/>
      <c r="AB48" s="4"/>
      <c r="AC48" s="4"/>
      <c r="AD48" s="4"/>
      <c r="AE48" s="4"/>
    </row>
    <row r="49" spans="1:31" ht="13.2">
      <c r="A49" s="7"/>
      <c r="B49" s="7"/>
      <c r="C49" s="7"/>
      <c r="D49" s="29"/>
      <c r="E49" s="7"/>
      <c r="F49" s="7"/>
      <c r="G49" s="7"/>
      <c r="H49" s="16"/>
      <c r="I49" s="16"/>
      <c r="J49" s="16"/>
      <c r="K49" s="16"/>
      <c r="L49" s="16"/>
      <c r="M49" s="16"/>
      <c r="N49" s="16"/>
      <c r="O49" s="16"/>
      <c r="P49" s="16"/>
      <c r="Q49" s="4"/>
      <c r="R49" s="4"/>
      <c r="S49" s="4"/>
      <c r="T49" s="4"/>
      <c r="U49" s="4"/>
      <c r="V49" s="4"/>
      <c r="W49" s="4"/>
      <c r="X49" s="4"/>
      <c r="Y49" s="4"/>
      <c r="Z49" s="4"/>
      <c r="AA49" s="4"/>
      <c r="AB49" s="4"/>
      <c r="AC49" s="4"/>
      <c r="AD49" s="4"/>
      <c r="AE49" s="4"/>
    </row>
    <row r="50" spans="1:31" ht="13.2">
      <c r="A50" s="7"/>
      <c r="B50" s="7"/>
      <c r="C50" s="7"/>
      <c r="D50" s="29"/>
      <c r="E50" s="7"/>
      <c r="F50" s="7"/>
      <c r="G50" s="7"/>
      <c r="H50" s="16"/>
      <c r="I50" s="16"/>
      <c r="J50" s="16"/>
      <c r="K50" s="16"/>
      <c r="L50" s="16"/>
      <c r="M50" s="16"/>
      <c r="N50" s="16"/>
      <c r="O50" s="16"/>
      <c r="P50" s="16"/>
      <c r="Q50" s="4"/>
      <c r="R50" s="4"/>
      <c r="S50" s="4"/>
      <c r="T50" s="4"/>
      <c r="U50" s="4"/>
      <c r="V50" s="4"/>
      <c r="W50" s="4"/>
      <c r="X50" s="4"/>
      <c r="Y50" s="4"/>
      <c r="Z50" s="4"/>
      <c r="AA50" s="4"/>
      <c r="AB50" s="4"/>
      <c r="AC50" s="4"/>
      <c r="AD50" s="4"/>
      <c r="AE50" s="4"/>
    </row>
    <row r="51" spans="1:31" ht="13.2">
      <c r="A51" s="7"/>
      <c r="B51" s="7"/>
      <c r="C51" s="7"/>
      <c r="D51" s="29"/>
      <c r="E51" s="7"/>
      <c r="F51" s="7"/>
      <c r="G51" s="7"/>
      <c r="H51" s="16"/>
      <c r="I51" s="16"/>
      <c r="J51" s="16"/>
      <c r="K51" s="16"/>
      <c r="L51" s="16"/>
      <c r="M51" s="16"/>
      <c r="N51" s="16"/>
      <c r="O51" s="16"/>
      <c r="P51" s="16"/>
      <c r="Q51" s="4"/>
      <c r="R51" s="4"/>
      <c r="S51" s="4"/>
      <c r="T51" s="4"/>
      <c r="U51" s="4"/>
      <c r="V51" s="4"/>
      <c r="W51" s="4"/>
      <c r="X51" s="4"/>
      <c r="Y51" s="4"/>
      <c r="Z51" s="4"/>
      <c r="AA51" s="4"/>
      <c r="AB51" s="4"/>
      <c r="AC51" s="4"/>
      <c r="AD51" s="4"/>
      <c r="AE51" s="4"/>
    </row>
    <row r="52" spans="1:31" ht="13.2">
      <c r="A52" s="7"/>
      <c r="B52" s="7"/>
      <c r="C52" s="7"/>
      <c r="D52" s="29"/>
      <c r="E52" s="7"/>
      <c r="F52" s="7"/>
      <c r="G52" s="7"/>
      <c r="H52" s="16"/>
      <c r="I52" s="16"/>
      <c r="J52" s="16"/>
      <c r="K52" s="16"/>
      <c r="L52" s="16"/>
      <c r="M52" s="16"/>
      <c r="N52" s="16"/>
      <c r="O52" s="16"/>
      <c r="P52" s="16"/>
      <c r="Q52" s="4"/>
      <c r="R52" s="4"/>
      <c r="S52" s="4"/>
      <c r="T52" s="4"/>
      <c r="U52" s="4"/>
      <c r="V52" s="4"/>
      <c r="W52" s="4"/>
      <c r="X52" s="4"/>
      <c r="Y52" s="4"/>
      <c r="Z52" s="4"/>
      <c r="AA52" s="4"/>
      <c r="AB52" s="4"/>
      <c r="AC52" s="4"/>
      <c r="AD52" s="4"/>
      <c r="AE52" s="4"/>
    </row>
    <row r="53" spans="1:31" ht="13.2">
      <c r="A53" s="7"/>
      <c r="B53" s="7"/>
      <c r="C53" s="7"/>
      <c r="D53" s="29"/>
      <c r="E53" s="7"/>
      <c r="F53" s="7"/>
      <c r="G53" s="7"/>
      <c r="H53" s="16"/>
      <c r="I53" s="16"/>
      <c r="J53" s="16"/>
      <c r="K53" s="16"/>
      <c r="L53" s="16"/>
      <c r="M53" s="16"/>
      <c r="N53" s="16"/>
      <c r="O53" s="16"/>
      <c r="P53" s="16"/>
      <c r="Q53" s="4"/>
      <c r="R53" s="4"/>
      <c r="S53" s="4"/>
      <c r="T53" s="4"/>
      <c r="U53" s="4"/>
      <c r="V53" s="4"/>
      <c r="W53" s="4"/>
      <c r="X53" s="4"/>
      <c r="Y53" s="4"/>
      <c r="Z53" s="4"/>
      <c r="AA53" s="4"/>
      <c r="AB53" s="4"/>
      <c r="AC53" s="4"/>
      <c r="AD53" s="4"/>
      <c r="AE53" s="4"/>
    </row>
    <row r="54" spans="1:31" ht="13.2">
      <c r="A54" s="7"/>
      <c r="B54" s="7"/>
      <c r="C54" s="7"/>
      <c r="D54" s="29"/>
      <c r="E54" s="7"/>
      <c r="F54" s="7"/>
      <c r="G54" s="7"/>
      <c r="H54" s="16"/>
      <c r="I54" s="16"/>
      <c r="J54" s="16"/>
      <c r="K54" s="16"/>
      <c r="L54" s="16"/>
      <c r="M54" s="16"/>
      <c r="N54" s="16"/>
      <c r="O54" s="16"/>
      <c r="P54" s="16"/>
      <c r="Q54" s="4"/>
      <c r="R54" s="4"/>
      <c r="S54" s="4"/>
      <c r="T54" s="4"/>
      <c r="U54" s="4"/>
      <c r="V54" s="4"/>
      <c r="W54" s="4"/>
      <c r="X54" s="4"/>
      <c r="Y54" s="4"/>
      <c r="Z54" s="4"/>
      <c r="AA54" s="4"/>
      <c r="AB54" s="4"/>
      <c r="AC54" s="4"/>
      <c r="AD54" s="4"/>
      <c r="AE54" s="4"/>
    </row>
    <row r="55" spans="1:31" ht="13.2">
      <c r="A55" s="7"/>
      <c r="B55" s="7"/>
      <c r="C55" s="7"/>
      <c r="D55" s="29"/>
      <c r="E55" s="7"/>
      <c r="F55" s="7"/>
      <c r="G55" s="7"/>
      <c r="H55" s="16"/>
      <c r="I55" s="16"/>
      <c r="J55" s="16"/>
      <c r="K55" s="16"/>
      <c r="L55" s="16"/>
      <c r="M55" s="16"/>
      <c r="N55" s="16"/>
      <c r="O55" s="16"/>
      <c r="P55" s="16"/>
      <c r="Q55" s="4"/>
      <c r="R55" s="4"/>
      <c r="S55" s="4"/>
      <c r="T55" s="4"/>
      <c r="U55" s="4"/>
      <c r="V55" s="4"/>
      <c r="W55" s="4"/>
      <c r="X55" s="4"/>
      <c r="Y55" s="4"/>
      <c r="Z55" s="4"/>
      <c r="AA55" s="4"/>
      <c r="AB55" s="4"/>
      <c r="AC55" s="4"/>
      <c r="AD55" s="4"/>
      <c r="AE55" s="4"/>
    </row>
    <row r="56" spans="1:31" ht="13.2">
      <c r="A56" s="7"/>
      <c r="B56" s="7"/>
      <c r="C56" s="7"/>
      <c r="D56" s="29"/>
      <c r="E56" s="7"/>
      <c r="F56" s="7"/>
      <c r="G56" s="7"/>
      <c r="H56" s="16"/>
      <c r="I56" s="16"/>
      <c r="J56" s="16"/>
      <c r="K56" s="16"/>
      <c r="L56" s="16"/>
      <c r="M56" s="16"/>
      <c r="N56" s="16"/>
      <c r="O56" s="16"/>
      <c r="P56" s="16"/>
      <c r="Q56" s="4"/>
      <c r="R56" s="4"/>
      <c r="S56" s="4"/>
      <c r="T56" s="4"/>
      <c r="U56" s="4"/>
      <c r="V56" s="4"/>
      <c r="W56" s="4"/>
      <c r="X56" s="4"/>
      <c r="Y56" s="4"/>
      <c r="Z56" s="4"/>
      <c r="AA56" s="4"/>
      <c r="AB56" s="4"/>
      <c r="AC56" s="4"/>
      <c r="AD56" s="4"/>
      <c r="AE56" s="4"/>
    </row>
    <row r="57" spans="1:31" ht="13.2">
      <c r="A57" s="7"/>
      <c r="B57" s="7"/>
      <c r="C57" s="7"/>
      <c r="D57" s="29"/>
      <c r="E57" s="7"/>
      <c r="F57" s="7"/>
      <c r="G57" s="7"/>
      <c r="H57" s="16"/>
      <c r="I57" s="16"/>
      <c r="J57" s="16"/>
      <c r="K57" s="16"/>
      <c r="L57" s="16"/>
      <c r="M57" s="16"/>
      <c r="N57" s="16"/>
      <c r="O57" s="16"/>
      <c r="P57" s="16"/>
      <c r="Q57" s="4"/>
      <c r="R57" s="4"/>
      <c r="S57" s="4"/>
      <c r="T57" s="4"/>
      <c r="U57" s="4"/>
      <c r="V57" s="4"/>
      <c r="W57" s="4"/>
      <c r="X57" s="4"/>
      <c r="Y57" s="4"/>
      <c r="Z57" s="4"/>
      <c r="AA57" s="4"/>
      <c r="AB57" s="4"/>
      <c r="AC57" s="4"/>
      <c r="AD57" s="4"/>
      <c r="AE57" s="4"/>
    </row>
    <row r="58" spans="1:31" ht="13.2">
      <c r="A58" s="7"/>
      <c r="B58" s="7"/>
      <c r="C58" s="7"/>
      <c r="D58" s="29"/>
      <c r="E58" s="7"/>
      <c r="F58" s="7"/>
      <c r="G58" s="7"/>
      <c r="H58" s="16"/>
      <c r="I58" s="16"/>
      <c r="J58" s="16"/>
      <c r="K58" s="16"/>
      <c r="L58" s="16"/>
      <c r="M58" s="16"/>
      <c r="N58" s="16"/>
      <c r="O58" s="16"/>
      <c r="P58" s="16"/>
      <c r="Q58" s="4"/>
      <c r="R58" s="4"/>
      <c r="S58" s="4"/>
      <c r="T58" s="4"/>
      <c r="U58" s="4"/>
      <c r="V58" s="4"/>
      <c r="W58" s="4"/>
      <c r="X58" s="4"/>
      <c r="Y58" s="4"/>
      <c r="Z58" s="4"/>
      <c r="AA58" s="4"/>
      <c r="AB58" s="4"/>
      <c r="AC58" s="4"/>
      <c r="AD58" s="4"/>
      <c r="AE58" s="4"/>
    </row>
    <row r="59" spans="1:31" ht="13.2">
      <c r="A59" s="7"/>
      <c r="B59" s="7"/>
      <c r="C59" s="7"/>
      <c r="D59" s="29"/>
      <c r="E59" s="7"/>
      <c r="F59" s="7"/>
      <c r="G59" s="7"/>
      <c r="H59" s="16"/>
      <c r="I59" s="16"/>
      <c r="J59" s="16"/>
      <c r="K59" s="16"/>
      <c r="L59" s="16"/>
      <c r="M59" s="16"/>
      <c r="N59" s="16"/>
      <c r="O59" s="16"/>
      <c r="P59" s="16"/>
      <c r="Q59" s="4"/>
      <c r="R59" s="4"/>
      <c r="S59" s="4"/>
      <c r="T59" s="4"/>
      <c r="U59" s="4"/>
      <c r="V59" s="4"/>
      <c r="W59" s="4"/>
      <c r="X59" s="4"/>
      <c r="Y59" s="4"/>
      <c r="Z59" s="4"/>
      <c r="AA59" s="4"/>
      <c r="AB59" s="4"/>
      <c r="AC59" s="4"/>
      <c r="AD59" s="4"/>
      <c r="AE59" s="4"/>
    </row>
    <row r="60" spans="1:31" ht="13.2">
      <c r="A60" s="7"/>
      <c r="B60" s="7"/>
      <c r="C60" s="7"/>
      <c r="D60" s="29"/>
      <c r="E60" s="7"/>
      <c r="F60" s="7"/>
      <c r="G60" s="7"/>
      <c r="H60" s="16"/>
      <c r="I60" s="16"/>
      <c r="J60" s="16"/>
      <c r="K60" s="16"/>
      <c r="L60" s="16"/>
      <c r="M60" s="16"/>
      <c r="N60" s="16"/>
      <c r="O60" s="16"/>
      <c r="P60" s="16"/>
      <c r="Q60" s="4"/>
      <c r="R60" s="4"/>
      <c r="S60" s="4"/>
      <c r="T60" s="4"/>
      <c r="U60" s="4"/>
      <c r="V60" s="4"/>
      <c r="W60" s="4"/>
      <c r="X60" s="4"/>
      <c r="Y60" s="4"/>
      <c r="Z60" s="4"/>
      <c r="AA60" s="4"/>
      <c r="AB60" s="4"/>
      <c r="AC60" s="4"/>
      <c r="AD60" s="4"/>
      <c r="AE60" s="4"/>
    </row>
    <row r="61" spans="1:31" ht="13.2">
      <c r="A61" s="7"/>
      <c r="B61" s="7"/>
      <c r="C61" s="7"/>
      <c r="D61" s="29"/>
      <c r="E61" s="7"/>
      <c r="F61" s="7"/>
      <c r="G61" s="7"/>
      <c r="H61" s="16"/>
      <c r="I61" s="16"/>
      <c r="J61" s="16"/>
      <c r="K61" s="16"/>
      <c r="L61" s="16"/>
      <c r="M61" s="16"/>
      <c r="N61" s="16"/>
      <c r="O61" s="16"/>
      <c r="P61" s="16"/>
      <c r="Q61" s="4"/>
      <c r="R61" s="4"/>
      <c r="S61" s="4"/>
      <c r="T61" s="4"/>
      <c r="U61" s="4"/>
      <c r="V61" s="4"/>
      <c r="W61" s="4"/>
      <c r="X61" s="4"/>
      <c r="Y61" s="4"/>
      <c r="Z61" s="4"/>
      <c r="AA61" s="4"/>
      <c r="AB61" s="4"/>
      <c r="AC61" s="4"/>
      <c r="AD61" s="4"/>
      <c r="AE61" s="4"/>
    </row>
    <row r="62" spans="1:31" ht="13.2">
      <c r="A62" s="7"/>
      <c r="B62" s="7"/>
      <c r="C62" s="7"/>
      <c r="D62" s="29"/>
      <c r="E62" s="7"/>
      <c r="F62" s="7"/>
      <c r="G62" s="7"/>
      <c r="H62" s="16"/>
      <c r="I62" s="16"/>
      <c r="J62" s="16"/>
      <c r="K62" s="16"/>
      <c r="L62" s="16"/>
      <c r="M62" s="16"/>
      <c r="N62" s="16"/>
      <c r="O62" s="16"/>
      <c r="P62" s="16"/>
      <c r="Q62" s="4"/>
      <c r="R62" s="4"/>
      <c r="S62" s="4"/>
      <c r="T62" s="4"/>
      <c r="U62" s="4"/>
      <c r="V62" s="4"/>
      <c r="W62" s="4"/>
      <c r="X62" s="4"/>
      <c r="Y62" s="4"/>
      <c r="Z62" s="4"/>
      <c r="AA62" s="4"/>
      <c r="AB62" s="4"/>
      <c r="AC62" s="4"/>
      <c r="AD62" s="4"/>
      <c r="AE62" s="4"/>
    </row>
    <row r="63" spans="1:31" ht="13.2">
      <c r="A63" s="7"/>
      <c r="B63" s="7"/>
      <c r="C63" s="7"/>
      <c r="D63" s="29"/>
      <c r="E63" s="7"/>
      <c r="F63" s="7"/>
      <c r="G63" s="7"/>
      <c r="H63" s="16"/>
      <c r="I63" s="16"/>
      <c r="J63" s="16"/>
      <c r="K63" s="16"/>
      <c r="L63" s="16"/>
      <c r="M63" s="16"/>
      <c r="N63" s="16"/>
      <c r="O63" s="16"/>
      <c r="P63" s="16"/>
      <c r="Q63" s="4"/>
      <c r="R63" s="4"/>
      <c r="S63" s="4"/>
      <c r="T63" s="4"/>
      <c r="U63" s="4"/>
      <c r="V63" s="4"/>
      <c r="W63" s="4"/>
      <c r="X63" s="4"/>
      <c r="Y63" s="4"/>
      <c r="Z63" s="4"/>
      <c r="AA63" s="4"/>
      <c r="AB63" s="4"/>
      <c r="AC63" s="4"/>
      <c r="AD63" s="4"/>
      <c r="AE63" s="4"/>
    </row>
    <row r="64" spans="1:31" ht="13.2">
      <c r="A64" s="7"/>
      <c r="B64" s="7"/>
      <c r="C64" s="7"/>
      <c r="D64" s="29"/>
      <c r="E64" s="7"/>
      <c r="F64" s="7"/>
      <c r="G64" s="7"/>
      <c r="H64" s="16"/>
      <c r="I64" s="16"/>
      <c r="J64" s="16"/>
      <c r="K64" s="16"/>
      <c r="L64" s="16"/>
      <c r="M64" s="16"/>
      <c r="N64" s="16"/>
      <c r="O64" s="16"/>
      <c r="P64" s="16"/>
      <c r="Q64" s="4"/>
      <c r="R64" s="4"/>
      <c r="S64" s="4"/>
      <c r="T64" s="4"/>
      <c r="U64" s="4"/>
      <c r="V64" s="4"/>
      <c r="W64" s="4"/>
      <c r="X64" s="4"/>
      <c r="Y64" s="4"/>
      <c r="Z64" s="4"/>
      <c r="AA64" s="4"/>
      <c r="AB64" s="4"/>
      <c r="AC64" s="4"/>
      <c r="AD64" s="4"/>
      <c r="AE64" s="4"/>
    </row>
    <row r="65" spans="1:31" ht="13.2">
      <c r="A65" s="7"/>
      <c r="B65" s="7"/>
      <c r="C65" s="7"/>
      <c r="D65" s="29"/>
      <c r="E65" s="7"/>
      <c r="F65" s="7"/>
      <c r="G65" s="7"/>
      <c r="H65" s="16"/>
      <c r="I65" s="16"/>
      <c r="J65" s="16"/>
      <c r="K65" s="16"/>
      <c r="L65" s="16"/>
      <c r="M65" s="16"/>
      <c r="N65" s="16"/>
      <c r="O65" s="16"/>
      <c r="P65" s="16"/>
      <c r="Q65" s="4"/>
      <c r="R65" s="4"/>
      <c r="S65" s="4"/>
      <c r="T65" s="4"/>
      <c r="U65" s="4"/>
      <c r="V65" s="4"/>
      <c r="W65" s="4"/>
      <c r="X65" s="4"/>
      <c r="Y65" s="4"/>
      <c r="Z65" s="4"/>
      <c r="AA65" s="4"/>
      <c r="AB65" s="4"/>
      <c r="AC65" s="4"/>
      <c r="AD65" s="4"/>
      <c r="AE65" s="4"/>
    </row>
    <row r="66" spans="1:31" ht="13.2">
      <c r="A66" s="7"/>
      <c r="B66" s="7"/>
      <c r="C66" s="7"/>
      <c r="D66" s="29"/>
      <c r="E66" s="7"/>
      <c r="F66" s="7"/>
      <c r="G66" s="7"/>
      <c r="H66" s="16"/>
      <c r="I66" s="16"/>
      <c r="J66" s="16"/>
      <c r="K66" s="16"/>
      <c r="L66" s="16"/>
      <c r="M66" s="16"/>
      <c r="N66" s="16"/>
      <c r="O66" s="16"/>
      <c r="P66" s="16"/>
      <c r="Q66" s="4"/>
      <c r="R66" s="4"/>
      <c r="S66" s="4"/>
      <c r="T66" s="4"/>
      <c r="U66" s="4"/>
      <c r="V66" s="4"/>
      <c r="W66" s="4"/>
      <c r="X66" s="4"/>
      <c r="Y66" s="4"/>
      <c r="Z66" s="4"/>
      <c r="AA66" s="4"/>
      <c r="AB66" s="4"/>
      <c r="AC66" s="4"/>
      <c r="AD66" s="4"/>
      <c r="AE66" s="4"/>
    </row>
    <row r="67" spans="1:31" ht="13.2">
      <c r="A67" s="7"/>
      <c r="B67" s="7"/>
      <c r="C67" s="7"/>
      <c r="D67" s="29"/>
      <c r="E67" s="7"/>
      <c r="F67" s="7"/>
      <c r="G67" s="7"/>
      <c r="H67" s="16"/>
      <c r="I67" s="16"/>
      <c r="J67" s="16"/>
      <c r="K67" s="16"/>
      <c r="L67" s="16"/>
      <c r="M67" s="16"/>
      <c r="N67" s="16"/>
      <c r="O67" s="16"/>
      <c r="P67" s="16"/>
      <c r="Q67" s="4"/>
      <c r="R67" s="4"/>
      <c r="S67" s="4"/>
      <c r="T67" s="4"/>
      <c r="U67" s="4"/>
      <c r="V67" s="4"/>
      <c r="W67" s="4"/>
      <c r="X67" s="4"/>
      <c r="Y67" s="4"/>
      <c r="Z67" s="4"/>
      <c r="AA67" s="4"/>
      <c r="AB67" s="4"/>
      <c r="AC67" s="4"/>
      <c r="AD67" s="4"/>
      <c r="AE67" s="4"/>
    </row>
    <row r="68" spans="1:31" ht="13.2">
      <c r="A68" s="7"/>
      <c r="B68" s="7"/>
      <c r="C68" s="7"/>
      <c r="D68" s="29"/>
      <c r="E68" s="7"/>
      <c r="F68" s="7"/>
      <c r="G68" s="7"/>
      <c r="H68" s="16"/>
      <c r="I68" s="16"/>
      <c r="J68" s="16"/>
      <c r="K68" s="16"/>
      <c r="L68" s="16"/>
      <c r="M68" s="16"/>
      <c r="N68" s="16"/>
      <c r="O68" s="16"/>
      <c r="P68" s="16"/>
      <c r="Q68" s="4"/>
      <c r="R68" s="4"/>
      <c r="S68" s="4"/>
      <c r="T68" s="4"/>
      <c r="U68" s="4"/>
      <c r="V68" s="4"/>
      <c r="W68" s="4"/>
      <c r="X68" s="4"/>
      <c r="Y68" s="4"/>
      <c r="Z68" s="4"/>
      <c r="AA68" s="4"/>
      <c r="AB68" s="4"/>
      <c r="AC68" s="4"/>
      <c r="AD68" s="4"/>
      <c r="AE68" s="4"/>
    </row>
    <row r="69" spans="1:31" ht="13.2">
      <c r="A69" s="7"/>
      <c r="B69" s="7"/>
      <c r="C69" s="7"/>
      <c r="D69" s="29"/>
      <c r="E69" s="7"/>
      <c r="F69" s="7"/>
      <c r="G69" s="7"/>
      <c r="H69" s="16"/>
      <c r="I69" s="16"/>
      <c r="J69" s="16"/>
      <c r="K69" s="16"/>
      <c r="L69" s="16"/>
      <c r="M69" s="16"/>
      <c r="N69" s="16"/>
      <c r="O69" s="16"/>
      <c r="P69" s="16"/>
      <c r="Q69" s="4"/>
      <c r="R69" s="4"/>
      <c r="S69" s="4"/>
      <c r="T69" s="4"/>
      <c r="U69" s="4"/>
      <c r="V69" s="4"/>
      <c r="W69" s="4"/>
      <c r="X69" s="4"/>
      <c r="Y69" s="4"/>
      <c r="Z69" s="4"/>
      <c r="AA69" s="4"/>
      <c r="AB69" s="4"/>
      <c r="AC69" s="4"/>
      <c r="AD69" s="4"/>
      <c r="AE69" s="4"/>
    </row>
    <row r="70" spans="1:31" ht="13.2">
      <c r="A70" s="7"/>
      <c r="B70" s="7"/>
      <c r="C70" s="7"/>
      <c r="D70" s="29"/>
      <c r="E70" s="7"/>
      <c r="F70" s="7"/>
      <c r="G70" s="7"/>
      <c r="H70" s="16"/>
      <c r="I70" s="16"/>
      <c r="J70" s="16"/>
      <c r="K70" s="16"/>
      <c r="L70" s="16"/>
      <c r="M70" s="16"/>
      <c r="N70" s="16"/>
      <c r="O70" s="16"/>
      <c r="P70" s="16"/>
      <c r="Q70" s="4"/>
      <c r="R70" s="4"/>
      <c r="S70" s="4"/>
      <c r="T70" s="4"/>
      <c r="U70" s="4"/>
      <c r="V70" s="4"/>
      <c r="W70" s="4"/>
      <c r="X70" s="4"/>
      <c r="Y70" s="4"/>
      <c r="Z70" s="4"/>
      <c r="AA70" s="4"/>
      <c r="AB70" s="4"/>
      <c r="AC70" s="4"/>
      <c r="AD70" s="4"/>
      <c r="AE70" s="4"/>
    </row>
    <row r="71" spans="1:31" ht="13.2">
      <c r="A71" s="7"/>
      <c r="B71" s="7"/>
      <c r="C71" s="7"/>
      <c r="D71" s="29"/>
      <c r="E71" s="7"/>
      <c r="F71" s="7"/>
      <c r="G71" s="7"/>
      <c r="H71" s="16"/>
      <c r="I71" s="16"/>
      <c r="J71" s="16"/>
      <c r="K71" s="16"/>
      <c r="L71" s="16"/>
      <c r="M71" s="16"/>
      <c r="N71" s="16"/>
      <c r="O71" s="16"/>
      <c r="P71" s="16"/>
      <c r="Q71" s="4"/>
      <c r="R71" s="4"/>
      <c r="S71" s="4"/>
      <c r="T71" s="4"/>
      <c r="U71" s="4"/>
      <c r="V71" s="4"/>
      <c r="W71" s="4"/>
      <c r="X71" s="4"/>
      <c r="Y71" s="4"/>
      <c r="Z71" s="4"/>
      <c r="AA71" s="4"/>
      <c r="AB71" s="4"/>
      <c r="AC71" s="4"/>
      <c r="AD71" s="4"/>
      <c r="AE71" s="4"/>
    </row>
    <row r="72" spans="1:31" ht="13.2">
      <c r="A72" s="7"/>
      <c r="B72" s="7"/>
      <c r="C72" s="7"/>
      <c r="D72" s="29"/>
      <c r="E72" s="7"/>
      <c r="F72" s="7"/>
      <c r="G72" s="7"/>
      <c r="H72" s="16"/>
      <c r="I72" s="16"/>
      <c r="J72" s="16"/>
      <c r="K72" s="16"/>
      <c r="L72" s="16"/>
      <c r="M72" s="16"/>
      <c r="N72" s="16"/>
      <c r="O72" s="16"/>
      <c r="P72" s="16"/>
      <c r="Q72" s="4"/>
      <c r="R72" s="4"/>
      <c r="S72" s="4"/>
      <c r="T72" s="4"/>
      <c r="U72" s="4"/>
      <c r="V72" s="4"/>
      <c r="W72" s="4"/>
      <c r="X72" s="4"/>
      <c r="Y72" s="4"/>
      <c r="Z72" s="4"/>
      <c r="AA72" s="4"/>
      <c r="AB72" s="4"/>
      <c r="AC72" s="4"/>
      <c r="AD72" s="4"/>
      <c r="AE72" s="4"/>
    </row>
    <row r="73" spans="1:31" ht="13.2">
      <c r="A73" s="7"/>
      <c r="B73" s="7"/>
      <c r="C73" s="7"/>
      <c r="D73" s="29"/>
      <c r="E73" s="7"/>
      <c r="F73" s="7"/>
      <c r="G73" s="7"/>
      <c r="H73" s="16"/>
      <c r="I73" s="16"/>
      <c r="J73" s="16"/>
      <c r="K73" s="16"/>
      <c r="L73" s="16"/>
      <c r="M73" s="16"/>
      <c r="N73" s="16"/>
      <c r="O73" s="16"/>
      <c r="P73" s="16"/>
      <c r="Q73" s="4"/>
      <c r="R73" s="4"/>
      <c r="S73" s="4"/>
      <c r="T73" s="4"/>
      <c r="U73" s="4"/>
      <c r="V73" s="4"/>
      <c r="W73" s="4"/>
      <c r="X73" s="4"/>
      <c r="Y73" s="4"/>
      <c r="Z73" s="4"/>
      <c r="AA73" s="4"/>
      <c r="AB73" s="4"/>
      <c r="AC73" s="4"/>
      <c r="AD73" s="4"/>
      <c r="AE73" s="4"/>
    </row>
    <row r="74" spans="1:31" ht="13.2">
      <c r="A74" s="7"/>
      <c r="B74" s="7"/>
      <c r="C74" s="7"/>
      <c r="D74" s="29"/>
      <c r="E74" s="7"/>
      <c r="F74" s="7"/>
      <c r="G74" s="7"/>
      <c r="H74" s="16"/>
      <c r="I74" s="16"/>
      <c r="J74" s="16"/>
      <c r="K74" s="16"/>
      <c r="L74" s="16"/>
      <c r="M74" s="16"/>
      <c r="N74" s="16"/>
      <c r="O74" s="16"/>
      <c r="P74" s="16"/>
      <c r="Q74" s="4"/>
      <c r="R74" s="4"/>
      <c r="S74" s="4"/>
      <c r="T74" s="4"/>
      <c r="U74" s="4"/>
      <c r="V74" s="4"/>
      <c r="W74" s="4"/>
      <c r="X74" s="4"/>
      <c r="Y74" s="4"/>
      <c r="Z74" s="4"/>
      <c r="AA74" s="4"/>
      <c r="AB74" s="4"/>
      <c r="AC74" s="4"/>
      <c r="AD74" s="4"/>
      <c r="AE74" s="4"/>
    </row>
    <row r="75" spans="1:31" ht="13.2">
      <c r="A75" s="7"/>
      <c r="B75" s="7"/>
      <c r="C75" s="7"/>
      <c r="D75" s="29"/>
      <c r="E75" s="7"/>
      <c r="F75" s="7"/>
      <c r="G75" s="7"/>
      <c r="H75" s="16"/>
      <c r="I75" s="16"/>
      <c r="J75" s="16"/>
      <c r="K75" s="16"/>
      <c r="L75" s="16"/>
      <c r="M75" s="16"/>
      <c r="N75" s="16"/>
      <c r="O75" s="16"/>
      <c r="P75" s="16"/>
      <c r="Q75" s="4"/>
      <c r="R75" s="4"/>
      <c r="S75" s="4"/>
      <c r="T75" s="4"/>
      <c r="U75" s="4"/>
      <c r="V75" s="4"/>
      <c r="W75" s="4"/>
      <c r="X75" s="4"/>
      <c r="Y75" s="4"/>
      <c r="Z75" s="4"/>
      <c r="AA75" s="4"/>
      <c r="AB75" s="4"/>
      <c r="AC75" s="4"/>
      <c r="AD75" s="4"/>
      <c r="AE75" s="4"/>
    </row>
    <row r="76" spans="1:31" ht="13.2">
      <c r="A76" s="7"/>
      <c r="B76" s="7"/>
      <c r="C76" s="7"/>
      <c r="D76" s="29"/>
      <c r="E76" s="7"/>
      <c r="F76" s="7"/>
      <c r="G76" s="7"/>
      <c r="H76" s="16"/>
      <c r="I76" s="16"/>
      <c r="J76" s="16"/>
      <c r="K76" s="16"/>
      <c r="L76" s="16"/>
      <c r="M76" s="16"/>
      <c r="N76" s="16"/>
      <c r="O76" s="16"/>
      <c r="P76" s="16"/>
      <c r="Q76" s="4"/>
      <c r="R76" s="4"/>
      <c r="S76" s="4"/>
      <c r="T76" s="4"/>
      <c r="U76" s="4"/>
      <c r="V76" s="4"/>
      <c r="W76" s="4"/>
      <c r="X76" s="4"/>
      <c r="Y76" s="4"/>
      <c r="Z76" s="4"/>
      <c r="AA76" s="4"/>
      <c r="AB76" s="4"/>
      <c r="AC76" s="4"/>
      <c r="AD76" s="4"/>
      <c r="AE76" s="4"/>
    </row>
    <row r="77" spans="1:31" ht="13.2">
      <c r="A77" s="7"/>
      <c r="B77" s="7"/>
      <c r="C77" s="7"/>
      <c r="D77" s="29"/>
      <c r="E77" s="7"/>
      <c r="F77" s="7"/>
      <c r="G77" s="7"/>
      <c r="H77" s="16"/>
      <c r="I77" s="16"/>
      <c r="J77" s="16"/>
      <c r="K77" s="16"/>
      <c r="L77" s="16"/>
      <c r="M77" s="16"/>
      <c r="N77" s="16"/>
      <c r="O77" s="16"/>
      <c r="P77" s="16"/>
      <c r="Q77" s="4"/>
      <c r="R77" s="4"/>
      <c r="S77" s="4"/>
      <c r="T77" s="4"/>
      <c r="U77" s="4"/>
      <c r="V77" s="4"/>
      <c r="W77" s="4"/>
      <c r="X77" s="4"/>
      <c r="Y77" s="4"/>
      <c r="Z77" s="4"/>
      <c r="AA77" s="4"/>
      <c r="AB77" s="4"/>
      <c r="AC77" s="4"/>
      <c r="AD77" s="4"/>
      <c r="AE77" s="4"/>
    </row>
    <row r="78" spans="1:31" ht="13.2">
      <c r="A78" s="7"/>
      <c r="B78" s="7"/>
      <c r="C78" s="7"/>
      <c r="D78" s="29"/>
      <c r="E78" s="7"/>
      <c r="F78" s="7"/>
      <c r="G78" s="7"/>
      <c r="H78" s="16"/>
      <c r="I78" s="16"/>
      <c r="J78" s="16"/>
      <c r="K78" s="16"/>
      <c r="L78" s="16"/>
      <c r="M78" s="16"/>
      <c r="N78" s="16"/>
      <c r="O78" s="16"/>
      <c r="P78" s="16"/>
      <c r="Q78" s="4"/>
      <c r="R78" s="4"/>
      <c r="S78" s="4"/>
      <c r="T78" s="4"/>
      <c r="U78" s="4"/>
      <c r="V78" s="4"/>
      <c r="W78" s="4"/>
      <c r="X78" s="4"/>
      <c r="Y78" s="4"/>
      <c r="Z78" s="4"/>
      <c r="AA78" s="4"/>
      <c r="AB78" s="4"/>
      <c r="AC78" s="4"/>
      <c r="AD78" s="4"/>
      <c r="AE78" s="4"/>
    </row>
    <row r="79" spans="1:31" ht="13.2">
      <c r="A79" s="7"/>
      <c r="B79" s="7"/>
      <c r="C79" s="7"/>
      <c r="D79" s="29"/>
      <c r="E79" s="7"/>
      <c r="F79" s="7"/>
      <c r="G79" s="7"/>
      <c r="H79" s="16"/>
      <c r="I79" s="16"/>
      <c r="J79" s="16"/>
      <c r="K79" s="16"/>
      <c r="L79" s="16"/>
      <c r="M79" s="16"/>
      <c r="N79" s="16"/>
      <c r="O79" s="16"/>
      <c r="P79" s="16"/>
      <c r="Q79" s="4"/>
      <c r="R79" s="4"/>
      <c r="S79" s="4"/>
      <c r="T79" s="4"/>
      <c r="U79" s="4"/>
      <c r="V79" s="4"/>
      <c r="W79" s="4"/>
      <c r="X79" s="4"/>
      <c r="Y79" s="4"/>
      <c r="Z79" s="4"/>
      <c r="AA79" s="4"/>
      <c r="AB79" s="4"/>
      <c r="AC79" s="4"/>
      <c r="AD79" s="4"/>
      <c r="AE79" s="4"/>
    </row>
    <row r="80" spans="1:31" ht="13.2">
      <c r="A80" s="7"/>
      <c r="B80" s="7"/>
      <c r="C80" s="7"/>
      <c r="D80" s="29"/>
      <c r="E80" s="7"/>
      <c r="F80" s="7"/>
      <c r="G80" s="7"/>
      <c r="H80" s="16"/>
      <c r="I80" s="16"/>
      <c r="J80" s="16"/>
      <c r="K80" s="16"/>
      <c r="L80" s="16"/>
      <c r="M80" s="16"/>
      <c r="N80" s="16"/>
      <c r="O80" s="16"/>
      <c r="P80" s="16"/>
      <c r="Q80" s="4"/>
      <c r="R80" s="4"/>
      <c r="S80" s="4"/>
      <c r="T80" s="4"/>
      <c r="U80" s="4"/>
      <c r="V80" s="4"/>
      <c r="W80" s="4"/>
      <c r="X80" s="4"/>
      <c r="Y80" s="4"/>
      <c r="Z80" s="4"/>
      <c r="AA80" s="4"/>
      <c r="AB80" s="4"/>
      <c r="AC80" s="4"/>
      <c r="AD80" s="4"/>
      <c r="AE80" s="4"/>
    </row>
    <row r="81" spans="1:31" ht="13.2">
      <c r="A81" s="7"/>
      <c r="B81" s="7"/>
      <c r="C81" s="7"/>
      <c r="D81" s="29"/>
      <c r="E81" s="7"/>
      <c r="F81" s="7"/>
      <c r="G81" s="7"/>
      <c r="H81" s="16"/>
      <c r="I81" s="16"/>
      <c r="J81" s="16"/>
      <c r="K81" s="16"/>
      <c r="L81" s="16"/>
      <c r="M81" s="16"/>
      <c r="N81" s="16"/>
      <c r="O81" s="16"/>
      <c r="P81" s="16"/>
      <c r="Q81" s="4"/>
      <c r="R81" s="4"/>
      <c r="S81" s="4"/>
      <c r="T81" s="4"/>
      <c r="U81" s="4"/>
      <c r="V81" s="4"/>
      <c r="W81" s="4"/>
      <c r="X81" s="4"/>
      <c r="Y81" s="4"/>
      <c r="Z81" s="4"/>
      <c r="AA81" s="4"/>
      <c r="AB81" s="4"/>
      <c r="AC81" s="4"/>
      <c r="AD81" s="4"/>
      <c r="AE81" s="4"/>
    </row>
    <row r="82" spans="1:31" ht="13.2">
      <c r="A82" s="7"/>
      <c r="B82" s="7"/>
      <c r="C82" s="7"/>
      <c r="D82" s="29"/>
      <c r="E82" s="7"/>
      <c r="F82" s="7"/>
      <c r="G82" s="7"/>
      <c r="H82" s="16"/>
      <c r="I82" s="16"/>
      <c r="J82" s="16"/>
      <c r="K82" s="16"/>
      <c r="L82" s="16"/>
      <c r="M82" s="16"/>
      <c r="N82" s="16"/>
      <c r="O82" s="16"/>
      <c r="P82" s="16"/>
      <c r="Q82" s="4"/>
      <c r="R82" s="4"/>
      <c r="S82" s="4"/>
      <c r="T82" s="4"/>
      <c r="U82" s="4"/>
      <c r="V82" s="4"/>
      <c r="W82" s="4"/>
      <c r="X82" s="4"/>
      <c r="Y82" s="4"/>
      <c r="Z82" s="4"/>
      <c r="AA82" s="4"/>
      <c r="AB82" s="4"/>
      <c r="AC82" s="4"/>
      <c r="AD82" s="4"/>
      <c r="AE82" s="4"/>
    </row>
    <row r="83" spans="1:31" ht="13.2">
      <c r="A83" s="7"/>
      <c r="B83" s="7"/>
      <c r="C83" s="7"/>
      <c r="D83" s="29"/>
      <c r="E83" s="7"/>
      <c r="F83" s="7"/>
      <c r="G83" s="7"/>
      <c r="H83" s="16"/>
      <c r="I83" s="16"/>
      <c r="J83" s="16"/>
      <c r="K83" s="16"/>
      <c r="L83" s="16"/>
      <c r="M83" s="16"/>
      <c r="N83" s="16"/>
      <c r="O83" s="16"/>
      <c r="P83" s="16"/>
      <c r="Q83" s="4"/>
      <c r="R83" s="4"/>
      <c r="S83" s="4"/>
      <c r="T83" s="4"/>
      <c r="U83" s="4"/>
      <c r="V83" s="4"/>
      <c r="W83" s="4"/>
      <c r="X83" s="4"/>
      <c r="Y83" s="4"/>
      <c r="Z83" s="4"/>
      <c r="AA83" s="4"/>
      <c r="AB83" s="4"/>
      <c r="AC83" s="4"/>
      <c r="AD83" s="4"/>
      <c r="AE83" s="4"/>
    </row>
    <row r="84" spans="1:31" ht="13.2">
      <c r="A84" s="7"/>
      <c r="B84" s="7"/>
      <c r="C84" s="7"/>
      <c r="D84" s="29"/>
      <c r="E84" s="7"/>
      <c r="F84" s="7"/>
      <c r="G84" s="7"/>
      <c r="H84" s="16"/>
      <c r="I84" s="16"/>
      <c r="J84" s="16"/>
      <c r="K84" s="16"/>
      <c r="L84" s="16"/>
      <c r="M84" s="16"/>
      <c r="N84" s="16"/>
      <c r="O84" s="16"/>
      <c r="P84" s="16"/>
      <c r="Q84" s="4"/>
      <c r="R84" s="4"/>
      <c r="S84" s="4"/>
      <c r="T84" s="4"/>
      <c r="U84" s="4"/>
      <c r="V84" s="4"/>
      <c r="W84" s="4"/>
      <c r="X84" s="4"/>
      <c r="Y84" s="4"/>
      <c r="Z84" s="4"/>
      <c r="AA84" s="4"/>
      <c r="AB84" s="4"/>
      <c r="AC84" s="4"/>
      <c r="AD84" s="4"/>
      <c r="AE84" s="4"/>
    </row>
    <row r="85" spans="1:31" ht="13.2">
      <c r="A85" s="7"/>
      <c r="B85" s="7"/>
      <c r="C85" s="7"/>
      <c r="D85" s="29"/>
      <c r="E85" s="7"/>
      <c r="F85" s="7"/>
      <c r="G85" s="7"/>
      <c r="H85" s="16"/>
      <c r="I85" s="16"/>
      <c r="J85" s="16"/>
      <c r="K85" s="16"/>
      <c r="L85" s="16"/>
      <c r="M85" s="16"/>
      <c r="N85" s="16"/>
      <c r="O85" s="16"/>
      <c r="P85" s="16"/>
      <c r="Q85" s="4"/>
      <c r="R85" s="4"/>
      <c r="S85" s="4"/>
      <c r="T85" s="4"/>
      <c r="U85" s="4"/>
      <c r="V85" s="4"/>
      <c r="W85" s="4"/>
      <c r="X85" s="4"/>
      <c r="Y85" s="4"/>
      <c r="Z85" s="4"/>
      <c r="AA85" s="4"/>
      <c r="AB85" s="4"/>
      <c r="AC85" s="4"/>
      <c r="AD85" s="4"/>
      <c r="AE85" s="4"/>
    </row>
    <row r="86" spans="1:31" ht="13.2">
      <c r="A86" s="7"/>
      <c r="B86" s="7"/>
      <c r="C86" s="7"/>
      <c r="D86" s="29"/>
      <c r="E86" s="7"/>
      <c r="F86" s="7"/>
      <c r="G86" s="7"/>
      <c r="H86" s="16"/>
      <c r="I86" s="16"/>
      <c r="J86" s="16"/>
      <c r="K86" s="16"/>
      <c r="L86" s="16"/>
      <c r="M86" s="16"/>
      <c r="N86" s="16"/>
      <c r="O86" s="16"/>
      <c r="P86" s="16"/>
      <c r="Q86" s="4"/>
      <c r="R86" s="4"/>
      <c r="S86" s="4"/>
      <c r="T86" s="4"/>
      <c r="U86" s="4"/>
      <c r="V86" s="4"/>
      <c r="W86" s="4"/>
      <c r="X86" s="4"/>
      <c r="Y86" s="4"/>
      <c r="Z86" s="4"/>
      <c r="AA86" s="4"/>
      <c r="AB86" s="4"/>
      <c r="AC86" s="4"/>
      <c r="AD86" s="4"/>
      <c r="AE86" s="4"/>
    </row>
    <row r="87" spans="1:31" ht="13.2">
      <c r="A87" s="7"/>
      <c r="B87" s="7"/>
      <c r="C87" s="7"/>
      <c r="D87" s="29"/>
      <c r="E87" s="7"/>
      <c r="F87" s="7"/>
      <c r="G87" s="7"/>
      <c r="H87" s="16"/>
      <c r="I87" s="16"/>
      <c r="J87" s="16"/>
      <c r="K87" s="16"/>
      <c r="L87" s="16"/>
      <c r="M87" s="16"/>
      <c r="N87" s="16"/>
      <c r="O87" s="16"/>
      <c r="P87" s="16"/>
      <c r="Q87" s="4"/>
      <c r="R87" s="4"/>
      <c r="S87" s="4"/>
      <c r="T87" s="4"/>
      <c r="U87" s="4"/>
      <c r="V87" s="4"/>
      <c r="W87" s="4"/>
      <c r="X87" s="4"/>
      <c r="Y87" s="4"/>
      <c r="Z87" s="4"/>
      <c r="AA87" s="4"/>
      <c r="AB87" s="4"/>
      <c r="AC87" s="4"/>
      <c r="AD87" s="4"/>
      <c r="AE87" s="4"/>
    </row>
    <row r="88" spans="1:31" ht="13.2">
      <c r="A88" s="7"/>
      <c r="B88" s="7"/>
      <c r="C88" s="7"/>
      <c r="D88" s="29"/>
      <c r="E88" s="7"/>
      <c r="F88" s="7"/>
      <c r="G88" s="7"/>
      <c r="H88" s="16"/>
      <c r="I88" s="16"/>
      <c r="J88" s="16"/>
      <c r="K88" s="16"/>
      <c r="L88" s="16"/>
      <c r="M88" s="16"/>
      <c r="N88" s="16"/>
      <c r="O88" s="16"/>
      <c r="P88" s="16"/>
      <c r="Q88" s="4"/>
      <c r="R88" s="4"/>
      <c r="S88" s="4"/>
      <c r="T88" s="4"/>
      <c r="U88" s="4"/>
      <c r="V88" s="4"/>
      <c r="W88" s="4"/>
      <c r="X88" s="4"/>
      <c r="Y88" s="4"/>
      <c r="Z88" s="4"/>
      <c r="AA88" s="4"/>
      <c r="AB88" s="4"/>
      <c r="AC88" s="4"/>
      <c r="AD88" s="4"/>
      <c r="AE88" s="4"/>
    </row>
    <row r="89" spans="1:31" ht="13.2">
      <c r="A89" s="7"/>
      <c r="B89" s="7"/>
      <c r="C89" s="7"/>
      <c r="D89" s="29"/>
      <c r="E89" s="7"/>
      <c r="F89" s="7"/>
      <c r="G89" s="7"/>
      <c r="H89" s="16"/>
      <c r="I89" s="16"/>
      <c r="J89" s="16"/>
      <c r="K89" s="16"/>
      <c r="L89" s="16"/>
      <c r="M89" s="16"/>
      <c r="N89" s="16"/>
      <c r="O89" s="16"/>
      <c r="P89" s="16"/>
      <c r="Q89" s="4"/>
      <c r="R89" s="4"/>
      <c r="S89" s="4"/>
      <c r="T89" s="4"/>
      <c r="U89" s="4"/>
      <c r="V89" s="4"/>
      <c r="W89" s="4"/>
      <c r="X89" s="4"/>
      <c r="Y89" s="4"/>
      <c r="Z89" s="4"/>
      <c r="AA89" s="4"/>
      <c r="AB89" s="4"/>
      <c r="AC89" s="4"/>
      <c r="AD89" s="4"/>
      <c r="AE89" s="4"/>
    </row>
    <row r="90" spans="1:31" ht="13.2">
      <c r="A90" s="7"/>
      <c r="B90" s="7"/>
      <c r="C90" s="7"/>
      <c r="D90" s="29"/>
      <c r="E90" s="7"/>
      <c r="F90" s="7"/>
      <c r="G90" s="7"/>
      <c r="H90" s="16"/>
      <c r="I90" s="16"/>
      <c r="J90" s="16"/>
      <c r="K90" s="16"/>
      <c r="L90" s="16"/>
      <c r="M90" s="16"/>
      <c r="N90" s="16"/>
      <c r="O90" s="16"/>
      <c r="P90" s="16"/>
      <c r="Q90" s="4"/>
      <c r="R90" s="4"/>
      <c r="S90" s="4"/>
      <c r="T90" s="4"/>
      <c r="U90" s="4"/>
      <c r="V90" s="4"/>
      <c r="W90" s="4"/>
      <c r="X90" s="4"/>
      <c r="Y90" s="4"/>
      <c r="Z90" s="4"/>
      <c r="AA90" s="4"/>
      <c r="AB90" s="4"/>
      <c r="AC90" s="4"/>
      <c r="AD90" s="4"/>
      <c r="AE90" s="4"/>
    </row>
    <row r="91" spans="1:31" ht="13.2">
      <c r="A91" s="7"/>
      <c r="B91" s="7"/>
      <c r="C91" s="7"/>
      <c r="D91" s="29"/>
      <c r="E91" s="7"/>
      <c r="F91" s="7"/>
      <c r="G91" s="7"/>
      <c r="H91" s="16"/>
      <c r="I91" s="16"/>
      <c r="J91" s="16"/>
      <c r="K91" s="16"/>
      <c r="L91" s="16"/>
      <c r="M91" s="16"/>
      <c r="N91" s="16"/>
      <c r="O91" s="16"/>
      <c r="P91" s="16"/>
      <c r="Q91" s="4"/>
      <c r="R91" s="4"/>
      <c r="S91" s="4"/>
      <c r="T91" s="4"/>
      <c r="U91" s="4"/>
      <c r="V91" s="4"/>
      <c r="W91" s="4"/>
      <c r="X91" s="4"/>
      <c r="Y91" s="4"/>
      <c r="Z91" s="4"/>
      <c r="AA91" s="4"/>
      <c r="AB91" s="4"/>
      <c r="AC91" s="4"/>
      <c r="AD91" s="4"/>
      <c r="AE91" s="4"/>
    </row>
    <row r="92" spans="1:31" ht="13.2">
      <c r="A92" s="7"/>
      <c r="B92" s="7"/>
      <c r="C92" s="7"/>
      <c r="D92" s="29"/>
      <c r="E92" s="7"/>
      <c r="F92" s="7"/>
      <c r="G92" s="7"/>
      <c r="H92" s="16"/>
      <c r="I92" s="16"/>
      <c r="J92" s="16"/>
      <c r="K92" s="16"/>
      <c r="L92" s="16"/>
      <c r="M92" s="16"/>
      <c r="N92" s="16"/>
      <c r="O92" s="16"/>
      <c r="P92" s="16"/>
      <c r="Q92" s="4"/>
      <c r="R92" s="4"/>
      <c r="S92" s="4"/>
      <c r="T92" s="4"/>
      <c r="U92" s="4"/>
      <c r="V92" s="4"/>
      <c r="W92" s="4"/>
      <c r="X92" s="4"/>
      <c r="Y92" s="4"/>
      <c r="Z92" s="4"/>
      <c r="AA92" s="4"/>
      <c r="AB92" s="4"/>
      <c r="AC92" s="4"/>
      <c r="AD92" s="4"/>
      <c r="AE92" s="4"/>
    </row>
    <row r="93" spans="1:31" ht="13.2">
      <c r="A93" s="7"/>
      <c r="B93" s="7"/>
      <c r="C93" s="7"/>
      <c r="D93" s="29"/>
      <c r="E93" s="7"/>
      <c r="F93" s="7"/>
      <c r="G93" s="7"/>
      <c r="H93" s="16"/>
      <c r="I93" s="16"/>
      <c r="J93" s="16"/>
      <c r="K93" s="16"/>
      <c r="L93" s="16"/>
      <c r="M93" s="16"/>
      <c r="N93" s="16"/>
      <c r="O93" s="16"/>
      <c r="P93" s="16"/>
      <c r="Q93" s="4"/>
      <c r="R93" s="4"/>
      <c r="S93" s="4"/>
      <c r="T93" s="4"/>
      <c r="U93" s="4"/>
      <c r="V93" s="4"/>
      <c r="W93" s="4"/>
      <c r="X93" s="4"/>
      <c r="Y93" s="4"/>
      <c r="Z93" s="4"/>
      <c r="AA93" s="4"/>
      <c r="AB93" s="4"/>
      <c r="AC93" s="4"/>
      <c r="AD93" s="4"/>
      <c r="AE93" s="4"/>
    </row>
    <row r="94" spans="1:31" ht="13.2">
      <c r="A94" s="7"/>
      <c r="B94" s="7"/>
      <c r="C94" s="7"/>
      <c r="D94" s="29"/>
      <c r="E94" s="7"/>
      <c r="F94" s="7"/>
      <c r="G94" s="7"/>
      <c r="H94" s="16"/>
      <c r="I94" s="16"/>
      <c r="J94" s="16"/>
      <c r="K94" s="16"/>
      <c r="L94" s="16"/>
      <c r="M94" s="16"/>
      <c r="N94" s="16"/>
      <c r="O94" s="16"/>
      <c r="P94" s="16"/>
      <c r="Q94" s="4"/>
      <c r="R94" s="4"/>
      <c r="S94" s="4"/>
      <c r="T94" s="4"/>
      <c r="U94" s="4"/>
      <c r="V94" s="4"/>
      <c r="W94" s="4"/>
      <c r="X94" s="4"/>
      <c r="Y94" s="4"/>
      <c r="Z94" s="4"/>
      <c r="AA94" s="4"/>
      <c r="AB94" s="4"/>
      <c r="AC94" s="4"/>
      <c r="AD94" s="4"/>
      <c r="AE94" s="4"/>
    </row>
    <row r="95" spans="1:31" ht="13.2">
      <c r="A95" s="7"/>
      <c r="B95" s="7"/>
      <c r="C95" s="7"/>
      <c r="D95" s="29"/>
      <c r="E95" s="7"/>
      <c r="F95" s="7"/>
      <c r="G95" s="7"/>
      <c r="H95" s="16"/>
      <c r="I95" s="16"/>
      <c r="J95" s="16"/>
      <c r="K95" s="16"/>
      <c r="L95" s="16"/>
      <c r="M95" s="16"/>
      <c r="N95" s="16"/>
      <c r="O95" s="16"/>
      <c r="P95" s="16"/>
      <c r="Q95" s="4"/>
      <c r="R95" s="4"/>
      <c r="S95" s="4"/>
      <c r="T95" s="4"/>
      <c r="U95" s="4"/>
      <c r="V95" s="4"/>
      <c r="W95" s="4"/>
      <c r="X95" s="4"/>
      <c r="Y95" s="4"/>
      <c r="Z95" s="4"/>
      <c r="AA95" s="4"/>
      <c r="AB95" s="4"/>
      <c r="AC95" s="4"/>
      <c r="AD95" s="4"/>
      <c r="AE95" s="4"/>
    </row>
    <row r="96" spans="1:31" ht="13.2">
      <c r="A96" s="7"/>
      <c r="B96" s="7"/>
      <c r="C96" s="7"/>
      <c r="D96" s="29"/>
      <c r="E96" s="7"/>
      <c r="F96" s="7"/>
      <c r="G96" s="7"/>
      <c r="H96" s="16"/>
      <c r="I96" s="16"/>
      <c r="J96" s="16"/>
      <c r="K96" s="16"/>
      <c r="L96" s="16"/>
      <c r="M96" s="16"/>
      <c r="N96" s="16"/>
      <c r="O96" s="16"/>
      <c r="P96" s="16"/>
      <c r="Q96" s="4"/>
      <c r="R96" s="4"/>
      <c r="S96" s="4"/>
      <c r="T96" s="4"/>
      <c r="U96" s="4"/>
      <c r="V96" s="4"/>
      <c r="W96" s="4"/>
      <c r="X96" s="4"/>
      <c r="Y96" s="4"/>
      <c r="Z96" s="4"/>
      <c r="AA96" s="4"/>
      <c r="AB96" s="4"/>
      <c r="AC96" s="4"/>
      <c r="AD96" s="4"/>
      <c r="AE96" s="4"/>
    </row>
    <row r="97" spans="1:31" ht="13.2">
      <c r="A97" s="7"/>
      <c r="B97" s="7"/>
      <c r="C97" s="7"/>
      <c r="D97" s="29"/>
      <c r="E97" s="7"/>
      <c r="F97" s="7"/>
      <c r="G97" s="7"/>
      <c r="H97" s="16"/>
      <c r="I97" s="16"/>
      <c r="J97" s="16"/>
      <c r="K97" s="16"/>
      <c r="L97" s="16"/>
      <c r="M97" s="16"/>
      <c r="N97" s="16"/>
      <c r="O97" s="16"/>
      <c r="P97" s="16"/>
      <c r="Q97" s="4"/>
      <c r="R97" s="4"/>
      <c r="S97" s="4"/>
      <c r="T97" s="4"/>
      <c r="U97" s="4"/>
      <c r="V97" s="4"/>
      <c r="W97" s="4"/>
      <c r="X97" s="4"/>
      <c r="Y97" s="4"/>
      <c r="Z97" s="4"/>
      <c r="AA97" s="4"/>
      <c r="AB97" s="4"/>
      <c r="AC97" s="4"/>
      <c r="AD97" s="4"/>
      <c r="AE97" s="4"/>
    </row>
    <row r="98" spans="1:31" ht="13.2">
      <c r="A98" s="7"/>
      <c r="B98" s="7"/>
      <c r="C98" s="7"/>
      <c r="D98" s="29"/>
      <c r="E98" s="7"/>
      <c r="F98" s="7"/>
      <c r="G98" s="7"/>
      <c r="H98" s="16"/>
      <c r="I98" s="16"/>
      <c r="J98" s="16"/>
      <c r="K98" s="16"/>
      <c r="L98" s="16"/>
      <c r="M98" s="16"/>
      <c r="N98" s="16"/>
      <c r="O98" s="16"/>
      <c r="P98" s="16"/>
      <c r="Q98" s="4"/>
      <c r="R98" s="4"/>
      <c r="S98" s="4"/>
      <c r="T98" s="4"/>
      <c r="U98" s="4"/>
      <c r="V98" s="4"/>
      <c r="W98" s="4"/>
      <c r="X98" s="4"/>
      <c r="Y98" s="4"/>
      <c r="Z98" s="4"/>
      <c r="AA98" s="4"/>
      <c r="AB98" s="4"/>
      <c r="AC98" s="4"/>
      <c r="AD98" s="4"/>
      <c r="AE98" s="4"/>
    </row>
    <row r="99" spans="1:31" ht="13.2">
      <c r="A99" s="7"/>
      <c r="B99" s="7"/>
      <c r="C99" s="7"/>
      <c r="D99" s="29"/>
      <c r="E99" s="7"/>
      <c r="F99" s="7"/>
      <c r="G99" s="7"/>
      <c r="H99" s="16"/>
      <c r="I99" s="16"/>
      <c r="J99" s="16"/>
      <c r="K99" s="16"/>
      <c r="L99" s="16"/>
      <c r="M99" s="16"/>
      <c r="N99" s="16"/>
      <c r="O99" s="16"/>
      <c r="P99" s="16"/>
      <c r="Q99" s="4"/>
      <c r="R99" s="4"/>
      <c r="S99" s="4"/>
      <c r="T99" s="4"/>
      <c r="U99" s="4"/>
      <c r="V99" s="4"/>
      <c r="W99" s="4"/>
      <c r="X99" s="4"/>
      <c r="Y99" s="4"/>
      <c r="Z99" s="4"/>
      <c r="AA99" s="4"/>
      <c r="AB99" s="4"/>
      <c r="AC99" s="4"/>
      <c r="AD99" s="4"/>
      <c r="AE99" s="4"/>
    </row>
    <row r="100" spans="1:31" ht="13.2">
      <c r="A100" s="7"/>
      <c r="B100" s="7"/>
      <c r="C100" s="7"/>
      <c r="D100" s="29"/>
      <c r="E100" s="7"/>
      <c r="F100" s="7"/>
      <c r="G100" s="7"/>
      <c r="H100" s="16"/>
      <c r="I100" s="16"/>
      <c r="J100" s="16"/>
      <c r="K100" s="16"/>
      <c r="L100" s="16"/>
      <c r="M100" s="16"/>
      <c r="N100" s="16"/>
      <c r="O100" s="16"/>
      <c r="P100" s="16"/>
      <c r="Q100" s="4"/>
      <c r="R100" s="4"/>
      <c r="S100" s="4"/>
      <c r="T100" s="4"/>
      <c r="U100" s="4"/>
      <c r="V100" s="4"/>
      <c r="W100" s="4"/>
      <c r="X100" s="4"/>
      <c r="Y100" s="4"/>
      <c r="Z100" s="4"/>
      <c r="AA100" s="4"/>
      <c r="AB100" s="4"/>
      <c r="AC100" s="4"/>
      <c r="AD100" s="4"/>
      <c r="AE100" s="4"/>
    </row>
    <row r="101" spans="1:31" ht="13.2">
      <c r="A101" s="7"/>
      <c r="B101" s="7"/>
      <c r="C101" s="7"/>
      <c r="D101" s="29"/>
      <c r="E101" s="7"/>
      <c r="F101" s="7"/>
      <c r="G101" s="7"/>
      <c r="H101" s="16"/>
      <c r="I101" s="16"/>
      <c r="J101" s="16"/>
      <c r="K101" s="16"/>
      <c r="L101" s="16"/>
      <c r="M101" s="16"/>
      <c r="N101" s="16"/>
      <c r="O101" s="16"/>
      <c r="P101" s="16"/>
      <c r="Q101" s="4"/>
      <c r="R101" s="4"/>
      <c r="S101" s="4"/>
      <c r="T101" s="4"/>
      <c r="U101" s="4"/>
      <c r="V101" s="4"/>
      <c r="W101" s="4"/>
      <c r="X101" s="4"/>
      <c r="Y101" s="4"/>
      <c r="Z101" s="4"/>
      <c r="AA101" s="4"/>
      <c r="AB101" s="4"/>
      <c r="AC101" s="4"/>
      <c r="AD101" s="4"/>
      <c r="AE101" s="4"/>
    </row>
    <row r="102" spans="1:31" ht="13.2">
      <c r="A102" s="7"/>
      <c r="B102" s="7"/>
      <c r="C102" s="7"/>
      <c r="D102" s="29"/>
      <c r="E102" s="7"/>
      <c r="F102" s="7"/>
      <c r="G102" s="7"/>
      <c r="H102" s="16"/>
      <c r="I102" s="16"/>
      <c r="J102" s="16"/>
      <c r="K102" s="16"/>
      <c r="L102" s="16"/>
      <c r="M102" s="16"/>
      <c r="N102" s="16"/>
      <c r="O102" s="16"/>
      <c r="P102" s="16"/>
      <c r="Q102" s="4"/>
      <c r="R102" s="4"/>
      <c r="S102" s="4"/>
      <c r="T102" s="4"/>
      <c r="U102" s="4"/>
      <c r="V102" s="4"/>
      <c r="W102" s="4"/>
      <c r="X102" s="4"/>
      <c r="Y102" s="4"/>
      <c r="Z102" s="4"/>
      <c r="AA102" s="4"/>
      <c r="AB102" s="4"/>
      <c r="AC102" s="4"/>
      <c r="AD102" s="4"/>
      <c r="AE102" s="4"/>
    </row>
    <row r="103" spans="1:31" ht="13.2">
      <c r="A103" s="7"/>
      <c r="B103" s="7"/>
      <c r="C103" s="7"/>
      <c r="D103" s="29"/>
      <c r="E103" s="7"/>
      <c r="F103" s="7"/>
      <c r="G103" s="7"/>
      <c r="H103" s="16"/>
      <c r="I103" s="16"/>
      <c r="J103" s="16"/>
      <c r="K103" s="16"/>
      <c r="L103" s="16"/>
      <c r="M103" s="16"/>
      <c r="N103" s="16"/>
      <c r="O103" s="16"/>
      <c r="P103" s="16"/>
      <c r="Q103" s="4"/>
      <c r="R103" s="4"/>
      <c r="S103" s="4"/>
      <c r="T103" s="4"/>
      <c r="U103" s="4"/>
      <c r="V103" s="4"/>
      <c r="W103" s="4"/>
      <c r="X103" s="4"/>
      <c r="Y103" s="4"/>
      <c r="Z103" s="4"/>
      <c r="AA103" s="4"/>
      <c r="AB103" s="4"/>
      <c r="AC103" s="4"/>
      <c r="AD103" s="4"/>
      <c r="AE103" s="4"/>
    </row>
    <row r="104" spans="1:31" ht="13.2">
      <c r="A104" s="7"/>
      <c r="B104" s="7"/>
      <c r="C104" s="7"/>
      <c r="D104" s="29"/>
      <c r="E104" s="7"/>
      <c r="F104" s="7"/>
      <c r="G104" s="7"/>
      <c r="H104" s="16"/>
      <c r="I104" s="16"/>
      <c r="J104" s="16"/>
      <c r="K104" s="16"/>
      <c r="L104" s="16"/>
      <c r="M104" s="16"/>
      <c r="N104" s="16"/>
      <c r="O104" s="16"/>
      <c r="P104" s="16"/>
      <c r="Q104" s="4"/>
      <c r="R104" s="4"/>
      <c r="S104" s="4"/>
      <c r="T104" s="4"/>
      <c r="U104" s="4"/>
      <c r="V104" s="4"/>
      <c r="W104" s="4"/>
      <c r="X104" s="4"/>
      <c r="Y104" s="4"/>
      <c r="Z104" s="4"/>
      <c r="AA104" s="4"/>
      <c r="AB104" s="4"/>
      <c r="AC104" s="4"/>
      <c r="AD104" s="4"/>
      <c r="AE104" s="4"/>
    </row>
    <row r="105" spans="1:31" ht="13.2">
      <c r="A105" s="7"/>
      <c r="B105" s="7"/>
      <c r="C105" s="7"/>
      <c r="D105" s="29"/>
      <c r="E105" s="7"/>
      <c r="F105" s="7"/>
      <c r="G105" s="7"/>
      <c r="H105" s="16"/>
      <c r="I105" s="16"/>
      <c r="J105" s="16"/>
      <c r="K105" s="16"/>
      <c r="L105" s="16"/>
      <c r="M105" s="16"/>
      <c r="N105" s="16"/>
      <c r="O105" s="16"/>
      <c r="P105" s="16"/>
      <c r="Q105" s="4"/>
      <c r="R105" s="4"/>
      <c r="S105" s="4"/>
      <c r="T105" s="4"/>
      <c r="U105" s="4"/>
      <c r="V105" s="4"/>
      <c r="W105" s="4"/>
      <c r="X105" s="4"/>
      <c r="Y105" s="4"/>
      <c r="Z105" s="4"/>
      <c r="AA105" s="4"/>
      <c r="AB105" s="4"/>
      <c r="AC105" s="4"/>
      <c r="AD105" s="4"/>
      <c r="AE105" s="4"/>
    </row>
    <row r="106" spans="1:31" ht="13.2">
      <c r="A106" s="7"/>
      <c r="B106" s="7"/>
      <c r="C106" s="7"/>
      <c r="D106" s="29"/>
      <c r="E106" s="7"/>
      <c r="F106" s="7"/>
      <c r="G106" s="7"/>
      <c r="H106" s="16"/>
      <c r="I106" s="16"/>
      <c r="J106" s="16"/>
      <c r="K106" s="16"/>
      <c r="L106" s="16"/>
      <c r="M106" s="16"/>
      <c r="N106" s="16"/>
      <c r="O106" s="16"/>
      <c r="P106" s="16"/>
      <c r="Q106" s="4"/>
      <c r="R106" s="4"/>
      <c r="S106" s="4"/>
      <c r="T106" s="4"/>
      <c r="U106" s="4"/>
      <c r="V106" s="4"/>
      <c r="W106" s="4"/>
      <c r="X106" s="4"/>
      <c r="Y106" s="4"/>
      <c r="Z106" s="4"/>
      <c r="AA106" s="4"/>
      <c r="AB106" s="4"/>
      <c r="AC106" s="4"/>
      <c r="AD106" s="4"/>
      <c r="AE106" s="4"/>
    </row>
    <row r="107" spans="1:31" ht="13.2">
      <c r="A107" s="7"/>
      <c r="B107" s="7"/>
      <c r="C107" s="7"/>
      <c r="D107" s="29"/>
      <c r="E107" s="7"/>
      <c r="F107" s="7"/>
      <c r="G107" s="7"/>
      <c r="H107" s="16"/>
      <c r="I107" s="16"/>
      <c r="J107" s="16"/>
      <c r="K107" s="16"/>
      <c r="L107" s="16"/>
      <c r="M107" s="16"/>
      <c r="N107" s="16"/>
      <c r="O107" s="16"/>
      <c r="P107" s="16"/>
      <c r="Q107" s="4"/>
      <c r="R107" s="4"/>
      <c r="S107" s="4"/>
      <c r="T107" s="4"/>
      <c r="U107" s="4"/>
      <c r="V107" s="4"/>
      <c r="W107" s="4"/>
      <c r="X107" s="4"/>
      <c r="Y107" s="4"/>
      <c r="Z107" s="4"/>
      <c r="AA107" s="4"/>
      <c r="AB107" s="4"/>
      <c r="AC107" s="4"/>
      <c r="AD107" s="4"/>
      <c r="AE107" s="4"/>
    </row>
    <row r="108" spans="1:31" ht="13.2">
      <c r="A108" s="7"/>
      <c r="B108" s="7"/>
      <c r="C108" s="7"/>
      <c r="D108" s="29"/>
      <c r="E108" s="7"/>
      <c r="F108" s="7"/>
      <c r="G108" s="7"/>
      <c r="H108" s="16"/>
      <c r="I108" s="16"/>
      <c r="J108" s="16"/>
      <c r="K108" s="16"/>
      <c r="L108" s="16"/>
      <c r="M108" s="16"/>
      <c r="N108" s="16"/>
      <c r="O108" s="16"/>
      <c r="P108" s="16"/>
      <c r="Q108" s="4"/>
      <c r="R108" s="4"/>
      <c r="S108" s="4"/>
      <c r="T108" s="4"/>
      <c r="U108" s="4"/>
      <c r="V108" s="4"/>
      <c r="W108" s="4"/>
      <c r="X108" s="4"/>
      <c r="Y108" s="4"/>
      <c r="Z108" s="4"/>
      <c r="AA108" s="4"/>
      <c r="AB108" s="4"/>
      <c r="AC108" s="4"/>
      <c r="AD108" s="4"/>
      <c r="AE108" s="4"/>
    </row>
    <row r="109" spans="1:31" ht="13.2">
      <c r="A109" s="7"/>
      <c r="B109" s="7"/>
      <c r="C109" s="7"/>
      <c r="D109" s="29"/>
      <c r="E109" s="7"/>
      <c r="F109" s="7"/>
      <c r="G109" s="7"/>
      <c r="H109" s="16"/>
      <c r="I109" s="16"/>
      <c r="J109" s="16"/>
      <c r="K109" s="16"/>
      <c r="L109" s="16"/>
      <c r="M109" s="16"/>
      <c r="N109" s="16"/>
      <c r="O109" s="16"/>
      <c r="P109" s="16"/>
      <c r="Q109" s="4"/>
      <c r="R109" s="4"/>
      <c r="S109" s="4"/>
      <c r="T109" s="4"/>
      <c r="U109" s="4"/>
      <c r="V109" s="4"/>
      <c r="W109" s="4"/>
      <c r="X109" s="4"/>
      <c r="Y109" s="4"/>
      <c r="Z109" s="4"/>
      <c r="AA109" s="4"/>
      <c r="AB109" s="4"/>
      <c r="AC109" s="4"/>
      <c r="AD109" s="4"/>
      <c r="AE109" s="4"/>
    </row>
    <row r="110" spans="1:31" ht="13.2">
      <c r="A110" s="7"/>
      <c r="B110" s="7"/>
      <c r="C110" s="7"/>
      <c r="D110" s="29"/>
      <c r="E110" s="7"/>
      <c r="F110" s="7"/>
      <c r="G110" s="7"/>
      <c r="H110" s="16"/>
      <c r="I110" s="16"/>
      <c r="J110" s="16"/>
      <c r="K110" s="16"/>
      <c r="L110" s="16"/>
      <c r="M110" s="16"/>
      <c r="N110" s="16"/>
      <c r="O110" s="16"/>
      <c r="P110" s="16"/>
      <c r="Q110" s="4"/>
      <c r="R110" s="4"/>
      <c r="S110" s="4"/>
      <c r="T110" s="4"/>
      <c r="U110" s="4"/>
      <c r="V110" s="4"/>
      <c r="W110" s="4"/>
      <c r="X110" s="4"/>
      <c r="Y110" s="4"/>
      <c r="Z110" s="4"/>
      <c r="AA110" s="4"/>
      <c r="AB110" s="4"/>
      <c r="AC110" s="4"/>
      <c r="AD110" s="4"/>
      <c r="AE110" s="4"/>
    </row>
    <row r="111" spans="1:31" ht="13.2">
      <c r="A111" s="7"/>
      <c r="B111" s="7"/>
      <c r="C111" s="7"/>
      <c r="D111" s="29"/>
      <c r="E111" s="7"/>
      <c r="F111" s="7"/>
      <c r="G111" s="7"/>
      <c r="H111" s="16"/>
      <c r="I111" s="16"/>
      <c r="J111" s="16"/>
      <c r="K111" s="16"/>
      <c r="L111" s="16"/>
      <c r="M111" s="16"/>
      <c r="N111" s="16"/>
      <c r="O111" s="16"/>
      <c r="P111" s="16"/>
      <c r="Q111" s="4"/>
      <c r="R111" s="4"/>
      <c r="S111" s="4"/>
      <c r="T111" s="4"/>
      <c r="U111" s="4"/>
      <c r="V111" s="4"/>
      <c r="W111" s="4"/>
      <c r="X111" s="4"/>
      <c r="Y111" s="4"/>
      <c r="Z111" s="4"/>
      <c r="AA111" s="4"/>
      <c r="AB111" s="4"/>
      <c r="AC111" s="4"/>
      <c r="AD111" s="4"/>
      <c r="AE111" s="4"/>
    </row>
    <row r="112" spans="1:31" ht="13.2">
      <c r="A112" s="7"/>
      <c r="B112" s="7"/>
      <c r="C112" s="7"/>
      <c r="D112" s="29"/>
      <c r="E112" s="7"/>
      <c r="F112" s="7"/>
      <c r="G112" s="7"/>
      <c r="H112" s="16"/>
      <c r="I112" s="16"/>
      <c r="J112" s="16"/>
      <c r="K112" s="16"/>
      <c r="L112" s="16"/>
      <c r="M112" s="16"/>
      <c r="N112" s="16"/>
      <c r="O112" s="16"/>
      <c r="P112" s="16"/>
      <c r="Q112" s="4"/>
      <c r="R112" s="4"/>
      <c r="S112" s="4"/>
      <c r="T112" s="4"/>
      <c r="U112" s="4"/>
      <c r="V112" s="4"/>
      <c r="W112" s="4"/>
      <c r="X112" s="4"/>
      <c r="Y112" s="4"/>
      <c r="Z112" s="4"/>
      <c r="AA112" s="4"/>
      <c r="AB112" s="4"/>
      <c r="AC112" s="4"/>
      <c r="AD112" s="4"/>
      <c r="AE112" s="4"/>
    </row>
    <row r="113" spans="1:31" ht="13.2">
      <c r="A113" s="7"/>
      <c r="B113" s="7"/>
      <c r="C113" s="7"/>
      <c r="D113" s="29"/>
      <c r="E113" s="7"/>
      <c r="F113" s="7"/>
      <c r="G113" s="7"/>
      <c r="H113" s="16"/>
      <c r="I113" s="16"/>
      <c r="J113" s="16"/>
      <c r="K113" s="16"/>
      <c r="L113" s="16"/>
      <c r="M113" s="16"/>
      <c r="N113" s="16"/>
      <c r="O113" s="16"/>
      <c r="P113" s="16"/>
      <c r="Q113" s="4"/>
      <c r="R113" s="4"/>
      <c r="S113" s="4"/>
      <c r="T113" s="4"/>
      <c r="U113" s="4"/>
      <c r="V113" s="4"/>
      <c r="W113" s="4"/>
      <c r="X113" s="4"/>
      <c r="Y113" s="4"/>
      <c r="Z113" s="4"/>
      <c r="AA113" s="4"/>
      <c r="AB113" s="4"/>
      <c r="AC113" s="4"/>
      <c r="AD113" s="4"/>
      <c r="AE113" s="4"/>
    </row>
    <row r="114" spans="1:31" ht="13.2">
      <c r="A114" s="7"/>
      <c r="B114" s="7"/>
      <c r="C114" s="7"/>
      <c r="D114" s="29"/>
      <c r="E114" s="7"/>
      <c r="F114" s="7"/>
      <c r="G114" s="7"/>
      <c r="H114" s="16"/>
      <c r="I114" s="16"/>
      <c r="J114" s="16"/>
      <c r="K114" s="16"/>
      <c r="L114" s="16"/>
      <c r="M114" s="16"/>
      <c r="N114" s="16"/>
      <c r="O114" s="16"/>
      <c r="P114" s="16"/>
      <c r="Q114" s="4"/>
      <c r="R114" s="4"/>
      <c r="S114" s="4"/>
      <c r="T114" s="4"/>
      <c r="U114" s="4"/>
      <c r="V114" s="4"/>
      <c r="W114" s="4"/>
      <c r="X114" s="4"/>
      <c r="Y114" s="4"/>
      <c r="Z114" s="4"/>
      <c r="AA114" s="4"/>
      <c r="AB114" s="4"/>
      <c r="AC114" s="4"/>
      <c r="AD114" s="4"/>
      <c r="AE114" s="4"/>
    </row>
    <row r="115" spans="1:31" ht="13.2">
      <c r="A115" s="7"/>
      <c r="B115" s="7"/>
      <c r="C115" s="7"/>
      <c r="D115" s="29"/>
      <c r="E115" s="7"/>
      <c r="F115" s="7"/>
      <c r="G115" s="7"/>
      <c r="H115" s="16"/>
      <c r="I115" s="16"/>
      <c r="J115" s="16"/>
      <c r="K115" s="16"/>
      <c r="L115" s="16"/>
      <c r="M115" s="16"/>
      <c r="N115" s="16"/>
      <c r="O115" s="16"/>
      <c r="P115" s="16"/>
      <c r="Q115" s="4"/>
      <c r="R115" s="4"/>
      <c r="S115" s="4"/>
      <c r="T115" s="4"/>
      <c r="U115" s="4"/>
      <c r="V115" s="4"/>
      <c r="W115" s="4"/>
      <c r="X115" s="4"/>
      <c r="Y115" s="4"/>
      <c r="Z115" s="4"/>
      <c r="AA115" s="4"/>
      <c r="AB115" s="4"/>
      <c r="AC115" s="4"/>
      <c r="AD115" s="4"/>
      <c r="AE115" s="4"/>
    </row>
    <row r="116" spans="1:31" ht="13.2">
      <c r="A116" s="7"/>
      <c r="B116" s="7"/>
      <c r="C116" s="7"/>
      <c r="D116" s="29"/>
      <c r="E116" s="7"/>
      <c r="F116" s="7"/>
      <c r="G116" s="7"/>
      <c r="H116" s="16"/>
      <c r="I116" s="16"/>
      <c r="J116" s="16"/>
      <c r="K116" s="16"/>
      <c r="L116" s="16"/>
      <c r="M116" s="16"/>
      <c r="N116" s="16"/>
      <c r="O116" s="16"/>
      <c r="P116" s="16"/>
      <c r="Q116" s="4"/>
      <c r="R116" s="4"/>
      <c r="S116" s="4"/>
      <c r="T116" s="4"/>
      <c r="U116" s="4"/>
      <c r="V116" s="4"/>
      <c r="W116" s="4"/>
      <c r="X116" s="4"/>
      <c r="Y116" s="4"/>
      <c r="Z116" s="4"/>
      <c r="AA116" s="4"/>
      <c r="AB116" s="4"/>
      <c r="AC116" s="4"/>
      <c r="AD116" s="4"/>
      <c r="AE116" s="4"/>
    </row>
    <row r="117" spans="1:31" ht="13.2">
      <c r="A117" s="7"/>
      <c r="B117" s="7"/>
      <c r="C117" s="7"/>
      <c r="D117" s="29"/>
      <c r="E117" s="7"/>
      <c r="F117" s="7"/>
      <c r="G117" s="7"/>
      <c r="H117" s="16"/>
      <c r="I117" s="16"/>
      <c r="J117" s="16"/>
      <c r="K117" s="16"/>
      <c r="L117" s="16"/>
      <c r="M117" s="16"/>
      <c r="N117" s="16"/>
      <c r="O117" s="16"/>
      <c r="P117" s="16"/>
      <c r="Q117" s="4"/>
      <c r="R117" s="4"/>
      <c r="S117" s="4"/>
      <c r="T117" s="4"/>
      <c r="U117" s="4"/>
      <c r="V117" s="4"/>
      <c r="W117" s="4"/>
      <c r="X117" s="4"/>
      <c r="Y117" s="4"/>
      <c r="Z117" s="4"/>
      <c r="AA117" s="4"/>
      <c r="AB117" s="4"/>
      <c r="AC117" s="4"/>
      <c r="AD117" s="4"/>
      <c r="AE117" s="4"/>
    </row>
    <row r="118" spans="1:31" ht="13.2">
      <c r="A118" s="7"/>
      <c r="B118" s="7"/>
      <c r="C118" s="7"/>
      <c r="D118" s="29"/>
      <c r="E118" s="7"/>
      <c r="F118" s="7"/>
      <c r="G118" s="7"/>
      <c r="H118" s="16"/>
      <c r="I118" s="16"/>
      <c r="J118" s="16"/>
      <c r="K118" s="16"/>
      <c r="L118" s="16"/>
      <c r="M118" s="16"/>
      <c r="N118" s="16"/>
      <c r="O118" s="16"/>
      <c r="P118" s="16"/>
      <c r="Q118" s="4"/>
      <c r="R118" s="4"/>
      <c r="S118" s="4"/>
      <c r="T118" s="4"/>
      <c r="U118" s="4"/>
      <c r="V118" s="4"/>
      <c r="W118" s="4"/>
      <c r="X118" s="4"/>
      <c r="Y118" s="4"/>
      <c r="Z118" s="4"/>
      <c r="AA118" s="4"/>
      <c r="AB118" s="4"/>
      <c r="AC118" s="4"/>
      <c r="AD118" s="4"/>
      <c r="AE118" s="4"/>
    </row>
    <row r="119" spans="1:31" ht="13.2">
      <c r="A119" s="7"/>
      <c r="B119" s="7"/>
      <c r="C119" s="7"/>
      <c r="D119" s="29"/>
      <c r="E119" s="7"/>
      <c r="F119" s="7"/>
      <c r="G119" s="7"/>
      <c r="H119" s="16"/>
      <c r="I119" s="16"/>
      <c r="J119" s="16"/>
      <c r="K119" s="16"/>
      <c r="L119" s="16"/>
      <c r="M119" s="16"/>
      <c r="N119" s="16"/>
      <c r="O119" s="16"/>
      <c r="P119" s="16"/>
      <c r="Q119" s="4"/>
      <c r="R119" s="4"/>
      <c r="S119" s="4"/>
      <c r="T119" s="4"/>
      <c r="U119" s="4"/>
      <c r="V119" s="4"/>
      <c r="W119" s="4"/>
      <c r="X119" s="4"/>
      <c r="Y119" s="4"/>
      <c r="Z119" s="4"/>
      <c r="AA119" s="4"/>
      <c r="AB119" s="4"/>
      <c r="AC119" s="4"/>
      <c r="AD119" s="4"/>
      <c r="AE119" s="4"/>
    </row>
    <row r="120" spans="1:31" ht="13.2">
      <c r="A120" s="7"/>
      <c r="B120" s="7"/>
      <c r="C120" s="7"/>
      <c r="D120" s="29"/>
      <c r="E120" s="7"/>
      <c r="F120" s="7"/>
      <c r="G120" s="7"/>
      <c r="H120" s="16"/>
      <c r="I120" s="16"/>
      <c r="J120" s="16"/>
      <c r="K120" s="16"/>
      <c r="L120" s="16"/>
      <c r="M120" s="16"/>
      <c r="N120" s="16"/>
      <c r="O120" s="16"/>
      <c r="P120" s="16"/>
      <c r="Q120" s="4"/>
      <c r="R120" s="4"/>
      <c r="S120" s="4"/>
      <c r="T120" s="4"/>
      <c r="U120" s="4"/>
      <c r="V120" s="4"/>
      <c r="W120" s="4"/>
      <c r="X120" s="4"/>
      <c r="Y120" s="4"/>
      <c r="Z120" s="4"/>
      <c r="AA120" s="4"/>
      <c r="AB120" s="4"/>
      <c r="AC120" s="4"/>
      <c r="AD120" s="4"/>
      <c r="AE120" s="4"/>
    </row>
    <row r="121" spans="1:31" ht="13.2">
      <c r="A121" s="7"/>
      <c r="B121" s="7"/>
      <c r="C121" s="7"/>
      <c r="D121" s="29"/>
      <c r="E121" s="7"/>
      <c r="F121" s="7"/>
      <c r="G121" s="7"/>
      <c r="H121" s="16"/>
      <c r="I121" s="16"/>
      <c r="J121" s="16"/>
      <c r="K121" s="16"/>
      <c r="L121" s="16"/>
      <c r="M121" s="16"/>
      <c r="N121" s="16"/>
      <c r="O121" s="16"/>
      <c r="P121" s="16"/>
      <c r="Q121" s="4"/>
      <c r="R121" s="4"/>
      <c r="S121" s="4"/>
      <c r="T121" s="4"/>
      <c r="U121" s="4"/>
      <c r="V121" s="4"/>
      <c r="W121" s="4"/>
      <c r="X121" s="4"/>
      <c r="Y121" s="4"/>
      <c r="Z121" s="4"/>
      <c r="AA121" s="4"/>
      <c r="AB121" s="4"/>
      <c r="AC121" s="4"/>
      <c r="AD121" s="4"/>
      <c r="AE121" s="4"/>
    </row>
    <row r="122" spans="1:31" ht="13.2">
      <c r="A122" s="7"/>
      <c r="B122" s="7"/>
      <c r="C122" s="7"/>
      <c r="D122" s="29"/>
      <c r="E122" s="7"/>
      <c r="F122" s="7"/>
      <c r="G122" s="7"/>
      <c r="H122" s="16"/>
      <c r="I122" s="16"/>
      <c r="J122" s="16"/>
      <c r="K122" s="16"/>
      <c r="L122" s="16"/>
      <c r="M122" s="16"/>
      <c r="N122" s="16"/>
      <c r="O122" s="16"/>
      <c r="P122" s="16"/>
      <c r="Q122" s="4"/>
      <c r="R122" s="4"/>
      <c r="S122" s="4"/>
      <c r="T122" s="4"/>
      <c r="U122" s="4"/>
      <c r="V122" s="4"/>
      <c r="W122" s="4"/>
      <c r="X122" s="4"/>
      <c r="Y122" s="4"/>
      <c r="Z122" s="4"/>
      <c r="AA122" s="4"/>
      <c r="AB122" s="4"/>
      <c r="AC122" s="4"/>
      <c r="AD122" s="4"/>
      <c r="AE122" s="4"/>
    </row>
    <row r="123" spans="1:31" ht="13.2">
      <c r="A123" s="7"/>
      <c r="B123" s="7"/>
      <c r="C123" s="7"/>
      <c r="D123" s="29"/>
      <c r="E123" s="7"/>
      <c r="F123" s="7"/>
      <c r="G123" s="7"/>
      <c r="H123" s="16"/>
      <c r="I123" s="16"/>
      <c r="J123" s="16"/>
      <c r="K123" s="16"/>
      <c r="L123" s="16"/>
      <c r="M123" s="16"/>
      <c r="N123" s="16"/>
      <c r="O123" s="16"/>
      <c r="P123" s="16"/>
      <c r="Q123" s="4"/>
      <c r="R123" s="4"/>
      <c r="S123" s="4"/>
      <c r="T123" s="4"/>
      <c r="U123" s="4"/>
      <c r="V123" s="4"/>
      <c r="W123" s="4"/>
      <c r="X123" s="4"/>
      <c r="Y123" s="4"/>
      <c r="Z123" s="4"/>
      <c r="AA123" s="4"/>
      <c r="AB123" s="4"/>
      <c r="AC123" s="4"/>
      <c r="AD123" s="4"/>
      <c r="AE123" s="4"/>
    </row>
    <row r="124" spans="1:31" ht="13.2">
      <c r="A124" s="7"/>
      <c r="B124" s="7"/>
      <c r="C124" s="7"/>
      <c r="D124" s="29"/>
      <c r="E124" s="7"/>
      <c r="F124" s="7"/>
      <c r="G124" s="7"/>
      <c r="H124" s="16"/>
      <c r="I124" s="16"/>
      <c r="J124" s="16"/>
      <c r="K124" s="16"/>
      <c r="L124" s="16"/>
      <c r="M124" s="16"/>
      <c r="N124" s="16"/>
      <c r="O124" s="16"/>
      <c r="P124" s="16"/>
      <c r="Q124" s="4"/>
      <c r="R124" s="4"/>
      <c r="S124" s="4"/>
      <c r="T124" s="4"/>
      <c r="U124" s="4"/>
      <c r="V124" s="4"/>
      <c r="W124" s="4"/>
      <c r="X124" s="4"/>
      <c r="Y124" s="4"/>
      <c r="Z124" s="4"/>
      <c r="AA124" s="4"/>
      <c r="AB124" s="4"/>
      <c r="AC124" s="4"/>
      <c r="AD124" s="4"/>
      <c r="AE124" s="4"/>
    </row>
    <row r="125" spans="1:31" ht="13.2">
      <c r="A125" s="7"/>
      <c r="B125" s="7"/>
      <c r="C125" s="7"/>
      <c r="D125" s="29"/>
      <c r="E125" s="7"/>
      <c r="F125" s="7"/>
      <c r="G125" s="7"/>
      <c r="H125" s="16"/>
      <c r="I125" s="16"/>
      <c r="J125" s="16"/>
      <c r="K125" s="16"/>
      <c r="L125" s="16"/>
      <c r="M125" s="16"/>
      <c r="N125" s="16"/>
      <c r="O125" s="16"/>
      <c r="P125" s="16"/>
      <c r="Q125" s="4"/>
      <c r="R125" s="4"/>
      <c r="S125" s="4"/>
      <c r="T125" s="4"/>
      <c r="U125" s="4"/>
      <c r="V125" s="4"/>
      <c r="W125" s="4"/>
      <c r="X125" s="4"/>
      <c r="Y125" s="4"/>
      <c r="Z125" s="4"/>
      <c r="AA125" s="4"/>
      <c r="AB125" s="4"/>
      <c r="AC125" s="4"/>
      <c r="AD125" s="4"/>
      <c r="AE125" s="4"/>
    </row>
    <row r="126" spans="1:31" ht="13.2">
      <c r="A126" s="7"/>
      <c r="B126" s="7"/>
      <c r="C126" s="7"/>
      <c r="D126" s="29"/>
      <c r="E126" s="7"/>
      <c r="F126" s="7"/>
      <c r="G126" s="7"/>
      <c r="H126" s="16"/>
      <c r="I126" s="16"/>
      <c r="J126" s="16"/>
      <c r="K126" s="16"/>
      <c r="L126" s="16"/>
      <c r="M126" s="16"/>
      <c r="N126" s="16"/>
      <c r="O126" s="16"/>
      <c r="P126" s="16"/>
      <c r="Q126" s="4"/>
      <c r="R126" s="4"/>
      <c r="S126" s="4"/>
      <c r="T126" s="4"/>
      <c r="U126" s="4"/>
      <c r="V126" s="4"/>
      <c r="W126" s="4"/>
      <c r="X126" s="4"/>
      <c r="Y126" s="4"/>
      <c r="Z126" s="4"/>
      <c r="AA126" s="4"/>
      <c r="AB126" s="4"/>
      <c r="AC126" s="4"/>
      <c r="AD126" s="4"/>
      <c r="AE126" s="4"/>
    </row>
    <row r="127" spans="1:31" ht="13.2">
      <c r="A127" s="7"/>
      <c r="B127" s="7"/>
      <c r="C127" s="7"/>
      <c r="D127" s="29"/>
      <c r="E127" s="7"/>
      <c r="F127" s="7"/>
      <c r="G127" s="7"/>
      <c r="H127" s="16"/>
      <c r="I127" s="16"/>
      <c r="J127" s="16"/>
      <c r="K127" s="16"/>
      <c r="L127" s="16"/>
      <c r="M127" s="16"/>
      <c r="N127" s="16"/>
      <c r="O127" s="16"/>
      <c r="P127" s="16"/>
      <c r="Q127" s="4"/>
      <c r="R127" s="4"/>
      <c r="S127" s="4"/>
      <c r="T127" s="4"/>
      <c r="U127" s="4"/>
      <c r="V127" s="4"/>
      <c r="W127" s="4"/>
      <c r="X127" s="4"/>
      <c r="Y127" s="4"/>
      <c r="Z127" s="4"/>
      <c r="AA127" s="4"/>
      <c r="AB127" s="4"/>
      <c r="AC127" s="4"/>
      <c r="AD127" s="4"/>
      <c r="AE127" s="4"/>
    </row>
    <row r="128" spans="1:31" ht="13.2">
      <c r="A128" s="7"/>
      <c r="B128" s="7"/>
      <c r="C128" s="7"/>
      <c r="D128" s="29"/>
      <c r="E128" s="7"/>
      <c r="F128" s="7"/>
      <c r="G128" s="7"/>
      <c r="H128" s="16"/>
      <c r="I128" s="16"/>
      <c r="J128" s="16"/>
      <c r="K128" s="16"/>
      <c r="L128" s="16"/>
      <c r="M128" s="16"/>
      <c r="N128" s="16"/>
      <c r="O128" s="16"/>
      <c r="P128" s="16"/>
      <c r="Q128" s="4"/>
      <c r="R128" s="4"/>
      <c r="S128" s="4"/>
      <c r="T128" s="4"/>
      <c r="U128" s="4"/>
      <c r="V128" s="4"/>
      <c r="W128" s="4"/>
      <c r="X128" s="4"/>
      <c r="Y128" s="4"/>
      <c r="Z128" s="4"/>
      <c r="AA128" s="4"/>
      <c r="AB128" s="4"/>
      <c r="AC128" s="4"/>
      <c r="AD128" s="4"/>
      <c r="AE128" s="4"/>
    </row>
    <row r="129" spans="1:31" ht="13.2">
      <c r="A129" s="7"/>
      <c r="B129" s="7"/>
      <c r="C129" s="7"/>
      <c r="D129" s="29"/>
      <c r="E129" s="7"/>
      <c r="F129" s="7"/>
      <c r="G129" s="7"/>
      <c r="H129" s="16"/>
      <c r="I129" s="16"/>
      <c r="J129" s="16"/>
      <c r="K129" s="16"/>
      <c r="L129" s="16"/>
      <c r="M129" s="16"/>
      <c r="N129" s="16"/>
      <c r="O129" s="16"/>
      <c r="P129" s="16"/>
      <c r="Q129" s="4"/>
      <c r="R129" s="4"/>
      <c r="S129" s="4"/>
      <c r="T129" s="4"/>
      <c r="U129" s="4"/>
      <c r="V129" s="4"/>
      <c r="W129" s="4"/>
      <c r="X129" s="4"/>
      <c r="Y129" s="4"/>
      <c r="Z129" s="4"/>
      <c r="AA129" s="4"/>
      <c r="AB129" s="4"/>
      <c r="AC129" s="4"/>
      <c r="AD129" s="4"/>
      <c r="AE129" s="4"/>
    </row>
    <row r="130" spans="1:31" ht="13.2">
      <c r="A130" s="7"/>
      <c r="B130" s="7"/>
      <c r="C130" s="7"/>
      <c r="D130" s="29"/>
      <c r="E130" s="7"/>
      <c r="F130" s="7"/>
      <c r="G130" s="7"/>
      <c r="H130" s="16"/>
      <c r="I130" s="16"/>
      <c r="J130" s="16"/>
      <c r="K130" s="16"/>
      <c r="L130" s="16"/>
      <c r="M130" s="16"/>
      <c r="N130" s="16"/>
      <c r="O130" s="16"/>
      <c r="P130" s="16"/>
      <c r="Q130" s="4"/>
      <c r="R130" s="4"/>
      <c r="S130" s="4"/>
      <c r="T130" s="4"/>
      <c r="U130" s="4"/>
      <c r="V130" s="4"/>
      <c r="W130" s="4"/>
      <c r="X130" s="4"/>
      <c r="Y130" s="4"/>
      <c r="Z130" s="4"/>
      <c r="AA130" s="4"/>
      <c r="AB130" s="4"/>
      <c r="AC130" s="4"/>
      <c r="AD130" s="4"/>
      <c r="AE130" s="4"/>
    </row>
    <row r="131" spans="1:31" ht="13.2">
      <c r="A131" s="7"/>
      <c r="B131" s="7"/>
      <c r="C131" s="7"/>
      <c r="D131" s="29"/>
      <c r="E131" s="7"/>
      <c r="F131" s="7"/>
      <c r="G131" s="7"/>
      <c r="H131" s="16"/>
      <c r="I131" s="16"/>
      <c r="J131" s="16"/>
      <c r="K131" s="16"/>
      <c r="L131" s="16"/>
      <c r="M131" s="16"/>
      <c r="N131" s="16"/>
      <c r="O131" s="16"/>
      <c r="P131" s="16"/>
      <c r="Q131" s="4"/>
      <c r="R131" s="4"/>
      <c r="S131" s="4"/>
      <c r="T131" s="4"/>
      <c r="U131" s="4"/>
      <c r="V131" s="4"/>
      <c r="W131" s="4"/>
      <c r="X131" s="4"/>
      <c r="Y131" s="4"/>
      <c r="Z131" s="4"/>
      <c r="AA131" s="4"/>
      <c r="AB131" s="4"/>
      <c r="AC131" s="4"/>
      <c r="AD131" s="4"/>
      <c r="AE131" s="4"/>
    </row>
    <row r="132" spans="1:31" ht="13.2">
      <c r="A132" s="7"/>
      <c r="B132" s="7"/>
      <c r="C132" s="7"/>
      <c r="D132" s="29"/>
      <c r="E132" s="7"/>
      <c r="F132" s="7"/>
      <c r="G132" s="7"/>
      <c r="H132" s="16"/>
      <c r="I132" s="16"/>
      <c r="J132" s="16"/>
      <c r="K132" s="16"/>
      <c r="L132" s="16"/>
      <c r="M132" s="16"/>
      <c r="N132" s="16"/>
      <c r="O132" s="16"/>
      <c r="P132" s="16"/>
      <c r="Q132" s="4"/>
      <c r="R132" s="4"/>
      <c r="S132" s="4"/>
      <c r="T132" s="4"/>
      <c r="U132" s="4"/>
      <c r="V132" s="4"/>
      <c r="W132" s="4"/>
      <c r="X132" s="4"/>
      <c r="Y132" s="4"/>
      <c r="Z132" s="4"/>
      <c r="AA132" s="4"/>
      <c r="AB132" s="4"/>
      <c r="AC132" s="4"/>
      <c r="AD132" s="4"/>
      <c r="AE132" s="4"/>
    </row>
    <row r="133" spans="1:31" ht="13.2">
      <c r="A133" s="7"/>
      <c r="B133" s="7"/>
      <c r="C133" s="7"/>
      <c r="D133" s="29"/>
      <c r="E133" s="7"/>
      <c r="F133" s="7"/>
      <c r="G133" s="7"/>
      <c r="H133" s="16"/>
      <c r="I133" s="16"/>
      <c r="J133" s="16"/>
      <c r="K133" s="16"/>
      <c r="L133" s="16"/>
      <c r="M133" s="16"/>
      <c r="N133" s="16"/>
      <c r="O133" s="16"/>
      <c r="P133" s="16"/>
      <c r="Q133" s="4"/>
      <c r="R133" s="4"/>
      <c r="S133" s="4"/>
      <c r="T133" s="4"/>
      <c r="U133" s="4"/>
      <c r="V133" s="4"/>
      <c r="W133" s="4"/>
      <c r="X133" s="4"/>
      <c r="Y133" s="4"/>
      <c r="Z133" s="4"/>
      <c r="AA133" s="4"/>
      <c r="AB133" s="4"/>
      <c r="AC133" s="4"/>
      <c r="AD133" s="4"/>
      <c r="AE133" s="4"/>
    </row>
    <row r="134" spans="1:31" ht="13.2">
      <c r="A134" s="7"/>
      <c r="B134" s="7"/>
      <c r="C134" s="7"/>
      <c r="D134" s="29"/>
      <c r="E134" s="7"/>
      <c r="F134" s="7"/>
      <c r="G134" s="7"/>
      <c r="H134" s="16"/>
      <c r="I134" s="16"/>
      <c r="J134" s="16"/>
      <c r="K134" s="16"/>
      <c r="L134" s="16"/>
      <c r="M134" s="16"/>
      <c r="N134" s="16"/>
      <c r="O134" s="16"/>
      <c r="P134" s="16"/>
      <c r="Q134" s="4"/>
      <c r="R134" s="4"/>
      <c r="S134" s="4"/>
      <c r="T134" s="4"/>
      <c r="U134" s="4"/>
      <c r="V134" s="4"/>
      <c r="W134" s="4"/>
      <c r="X134" s="4"/>
      <c r="Y134" s="4"/>
      <c r="Z134" s="4"/>
      <c r="AA134" s="4"/>
      <c r="AB134" s="4"/>
      <c r="AC134" s="4"/>
      <c r="AD134" s="4"/>
      <c r="AE134" s="4"/>
    </row>
    <row r="135" spans="1:31" ht="13.2">
      <c r="A135" s="7"/>
      <c r="B135" s="7"/>
      <c r="C135" s="7"/>
      <c r="D135" s="29"/>
      <c r="E135" s="7"/>
      <c r="F135" s="7"/>
      <c r="G135" s="7"/>
      <c r="H135" s="16"/>
      <c r="I135" s="16"/>
      <c r="J135" s="16"/>
      <c r="K135" s="16"/>
      <c r="L135" s="16"/>
      <c r="M135" s="16"/>
      <c r="N135" s="16"/>
      <c r="O135" s="16"/>
      <c r="P135" s="16"/>
      <c r="Q135" s="4"/>
      <c r="R135" s="4"/>
      <c r="S135" s="4"/>
      <c r="T135" s="4"/>
      <c r="U135" s="4"/>
      <c r="V135" s="4"/>
      <c r="W135" s="4"/>
      <c r="X135" s="4"/>
      <c r="Y135" s="4"/>
      <c r="Z135" s="4"/>
      <c r="AA135" s="4"/>
      <c r="AB135" s="4"/>
      <c r="AC135" s="4"/>
      <c r="AD135" s="4"/>
      <c r="AE135" s="4"/>
    </row>
    <row r="136" spans="1:31" ht="13.2">
      <c r="A136" s="7"/>
      <c r="B136" s="7"/>
      <c r="C136" s="7"/>
      <c r="D136" s="29"/>
      <c r="E136" s="7"/>
      <c r="F136" s="7"/>
      <c r="G136" s="7"/>
      <c r="H136" s="16"/>
      <c r="I136" s="16"/>
      <c r="J136" s="16"/>
      <c r="K136" s="16"/>
      <c r="L136" s="16"/>
      <c r="M136" s="16"/>
      <c r="N136" s="16"/>
      <c r="O136" s="16"/>
      <c r="P136" s="16"/>
      <c r="Q136" s="4"/>
      <c r="R136" s="4"/>
      <c r="S136" s="4"/>
      <c r="T136" s="4"/>
      <c r="U136" s="4"/>
      <c r="V136" s="4"/>
      <c r="W136" s="4"/>
      <c r="X136" s="4"/>
      <c r="Y136" s="4"/>
      <c r="Z136" s="4"/>
      <c r="AA136" s="4"/>
      <c r="AB136" s="4"/>
      <c r="AC136" s="4"/>
      <c r="AD136" s="4"/>
      <c r="AE136" s="4"/>
    </row>
    <row r="137" spans="1:31" ht="13.2">
      <c r="A137" s="7"/>
      <c r="B137" s="7"/>
      <c r="C137" s="7"/>
      <c r="D137" s="29"/>
      <c r="E137" s="7"/>
      <c r="F137" s="7"/>
      <c r="G137" s="7"/>
      <c r="H137" s="16"/>
      <c r="I137" s="16"/>
      <c r="J137" s="16"/>
      <c r="K137" s="16"/>
      <c r="L137" s="16"/>
      <c r="M137" s="16"/>
      <c r="N137" s="16"/>
      <c r="O137" s="16"/>
      <c r="P137" s="16"/>
      <c r="Q137" s="4"/>
      <c r="R137" s="4"/>
      <c r="S137" s="4"/>
      <c r="T137" s="4"/>
      <c r="U137" s="4"/>
      <c r="V137" s="4"/>
      <c r="W137" s="4"/>
      <c r="X137" s="4"/>
      <c r="Y137" s="4"/>
      <c r="Z137" s="4"/>
      <c r="AA137" s="4"/>
      <c r="AB137" s="4"/>
      <c r="AC137" s="4"/>
      <c r="AD137" s="4"/>
      <c r="AE137" s="4"/>
    </row>
    <row r="138" spans="1:31" ht="13.2">
      <c r="A138" s="7"/>
      <c r="B138" s="7"/>
      <c r="C138" s="7"/>
      <c r="D138" s="29"/>
      <c r="E138" s="7"/>
      <c r="F138" s="7"/>
      <c r="G138" s="7"/>
      <c r="H138" s="16"/>
      <c r="I138" s="16"/>
      <c r="J138" s="16"/>
      <c r="K138" s="16"/>
      <c r="L138" s="16"/>
      <c r="M138" s="16"/>
      <c r="N138" s="16"/>
      <c r="O138" s="16"/>
      <c r="P138" s="16"/>
      <c r="Q138" s="4"/>
      <c r="R138" s="4"/>
      <c r="S138" s="4"/>
      <c r="T138" s="4"/>
      <c r="U138" s="4"/>
      <c r="V138" s="4"/>
      <c r="W138" s="4"/>
      <c r="X138" s="4"/>
      <c r="Y138" s="4"/>
      <c r="Z138" s="4"/>
      <c r="AA138" s="4"/>
      <c r="AB138" s="4"/>
      <c r="AC138" s="4"/>
      <c r="AD138" s="4"/>
      <c r="AE138" s="4"/>
    </row>
    <row r="139" spans="1:31" ht="13.2">
      <c r="A139" s="7"/>
      <c r="B139" s="7"/>
      <c r="C139" s="7"/>
      <c r="D139" s="29"/>
      <c r="E139" s="7"/>
      <c r="F139" s="7"/>
      <c r="G139" s="7"/>
      <c r="H139" s="16"/>
      <c r="I139" s="16"/>
      <c r="J139" s="16"/>
      <c r="K139" s="16"/>
      <c r="L139" s="16"/>
      <c r="M139" s="16"/>
      <c r="N139" s="16"/>
      <c r="O139" s="16"/>
      <c r="P139" s="16"/>
      <c r="Q139" s="4"/>
      <c r="R139" s="4"/>
      <c r="S139" s="4"/>
      <c r="T139" s="4"/>
      <c r="U139" s="4"/>
      <c r="V139" s="4"/>
      <c r="W139" s="4"/>
      <c r="X139" s="4"/>
      <c r="Y139" s="4"/>
      <c r="Z139" s="4"/>
      <c r="AA139" s="4"/>
      <c r="AB139" s="4"/>
      <c r="AC139" s="4"/>
      <c r="AD139" s="4"/>
      <c r="AE139" s="4"/>
    </row>
    <row r="140" spans="1:31" ht="13.2">
      <c r="A140" s="7"/>
      <c r="B140" s="7"/>
      <c r="C140" s="7"/>
      <c r="D140" s="29"/>
      <c r="E140" s="7"/>
      <c r="F140" s="7"/>
      <c r="G140" s="7"/>
      <c r="H140" s="16"/>
      <c r="I140" s="16"/>
      <c r="J140" s="16"/>
      <c r="K140" s="16"/>
      <c r="L140" s="16"/>
      <c r="M140" s="16"/>
      <c r="N140" s="16"/>
      <c r="O140" s="16"/>
      <c r="P140" s="16"/>
      <c r="Q140" s="4"/>
      <c r="R140" s="4"/>
      <c r="S140" s="4"/>
      <c r="T140" s="4"/>
      <c r="U140" s="4"/>
      <c r="V140" s="4"/>
      <c r="W140" s="4"/>
      <c r="X140" s="4"/>
      <c r="Y140" s="4"/>
      <c r="Z140" s="4"/>
      <c r="AA140" s="4"/>
      <c r="AB140" s="4"/>
      <c r="AC140" s="4"/>
      <c r="AD140" s="4"/>
      <c r="AE140" s="4"/>
    </row>
    <row r="141" spans="1:31" ht="13.2">
      <c r="A141" s="7"/>
      <c r="B141" s="7"/>
      <c r="C141" s="7"/>
      <c r="D141" s="29"/>
      <c r="E141" s="7"/>
      <c r="F141" s="7"/>
      <c r="G141" s="7"/>
      <c r="H141" s="16"/>
      <c r="I141" s="16"/>
      <c r="J141" s="16"/>
      <c r="K141" s="16"/>
      <c r="L141" s="16"/>
      <c r="M141" s="16"/>
      <c r="N141" s="16"/>
      <c r="O141" s="16"/>
      <c r="P141" s="16"/>
      <c r="Q141" s="4"/>
      <c r="R141" s="4"/>
      <c r="S141" s="4"/>
      <c r="T141" s="4"/>
      <c r="U141" s="4"/>
      <c r="V141" s="4"/>
      <c r="W141" s="4"/>
      <c r="X141" s="4"/>
      <c r="Y141" s="4"/>
      <c r="Z141" s="4"/>
      <c r="AA141" s="4"/>
      <c r="AB141" s="4"/>
      <c r="AC141" s="4"/>
      <c r="AD141" s="4"/>
      <c r="AE141" s="4"/>
    </row>
    <row r="142" spans="1:31" ht="13.2">
      <c r="A142" s="7"/>
      <c r="B142" s="7"/>
      <c r="C142" s="7"/>
      <c r="D142" s="29"/>
      <c r="E142" s="7"/>
      <c r="F142" s="7"/>
      <c r="G142" s="7"/>
      <c r="H142" s="16"/>
      <c r="I142" s="16"/>
      <c r="J142" s="16"/>
      <c r="K142" s="16"/>
      <c r="L142" s="16"/>
      <c r="M142" s="16"/>
      <c r="N142" s="16"/>
      <c r="O142" s="16"/>
      <c r="P142" s="16"/>
      <c r="Q142" s="4"/>
      <c r="R142" s="4"/>
      <c r="S142" s="4"/>
      <c r="T142" s="4"/>
      <c r="U142" s="4"/>
      <c r="V142" s="4"/>
      <c r="W142" s="4"/>
      <c r="X142" s="4"/>
      <c r="Y142" s="4"/>
      <c r="Z142" s="4"/>
      <c r="AA142" s="4"/>
      <c r="AB142" s="4"/>
      <c r="AC142" s="4"/>
      <c r="AD142" s="4"/>
      <c r="AE142" s="4"/>
    </row>
    <row r="143" spans="1:31" ht="13.2">
      <c r="A143" s="7"/>
      <c r="B143" s="7"/>
      <c r="C143" s="7"/>
      <c r="D143" s="29"/>
      <c r="E143" s="7"/>
      <c r="F143" s="7"/>
      <c r="G143" s="7"/>
      <c r="H143" s="16"/>
      <c r="I143" s="16"/>
      <c r="J143" s="16"/>
      <c r="K143" s="16"/>
      <c r="L143" s="16"/>
      <c r="M143" s="16"/>
      <c r="N143" s="16"/>
      <c r="O143" s="16"/>
      <c r="P143" s="16"/>
      <c r="Q143" s="4"/>
      <c r="R143" s="4"/>
      <c r="S143" s="4"/>
      <c r="T143" s="4"/>
      <c r="U143" s="4"/>
      <c r="V143" s="4"/>
      <c r="W143" s="4"/>
      <c r="X143" s="4"/>
      <c r="Y143" s="4"/>
      <c r="Z143" s="4"/>
      <c r="AA143" s="4"/>
      <c r="AB143" s="4"/>
      <c r="AC143" s="4"/>
      <c r="AD143" s="4"/>
      <c r="AE143" s="4"/>
    </row>
    <row r="144" spans="1:31" ht="13.2">
      <c r="A144" s="7"/>
      <c r="B144" s="7"/>
      <c r="C144" s="7"/>
      <c r="D144" s="29"/>
      <c r="E144" s="7"/>
      <c r="F144" s="7"/>
      <c r="G144" s="7"/>
      <c r="H144" s="16"/>
      <c r="I144" s="16"/>
      <c r="J144" s="16"/>
      <c r="K144" s="16"/>
      <c r="L144" s="16"/>
      <c r="M144" s="16"/>
      <c r="N144" s="16"/>
      <c r="O144" s="16"/>
      <c r="P144" s="16"/>
      <c r="Q144" s="4"/>
      <c r="R144" s="4"/>
      <c r="S144" s="4"/>
      <c r="T144" s="4"/>
      <c r="U144" s="4"/>
      <c r="V144" s="4"/>
      <c r="W144" s="4"/>
      <c r="X144" s="4"/>
      <c r="Y144" s="4"/>
      <c r="Z144" s="4"/>
      <c r="AA144" s="4"/>
      <c r="AB144" s="4"/>
      <c r="AC144" s="4"/>
      <c r="AD144" s="4"/>
      <c r="AE144" s="4"/>
    </row>
    <row r="145" spans="1:31" ht="13.2">
      <c r="A145" s="7"/>
      <c r="B145" s="7"/>
      <c r="C145" s="7"/>
      <c r="D145" s="29"/>
      <c r="E145" s="7"/>
      <c r="F145" s="7"/>
      <c r="G145" s="7"/>
      <c r="H145" s="16"/>
      <c r="I145" s="16"/>
      <c r="J145" s="16"/>
      <c r="K145" s="16"/>
      <c r="L145" s="16"/>
      <c r="M145" s="16"/>
      <c r="N145" s="16"/>
      <c r="O145" s="16"/>
      <c r="P145" s="16"/>
      <c r="Q145" s="4"/>
      <c r="R145" s="4"/>
      <c r="S145" s="4"/>
      <c r="T145" s="4"/>
      <c r="U145" s="4"/>
      <c r="V145" s="4"/>
      <c r="W145" s="4"/>
      <c r="X145" s="4"/>
      <c r="Y145" s="4"/>
      <c r="Z145" s="4"/>
      <c r="AA145" s="4"/>
      <c r="AB145" s="4"/>
      <c r="AC145" s="4"/>
      <c r="AD145" s="4"/>
      <c r="AE145" s="4"/>
    </row>
    <row r="146" spans="1:31" ht="13.2">
      <c r="A146" s="7"/>
      <c r="B146" s="7"/>
      <c r="C146" s="7"/>
      <c r="D146" s="29"/>
      <c r="E146" s="7"/>
      <c r="F146" s="7"/>
      <c r="G146" s="7"/>
      <c r="H146" s="16"/>
      <c r="I146" s="16"/>
      <c r="J146" s="16"/>
      <c r="K146" s="16"/>
      <c r="L146" s="16"/>
      <c r="M146" s="16"/>
      <c r="N146" s="16"/>
      <c r="O146" s="16"/>
      <c r="P146" s="16"/>
      <c r="Q146" s="4"/>
      <c r="R146" s="4"/>
      <c r="S146" s="4"/>
      <c r="T146" s="4"/>
      <c r="U146" s="4"/>
      <c r="V146" s="4"/>
      <c r="W146" s="4"/>
      <c r="X146" s="4"/>
      <c r="Y146" s="4"/>
      <c r="Z146" s="4"/>
      <c r="AA146" s="4"/>
      <c r="AB146" s="4"/>
      <c r="AC146" s="4"/>
      <c r="AD146" s="4"/>
      <c r="AE146" s="4"/>
    </row>
    <row r="147" spans="1:31" ht="13.2">
      <c r="A147" s="7"/>
      <c r="B147" s="7"/>
      <c r="C147" s="7"/>
      <c r="D147" s="29"/>
      <c r="E147" s="7"/>
      <c r="F147" s="7"/>
      <c r="G147" s="7"/>
      <c r="H147" s="16"/>
      <c r="I147" s="16"/>
      <c r="J147" s="16"/>
      <c r="K147" s="16"/>
      <c r="L147" s="16"/>
      <c r="M147" s="16"/>
      <c r="N147" s="16"/>
      <c r="O147" s="16"/>
      <c r="P147" s="16"/>
      <c r="Q147" s="4"/>
      <c r="R147" s="4"/>
      <c r="S147" s="4"/>
      <c r="T147" s="4"/>
      <c r="U147" s="4"/>
      <c r="V147" s="4"/>
      <c r="W147" s="4"/>
      <c r="X147" s="4"/>
      <c r="Y147" s="4"/>
      <c r="Z147" s="4"/>
      <c r="AA147" s="4"/>
      <c r="AB147" s="4"/>
      <c r="AC147" s="4"/>
      <c r="AD147" s="4"/>
      <c r="AE147" s="4"/>
    </row>
    <row r="148" spans="1:31" ht="13.2">
      <c r="A148" s="7"/>
      <c r="B148" s="7"/>
      <c r="C148" s="7"/>
      <c r="D148" s="29"/>
      <c r="E148" s="7"/>
      <c r="F148" s="7"/>
      <c r="G148" s="7"/>
      <c r="H148" s="16"/>
      <c r="I148" s="16"/>
      <c r="J148" s="16"/>
      <c r="K148" s="16"/>
      <c r="L148" s="16"/>
      <c r="M148" s="16"/>
      <c r="N148" s="16"/>
      <c r="O148" s="16"/>
      <c r="P148" s="16"/>
      <c r="Q148" s="4"/>
      <c r="R148" s="4"/>
      <c r="S148" s="4"/>
      <c r="T148" s="4"/>
      <c r="U148" s="4"/>
      <c r="V148" s="4"/>
      <c r="W148" s="4"/>
      <c r="X148" s="4"/>
      <c r="Y148" s="4"/>
      <c r="Z148" s="4"/>
      <c r="AA148" s="4"/>
      <c r="AB148" s="4"/>
      <c r="AC148" s="4"/>
      <c r="AD148" s="4"/>
      <c r="AE148" s="4"/>
    </row>
    <row r="149" spans="1:31" ht="13.2">
      <c r="A149" s="7"/>
      <c r="B149" s="7"/>
      <c r="C149" s="7"/>
      <c r="D149" s="29"/>
      <c r="E149" s="7"/>
      <c r="F149" s="7"/>
      <c r="G149" s="7"/>
      <c r="H149" s="16"/>
      <c r="I149" s="16"/>
      <c r="J149" s="16"/>
      <c r="K149" s="16"/>
      <c r="L149" s="16"/>
      <c r="M149" s="16"/>
      <c r="N149" s="16"/>
      <c r="O149" s="16"/>
      <c r="P149" s="16"/>
      <c r="Q149" s="4"/>
      <c r="R149" s="4"/>
      <c r="S149" s="4"/>
      <c r="T149" s="4"/>
      <c r="U149" s="4"/>
      <c r="V149" s="4"/>
      <c r="W149" s="4"/>
      <c r="X149" s="4"/>
      <c r="Y149" s="4"/>
      <c r="Z149" s="4"/>
      <c r="AA149" s="4"/>
      <c r="AB149" s="4"/>
      <c r="AC149" s="4"/>
      <c r="AD149" s="4"/>
      <c r="AE149" s="4"/>
    </row>
    <row r="150" spans="1:31" ht="13.2">
      <c r="A150" s="7"/>
      <c r="B150" s="7"/>
      <c r="C150" s="7"/>
      <c r="D150" s="29"/>
      <c r="E150" s="7"/>
      <c r="F150" s="7"/>
      <c r="G150" s="7"/>
      <c r="H150" s="16"/>
      <c r="I150" s="16"/>
      <c r="J150" s="16"/>
      <c r="K150" s="16"/>
      <c r="L150" s="16"/>
      <c r="M150" s="16"/>
      <c r="N150" s="16"/>
      <c r="O150" s="16"/>
      <c r="P150" s="16"/>
      <c r="Q150" s="4"/>
      <c r="R150" s="4"/>
      <c r="S150" s="4"/>
      <c r="T150" s="4"/>
      <c r="U150" s="4"/>
      <c r="V150" s="4"/>
      <c r="W150" s="4"/>
      <c r="X150" s="4"/>
      <c r="Y150" s="4"/>
      <c r="Z150" s="4"/>
      <c r="AA150" s="4"/>
      <c r="AB150" s="4"/>
      <c r="AC150" s="4"/>
      <c r="AD150" s="4"/>
      <c r="AE150" s="4"/>
    </row>
    <row r="151" spans="1:31" ht="13.2">
      <c r="A151" s="7"/>
      <c r="B151" s="7"/>
      <c r="C151" s="7"/>
      <c r="D151" s="29"/>
      <c r="E151" s="7"/>
      <c r="F151" s="7"/>
      <c r="G151" s="7"/>
      <c r="H151" s="16"/>
      <c r="I151" s="16"/>
      <c r="J151" s="16"/>
      <c r="K151" s="16"/>
      <c r="L151" s="16"/>
      <c r="M151" s="16"/>
      <c r="N151" s="16"/>
      <c r="O151" s="16"/>
      <c r="P151" s="16"/>
      <c r="Q151" s="4"/>
      <c r="R151" s="4"/>
      <c r="S151" s="4"/>
      <c r="T151" s="4"/>
      <c r="U151" s="4"/>
      <c r="V151" s="4"/>
      <c r="W151" s="4"/>
      <c r="X151" s="4"/>
      <c r="Y151" s="4"/>
      <c r="Z151" s="4"/>
      <c r="AA151" s="4"/>
      <c r="AB151" s="4"/>
      <c r="AC151" s="4"/>
      <c r="AD151" s="4"/>
      <c r="AE151" s="4"/>
    </row>
    <row r="152" spans="1:31" ht="13.2">
      <c r="A152" s="7"/>
      <c r="B152" s="7"/>
      <c r="C152" s="7"/>
      <c r="D152" s="29"/>
      <c r="E152" s="7"/>
      <c r="F152" s="7"/>
      <c r="G152" s="7"/>
      <c r="H152" s="16"/>
      <c r="I152" s="16"/>
      <c r="J152" s="16"/>
      <c r="K152" s="16"/>
      <c r="L152" s="16"/>
      <c r="M152" s="16"/>
      <c r="N152" s="16"/>
      <c r="O152" s="16"/>
      <c r="P152" s="16"/>
      <c r="Q152" s="4"/>
      <c r="R152" s="4"/>
      <c r="S152" s="4"/>
      <c r="T152" s="4"/>
      <c r="U152" s="4"/>
      <c r="V152" s="4"/>
      <c r="W152" s="4"/>
      <c r="X152" s="4"/>
      <c r="Y152" s="4"/>
      <c r="Z152" s="4"/>
      <c r="AA152" s="4"/>
      <c r="AB152" s="4"/>
      <c r="AC152" s="4"/>
      <c r="AD152" s="4"/>
      <c r="AE152" s="4"/>
    </row>
    <row r="153" spans="1:31" ht="13.2">
      <c r="A153" s="7"/>
      <c r="B153" s="7"/>
      <c r="C153" s="7"/>
      <c r="D153" s="29"/>
      <c r="E153" s="7"/>
      <c r="F153" s="7"/>
      <c r="G153" s="7"/>
      <c r="H153" s="16"/>
      <c r="I153" s="16"/>
      <c r="J153" s="16"/>
      <c r="K153" s="16"/>
      <c r="L153" s="16"/>
      <c r="M153" s="16"/>
      <c r="N153" s="16"/>
      <c r="O153" s="16"/>
      <c r="P153" s="16"/>
      <c r="Q153" s="4"/>
      <c r="R153" s="4"/>
      <c r="S153" s="4"/>
      <c r="T153" s="4"/>
      <c r="U153" s="4"/>
      <c r="V153" s="4"/>
      <c r="W153" s="4"/>
      <c r="X153" s="4"/>
      <c r="Y153" s="4"/>
      <c r="Z153" s="4"/>
      <c r="AA153" s="4"/>
      <c r="AB153" s="4"/>
      <c r="AC153" s="4"/>
      <c r="AD153" s="4"/>
      <c r="AE153" s="4"/>
    </row>
    <row r="154" spans="1:31" ht="13.2">
      <c r="A154" s="7"/>
      <c r="B154" s="7"/>
      <c r="C154" s="7"/>
      <c r="D154" s="29"/>
      <c r="E154" s="7"/>
      <c r="F154" s="7"/>
      <c r="G154" s="7"/>
      <c r="H154" s="16"/>
      <c r="I154" s="16"/>
      <c r="J154" s="16"/>
      <c r="K154" s="16"/>
      <c r="L154" s="16"/>
      <c r="M154" s="16"/>
      <c r="N154" s="16"/>
      <c r="O154" s="16"/>
      <c r="P154" s="16"/>
      <c r="Q154" s="4"/>
      <c r="R154" s="4"/>
      <c r="S154" s="4"/>
      <c r="T154" s="4"/>
      <c r="U154" s="4"/>
      <c r="V154" s="4"/>
      <c r="W154" s="4"/>
      <c r="X154" s="4"/>
      <c r="Y154" s="4"/>
      <c r="Z154" s="4"/>
      <c r="AA154" s="4"/>
      <c r="AB154" s="4"/>
      <c r="AC154" s="4"/>
      <c r="AD154" s="4"/>
      <c r="AE154" s="4"/>
    </row>
    <row r="155" spans="1:31" ht="13.2">
      <c r="A155" s="7"/>
      <c r="B155" s="7"/>
      <c r="C155" s="7"/>
      <c r="D155" s="29"/>
      <c r="E155" s="7"/>
      <c r="F155" s="7"/>
      <c r="G155" s="7"/>
      <c r="H155" s="16"/>
      <c r="I155" s="16"/>
      <c r="J155" s="16"/>
      <c r="K155" s="16"/>
      <c r="L155" s="16"/>
      <c r="M155" s="16"/>
      <c r="N155" s="16"/>
      <c r="O155" s="16"/>
      <c r="P155" s="16"/>
      <c r="Q155" s="4"/>
      <c r="R155" s="4"/>
      <c r="S155" s="4"/>
      <c r="T155" s="4"/>
      <c r="U155" s="4"/>
      <c r="V155" s="4"/>
      <c r="W155" s="4"/>
      <c r="X155" s="4"/>
      <c r="Y155" s="4"/>
      <c r="Z155" s="4"/>
      <c r="AA155" s="4"/>
      <c r="AB155" s="4"/>
      <c r="AC155" s="4"/>
      <c r="AD155" s="4"/>
      <c r="AE155" s="4"/>
    </row>
    <row r="156" spans="1:31" ht="13.2">
      <c r="A156" s="7"/>
      <c r="B156" s="7"/>
      <c r="C156" s="7"/>
      <c r="D156" s="29"/>
      <c r="E156" s="7"/>
      <c r="F156" s="7"/>
      <c r="G156" s="7"/>
      <c r="H156" s="16"/>
      <c r="I156" s="16"/>
      <c r="J156" s="16"/>
      <c r="K156" s="16"/>
      <c r="L156" s="16"/>
      <c r="M156" s="16"/>
      <c r="N156" s="16"/>
      <c r="O156" s="16"/>
      <c r="P156" s="16"/>
      <c r="Q156" s="4"/>
      <c r="R156" s="4"/>
      <c r="S156" s="4"/>
      <c r="T156" s="4"/>
      <c r="U156" s="4"/>
      <c r="V156" s="4"/>
      <c r="W156" s="4"/>
      <c r="X156" s="4"/>
      <c r="Y156" s="4"/>
      <c r="Z156" s="4"/>
      <c r="AA156" s="4"/>
      <c r="AB156" s="4"/>
      <c r="AC156" s="4"/>
      <c r="AD156" s="4"/>
      <c r="AE156" s="4"/>
    </row>
    <row r="157" spans="1:31" ht="13.2">
      <c r="A157" s="7"/>
      <c r="B157" s="7"/>
      <c r="C157" s="7"/>
      <c r="D157" s="29"/>
      <c r="E157" s="7"/>
      <c r="F157" s="7"/>
      <c r="G157" s="7"/>
      <c r="H157" s="16"/>
      <c r="I157" s="16"/>
      <c r="J157" s="16"/>
      <c r="K157" s="16"/>
      <c r="L157" s="16"/>
      <c r="M157" s="16"/>
      <c r="N157" s="16"/>
      <c r="O157" s="16"/>
      <c r="P157" s="16"/>
      <c r="Q157" s="4"/>
      <c r="R157" s="4"/>
      <c r="S157" s="4"/>
      <c r="T157" s="4"/>
      <c r="U157" s="4"/>
      <c r="V157" s="4"/>
      <c r="W157" s="4"/>
      <c r="X157" s="4"/>
      <c r="Y157" s="4"/>
      <c r="Z157" s="4"/>
      <c r="AA157" s="4"/>
      <c r="AB157" s="4"/>
      <c r="AC157" s="4"/>
      <c r="AD157" s="4"/>
      <c r="AE157" s="4"/>
    </row>
    <row r="158" spans="1:31" ht="13.2">
      <c r="A158" s="7"/>
      <c r="B158" s="7"/>
      <c r="C158" s="7"/>
      <c r="D158" s="29"/>
      <c r="E158" s="7"/>
      <c r="F158" s="7"/>
      <c r="G158" s="7"/>
      <c r="H158" s="16"/>
      <c r="I158" s="16"/>
      <c r="J158" s="16"/>
      <c r="K158" s="16"/>
      <c r="L158" s="16"/>
      <c r="M158" s="16"/>
      <c r="N158" s="16"/>
      <c r="O158" s="16"/>
      <c r="P158" s="16"/>
      <c r="Q158" s="4"/>
      <c r="R158" s="4"/>
      <c r="S158" s="4"/>
      <c r="T158" s="4"/>
      <c r="U158" s="4"/>
      <c r="V158" s="4"/>
      <c r="W158" s="4"/>
      <c r="X158" s="4"/>
      <c r="Y158" s="4"/>
      <c r="Z158" s="4"/>
      <c r="AA158" s="4"/>
      <c r="AB158" s="4"/>
      <c r="AC158" s="4"/>
      <c r="AD158" s="4"/>
      <c r="AE158" s="4"/>
    </row>
    <row r="159" spans="1:31" ht="13.2">
      <c r="A159" s="7"/>
      <c r="B159" s="7"/>
      <c r="C159" s="7"/>
      <c r="D159" s="29"/>
      <c r="E159" s="7"/>
      <c r="F159" s="7"/>
      <c r="G159" s="7"/>
      <c r="H159" s="16"/>
      <c r="I159" s="16"/>
      <c r="J159" s="16"/>
      <c r="K159" s="16"/>
      <c r="L159" s="16"/>
      <c r="M159" s="16"/>
      <c r="N159" s="16"/>
      <c r="O159" s="16"/>
      <c r="P159" s="16"/>
      <c r="Q159" s="4"/>
      <c r="R159" s="4"/>
      <c r="S159" s="4"/>
      <c r="T159" s="4"/>
      <c r="U159" s="4"/>
      <c r="V159" s="4"/>
      <c r="W159" s="4"/>
      <c r="X159" s="4"/>
      <c r="Y159" s="4"/>
      <c r="Z159" s="4"/>
      <c r="AA159" s="4"/>
      <c r="AB159" s="4"/>
      <c r="AC159" s="4"/>
      <c r="AD159" s="4"/>
      <c r="AE159" s="4"/>
    </row>
    <row r="160" spans="1:31" ht="13.2">
      <c r="A160" s="7"/>
      <c r="B160" s="7"/>
      <c r="C160" s="7"/>
      <c r="D160" s="29"/>
      <c r="E160" s="7"/>
      <c r="F160" s="7"/>
      <c r="G160" s="7"/>
      <c r="H160" s="16"/>
      <c r="I160" s="16"/>
      <c r="J160" s="16"/>
      <c r="K160" s="16"/>
      <c r="L160" s="16"/>
      <c r="M160" s="16"/>
      <c r="N160" s="16"/>
      <c r="O160" s="16"/>
      <c r="P160" s="16"/>
      <c r="Q160" s="4"/>
      <c r="R160" s="4"/>
      <c r="S160" s="4"/>
      <c r="T160" s="4"/>
      <c r="U160" s="4"/>
      <c r="V160" s="4"/>
      <c r="W160" s="4"/>
      <c r="X160" s="4"/>
      <c r="Y160" s="4"/>
      <c r="Z160" s="4"/>
      <c r="AA160" s="4"/>
      <c r="AB160" s="4"/>
      <c r="AC160" s="4"/>
      <c r="AD160" s="4"/>
      <c r="AE160" s="4"/>
    </row>
    <row r="161" spans="1:31" ht="13.2">
      <c r="A161" s="7"/>
      <c r="B161" s="7"/>
      <c r="C161" s="7"/>
      <c r="D161" s="29"/>
      <c r="E161" s="7"/>
      <c r="F161" s="7"/>
      <c r="G161" s="7"/>
      <c r="H161" s="16"/>
      <c r="I161" s="16"/>
      <c r="J161" s="16"/>
      <c r="K161" s="16"/>
      <c r="L161" s="16"/>
      <c r="M161" s="16"/>
      <c r="N161" s="16"/>
      <c r="O161" s="16"/>
      <c r="P161" s="16"/>
      <c r="Q161" s="4"/>
      <c r="R161" s="4"/>
      <c r="S161" s="4"/>
      <c r="T161" s="4"/>
      <c r="U161" s="4"/>
      <c r="V161" s="4"/>
      <c r="W161" s="4"/>
      <c r="X161" s="4"/>
      <c r="Y161" s="4"/>
      <c r="Z161" s="4"/>
      <c r="AA161" s="4"/>
      <c r="AB161" s="4"/>
      <c r="AC161" s="4"/>
      <c r="AD161" s="4"/>
      <c r="AE161" s="4"/>
    </row>
    <row r="162" spans="1:31" ht="13.2">
      <c r="A162" s="7"/>
      <c r="B162" s="7"/>
      <c r="C162" s="7"/>
      <c r="D162" s="29"/>
      <c r="E162" s="7"/>
      <c r="F162" s="7"/>
      <c r="G162" s="7"/>
      <c r="H162" s="16"/>
      <c r="I162" s="16"/>
      <c r="J162" s="16"/>
      <c r="K162" s="16"/>
      <c r="L162" s="16"/>
      <c r="M162" s="16"/>
      <c r="N162" s="16"/>
      <c r="O162" s="16"/>
      <c r="P162" s="16"/>
      <c r="Q162" s="4"/>
      <c r="R162" s="4"/>
      <c r="S162" s="4"/>
      <c r="T162" s="4"/>
      <c r="U162" s="4"/>
      <c r="V162" s="4"/>
      <c r="W162" s="4"/>
      <c r="X162" s="4"/>
      <c r="Y162" s="4"/>
      <c r="Z162" s="4"/>
      <c r="AA162" s="4"/>
      <c r="AB162" s="4"/>
      <c r="AC162" s="4"/>
      <c r="AD162" s="4"/>
      <c r="AE162" s="4"/>
    </row>
    <row r="163" spans="1:31" ht="13.2">
      <c r="A163" s="7"/>
      <c r="B163" s="7"/>
      <c r="C163" s="7"/>
      <c r="D163" s="29"/>
      <c r="E163" s="7"/>
      <c r="F163" s="7"/>
      <c r="G163" s="7"/>
      <c r="H163" s="16"/>
      <c r="I163" s="16"/>
      <c r="J163" s="16"/>
      <c r="K163" s="16"/>
      <c r="L163" s="16"/>
      <c r="M163" s="16"/>
      <c r="N163" s="16"/>
      <c r="O163" s="16"/>
      <c r="P163" s="16"/>
      <c r="Q163" s="4"/>
      <c r="R163" s="4"/>
      <c r="S163" s="4"/>
      <c r="T163" s="4"/>
      <c r="U163" s="4"/>
      <c r="V163" s="4"/>
      <c r="W163" s="4"/>
      <c r="X163" s="4"/>
      <c r="Y163" s="4"/>
      <c r="Z163" s="4"/>
      <c r="AA163" s="4"/>
      <c r="AB163" s="4"/>
      <c r="AC163" s="4"/>
      <c r="AD163" s="4"/>
      <c r="AE163" s="4"/>
    </row>
    <row r="164" spans="1:31" ht="13.2">
      <c r="A164" s="7"/>
      <c r="B164" s="7"/>
      <c r="C164" s="7"/>
      <c r="D164" s="29"/>
      <c r="E164" s="7"/>
      <c r="F164" s="7"/>
      <c r="G164" s="7"/>
      <c r="H164" s="16"/>
      <c r="I164" s="16"/>
      <c r="J164" s="16"/>
      <c r="K164" s="16"/>
      <c r="L164" s="16"/>
      <c r="M164" s="16"/>
      <c r="N164" s="16"/>
      <c r="O164" s="16"/>
      <c r="P164" s="16"/>
      <c r="Q164" s="4"/>
      <c r="R164" s="4"/>
      <c r="S164" s="4"/>
      <c r="T164" s="4"/>
      <c r="U164" s="4"/>
      <c r="V164" s="4"/>
      <c r="W164" s="4"/>
      <c r="X164" s="4"/>
      <c r="Y164" s="4"/>
      <c r="Z164" s="4"/>
      <c r="AA164" s="4"/>
      <c r="AB164" s="4"/>
      <c r="AC164" s="4"/>
      <c r="AD164" s="4"/>
      <c r="AE164" s="4"/>
    </row>
    <row r="165" spans="1:31" ht="13.2">
      <c r="A165" s="7"/>
      <c r="B165" s="7"/>
      <c r="C165" s="7"/>
      <c r="D165" s="29"/>
      <c r="E165" s="7"/>
      <c r="F165" s="7"/>
      <c r="G165" s="7"/>
      <c r="H165" s="16"/>
      <c r="I165" s="16"/>
      <c r="J165" s="16"/>
      <c r="K165" s="16"/>
      <c r="L165" s="16"/>
      <c r="M165" s="16"/>
      <c r="N165" s="16"/>
      <c r="O165" s="16"/>
      <c r="P165" s="16"/>
      <c r="Q165" s="4"/>
      <c r="R165" s="4"/>
      <c r="S165" s="4"/>
      <c r="T165" s="4"/>
      <c r="U165" s="4"/>
      <c r="V165" s="4"/>
      <c r="W165" s="4"/>
      <c r="X165" s="4"/>
      <c r="Y165" s="4"/>
      <c r="Z165" s="4"/>
      <c r="AA165" s="4"/>
      <c r="AB165" s="4"/>
      <c r="AC165" s="4"/>
      <c r="AD165" s="4"/>
      <c r="AE165" s="4"/>
    </row>
    <row r="166" spans="1:31" ht="13.2">
      <c r="A166" s="7"/>
      <c r="B166" s="7"/>
      <c r="C166" s="7"/>
      <c r="D166" s="29"/>
      <c r="E166" s="7"/>
      <c r="F166" s="7"/>
      <c r="G166" s="7"/>
      <c r="H166" s="16"/>
      <c r="I166" s="16"/>
      <c r="J166" s="16"/>
      <c r="K166" s="16"/>
      <c r="L166" s="16"/>
      <c r="M166" s="16"/>
      <c r="N166" s="16"/>
      <c r="O166" s="16"/>
      <c r="P166" s="16"/>
      <c r="Q166" s="4"/>
      <c r="R166" s="4"/>
      <c r="S166" s="4"/>
      <c r="T166" s="4"/>
      <c r="U166" s="4"/>
      <c r="V166" s="4"/>
      <c r="W166" s="4"/>
      <c r="X166" s="4"/>
      <c r="Y166" s="4"/>
      <c r="Z166" s="4"/>
      <c r="AA166" s="4"/>
      <c r="AB166" s="4"/>
      <c r="AC166" s="4"/>
      <c r="AD166" s="4"/>
      <c r="AE166" s="4"/>
    </row>
    <row r="167" spans="1:31" ht="13.2">
      <c r="A167" s="7"/>
      <c r="B167" s="7"/>
      <c r="C167" s="7"/>
      <c r="D167" s="29"/>
      <c r="E167" s="7"/>
      <c r="F167" s="7"/>
      <c r="G167" s="7"/>
      <c r="H167" s="16"/>
      <c r="I167" s="16"/>
      <c r="J167" s="16"/>
      <c r="K167" s="16"/>
      <c r="L167" s="16"/>
      <c r="M167" s="16"/>
      <c r="N167" s="16"/>
      <c r="O167" s="16"/>
      <c r="P167" s="16"/>
      <c r="Q167" s="4"/>
      <c r="R167" s="4"/>
      <c r="S167" s="4"/>
      <c r="T167" s="4"/>
      <c r="U167" s="4"/>
      <c r="V167" s="4"/>
      <c r="W167" s="4"/>
      <c r="X167" s="4"/>
      <c r="Y167" s="4"/>
      <c r="Z167" s="4"/>
      <c r="AA167" s="4"/>
      <c r="AB167" s="4"/>
      <c r="AC167" s="4"/>
      <c r="AD167" s="4"/>
      <c r="AE167" s="4"/>
    </row>
    <row r="168" spans="1:31" ht="13.2">
      <c r="A168" s="7"/>
      <c r="B168" s="7"/>
      <c r="C168" s="7"/>
      <c r="D168" s="29"/>
      <c r="E168" s="7"/>
      <c r="F168" s="7"/>
      <c r="G168" s="7"/>
      <c r="H168" s="16"/>
      <c r="I168" s="16"/>
      <c r="J168" s="16"/>
      <c r="K168" s="16"/>
      <c r="L168" s="16"/>
      <c r="M168" s="16"/>
      <c r="N168" s="16"/>
      <c r="O168" s="16"/>
      <c r="P168" s="16"/>
      <c r="Q168" s="4"/>
      <c r="R168" s="4"/>
      <c r="S168" s="4"/>
      <c r="T168" s="4"/>
      <c r="U168" s="4"/>
      <c r="V168" s="4"/>
      <c r="W168" s="4"/>
      <c r="X168" s="4"/>
      <c r="Y168" s="4"/>
      <c r="Z168" s="4"/>
      <c r="AA168" s="4"/>
      <c r="AB168" s="4"/>
      <c r="AC168" s="4"/>
      <c r="AD168" s="4"/>
      <c r="AE168" s="4"/>
    </row>
    <row r="169" spans="1:31" ht="13.2">
      <c r="A169" s="7"/>
      <c r="B169" s="7"/>
      <c r="C169" s="7"/>
      <c r="D169" s="29"/>
      <c r="E169" s="7"/>
      <c r="F169" s="7"/>
      <c r="G169" s="7"/>
      <c r="H169" s="16"/>
      <c r="I169" s="16"/>
      <c r="J169" s="16"/>
      <c r="K169" s="16"/>
      <c r="L169" s="16"/>
      <c r="M169" s="16"/>
      <c r="N169" s="16"/>
      <c r="O169" s="16"/>
      <c r="P169" s="16"/>
      <c r="Q169" s="4"/>
      <c r="R169" s="4"/>
      <c r="S169" s="4"/>
      <c r="T169" s="4"/>
      <c r="U169" s="4"/>
      <c r="V169" s="4"/>
      <c r="W169" s="4"/>
      <c r="X169" s="4"/>
      <c r="Y169" s="4"/>
      <c r="Z169" s="4"/>
      <c r="AA169" s="4"/>
      <c r="AB169" s="4"/>
      <c r="AC169" s="4"/>
      <c r="AD169" s="4"/>
      <c r="AE169" s="4"/>
    </row>
    <row r="170" spans="1:31" ht="13.2">
      <c r="A170" s="7"/>
      <c r="B170" s="7"/>
      <c r="C170" s="7"/>
      <c r="D170" s="29"/>
      <c r="E170" s="7"/>
      <c r="F170" s="7"/>
      <c r="G170" s="7"/>
      <c r="H170" s="16"/>
      <c r="I170" s="16"/>
      <c r="J170" s="16"/>
      <c r="K170" s="16"/>
      <c r="L170" s="16"/>
      <c r="M170" s="16"/>
      <c r="N170" s="16"/>
      <c r="O170" s="16"/>
      <c r="P170" s="16"/>
      <c r="Q170" s="4"/>
      <c r="R170" s="4"/>
      <c r="S170" s="4"/>
      <c r="T170" s="4"/>
      <c r="U170" s="4"/>
      <c r="V170" s="4"/>
      <c r="W170" s="4"/>
      <c r="X170" s="4"/>
      <c r="Y170" s="4"/>
      <c r="Z170" s="4"/>
      <c r="AA170" s="4"/>
      <c r="AB170" s="4"/>
      <c r="AC170" s="4"/>
      <c r="AD170" s="4"/>
      <c r="AE170" s="4"/>
    </row>
    <row r="171" spans="1:31" ht="13.2">
      <c r="A171" s="7"/>
      <c r="B171" s="7"/>
      <c r="C171" s="7"/>
      <c r="D171" s="29"/>
      <c r="E171" s="7"/>
      <c r="F171" s="7"/>
      <c r="G171" s="7"/>
      <c r="H171" s="16"/>
      <c r="I171" s="16"/>
      <c r="J171" s="16"/>
      <c r="K171" s="16"/>
      <c r="L171" s="16"/>
      <c r="M171" s="16"/>
      <c r="N171" s="16"/>
      <c r="O171" s="16"/>
      <c r="P171" s="16"/>
      <c r="Q171" s="4"/>
      <c r="R171" s="4"/>
      <c r="S171" s="4"/>
      <c r="T171" s="4"/>
      <c r="U171" s="4"/>
      <c r="V171" s="4"/>
      <c r="W171" s="4"/>
      <c r="X171" s="4"/>
      <c r="Y171" s="4"/>
      <c r="Z171" s="4"/>
      <c r="AA171" s="4"/>
      <c r="AB171" s="4"/>
      <c r="AC171" s="4"/>
      <c r="AD171" s="4"/>
      <c r="AE171" s="4"/>
    </row>
    <row r="172" spans="1:31" ht="13.2">
      <c r="A172" s="7"/>
      <c r="B172" s="7"/>
      <c r="C172" s="7"/>
      <c r="D172" s="29"/>
      <c r="E172" s="7"/>
      <c r="F172" s="7"/>
      <c r="G172" s="7"/>
      <c r="H172" s="16"/>
      <c r="I172" s="16"/>
      <c r="J172" s="16"/>
      <c r="K172" s="16"/>
      <c r="L172" s="16"/>
      <c r="M172" s="16"/>
      <c r="N172" s="16"/>
      <c r="O172" s="16"/>
      <c r="P172" s="16"/>
      <c r="Q172" s="4"/>
      <c r="R172" s="4"/>
      <c r="S172" s="4"/>
      <c r="T172" s="4"/>
      <c r="U172" s="4"/>
      <c r="V172" s="4"/>
      <c r="W172" s="4"/>
      <c r="X172" s="4"/>
      <c r="Y172" s="4"/>
      <c r="Z172" s="4"/>
      <c r="AA172" s="4"/>
      <c r="AB172" s="4"/>
      <c r="AC172" s="4"/>
      <c r="AD172" s="4"/>
      <c r="AE172" s="4"/>
    </row>
    <row r="173" spans="1:31" ht="13.2">
      <c r="A173" s="7"/>
      <c r="B173" s="7"/>
      <c r="C173" s="7"/>
      <c r="D173" s="29"/>
      <c r="E173" s="7"/>
      <c r="F173" s="7"/>
      <c r="G173" s="7"/>
      <c r="H173" s="16"/>
      <c r="I173" s="16"/>
      <c r="J173" s="16"/>
      <c r="K173" s="16"/>
      <c r="L173" s="16"/>
      <c r="M173" s="16"/>
      <c r="N173" s="16"/>
      <c r="O173" s="16"/>
      <c r="P173" s="16"/>
      <c r="Q173" s="4"/>
      <c r="R173" s="4"/>
      <c r="S173" s="4"/>
      <c r="T173" s="4"/>
      <c r="U173" s="4"/>
      <c r="V173" s="4"/>
      <c r="W173" s="4"/>
      <c r="X173" s="4"/>
      <c r="Y173" s="4"/>
      <c r="Z173" s="4"/>
      <c r="AA173" s="4"/>
      <c r="AB173" s="4"/>
      <c r="AC173" s="4"/>
      <c r="AD173" s="4"/>
      <c r="AE173" s="4"/>
    </row>
    <row r="174" spans="1:31" ht="13.2">
      <c r="A174" s="7"/>
      <c r="B174" s="7"/>
      <c r="C174" s="7"/>
      <c r="D174" s="29"/>
      <c r="E174" s="7"/>
      <c r="F174" s="7"/>
      <c r="G174" s="7"/>
      <c r="H174" s="16"/>
      <c r="I174" s="16"/>
      <c r="J174" s="16"/>
      <c r="K174" s="16"/>
      <c r="L174" s="16"/>
      <c r="M174" s="16"/>
      <c r="N174" s="16"/>
      <c r="O174" s="16"/>
      <c r="P174" s="16"/>
      <c r="Q174" s="4"/>
      <c r="R174" s="4"/>
      <c r="S174" s="4"/>
      <c r="T174" s="4"/>
      <c r="U174" s="4"/>
      <c r="V174" s="4"/>
      <c r="W174" s="4"/>
      <c r="X174" s="4"/>
      <c r="Y174" s="4"/>
      <c r="Z174" s="4"/>
      <c r="AA174" s="4"/>
      <c r="AB174" s="4"/>
      <c r="AC174" s="4"/>
      <c r="AD174" s="4"/>
      <c r="AE174" s="4"/>
    </row>
    <row r="175" spans="1:31" ht="13.2">
      <c r="A175" s="7"/>
      <c r="B175" s="7"/>
      <c r="C175" s="7"/>
      <c r="D175" s="29"/>
      <c r="E175" s="7"/>
      <c r="F175" s="7"/>
      <c r="G175" s="7"/>
      <c r="H175" s="16"/>
      <c r="I175" s="16"/>
      <c r="J175" s="16"/>
      <c r="K175" s="16"/>
      <c r="L175" s="16"/>
      <c r="M175" s="16"/>
      <c r="N175" s="16"/>
      <c r="O175" s="16"/>
      <c r="P175" s="16"/>
      <c r="Q175" s="4"/>
      <c r="R175" s="4"/>
      <c r="S175" s="4"/>
      <c r="T175" s="4"/>
      <c r="U175" s="4"/>
      <c r="V175" s="4"/>
      <c r="W175" s="4"/>
      <c r="X175" s="4"/>
      <c r="Y175" s="4"/>
      <c r="Z175" s="4"/>
      <c r="AA175" s="4"/>
      <c r="AB175" s="4"/>
      <c r="AC175" s="4"/>
      <c r="AD175" s="4"/>
      <c r="AE175" s="4"/>
    </row>
    <row r="176" spans="1:31" ht="13.2">
      <c r="A176" s="7"/>
      <c r="B176" s="7"/>
      <c r="C176" s="7"/>
      <c r="D176" s="29"/>
      <c r="E176" s="7"/>
      <c r="F176" s="7"/>
      <c r="G176" s="7"/>
      <c r="H176" s="16"/>
      <c r="I176" s="16"/>
      <c r="J176" s="16"/>
      <c r="K176" s="16"/>
      <c r="L176" s="16"/>
      <c r="M176" s="16"/>
      <c r="N176" s="16"/>
      <c r="O176" s="16"/>
      <c r="P176" s="16"/>
      <c r="Q176" s="4"/>
      <c r="R176" s="4"/>
      <c r="S176" s="4"/>
      <c r="T176" s="4"/>
      <c r="U176" s="4"/>
      <c r="V176" s="4"/>
      <c r="W176" s="4"/>
      <c r="X176" s="4"/>
      <c r="Y176" s="4"/>
      <c r="Z176" s="4"/>
      <c r="AA176" s="4"/>
      <c r="AB176" s="4"/>
      <c r="AC176" s="4"/>
      <c r="AD176" s="4"/>
      <c r="AE176" s="4"/>
    </row>
    <row r="177" spans="1:31" ht="13.2">
      <c r="A177" s="7"/>
      <c r="B177" s="7"/>
      <c r="C177" s="7"/>
      <c r="D177" s="29"/>
      <c r="E177" s="7"/>
      <c r="F177" s="7"/>
      <c r="G177" s="7"/>
      <c r="H177" s="16"/>
      <c r="I177" s="16"/>
      <c r="J177" s="16"/>
      <c r="K177" s="16"/>
      <c r="L177" s="16"/>
      <c r="M177" s="16"/>
      <c r="N177" s="16"/>
      <c r="O177" s="16"/>
      <c r="P177" s="16"/>
      <c r="Q177" s="4"/>
      <c r="R177" s="4"/>
      <c r="S177" s="4"/>
      <c r="T177" s="4"/>
      <c r="U177" s="4"/>
      <c r="V177" s="4"/>
      <c r="W177" s="4"/>
      <c r="X177" s="4"/>
      <c r="Y177" s="4"/>
      <c r="Z177" s="4"/>
      <c r="AA177" s="4"/>
      <c r="AB177" s="4"/>
      <c r="AC177" s="4"/>
      <c r="AD177" s="4"/>
      <c r="AE177" s="4"/>
    </row>
    <row r="178" spans="1:31" ht="13.2">
      <c r="A178" s="7"/>
      <c r="B178" s="7"/>
      <c r="C178" s="7"/>
      <c r="D178" s="29"/>
      <c r="E178" s="7"/>
      <c r="F178" s="7"/>
      <c r="G178" s="7"/>
      <c r="H178" s="16"/>
      <c r="I178" s="16"/>
      <c r="J178" s="16"/>
      <c r="K178" s="16"/>
      <c r="L178" s="16"/>
      <c r="M178" s="16"/>
      <c r="N178" s="16"/>
      <c r="O178" s="16"/>
      <c r="P178" s="16"/>
      <c r="Q178" s="4"/>
      <c r="R178" s="4"/>
      <c r="S178" s="4"/>
      <c r="T178" s="4"/>
      <c r="U178" s="4"/>
      <c r="V178" s="4"/>
      <c r="W178" s="4"/>
      <c r="X178" s="4"/>
      <c r="Y178" s="4"/>
      <c r="Z178" s="4"/>
      <c r="AA178" s="4"/>
      <c r="AB178" s="4"/>
      <c r="AC178" s="4"/>
      <c r="AD178" s="4"/>
      <c r="AE178" s="4"/>
    </row>
    <row r="179" spans="1:31" ht="13.2">
      <c r="A179" s="7"/>
      <c r="B179" s="7"/>
      <c r="C179" s="7"/>
      <c r="D179" s="29"/>
      <c r="E179" s="7"/>
      <c r="F179" s="7"/>
      <c r="G179" s="7"/>
      <c r="H179" s="16"/>
      <c r="I179" s="16"/>
      <c r="J179" s="16"/>
      <c r="K179" s="16"/>
      <c r="L179" s="16"/>
      <c r="M179" s="16"/>
      <c r="N179" s="16"/>
      <c r="O179" s="16"/>
      <c r="P179" s="16"/>
      <c r="Q179" s="4"/>
      <c r="R179" s="4"/>
      <c r="S179" s="4"/>
      <c r="T179" s="4"/>
      <c r="U179" s="4"/>
      <c r="V179" s="4"/>
      <c r="W179" s="4"/>
      <c r="X179" s="4"/>
      <c r="Y179" s="4"/>
      <c r="Z179" s="4"/>
      <c r="AA179" s="4"/>
      <c r="AB179" s="4"/>
      <c r="AC179" s="4"/>
      <c r="AD179" s="4"/>
      <c r="AE179" s="4"/>
    </row>
    <row r="180" spans="1:31" ht="13.2">
      <c r="A180" s="7"/>
      <c r="B180" s="7"/>
      <c r="C180" s="7"/>
      <c r="D180" s="29"/>
      <c r="E180" s="7"/>
      <c r="F180" s="7"/>
      <c r="G180" s="7"/>
      <c r="H180" s="16"/>
      <c r="I180" s="16"/>
      <c r="J180" s="16"/>
      <c r="K180" s="16"/>
      <c r="L180" s="16"/>
      <c r="M180" s="16"/>
      <c r="N180" s="16"/>
      <c r="O180" s="16"/>
      <c r="P180" s="16"/>
      <c r="Q180" s="4"/>
      <c r="R180" s="4"/>
      <c r="S180" s="4"/>
      <c r="T180" s="4"/>
      <c r="U180" s="4"/>
      <c r="V180" s="4"/>
      <c r="W180" s="4"/>
      <c r="X180" s="4"/>
      <c r="Y180" s="4"/>
      <c r="Z180" s="4"/>
      <c r="AA180" s="4"/>
      <c r="AB180" s="4"/>
      <c r="AC180" s="4"/>
      <c r="AD180" s="4"/>
      <c r="AE180" s="4"/>
    </row>
    <row r="181" spans="1:31" ht="13.2">
      <c r="A181" s="7"/>
      <c r="B181" s="7"/>
      <c r="C181" s="7"/>
      <c r="D181" s="29"/>
      <c r="E181" s="7"/>
      <c r="F181" s="7"/>
      <c r="G181" s="7"/>
      <c r="H181" s="16"/>
      <c r="I181" s="16"/>
      <c r="J181" s="16"/>
      <c r="K181" s="16"/>
      <c r="L181" s="16"/>
      <c r="M181" s="16"/>
      <c r="N181" s="16"/>
      <c r="O181" s="16"/>
      <c r="P181" s="16"/>
      <c r="Q181" s="4"/>
      <c r="R181" s="4"/>
      <c r="S181" s="4"/>
      <c r="T181" s="4"/>
      <c r="U181" s="4"/>
      <c r="V181" s="4"/>
      <c r="W181" s="4"/>
      <c r="X181" s="4"/>
      <c r="Y181" s="4"/>
      <c r="Z181" s="4"/>
      <c r="AA181" s="4"/>
      <c r="AB181" s="4"/>
      <c r="AC181" s="4"/>
      <c r="AD181" s="4"/>
      <c r="AE181" s="4"/>
    </row>
    <row r="182" spans="1:31" ht="13.2">
      <c r="A182" s="7"/>
      <c r="B182" s="7"/>
      <c r="C182" s="7"/>
      <c r="D182" s="29"/>
      <c r="E182" s="7"/>
      <c r="F182" s="7"/>
      <c r="G182" s="7"/>
      <c r="H182" s="16"/>
      <c r="I182" s="16"/>
      <c r="J182" s="16"/>
      <c r="K182" s="16"/>
      <c r="L182" s="16"/>
      <c r="M182" s="16"/>
      <c r="N182" s="16"/>
      <c r="O182" s="16"/>
      <c r="P182" s="16"/>
      <c r="Q182" s="4"/>
      <c r="R182" s="4"/>
      <c r="S182" s="4"/>
      <c r="T182" s="4"/>
      <c r="U182" s="4"/>
      <c r="V182" s="4"/>
      <c r="W182" s="4"/>
      <c r="X182" s="4"/>
      <c r="Y182" s="4"/>
      <c r="Z182" s="4"/>
      <c r="AA182" s="4"/>
      <c r="AB182" s="4"/>
      <c r="AC182" s="4"/>
      <c r="AD182" s="4"/>
      <c r="AE182" s="4"/>
    </row>
    <row r="183" spans="1:31" ht="13.2">
      <c r="A183" s="7"/>
      <c r="B183" s="7"/>
      <c r="C183" s="7"/>
      <c r="D183" s="29"/>
      <c r="E183" s="7"/>
      <c r="F183" s="7"/>
      <c r="G183" s="7"/>
      <c r="H183" s="16"/>
      <c r="I183" s="16"/>
      <c r="J183" s="16"/>
      <c r="K183" s="16"/>
      <c r="L183" s="16"/>
      <c r="M183" s="16"/>
      <c r="N183" s="16"/>
      <c r="O183" s="16"/>
      <c r="P183" s="16"/>
      <c r="Q183" s="4"/>
      <c r="R183" s="4"/>
      <c r="S183" s="4"/>
      <c r="T183" s="4"/>
      <c r="U183" s="4"/>
      <c r="V183" s="4"/>
      <c r="W183" s="4"/>
      <c r="X183" s="4"/>
      <c r="Y183" s="4"/>
      <c r="Z183" s="4"/>
      <c r="AA183" s="4"/>
      <c r="AB183" s="4"/>
      <c r="AC183" s="4"/>
      <c r="AD183" s="4"/>
      <c r="AE183" s="4"/>
    </row>
    <row r="184" spans="1:31" ht="13.2">
      <c r="A184" s="7"/>
      <c r="B184" s="7"/>
      <c r="C184" s="7"/>
      <c r="D184" s="29"/>
      <c r="E184" s="7"/>
      <c r="F184" s="7"/>
      <c r="G184" s="7"/>
      <c r="H184" s="16"/>
      <c r="I184" s="16"/>
      <c r="J184" s="16"/>
      <c r="K184" s="16"/>
      <c r="L184" s="16"/>
      <c r="M184" s="16"/>
      <c r="N184" s="16"/>
      <c r="O184" s="16"/>
      <c r="P184" s="16"/>
      <c r="Q184" s="4"/>
      <c r="R184" s="4"/>
      <c r="S184" s="4"/>
      <c r="T184" s="4"/>
      <c r="U184" s="4"/>
      <c r="V184" s="4"/>
      <c r="W184" s="4"/>
      <c r="X184" s="4"/>
      <c r="Y184" s="4"/>
      <c r="Z184" s="4"/>
      <c r="AA184" s="4"/>
      <c r="AB184" s="4"/>
      <c r="AC184" s="4"/>
      <c r="AD184" s="4"/>
      <c r="AE184" s="4"/>
    </row>
    <row r="185" spans="1:31" ht="13.2">
      <c r="A185" s="7"/>
      <c r="B185" s="7"/>
      <c r="C185" s="7"/>
      <c r="D185" s="29"/>
      <c r="E185" s="7"/>
      <c r="F185" s="7"/>
      <c r="G185" s="7"/>
      <c r="H185" s="16"/>
      <c r="I185" s="16"/>
      <c r="J185" s="16"/>
      <c r="K185" s="16"/>
      <c r="L185" s="16"/>
      <c r="M185" s="16"/>
      <c r="N185" s="16"/>
      <c r="O185" s="16"/>
      <c r="P185" s="16"/>
      <c r="Q185" s="4"/>
      <c r="R185" s="4"/>
      <c r="S185" s="4"/>
      <c r="T185" s="4"/>
      <c r="U185" s="4"/>
      <c r="V185" s="4"/>
      <c r="W185" s="4"/>
      <c r="X185" s="4"/>
      <c r="Y185" s="4"/>
      <c r="Z185" s="4"/>
      <c r="AA185" s="4"/>
      <c r="AB185" s="4"/>
      <c r="AC185" s="4"/>
      <c r="AD185" s="4"/>
      <c r="AE185" s="4"/>
    </row>
    <row r="186" spans="1:31" ht="13.2">
      <c r="A186" s="7"/>
      <c r="B186" s="7"/>
      <c r="C186" s="7"/>
      <c r="D186" s="29"/>
      <c r="E186" s="7"/>
      <c r="F186" s="7"/>
      <c r="G186" s="7"/>
      <c r="H186" s="16"/>
      <c r="I186" s="16"/>
      <c r="J186" s="16"/>
      <c r="K186" s="16"/>
      <c r="L186" s="16"/>
      <c r="M186" s="16"/>
      <c r="N186" s="16"/>
      <c r="O186" s="16"/>
      <c r="P186" s="16"/>
      <c r="Q186" s="4"/>
      <c r="R186" s="4"/>
      <c r="S186" s="4"/>
      <c r="T186" s="4"/>
      <c r="U186" s="4"/>
      <c r="V186" s="4"/>
      <c r="W186" s="4"/>
      <c r="X186" s="4"/>
      <c r="Y186" s="4"/>
      <c r="Z186" s="4"/>
      <c r="AA186" s="4"/>
      <c r="AB186" s="4"/>
      <c r="AC186" s="4"/>
      <c r="AD186" s="4"/>
      <c r="AE186" s="4"/>
    </row>
    <row r="187" spans="1:31" ht="13.2">
      <c r="A187" s="7"/>
      <c r="B187" s="7"/>
      <c r="C187" s="7"/>
      <c r="D187" s="29"/>
      <c r="E187" s="7"/>
      <c r="F187" s="7"/>
      <c r="G187" s="7"/>
      <c r="H187" s="16"/>
      <c r="I187" s="16"/>
      <c r="J187" s="16"/>
      <c r="K187" s="16"/>
      <c r="L187" s="16"/>
      <c r="M187" s="16"/>
      <c r="N187" s="16"/>
      <c r="O187" s="16"/>
      <c r="P187" s="16"/>
      <c r="Q187" s="4"/>
      <c r="R187" s="4"/>
      <c r="S187" s="4"/>
      <c r="T187" s="4"/>
      <c r="U187" s="4"/>
      <c r="V187" s="4"/>
      <c r="W187" s="4"/>
      <c r="X187" s="4"/>
      <c r="Y187" s="4"/>
      <c r="Z187" s="4"/>
      <c r="AA187" s="4"/>
      <c r="AB187" s="4"/>
      <c r="AC187" s="4"/>
      <c r="AD187" s="4"/>
      <c r="AE187" s="4"/>
    </row>
    <row r="188" spans="1:31" ht="13.2">
      <c r="A188" s="7"/>
      <c r="B188" s="7"/>
      <c r="C188" s="7"/>
      <c r="D188" s="29"/>
      <c r="E188" s="7"/>
      <c r="F188" s="7"/>
      <c r="G188" s="7"/>
      <c r="H188" s="16"/>
      <c r="I188" s="16"/>
      <c r="J188" s="16"/>
      <c r="K188" s="16"/>
      <c r="L188" s="16"/>
      <c r="M188" s="16"/>
      <c r="N188" s="16"/>
      <c r="O188" s="16"/>
      <c r="P188" s="16"/>
      <c r="Q188" s="4"/>
      <c r="R188" s="4"/>
      <c r="S188" s="4"/>
      <c r="T188" s="4"/>
      <c r="U188" s="4"/>
      <c r="V188" s="4"/>
      <c r="W188" s="4"/>
      <c r="X188" s="4"/>
      <c r="Y188" s="4"/>
      <c r="Z188" s="4"/>
      <c r="AA188" s="4"/>
      <c r="AB188" s="4"/>
      <c r="AC188" s="4"/>
      <c r="AD188" s="4"/>
      <c r="AE188" s="4"/>
    </row>
    <row r="189" spans="1:31" ht="13.2">
      <c r="A189" s="7"/>
      <c r="B189" s="7"/>
      <c r="C189" s="7"/>
      <c r="D189" s="29"/>
      <c r="E189" s="7"/>
      <c r="F189" s="7"/>
      <c r="G189" s="7"/>
      <c r="H189" s="16"/>
      <c r="I189" s="16"/>
      <c r="J189" s="16"/>
      <c r="K189" s="16"/>
      <c r="L189" s="16"/>
      <c r="M189" s="16"/>
      <c r="N189" s="16"/>
      <c r="O189" s="16"/>
      <c r="P189" s="16"/>
      <c r="Q189" s="4"/>
      <c r="R189" s="4"/>
      <c r="S189" s="4"/>
      <c r="T189" s="4"/>
      <c r="U189" s="4"/>
      <c r="V189" s="4"/>
      <c r="W189" s="4"/>
      <c r="X189" s="4"/>
      <c r="Y189" s="4"/>
      <c r="Z189" s="4"/>
      <c r="AA189" s="4"/>
      <c r="AB189" s="4"/>
      <c r="AC189" s="4"/>
      <c r="AD189" s="4"/>
      <c r="AE189" s="4"/>
    </row>
    <row r="190" spans="1:31" ht="13.2">
      <c r="A190" s="7"/>
      <c r="B190" s="7"/>
      <c r="C190" s="7"/>
      <c r="D190" s="29"/>
      <c r="E190" s="7"/>
      <c r="F190" s="7"/>
      <c r="G190" s="7"/>
      <c r="H190" s="16"/>
      <c r="I190" s="16"/>
      <c r="J190" s="16"/>
      <c r="K190" s="16"/>
      <c r="L190" s="16"/>
      <c r="M190" s="16"/>
      <c r="N190" s="16"/>
      <c r="O190" s="16"/>
      <c r="P190" s="16"/>
      <c r="Q190" s="4"/>
      <c r="R190" s="4"/>
      <c r="S190" s="4"/>
      <c r="T190" s="4"/>
      <c r="U190" s="4"/>
      <c r="V190" s="4"/>
      <c r="W190" s="4"/>
      <c r="X190" s="4"/>
      <c r="Y190" s="4"/>
      <c r="Z190" s="4"/>
      <c r="AA190" s="4"/>
      <c r="AB190" s="4"/>
      <c r="AC190" s="4"/>
      <c r="AD190" s="4"/>
      <c r="AE190" s="4"/>
    </row>
    <row r="191" spans="1:31" ht="13.2">
      <c r="A191" s="7"/>
      <c r="B191" s="7"/>
      <c r="C191" s="7"/>
      <c r="D191" s="29"/>
      <c r="E191" s="7"/>
      <c r="F191" s="7"/>
      <c r="G191" s="7"/>
      <c r="H191" s="16"/>
      <c r="I191" s="16"/>
      <c r="J191" s="16"/>
      <c r="K191" s="16"/>
      <c r="L191" s="16"/>
      <c r="M191" s="16"/>
      <c r="N191" s="16"/>
      <c r="O191" s="16"/>
      <c r="P191" s="16"/>
      <c r="Q191" s="4"/>
      <c r="R191" s="4"/>
      <c r="S191" s="4"/>
      <c r="T191" s="4"/>
      <c r="U191" s="4"/>
      <c r="V191" s="4"/>
      <c r="W191" s="4"/>
      <c r="X191" s="4"/>
      <c r="Y191" s="4"/>
      <c r="Z191" s="4"/>
      <c r="AA191" s="4"/>
      <c r="AB191" s="4"/>
      <c r="AC191" s="4"/>
      <c r="AD191" s="4"/>
      <c r="AE191" s="4"/>
    </row>
    <row r="192" spans="1:31" ht="13.2">
      <c r="A192" s="7"/>
      <c r="B192" s="7"/>
      <c r="C192" s="7"/>
      <c r="D192" s="29"/>
      <c r="E192" s="7"/>
      <c r="F192" s="7"/>
      <c r="G192" s="7"/>
      <c r="H192" s="16"/>
      <c r="I192" s="16"/>
      <c r="J192" s="16"/>
      <c r="K192" s="16"/>
      <c r="L192" s="16"/>
      <c r="M192" s="16"/>
      <c r="N192" s="16"/>
      <c r="O192" s="16"/>
      <c r="P192" s="16"/>
      <c r="Q192" s="4"/>
      <c r="R192" s="4"/>
      <c r="S192" s="4"/>
      <c r="T192" s="4"/>
      <c r="U192" s="4"/>
      <c r="V192" s="4"/>
      <c r="W192" s="4"/>
      <c r="X192" s="4"/>
      <c r="Y192" s="4"/>
      <c r="Z192" s="4"/>
      <c r="AA192" s="4"/>
      <c r="AB192" s="4"/>
      <c r="AC192" s="4"/>
      <c r="AD192" s="4"/>
      <c r="AE192" s="4"/>
    </row>
    <row r="193" spans="1:31" ht="13.2">
      <c r="A193" s="7"/>
      <c r="B193" s="7"/>
      <c r="C193" s="7"/>
      <c r="D193" s="29"/>
      <c r="E193" s="7"/>
      <c r="F193" s="7"/>
      <c r="G193" s="7"/>
      <c r="H193" s="16"/>
      <c r="I193" s="16"/>
      <c r="J193" s="16"/>
      <c r="K193" s="16"/>
      <c r="L193" s="16"/>
      <c r="M193" s="16"/>
      <c r="N193" s="16"/>
      <c r="O193" s="16"/>
      <c r="P193" s="16"/>
      <c r="Q193" s="4"/>
      <c r="R193" s="4"/>
      <c r="S193" s="4"/>
      <c r="T193" s="4"/>
      <c r="U193" s="4"/>
      <c r="V193" s="4"/>
      <c r="W193" s="4"/>
      <c r="X193" s="4"/>
      <c r="Y193" s="4"/>
      <c r="Z193" s="4"/>
      <c r="AA193" s="4"/>
      <c r="AB193" s="4"/>
      <c r="AC193" s="4"/>
      <c r="AD193" s="4"/>
      <c r="AE193" s="4"/>
    </row>
    <row r="194" spans="1:31" ht="13.2">
      <c r="A194" s="7"/>
      <c r="B194" s="7"/>
      <c r="C194" s="7"/>
      <c r="D194" s="29"/>
      <c r="E194" s="7"/>
      <c r="F194" s="7"/>
      <c r="G194" s="7"/>
      <c r="H194" s="16"/>
      <c r="I194" s="16"/>
      <c r="J194" s="16"/>
      <c r="K194" s="16"/>
      <c r="L194" s="16"/>
      <c r="M194" s="16"/>
      <c r="N194" s="16"/>
      <c r="O194" s="16"/>
      <c r="P194" s="16"/>
      <c r="Q194" s="4"/>
      <c r="R194" s="4"/>
      <c r="S194" s="4"/>
      <c r="T194" s="4"/>
      <c r="U194" s="4"/>
      <c r="V194" s="4"/>
      <c r="W194" s="4"/>
      <c r="X194" s="4"/>
      <c r="Y194" s="4"/>
      <c r="Z194" s="4"/>
      <c r="AA194" s="4"/>
      <c r="AB194" s="4"/>
      <c r="AC194" s="4"/>
      <c r="AD194" s="4"/>
      <c r="AE194" s="4"/>
    </row>
    <row r="195" spans="1:31" ht="13.2">
      <c r="A195" s="7"/>
      <c r="B195" s="7"/>
      <c r="C195" s="7"/>
      <c r="D195" s="29"/>
      <c r="E195" s="7"/>
      <c r="F195" s="7"/>
      <c r="G195" s="7"/>
      <c r="H195" s="16"/>
      <c r="I195" s="16"/>
      <c r="J195" s="16"/>
      <c r="K195" s="16"/>
      <c r="L195" s="16"/>
      <c r="M195" s="16"/>
      <c r="N195" s="16"/>
      <c r="O195" s="16"/>
      <c r="P195" s="16"/>
      <c r="Q195" s="4"/>
      <c r="R195" s="4"/>
      <c r="S195" s="4"/>
      <c r="T195" s="4"/>
      <c r="U195" s="4"/>
      <c r="V195" s="4"/>
      <c r="W195" s="4"/>
      <c r="X195" s="4"/>
      <c r="Y195" s="4"/>
      <c r="Z195" s="4"/>
      <c r="AA195" s="4"/>
      <c r="AB195" s="4"/>
      <c r="AC195" s="4"/>
      <c r="AD195" s="4"/>
      <c r="AE195" s="4"/>
    </row>
    <row r="196" spans="1:31" ht="13.2">
      <c r="A196" s="7"/>
      <c r="B196" s="7"/>
      <c r="C196" s="7"/>
      <c r="D196" s="29"/>
      <c r="E196" s="7"/>
      <c r="F196" s="7"/>
      <c r="G196" s="7"/>
      <c r="H196" s="16"/>
      <c r="I196" s="16"/>
      <c r="J196" s="16"/>
      <c r="K196" s="16"/>
      <c r="L196" s="16"/>
      <c r="M196" s="16"/>
      <c r="N196" s="16"/>
      <c r="O196" s="16"/>
      <c r="P196" s="16"/>
      <c r="Q196" s="4"/>
      <c r="R196" s="4"/>
      <c r="S196" s="4"/>
      <c r="T196" s="4"/>
      <c r="U196" s="4"/>
      <c r="V196" s="4"/>
      <c r="W196" s="4"/>
      <c r="X196" s="4"/>
      <c r="Y196" s="4"/>
      <c r="Z196" s="4"/>
      <c r="AA196" s="4"/>
      <c r="AB196" s="4"/>
      <c r="AC196" s="4"/>
      <c r="AD196" s="4"/>
      <c r="AE196" s="4"/>
    </row>
    <row r="197" spans="1:31" ht="13.2">
      <c r="A197" s="7"/>
      <c r="B197" s="7"/>
      <c r="C197" s="7"/>
      <c r="D197" s="29"/>
      <c r="E197" s="7"/>
      <c r="F197" s="7"/>
      <c r="G197" s="7"/>
      <c r="H197" s="16"/>
      <c r="I197" s="16"/>
      <c r="J197" s="16"/>
      <c r="K197" s="16"/>
      <c r="L197" s="16"/>
      <c r="M197" s="16"/>
      <c r="N197" s="16"/>
      <c r="O197" s="16"/>
      <c r="P197" s="16"/>
      <c r="Q197" s="4"/>
      <c r="R197" s="4"/>
      <c r="S197" s="4"/>
      <c r="T197" s="4"/>
      <c r="U197" s="4"/>
      <c r="V197" s="4"/>
      <c r="W197" s="4"/>
      <c r="X197" s="4"/>
      <c r="Y197" s="4"/>
      <c r="Z197" s="4"/>
      <c r="AA197" s="4"/>
      <c r="AB197" s="4"/>
      <c r="AC197" s="4"/>
      <c r="AD197" s="4"/>
      <c r="AE197" s="4"/>
    </row>
    <row r="198" spans="1:31" ht="13.2">
      <c r="A198" s="7"/>
      <c r="B198" s="7"/>
      <c r="C198" s="7"/>
      <c r="D198" s="29"/>
      <c r="E198" s="7"/>
      <c r="F198" s="7"/>
      <c r="G198" s="7"/>
      <c r="H198" s="16"/>
      <c r="I198" s="16"/>
      <c r="J198" s="16"/>
      <c r="K198" s="16"/>
      <c r="L198" s="16"/>
      <c r="M198" s="16"/>
      <c r="N198" s="16"/>
      <c r="O198" s="16"/>
      <c r="P198" s="16"/>
      <c r="Q198" s="4"/>
      <c r="R198" s="4"/>
      <c r="S198" s="4"/>
      <c r="T198" s="4"/>
      <c r="U198" s="4"/>
      <c r="V198" s="4"/>
      <c r="W198" s="4"/>
      <c r="X198" s="4"/>
      <c r="Y198" s="4"/>
      <c r="Z198" s="4"/>
      <c r="AA198" s="4"/>
      <c r="AB198" s="4"/>
      <c r="AC198" s="4"/>
      <c r="AD198" s="4"/>
      <c r="AE198" s="4"/>
    </row>
    <row r="199" spans="1:31" ht="13.2">
      <c r="A199" s="7"/>
      <c r="B199" s="7"/>
      <c r="C199" s="7"/>
      <c r="D199" s="29"/>
      <c r="E199" s="7"/>
      <c r="F199" s="7"/>
      <c r="G199" s="7"/>
      <c r="H199" s="16"/>
      <c r="I199" s="16"/>
      <c r="J199" s="16"/>
      <c r="K199" s="16"/>
      <c r="L199" s="16"/>
      <c r="M199" s="16"/>
      <c r="N199" s="16"/>
      <c r="O199" s="16"/>
      <c r="P199" s="16"/>
      <c r="Q199" s="4"/>
      <c r="R199" s="4"/>
      <c r="S199" s="4"/>
      <c r="T199" s="4"/>
      <c r="U199" s="4"/>
      <c r="V199" s="4"/>
      <c r="W199" s="4"/>
      <c r="X199" s="4"/>
      <c r="Y199" s="4"/>
      <c r="Z199" s="4"/>
      <c r="AA199" s="4"/>
      <c r="AB199" s="4"/>
      <c r="AC199" s="4"/>
      <c r="AD199" s="4"/>
      <c r="AE199" s="4"/>
    </row>
    <row r="200" spans="1:31" ht="13.2">
      <c r="A200" s="7"/>
      <c r="B200" s="7"/>
      <c r="C200" s="7"/>
      <c r="D200" s="29"/>
      <c r="E200" s="7"/>
      <c r="F200" s="7"/>
      <c r="G200" s="7"/>
      <c r="H200" s="16"/>
      <c r="I200" s="16"/>
      <c r="J200" s="16"/>
      <c r="K200" s="16"/>
      <c r="L200" s="16"/>
      <c r="M200" s="16"/>
      <c r="N200" s="16"/>
      <c r="O200" s="16"/>
      <c r="P200" s="16"/>
      <c r="Q200" s="4"/>
      <c r="R200" s="4"/>
      <c r="S200" s="4"/>
      <c r="T200" s="4"/>
      <c r="U200" s="4"/>
      <c r="V200" s="4"/>
      <c r="W200" s="4"/>
      <c r="X200" s="4"/>
      <c r="Y200" s="4"/>
      <c r="Z200" s="4"/>
      <c r="AA200" s="4"/>
      <c r="AB200" s="4"/>
      <c r="AC200" s="4"/>
      <c r="AD200" s="4"/>
      <c r="AE200" s="4"/>
    </row>
    <row r="201" spans="1:31" ht="13.2">
      <c r="A201" s="7"/>
      <c r="B201" s="7"/>
      <c r="C201" s="7"/>
      <c r="D201" s="29"/>
      <c r="E201" s="7"/>
      <c r="F201" s="7"/>
      <c r="G201" s="7"/>
      <c r="H201" s="16"/>
      <c r="I201" s="16"/>
      <c r="J201" s="16"/>
      <c r="K201" s="16"/>
      <c r="L201" s="16"/>
      <c r="M201" s="16"/>
      <c r="N201" s="16"/>
      <c r="O201" s="16"/>
      <c r="P201" s="16"/>
      <c r="Q201" s="4"/>
      <c r="R201" s="4"/>
      <c r="S201" s="4"/>
      <c r="T201" s="4"/>
      <c r="U201" s="4"/>
      <c r="V201" s="4"/>
      <c r="W201" s="4"/>
      <c r="X201" s="4"/>
      <c r="Y201" s="4"/>
      <c r="Z201" s="4"/>
      <c r="AA201" s="4"/>
      <c r="AB201" s="4"/>
      <c r="AC201" s="4"/>
      <c r="AD201" s="4"/>
      <c r="AE201" s="4"/>
    </row>
    <row r="202" spans="1:31" ht="13.2">
      <c r="A202" s="7"/>
      <c r="B202" s="7"/>
      <c r="C202" s="7"/>
      <c r="D202" s="29"/>
      <c r="E202" s="7"/>
      <c r="F202" s="7"/>
      <c r="G202" s="7"/>
      <c r="H202" s="16"/>
      <c r="I202" s="16"/>
      <c r="J202" s="16"/>
      <c r="K202" s="16"/>
      <c r="L202" s="16"/>
      <c r="M202" s="16"/>
      <c r="N202" s="16"/>
      <c r="O202" s="16"/>
      <c r="P202" s="16"/>
      <c r="Q202" s="4"/>
      <c r="R202" s="4"/>
      <c r="S202" s="4"/>
      <c r="T202" s="4"/>
      <c r="U202" s="4"/>
      <c r="V202" s="4"/>
      <c r="W202" s="4"/>
      <c r="X202" s="4"/>
      <c r="Y202" s="4"/>
      <c r="Z202" s="4"/>
      <c r="AA202" s="4"/>
      <c r="AB202" s="4"/>
      <c r="AC202" s="4"/>
      <c r="AD202" s="4"/>
      <c r="AE202" s="4"/>
    </row>
    <row r="203" spans="1:31" ht="13.2">
      <c r="A203" s="7"/>
      <c r="B203" s="7"/>
      <c r="C203" s="7"/>
      <c r="D203" s="29"/>
      <c r="E203" s="7"/>
      <c r="F203" s="7"/>
      <c r="G203" s="7"/>
      <c r="H203" s="16"/>
      <c r="I203" s="16"/>
      <c r="J203" s="16"/>
      <c r="K203" s="16"/>
      <c r="L203" s="16"/>
      <c r="M203" s="16"/>
      <c r="N203" s="16"/>
      <c r="O203" s="16"/>
      <c r="P203" s="16"/>
      <c r="Q203" s="4"/>
      <c r="R203" s="4"/>
      <c r="S203" s="4"/>
      <c r="T203" s="4"/>
      <c r="U203" s="4"/>
      <c r="V203" s="4"/>
      <c r="W203" s="4"/>
      <c r="X203" s="4"/>
      <c r="Y203" s="4"/>
      <c r="Z203" s="4"/>
      <c r="AA203" s="4"/>
      <c r="AB203" s="4"/>
      <c r="AC203" s="4"/>
      <c r="AD203" s="4"/>
      <c r="AE203" s="4"/>
    </row>
    <row r="204" spans="1:31" ht="13.2">
      <c r="A204" s="7"/>
      <c r="B204" s="7"/>
      <c r="C204" s="7"/>
      <c r="D204" s="29"/>
      <c r="E204" s="7"/>
      <c r="F204" s="7"/>
      <c r="G204" s="7"/>
      <c r="H204" s="16"/>
      <c r="I204" s="16"/>
      <c r="J204" s="16"/>
      <c r="K204" s="16"/>
      <c r="L204" s="16"/>
      <c r="M204" s="16"/>
      <c r="N204" s="16"/>
      <c r="O204" s="16"/>
      <c r="P204" s="16"/>
      <c r="Q204" s="4"/>
      <c r="R204" s="4"/>
      <c r="S204" s="4"/>
      <c r="T204" s="4"/>
      <c r="U204" s="4"/>
      <c r="V204" s="4"/>
      <c r="W204" s="4"/>
      <c r="X204" s="4"/>
      <c r="Y204" s="4"/>
      <c r="Z204" s="4"/>
      <c r="AA204" s="4"/>
      <c r="AB204" s="4"/>
      <c r="AC204" s="4"/>
      <c r="AD204" s="4"/>
      <c r="AE204" s="4"/>
    </row>
    <row r="205" spans="1:31" ht="13.2">
      <c r="A205" s="7"/>
      <c r="B205" s="7"/>
      <c r="C205" s="7"/>
      <c r="D205" s="29"/>
      <c r="E205" s="7"/>
      <c r="F205" s="7"/>
      <c r="G205" s="7"/>
      <c r="H205" s="16"/>
      <c r="I205" s="16"/>
      <c r="J205" s="16"/>
      <c r="K205" s="16"/>
      <c r="L205" s="16"/>
      <c r="M205" s="16"/>
      <c r="N205" s="16"/>
      <c r="O205" s="16"/>
      <c r="P205" s="16"/>
      <c r="Q205" s="4"/>
      <c r="R205" s="4"/>
      <c r="S205" s="4"/>
      <c r="T205" s="4"/>
      <c r="U205" s="4"/>
      <c r="V205" s="4"/>
      <c r="W205" s="4"/>
      <c r="X205" s="4"/>
      <c r="Y205" s="4"/>
      <c r="Z205" s="4"/>
      <c r="AA205" s="4"/>
      <c r="AB205" s="4"/>
      <c r="AC205" s="4"/>
      <c r="AD205" s="4"/>
      <c r="AE205" s="4"/>
    </row>
    <row r="206" spans="1:31" ht="13.2">
      <c r="A206" s="7"/>
      <c r="B206" s="7"/>
      <c r="C206" s="7"/>
      <c r="D206" s="29"/>
      <c r="E206" s="7"/>
      <c r="F206" s="7"/>
      <c r="G206" s="7"/>
      <c r="H206" s="16"/>
      <c r="I206" s="16"/>
      <c r="J206" s="16"/>
      <c r="K206" s="16"/>
      <c r="L206" s="16"/>
      <c r="M206" s="16"/>
      <c r="N206" s="16"/>
      <c r="O206" s="16"/>
      <c r="P206" s="16"/>
      <c r="Q206" s="4"/>
      <c r="R206" s="4"/>
      <c r="S206" s="4"/>
      <c r="T206" s="4"/>
      <c r="U206" s="4"/>
      <c r="V206" s="4"/>
      <c r="W206" s="4"/>
      <c r="X206" s="4"/>
      <c r="Y206" s="4"/>
      <c r="Z206" s="4"/>
      <c r="AA206" s="4"/>
      <c r="AB206" s="4"/>
      <c r="AC206" s="4"/>
      <c r="AD206" s="4"/>
      <c r="AE206" s="4"/>
    </row>
    <row r="207" spans="1:31" ht="13.2">
      <c r="A207" s="7"/>
      <c r="B207" s="7"/>
      <c r="C207" s="7"/>
      <c r="D207" s="29"/>
      <c r="E207" s="7"/>
      <c r="F207" s="7"/>
      <c r="G207" s="7"/>
      <c r="H207" s="16"/>
      <c r="I207" s="16"/>
      <c r="J207" s="16"/>
      <c r="K207" s="16"/>
      <c r="L207" s="16"/>
      <c r="M207" s="16"/>
      <c r="N207" s="16"/>
      <c r="O207" s="16"/>
      <c r="P207" s="16"/>
      <c r="Q207" s="4"/>
      <c r="R207" s="4"/>
      <c r="S207" s="4"/>
      <c r="T207" s="4"/>
      <c r="U207" s="4"/>
      <c r="V207" s="4"/>
      <c r="W207" s="4"/>
      <c r="X207" s="4"/>
      <c r="Y207" s="4"/>
      <c r="Z207" s="4"/>
      <c r="AA207" s="4"/>
      <c r="AB207" s="4"/>
      <c r="AC207" s="4"/>
      <c r="AD207" s="4"/>
      <c r="AE207" s="4"/>
    </row>
    <row r="208" spans="1:31" ht="13.2">
      <c r="A208" s="7"/>
      <c r="B208" s="7"/>
      <c r="C208" s="7"/>
      <c r="D208" s="29"/>
      <c r="E208" s="7"/>
      <c r="F208" s="7"/>
      <c r="G208" s="7"/>
      <c r="H208" s="16"/>
      <c r="I208" s="16"/>
      <c r="J208" s="16"/>
      <c r="K208" s="16"/>
      <c r="L208" s="16"/>
      <c r="M208" s="16"/>
      <c r="N208" s="16"/>
      <c r="O208" s="16"/>
      <c r="P208" s="16"/>
      <c r="Q208" s="4"/>
      <c r="R208" s="4"/>
      <c r="S208" s="4"/>
      <c r="T208" s="4"/>
      <c r="U208" s="4"/>
      <c r="V208" s="4"/>
      <c r="W208" s="4"/>
      <c r="X208" s="4"/>
      <c r="Y208" s="4"/>
      <c r="Z208" s="4"/>
      <c r="AA208" s="4"/>
      <c r="AB208" s="4"/>
      <c r="AC208" s="4"/>
      <c r="AD208" s="4"/>
      <c r="AE208" s="4"/>
    </row>
    <row r="209" spans="1:31" ht="13.2">
      <c r="A209" s="7"/>
      <c r="B209" s="7"/>
      <c r="C209" s="7"/>
      <c r="D209" s="29"/>
      <c r="E209" s="7"/>
      <c r="F209" s="7"/>
      <c r="G209" s="7"/>
      <c r="H209" s="16"/>
      <c r="I209" s="16"/>
      <c r="J209" s="16"/>
      <c r="K209" s="16"/>
      <c r="L209" s="16"/>
      <c r="M209" s="16"/>
      <c r="N209" s="16"/>
      <c r="O209" s="16"/>
      <c r="P209" s="16"/>
      <c r="Q209" s="4"/>
      <c r="R209" s="4"/>
      <c r="S209" s="4"/>
      <c r="T209" s="4"/>
      <c r="U209" s="4"/>
      <c r="V209" s="4"/>
      <c r="W209" s="4"/>
      <c r="X209" s="4"/>
      <c r="Y209" s="4"/>
      <c r="Z209" s="4"/>
      <c r="AA209" s="4"/>
      <c r="AB209" s="4"/>
      <c r="AC209" s="4"/>
      <c r="AD209" s="4"/>
      <c r="AE209" s="4"/>
    </row>
    <row r="210" spans="1:31" ht="13.2">
      <c r="A210" s="7"/>
      <c r="B210" s="7"/>
      <c r="C210" s="7"/>
      <c r="D210" s="29"/>
      <c r="E210" s="7"/>
      <c r="F210" s="7"/>
      <c r="G210" s="7"/>
      <c r="H210" s="16"/>
      <c r="I210" s="16"/>
      <c r="J210" s="16"/>
      <c r="K210" s="16"/>
      <c r="L210" s="16"/>
      <c r="M210" s="16"/>
      <c r="N210" s="16"/>
      <c r="O210" s="16"/>
      <c r="P210" s="16"/>
      <c r="Q210" s="4"/>
      <c r="R210" s="4"/>
      <c r="S210" s="4"/>
      <c r="T210" s="4"/>
      <c r="U210" s="4"/>
      <c r="V210" s="4"/>
      <c r="W210" s="4"/>
      <c r="X210" s="4"/>
      <c r="Y210" s="4"/>
      <c r="Z210" s="4"/>
      <c r="AA210" s="4"/>
      <c r="AB210" s="4"/>
      <c r="AC210" s="4"/>
      <c r="AD210" s="4"/>
      <c r="AE210" s="4"/>
    </row>
    <row r="211" spans="1:31" ht="13.2">
      <c r="A211" s="7"/>
      <c r="B211" s="7"/>
      <c r="C211" s="7"/>
      <c r="D211" s="29"/>
      <c r="E211" s="7"/>
      <c r="F211" s="7"/>
      <c r="G211" s="7"/>
      <c r="H211" s="16"/>
      <c r="I211" s="16"/>
      <c r="J211" s="16"/>
      <c r="K211" s="16"/>
      <c r="L211" s="16"/>
      <c r="M211" s="16"/>
      <c r="N211" s="16"/>
      <c r="O211" s="16"/>
      <c r="P211" s="16"/>
      <c r="Q211" s="4"/>
      <c r="R211" s="4"/>
      <c r="S211" s="4"/>
      <c r="T211" s="4"/>
      <c r="U211" s="4"/>
      <c r="V211" s="4"/>
      <c r="W211" s="4"/>
      <c r="X211" s="4"/>
      <c r="Y211" s="4"/>
      <c r="Z211" s="4"/>
      <c r="AA211" s="4"/>
      <c r="AB211" s="4"/>
      <c r="AC211" s="4"/>
      <c r="AD211" s="4"/>
      <c r="AE211" s="4"/>
    </row>
    <row r="212" spans="1:31" ht="13.2">
      <c r="A212" s="7"/>
      <c r="B212" s="7"/>
      <c r="C212" s="7"/>
      <c r="D212" s="29"/>
      <c r="E212" s="7"/>
      <c r="F212" s="7"/>
      <c r="G212" s="7"/>
      <c r="H212" s="16"/>
      <c r="I212" s="16"/>
      <c r="J212" s="16"/>
      <c r="K212" s="16"/>
      <c r="L212" s="16"/>
      <c r="M212" s="16"/>
      <c r="N212" s="16"/>
      <c r="O212" s="16"/>
      <c r="P212" s="16"/>
      <c r="Q212" s="4"/>
      <c r="R212" s="4"/>
      <c r="S212" s="4"/>
      <c r="T212" s="4"/>
      <c r="U212" s="4"/>
      <c r="V212" s="4"/>
      <c r="W212" s="4"/>
      <c r="X212" s="4"/>
      <c r="Y212" s="4"/>
      <c r="Z212" s="4"/>
      <c r="AA212" s="4"/>
      <c r="AB212" s="4"/>
      <c r="AC212" s="4"/>
      <c r="AD212" s="4"/>
      <c r="AE212" s="4"/>
    </row>
    <row r="213" spans="1:31" ht="13.2">
      <c r="A213" s="7"/>
      <c r="B213" s="7"/>
      <c r="C213" s="7"/>
      <c r="D213" s="29"/>
      <c r="E213" s="7"/>
      <c r="F213" s="7"/>
      <c r="G213" s="7"/>
      <c r="H213" s="16"/>
      <c r="I213" s="16"/>
      <c r="J213" s="16"/>
      <c r="K213" s="16"/>
      <c r="L213" s="16"/>
      <c r="M213" s="16"/>
      <c r="N213" s="16"/>
      <c r="O213" s="16"/>
      <c r="P213" s="16"/>
      <c r="Q213" s="4"/>
      <c r="R213" s="4"/>
      <c r="S213" s="4"/>
      <c r="T213" s="4"/>
      <c r="U213" s="4"/>
      <c r="V213" s="4"/>
      <c r="W213" s="4"/>
      <c r="X213" s="4"/>
      <c r="Y213" s="4"/>
      <c r="Z213" s="4"/>
      <c r="AA213" s="4"/>
      <c r="AB213" s="4"/>
      <c r="AC213" s="4"/>
      <c r="AD213" s="4"/>
      <c r="AE213" s="4"/>
    </row>
    <row r="214" spans="1:31" ht="13.2">
      <c r="A214" s="7"/>
      <c r="B214" s="7"/>
      <c r="C214" s="7"/>
      <c r="D214" s="29"/>
      <c r="E214" s="7"/>
      <c r="F214" s="7"/>
      <c r="G214" s="7"/>
      <c r="H214" s="16"/>
      <c r="I214" s="16"/>
      <c r="J214" s="16"/>
      <c r="K214" s="16"/>
      <c r="L214" s="16"/>
      <c r="M214" s="16"/>
      <c r="N214" s="16"/>
      <c r="O214" s="16"/>
      <c r="P214" s="16"/>
      <c r="Q214" s="4"/>
      <c r="R214" s="4"/>
      <c r="S214" s="4"/>
      <c r="T214" s="4"/>
      <c r="U214" s="4"/>
      <c r="V214" s="4"/>
      <c r="W214" s="4"/>
      <c r="X214" s="4"/>
      <c r="Y214" s="4"/>
      <c r="Z214" s="4"/>
      <c r="AA214" s="4"/>
      <c r="AB214" s="4"/>
      <c r="AC214" s="4"/>
      <c r="AD214" s="4"/>
      <c r="AE214" s="4"/>
    </row>
    <row r="215" spans="1:31" ht="13.2">
      <c r="A215" s="7"/>
      <c r="B215" s="7"/>
      <c r="C215" s="7"/>
      <c r="D215" s="29"/>
      <c r="E215" s="7"/>
      <c r="F215" s="7"/>
      <c r="G215" s="7"/>
      <c r="H215" s="16"/>
      <c r="I215" s="16"/>
      <c r="J215" s="16"/>
      <c r="K215" s="16"/>
      <c r="L215" s="16"/>
      <c r="M215" s="16"/>
      <c r="N215" s="16"/>
      <c r="O215" s="16"/>
      <c r="P215" s="16"/>
      <c r="Q215" s="4"/>
      <c r="R215" s="4"/>
      <c r="S215" s="4"/>
      <c r="T215" s="4"/>
      <c r="U215" s="4"/>
      <c r="V215" s="4"/>
      <c r="W215" s="4"/>
      <c r="X215" s="4"/>
      <c r="Y215" s="4"/>
      <c r="Z215" s="4"/>
      <c r="AA215" s="4"/>
      <c r="AB215" s="4"/>
      <c r="AC215" s="4"/>
      <c r="AD215" s="4"/>
      <c r="AE215" s="4"/>
    </row>
    <row r="216" spans="1:31" ht="13.2">
      <c r="A216" s="7"/>
      <c r="B216" s="7"/>
      <c r="C216" s="7"/>
      <c r="D216" s="29"/>
      <c r="E216" s="7"/>
      <c r="F216" s="7"/>
      <c r="G216" s="7"/>
      <c r="H216" s="16"/>
      <c r="I216" s="16"/>
      <c r="J216" s="16"/>
      <c r="K216" s="16"/>
      <c r="L216" s="16"/>
      <c r="M216" s="16"/>
      <c r="N216" s="16"/>
      <c r="O216" s="16"/>
      <c r="P216" s="16"/>
      <c r="Q216" s="4"/>
      <c r="R216" s="4"/>
      <c r="S216" s="4"/>
      <c r="T216" s="4"/>
      <c r="U216" s="4"/>
      <c r="V216" s="4"/>
      <c r="W216" s="4"/>
      <c r="X216" s="4"/>
      <c r="Y216" s="4"/>
      <c r="Z216" s="4"/>
      <c r="AA216" s="4"/>
      <c r="AB216" s="4"/>
      <c r="AC216" s="4"/>
      <c r="AD216" s="4"/>
      <c r="AE216" s="4"/>
    </row>
    <row r="217" spans="1:31" ht="13.2">
      <c r="A217" s="7"/>
      <c r="B217" s="7"/>
      <c r="C217" s="7"/>
      <c r="D217" s="29"/>
      <c r="E217" s="7"/>
      <c r="F217" s="7"/>
      <c r="G217" s="7"/>
      <c r="H217" s="16"/>
      <c r="I217" s="16"/>
      <c r="J217" s="16"/>
      <c r="K217" s="16"/>
      <c r="L217" s="16"/>
      <c r="M217" s="16"/>
      <c r="N217" s="16"/>
      <c r="O217" s="16"/>
      <c r="P217" s="16"/>
      <c r="Q217" s="4"/>
      <c r="R217" s="4"/>
      <c r="S217" s="4"/>
      <c r="T217" s="4"/>
      <c r="U217" s="4"/>
      <c r="V217" s="4"/>
      <c r="W217" s="4"/>
      <c r="X217" s="4"/>
      <c r="Y217" s="4"/>
      <c r="Z217" s="4"/>
      <c r="AA217" s="4"/>
      <c r="AB217" s="4"/>
      <c r="AC217" s="4"/>
      <c r="AD217" s="4"/>
      <c r="AE217" s="4"/>
    </row>
    <row r="218" spans="1:31" ht="13.2">
      <c r="A218" s="7"/>
      <c r="B218" s="7"/>
      <c r="C218" s="7"/>
      <c r="D218" s="29"/>
      <c r="E218" s="7"/>
      <c r="F218" s="7"/>
      <c r="G218" s="7"/>
      <c r="H218" s="16"/>
      <c r="I218" s="16"/>
      <c r="J218" s="16"/>
      <c r="K218" s="16"/>
      <c r="L218" s="16"/>
      <c r="M218" s="16"/>
      <c r="N218" s="16"/>
      <c r="O218" s="16"/>
      <c r="P218" s="16"/>
      <c r="Q218" s="4"/>
      <c r="R218" s="4"/>
      <c r="S218" s="4"/>
      <c r="T218" s="4"/>
      <c r="U218" s="4"/>
      <c r="V218" s="4"/>
      <c r="W218" s="4"/>
      <c r="X218" s="4"/>
      <c r="Y218" s="4"/>
      <c r="Z218" s="4"/>
      <c r="AA218" s="4"/>
      <c r="AB218" s="4"/>
      <c r="AC218" s="4"/>
      <c r="AD218" s="4"/>
      <c r="AE218" s="4"/>
    </row>
    <row r="219" spans="1:31" ht="13.2">
      <c r="A219" s="7"/>
      <c r="B219" s="7"/>
      <c r="C219" s="7"/>
      <c r="D219" s="29"/>
      <c r="E219" s="7"/>
      <c r="F219" s="7"/>
      <c r="G219" s="7"/>
      <c r="H219" s="16"/>
      <c r="I219" s="16"/>
      <c r="J219" s="16"/>
      <c r="K219" s="16"/>
      <c r="L219" s="16"/>
      <c r="M219" s="16"/>
      <c r="N219" s="16"/>
      <c r="O219" s="16"/>
      <c r="P219" s="16"/>
      <c r="Q219" s="4"/>
      <c r="R219" s="4"/>
      <c r="S219" s="4"/>
      <c r="T219" s="4"/>
      <c r="U219" s="4"/>
      <c r="V219" s="4"/>
      <c r="W219" s="4"/>
      <c r="X219" s="4"/>
      <c r="Y219" s="4"/>
      <c r="Z219" s="4"/>
      <c r="AA219" s="4"/>
      <c r="AB219" s="4"/>
      <c r="AC219" s="4"/>
      <c r="AD219" s="4"/>
      <c r="AE219" s="4"/>
    </row>
    <row r="220" spans="1:31" ht="13.2">
      <c r="A220" s="7"/>
      <c r="B220" s="7"/>
      <c r="C220" s="7"/>
      <c r="D220" s="29"/>
      <c r="E220" s="7"/>
      <c r="F220" s="7"/>
      <c r="G220" s="7"/>
      <c r="H220" s="16"/>
      <c r="I220" s="16"/>
      <c r="J220" s="16"/>
      <c r="K220" s="16"/>
      <c r="L220" s="16"/>
      <c r="M220" s="16"/>
      <c r="N220" s="16"/>
      <c r="O220" s="16"/>
      <c r="P220" s="16"/>
      <c r="Q220" s="4"/>
      <c r="R220" s="4"/>
      <c r="S220" s="4"/>
      <c r="T220" s="4"/>
      <c r="U220" s="4"/>
      <c r="V220" s="4"/>
      <c r="W220" s="4"/>
      <c r="X220" s="4"/>
      <c r="Y220" s="4"/>
      <c r="Z220" s="4"/>
      <c r="AA220" s="4"/>
      <c r="AB220" s="4"/>
      <c r="AC220" s="4"/>
      <c r="AD220" s="4"/>
      <c r="AE220" s="4"/>
    </row>
    <row r="221" spans="1:31" ht="13.2">
      <c r="A221" s="7"/>
      <c r="B221" s="7"/>
      <c r="C221" s="7"/>
      <c r="D221" s="29"/>
      <c r="E221" s="7"/>
      <c r="F221" s="7"/>
      <c r="G221" s="7"/>
      <c r="H221" s="16"/>
      <c r="I221" s="16"/>
      <c r="J221" s="16"/>
      <c r="K221" s="16"/>
      <c r="L221" s="16"/>
      <c r="M221" s="16"/>
      <c r="N221" s="16"/>
      <c r="O221" s="16"/>
      <c r="P221" s="16"/>
      <c r="Q221" s="4"/>
      <c r="R221" s="4"/>
      <c r="S221" s="4"/>
      <c r="T221" s="4"/>
      <c r="U221" s="4"/>
      <c r="V221" s="4"/>
      <c r="W221" s="4"/>
      <c r="X221" s="4"/>
      <c r="Y221" s="4"/>
      <c r="Z221" s="4"/>
      <c r="AA221" s="4"/>
      <c r="AB221" s="4"/>
      <c r="AC221" s="4"/>
      <c r="AD221" s="4"/>
      <c r="AE221" s="4"/>
    </row>
    <row r="222" spans="1:31" ht="13.2">
      <c r="A222" s="7"/>
      <c r="B222" s="7"/>
      <c r="C222" s="7"/>
      <c r="D222" s="29"/>
      <c r="E222" s="7"/>
      <c r="F222" s="7"/>
      <c r="G222" s="7"/>
      <c r="H222" s="16"/>
      <c r="I222" s="16"/>
      <c r="J222" s="16"/>
      <c r="K222" s="16"/>
      <c r="L222" s="16"/>
      <c r="M222" s="16"/>
      <c r="N222" s="16"/>
      <c r="O222" s="16"/>
      <c r="P222" s="16"/>
      <c r="Q222" s="4"/>
      <c r="R222" s="4"/>
      <c r="S222" s="4"/>
      <c r="T222" s="4"/>
      <c r="U222" s="4"/>
      <c r="V222" s="4"/>
      <c r="W222" s="4"/>
      <c r="X222" s="4"/>
      <c r="Y222" s="4"/>
      <c r="Z222" s="4"/>
      <c r="AA222" s="4"/>
      <c r="AB222" s="4"/>
      <c r="AC222" s="4"/>
      <c r="AD222" s="4"/>
      <c r="AE222" s="4"/>
    </row>
    <row r="223" spans="1:31" ht="13.2">
      <c r="A223" s="7"/>
      <c r="B223" s="7"/>
      <c r="C223" s="7"/>
      <c r="D223" s="29"/>
      <c r="E223" s="7"/>
      <c r="F223" s="7"/>
      <c r="G223" s="7"/>
      <c r="H223" s="16"/>
      <c r="I223" s="16"/>
      <c r="J223" s="16"/>
      <c r="K223" s="16"/>
      <c r="L223" s="16"/>
      <c r="M223" s="16"/>
      <c r="N223" s="16"/>
      <c r="O223" s="16"/>
      <c r="P223" s="16"/>
      <c r="Q223" s="4"/>
      <c r="R223" s="4"/>
      <c r="S223" s="4"/>
      <c r="T223" s="4"/>
      <c r="U223" s="4"/>
      <c r="V223" s="4"/>
      <c r="W223" s="4"/>
      <c r="X223" s="4"/>
      <c r="Y223" s="4"/>
      <c r="Z223" s="4"/>
      <c r="AA223" s="4"/>
      <c r="AB223" s="4"/>
      <c r="AC223" s="4"/>
      <c r="AD223" s="4"/>
      <c r="AE223" s="4"/>
    </row>
    <row r="224" spans="1:31" ht="13.2">
      <c r="A224" s="7"/>
      <c r="B224" s="7"/>
      <c r="C224" s="7"/>
      <c r="D224" s="29"/>
      <c r="E224" s="7"/>
      <c r="F224" s="7"/>
      <c r="G224" s="7"/>
      <c r="H224" s="16"/>
      <c r="I224" s="16"/>
      <c r="J224" s="16"/>
      <c r="K224" s="16"/>
      <c r="L224" s="16"/>
      <c r="M224" s="16"/>
      <c r="N224" s="16"/>
      <c r="O224" s="16"/>
      <c r="P224" s="16"/>
      <c r="Q224" s="4"/>
      <c r="R224" s="4"/>
      <c r="S224" s="4"/>
      <c r="T224" s="4"/>
      <c r="U224" s="4"/>
      <c r="V224" s="4"/>
      <c r="W224" s="4"/>
      <c r="X224" s="4"/>
      <c r="Y224" s="4"/>
      <c r="Z224" s="4"/>
      <c r="AA224" s="4"/>
      <c r="AB224" s="4"/>
      <c r="AC224" s="4"/>
      <c r="AD224" s="4"/>
      <c r="AE224" s="4"/>
    </row>
    <row r="225" spans="1:31" ht="13.2">
      <c r="A225" s="7"/>
      <c r="B225" s="7"/>
      <c r="C225" s="7"/>
      <c r="D225" s="29"/>
      <c r="E225" s="7"/>
      <c r="F225" s="7"/>
      <c r="G225" s="7"/>
      <c r="H225" s="16"/>
      <c r="I225" s="16"/>
      <c r="J225" s="16"/>
      <c r="K225" s="16"/>
      <c r="L225" s="16"/>
      <c r="M225" s="16"/>
      <c r="N225" s="16"/>
      <c r="O225" s="16"/>
      <c r="P225" s="16"/>
      <c r="Q225" s="4"/>
      <c r="R225" s="4"/>
      <c r="S225" s="4"/>
      <c r="T225" s="4"/>
      <c r="U225" s="4"/>
      <c r="V225" s="4"/>
      <c r="W225" s="4"/>
      <c r="X225" s="4"/>
      <c r="Y225" s="4"/>
      <c r="Z225" s="4"/>
      <c r="AA225" s="4"/>
      <c r="AB225" s="4"/>
      <c r="AC225" s="4"/>
      <c r="AD225" s="4"/>
      <c r="AE225" s="4"/>
    </row>
    <row r="226" spans="1:31" ht="13.2">
      <c r="A226" s="7"/>
      <c r="B226" s="7"/>
      <c r="C226" s="7"/>
      <c r="D226" s="29"/>
      <c r="E226" s="7"/>
      <c r="F226" s="7"/>
      <c r="G226" s="7"/>
      <c r="H226" s="16"/>
      <c r="I226" s="16"/>
      <c r="J226" s="16"/>
      <c r="K226" s="16"/>
      <c r="L226" s="16"/>
      <c r="M226" s="16"/>
      <c r="N226" s="16"/>
      <c r="O226" s="16"/>
      <c r="P226" s="16"/>
      <c r="Q226" s="4"/>
      <c r="R226" s="4"/>
      <c r="S226" s="4"/>
      <c r="T226" s="4"/>
      <c r="U226" s="4"/>
      <c r="V226" s="4"/>
      <c r="W226" s="4"/>
      <c r="X226" s="4"/>
      <c r="Y226" s="4"/>
      <c r="Z226" s="4"/>
      <c r="AA226" s="4"/>
      <c r="AB226" s="4"/>
      <c r="AC226" s="4"/>
      <c r="AD226" s="4"/>
      <c r="AE226" s="4"/>
    </row>
    <row r="227" spans="1:31" ht="13.2">
      <c r="A227" s="7"/>
      <c r="B227" s="7"/>
      <c r="C227" s="7"/>
      <c r="D227" s="29"/>
      <c r="E227" s="7"/>
      <c r="F227" s="7"/>
      <c r="G227" s="7"/>
      <c r="H227" s="16"/>
      <c r="I227" s="16"/>
      <c r="J227" s="16"/>
      <c r="K227" s="16"/>
      <c r="L227" s="16"/>
      <c r="M227" s="16"/>
      <c r="N227" s="16"/>
      <c r="O227" s="16"/>
      <c r="P227" s="16"/>
      <c r="Q227" s="4"/>
      <c r="R227" s="4"/>
      <c r="S227" s="4"/>
      <c r="T227" s="4"/>
      <c r="U227" s="4"/>
      <c r="V227" s="4"/>
      <c r="W227" s="4"/>
      <c r="X227" s="4"/>
      <c r="Y227" s="4"/>
      <c r="Z227" s="4"/>
      <c r="AA227" s="4"/>
      <c r="AB227" s="4"/>
      <c r="AC227" s="4"/>
      <c r="AD227" s="4"/>
      <c r="AE227" s="4"/>
    </row>
    <row r="228" spans="1:31" ht="13.2">
      <c r="A228" s="7"/>
      <c r="B228" s="7"/>
      <c r="C228" s="7"/>
      <c r="D228" s="29"/>
      <c r="E228" s="7"/>
      <c r="F228" s="7"/>
      <c r="G228" s="7"/>
      <c r="H228" s="16"/>
      <c r="I228" s="16"/>
      <c r="J228" s="16"/>
      <c r="K228" s="16"/>
      <c r="L228" s="16"/>
      <c r="M228" s="16"/>
      <c r="N228" s="16"/>
      <c r="O228" s="16"/>
      <c r="P228" s="16"/>
      <c r="Q228" s="4"/>
      <c r="R228" s="4"/>
      <c r="S228" s="4"/>
      <c r="T228" s="4"/>
      <c r="U228" s="4"/>
      <c r="V228" s="4"/>
      <c r="W228" s="4"/>
      <c r="X228" s="4"/>
      <c r="Y228" s="4"/>
      <c r="Z228" s="4"/>
      <c r="AA228" s="4"/>
      <c r="AB228" s="4"/>
      <c r="AC228" s="4"/>
      <c r="AD228" s="4"/>
      <c r="AE228" s="4"/>
    </row>
    <row r="229" spans="1:31" ht="13.2">
      <c r="A229" s="7"/>
      <c r="B229" s="7"/>
      <c r="C229" s="7"/>
      <c r="D229" s="29"/>
      <c r="E229" s="7"/>
      <c r="F229" s="7"/>
      <c r="G229" s="7"/>
      <c r="H229" s="16"/>
      <c r="I229" s="16"/>
      <c r="J229" s="16"/>
      <c r="K229" s="16"/>
      <c r="L229" s="16"/>
      <c r="M229" s="16"/>
      <c r="N229" s="16"/>
      <c r="O229" s="16"/>
      <c r="P229" s="16"/>
      <c r="Q229" s="4"/>
      <c r="R229" s="4"/>
      <c r="S229" s="4"/>
      <c r="T229" s="4"/>
      <c r="U229" s="4"/>
      <c r="V229" s="4"/>
      <c r="W229" s="4"/>
      <c r="X229" s="4"/>
      <c r="Y229" s="4"/>
      <c r="Z229" s="4"/>
      <c r="AA229" s="4"/>
      <c r="AB229" s="4"/>
      <c r="AC229" s="4"/>
      <c r="AD229" s="4"/>
      <c r="AE229" s="4"/>
    </row>
    <row r="230" spans="1:31" ht="13.2">
      <c r="A230" s="7"/>
      <c r="B230" s="7"/>
      <c r="C230" s="7"/>
      <c r="D230" s="29"/>
      <c r="E230" s="7"/>
      <c r="F230" s="7"/>
      <c r="G230" s="7"/>
      <c r="H230" s="16"/>
      <c r="I230" s="16"/>
      <c r="J230" s="16"/>
      <c r="K230" s="16"/>
      <c r="L230" s="16"/>
      <c r="M230" s="16"/>
      <c r="N230" s="16"/>
      <c r="O230" s="16"/>
      <c r="P230" s="16"/>
      <c r="Q230" s="4"/>
      <c r="R230" s="4"/>
      <c r="S230" s="4"/>
      <c r="T230" s="4"/>
      <c r="U230" s="4"/>
      <c r="V230" s="4"/>
      <c r="W230" s="4"/>
      <c r="X230" s="4"/>
      <c r="Y230" s="4"/>
      <c r="Z230" s="4"/>
      <c r="AA230" s="4"/>
      <c r="AB230" s="4"/>
      <c r="AC230" s="4"/>
      <c r="AD230" s="4"/>
      <c r="AE230" s="4"/>
    </row>
    <row r="231" spans="1:31" ht="13.2">
      <c r="A231" s="7"/>
      <c r="B231" s="7"/>
      <c r="C231" s="7"/>
      <c r="D231" s="29"/>
      <c r="E231" s="7"/>
      <c r="F231" s="7"/>
      <c r="G231" s="7"/>
      <c r="H231" s="16"/>
      <c r="I231" s="16"/>
      <c r="J231" s="16"/>
      <c r="K231" s="16"/>
      <c r="L231" s="16"/>
      <c r="M231" s="16"/>
      <c r="N231" s="16"/>
      <c r="O231" s="16"/>
      <c r="P231" s="16"/>
      <c r="Q231" s="4"/>
      <c r="R231" s="4"/>
      <c r="S231" s="4"/>
      <c r="T231" s="4"/>
      <c r="U231" s="4"/>
      <c r="V231" s="4"/>
      <c r="W231" s="4"/>
      <c r="X231" s="4"/>
      <c r="Y231" s="4"/>
      <c r="Z231" s="4"/>
      <c r="AA231" s="4"/>
      <c r="AB231" s="4"/>
      <c r="AC231" s="4"/>
      <c r="AD231" s="4"/>
      <c r="AE231" s="4"/>
    </row>
    <row r="232" spans="1:31" ht="13.2">
      <c r="A232" s="7"/>
      <c r="B232" s="7"/>
      <c r="C232" s="7"/>
      <c r="D232" s="29"/>
      <c r="E232" s="7"/>
      <c r="F232" s="7"/>
      <c r="G232" s="7"/>
      <c r="H232" s="16"/>
      <c r="I232" s="16"/>
      <c r="J232" s="16"/>
      <c r="K232" s="16"/>
      <c r="L232" s="16"/>
      <c r="M232" s="16"/>
      <c r="N232" s="16"/>
      <c r="O232" s="16"/>
      <c r="P232" s="16"/>
      <c r="Q232" s="4"/>
      <c r="R232" s="4"/>
      <c r="S232" s="4"/>
      <c r="T232" s="4"/>
      <c r="U232" s="4"/>
      <c r="V232" s="4"/>
      <c r="W232" s="4"/>
      <c r="X232" s="4"/>
      <c r="Y232" s="4"/>
      <c r="Z232" s="4"/>
      <c r="AA232" s="4"/>
      <c r="AB232" s="4"/>
      <c r="AC232" s="4"/>
      <c r="AD232" s="4"/>
      <c r="AE232" s="4"/>
    </row>
    <row r="233" spans="1:31" ht="13.2">
      <c r="A233" s="7"/>
      <c r="B233" s="7"/>
      <c r="C233" s="7"/>
      <c r="D233" s="29"/>
      <c r="E233" s="7"/>
      <c r="F233" s="7"/>
      <c r="G233" s="7"/>
      <c r="H233" s="16"/>
      <c r="I233" s="16"/>
      <c r="J233" s="16"/>
      <c r="K233" s="16"/>
      <c r="L233" s="16"/>
      <c r="M233" s="16"/>
      <c r="N233" s="16"/>
      <c r="O233" s="16"/>
      <c r="P233" s="16"/>
      <c r="Q233" s="4"/>
      <c r="R233" s="4"/>
      <c r="S233" s="4"/>
      <c r="T233" s="4"/>
      <c r="U233" s="4"/>
      <c r="V233" s="4"/>
      <c r="W233" s="4"/>
      <c r="X233" s="4"/>
      <c r="Y233" s="4"/>
      <c r="Z233" s="4"/>
      <c r="AA233" s="4"/>
      <c r="AB233" s="4"/>
      <c r="AC233" s="4"/>
      <c r="AD233" s="4"/>
      <c r="AE233" s="4"/>
    </row>
    <row r="234" spans="1:31" ht="13.2">
      <c r="A234" s="7"/>
      <c r="B234" s="7"/>
      <c r="C234" s="7"/>
      <c r="D234" s="29"/>
      <c r="E234" s="7"/>
      <c r="F234" s="7"/>
      <c r="G234" s="7"/>
      <c r="H234" s="16"/>
      <c r="I234" s="16"/>
      <c r="J234" s="16"/>
      <c r="K234" s="16"/>
      <c r="L234" s="16"/>
      <c r="M234" s="16"/>
      <c r="N234" s="16"/>
      <c r="O234" s="16"/>
      <c r="P234" s="16"/>
      <c r="Q234" s="4"/>
      <c r="R234" s="4"/>
      <c r="S234" s="4"/>
      <c r="T234" s="4"/>
      <c r="U234" s="4"/>
      <c r="V234" s="4"/>
      <c r="W234" s="4"/>
      <c r="X234" s="4"/>
      <c r="Y234" s="4"/>
      <c r="Z234" s="4"/>
      <c r="AA234" s="4"/>
      <c r="AB234" s="4"/>
      <c r="AC234" s="4"/>
      <c r="AD234" s="4"/>
      <c r="AE234" s="4"/>
    </row>
    <row r="235" spans="1:31" ht="13.2">
      <c r="A235" s="7"/>
      <c r="B235" s="7"/>
      <c r="C235" s="7"/>
      <c r="D235" s="29"/>
      <c r="E235" s="7"/>
      <c r="F235" s="7"/>
      <c r="G235" s="7"/>
      <c r="H235" s="16"/>
      <c r="I235" s="16"/>
      <c r="J235" s="16"/>
      <c r="K235" s="16"/>
      <c r="L235" s="16"/>
      <c r="M235" s="16"/>
      <c r="N235" s="16"/>
      <c r="O235" s="16"/>
      <c r="P235" s="16"/>
      <c r="Q235" s="4"/>
      <c r="R235" s="4"/>
      <c r="S235" s="4"/>
      <c r="T235" s="4"/>
      <c r="U235" s="4"/>
      <c r="V235" s="4"/>
      <c r="W235" s="4"/>
      <c r="X235" s="4"/>
      <c r="Y235" s="4"/>
      <c r="Z235" s="4"/>
      <c r="AA235" s="4"/>
      <c r="AB235" s="4"/>
      <c r="AC235" s="4"/>
      <c r="AD235" s="4"/>
      <c r="AE235" s="4"/>
    </row>
    <row r="236" spans="1:31" ht="13.2">
      <c r="A236" s="7"/>
      <c r="B236" s="7"/>
      <c r="C236" s="7"/>
      <c r="D236" s="29"/>
      <c r="E236" s="7"/>
      <c r="F236" s="7"/>
      <c r="G236" s="7"/>
      <c r="H236" s="16"/>
      <c r="I236" s="16"/>
      <c r="J236" s="16"/>
      <c r="K236" s="16"/>
      <c r="L236" s="16"/>
      <c r="M236" s="16"/>
      <c r="N236" s="16"/>
      <c r="O236" s="16"/>
      <c r="P236" s="16"/>
      <c r="Q236" s="4"/>
      <c r="R236" s="4"/>
      <c r="S236" s="4"/>
      <c r="T236" s="4"/>
      <c r="U236" s="4"/>
      <c r="V236" s="4"/>
      <c r="W236" s="4"/>
      <c r="X236" s="4"/>
      <c r="Y236" s="4"/>
      <c r="Z236" s="4"/>
      <c r="AA236" s="4"/>
      <c r="AB236" s="4"/>
      <c r="AC236" s="4"/>
      <c r="AD236" s="4"/>
      <c r="AE236" s="4"/>
    </row>
    <row r="237" spans="1:31" ht="13.2">
      <c r="A237" s="7"/>
      <c r="B237" s="7"/>
      <c r="C237" s="7"/>
      <c r="D237" s="29"/>
      <c r="E237" s="7"/>
      <c r="F237" s="7"/>
      <c r="G237" s="7"/>
      <c r="H237" s="16"/>
      <c r="I237" s="16"/>
      <c r="J237" s="16"/>
      <c r="K237" s="16"/>
      <c r="L237" s="16"/>
      <c r="M237" s="16"/>
      <c r="N237" s="16"/>
      <c r="O237" s="16"/>
      <c r="P237" s="16"/>
      <c r="Q237" s="4"/>
      <c r="R237" s="4"/>
      <c r="S237" s="4"/>
      <c r="T237" s="4"/>
      <c r="U237" s="4"/>
      <c r="V237" s="4"/>
      <c r="W237" s="4"/>
      <c r="X237" s="4"/>
      <c r="Y237" s="4"/>
      <c r="Z237" s="4"/>
      <c r="AA237" s="4"/>
      <c r="AB237" s="4"/>
      <c r="AC237" s="4"/>
      <c r="AD237" s="4"/>
      <c r="AE237" s="4"/>
    </row>
    <row r="238" spans="1:31" ht="13.2">
      <c r="A238" s="7"/>
      <c r="B238" s="7"/>
      <c r="C238" s="7"/>
      <c r="D238" s="29"/>
      <c r="E238" s="7"/>
      <c r="F238" s="7"/>
      <c r="G238" s="7"/>
      <c r="H238" s="16"/>
      <c r="I238" s="16"/>
      <c r="J238" s="16"/>
      <c r="K238" s="16"/>
      <c r="L238" s="16"/>
      <c r="M238" s="16"/>
      <c r="N238" s="16"/>
      <c r="O238" s="16"/>
      <c r="P238" s="16"/>
      <c r="Q238" s="4"/>
      <c r="R238" s="4"/>
      <c r="S238" s="4"/>
      <c r="T238" s="4"/>
      <c r="U238" s="4"/>
      <c r="V238" s="4"/>
      <c r="W238" s="4"/>
      <c r="X238" s="4"/>
      <c r="Y238" s="4"/>
      <c r="Z238" s="4"/>
      <c r="AA238" s="4"/>
      <c r="AB238" s="4"/>
      <c r="AC238" s="4"/>
      <c r="AD238" s="4"/>
      <c r="AE238" s="4"/>
    </row>
    <row r="239" spans="1:31" ht="13.2">
      <c r="A239" s="7"/>
      <c r="B239" s="7"/>
      <c r="C239" s="7"/>
      <c r="D239" s="29"/>
      <c r="E239" s="7"/>
      <c r="F239" s="7"/>
      <c r="G239" s="7"/>
      <c r="H239" s="16"/>
      <c r="I239" s="16"/>
      <c r="J239" s="16"/>
      <c r="K239" s="16"/>
      <c r="L239" s="16"/>
      <c r="M239" s="16"/>
      <c r="N239" s="16"/>
      <c r="O239" s="16"/>
      <c r="P239" s="16"/>
      <c r="Q239" s="4"/>
      <c r="R239" s="4"/>
      <c r="S239" s="4"/>
      <c r="T239" s="4"/>
      <c r="U239" s="4"/>
      <c r="V239" s="4"/>
      <c r="W239" s="4"/>
      <c r="X239" s="4"/>
      <c r="Y239" s="4"/>
      <c r="Z239" s="4"/>
      <c r="AA239" s="4"/>
      <c r="AB239" s="4"/>
      <c r="AC239" s="4"/>
      <c r="AD239" s="4"/>
      <c r="AE239" s="4"/>
    </row>
    <row r="240" spans="1:31" ht="13.2">
      <c r="A240" s="7"/>
      <c r="B240" s="7"/>
      <c r="C240" s="7"/>
      <c r="D240" s="29"/>
      <c r="E240" s="7"/>
      <c r="F240" s="7"/>
      <c r="G240" s="7"/>
      <c r="H240" s="16"/>
      <c r="I240" s="16"/>
      <c r="J240" s="16"/>
      <c r="K240" s="16"/>
      <c r="L240" s="16"/>
      <c r="M240" s="16"/>
      <c r="N240" s="16"/>
      <c r="O240" s="16"/>
      <c r="P240" s="16"/>
      <c r="Q240" s="4"/>
      <c r="R240" s="4"/>
      <c r="S240" s="4"/>
      <c r="T240" s="4"/>
      <c r="U240" s="4"/>
      <c r="V240" s="4"/>
      <c r="W240" s="4"/>
      <c r="X240" s="4"/>
      <c r="Y240" s="4"/>
      <c r="Z240" s="4"/>
      <c r="AA240" s="4"/>
      <c r="AB240" s="4"/>
      <c r="AC240" s="4"/>
      <c r="AD240" s="4"/>
      <c r="AE240" s="4"/>
    </row>
    <row r="241" spans="1:31" ht="13.2">
      <c r="A241" s="7"/>
      <c r="B241" s="7"/>
      <c r="C241" s="7"/>
      <c r="D241" s="29"/>
      <c r="E241" s="7"/>
      <c r="F241" s="7"/>
      <c r="G241" s="7"/>
      <c r="H241" s="16"/>
      <c r="I241" s="16"/>
      <c r="J241" s="16"/>
      <c r="K241" s="16"/>
      <c r="L241" s="16"/>
      <c r="M241" s="16"/>
      <c r="N241" s="16"/>
      <c r="O241" s="16"/>
      <c r="P241" s="16"/>
      <c r="Q241" s="4"/>
      <c r="R241" s="4"/>
      <c r="S241" s="4"/>
      <c r="T241" s="4"/>
      <c r="U241" s="4"/>
      <c r="V241" s="4"/>
      <c r="W241" s="4"/>
      <c r="X241" s="4"/>
      <c r="Y241" s="4"/>
      <c r="Z241" s="4"/>
      <c r="AA241" s="4"/>
      <c r="AB241" s="4"/>
      <c r="AC241" s="4"/>
      <c r="AD241" s="4"/>
      <c r="AE241" s="4"/>
    </row>
    <row r="242" spans="1:31" ht="13.2">
      <c r="A242" s="7"/>
      <c r="B242" s="7"/>
      <c r="C242" s="7"/>
      <c r="D242" s="29"/>
      <c r="E242" s="7"/>
      <c r="F242" s="7"/>
      <c r="G242" s="7"/>
      <c r="H242" s="16"/>
      <c r="I242" s="16"/>
      <c r="J242" s="16"/>
      <c r="K242" s="16"/>
      <c r="L242" s="16"/>
      <c r="M242" s="16"/>
      <c r="N242" s="16"/>
      <c r="O242" s="16"/>
      <c r="P242" s="16"/>
      <c r="Q242" s="4"/>
      <c r="R242" s="4"/>
      <c r="S242" s="4"/>
      <c r="T242" s="4"/>
      <c r="U242" s="4"/>
      <c r="V242" s="4"/>
      <c r="W242" s="4"/>
      <c r="X242" s="4"/>
      <c r="Y242" s="4"/>
      <c r="Z242" s="4"/>
      <c r="AA242" s="4"/>
      <c r="AB242" s="4"/>
      <c r="AC242" s="4"/>
      <c r="AD242" s="4"/>
      <c r="AE242" s="4"/>
    </row>
    <row r="243" spans="1:31" ht="13.2">
      <c r="A243" s="7"/>
      <c r="B243" s="7"/>
      <c r="C243" s="7"/>
      <c r="D243" s="29"/>
      <c r="E243" s="7"/>
      <c r="F243" s="7"/>
      <c r="G243" s="7"/>
      <c r="H243" s="16"/>
      <c r="I243" s="16"/>
      <c r="J243" s="16"/>
      <c r="K243" s="16"/>
      <c r="L243" s="16"/>
      <c r="M243" s="16"/>
      <c r="N243" s="16"/>
      <c r="O243" s="16"/>
      <c r="P243" s="16"/>
      <c r="Q243" s="4"/>
      <c r="R243" s="4"/>
      <c r="S243" s="4"/>
      <c r="T243" s="4"/>
      <c r="U243" s="4"/>
      <c r="V243" s="4"/>
      <c r="W243" s="4"/>
      <c r="X243" s="4"/>
      <c r="Y243" s="4"/>
      <c r="Z243" s="4"/>
      <c r="AA243" s="4"/>
      <c r="AB243" s="4"/>
      <c r="AC243" s="4"/>
      <c r="AD243" s="4"/>
      <c r="AE243" s="4"/>
    </row>
    <row r="244" spans="1:31" ht="13.2">
      <c r="A244" s="7"/>
      <c r="B244" s="7"/>
      <c r="C244" s="7"/>
      <c r="D244" s="29"/>
      <c r="E244" s="7"/>
      <c r="F244" s="7"/>
      <c r="G244" s="7"/>
      <c r="H244" s="16"/>
      <c r="I244" s="16"/>
      <c r="J244" s="16"/>
      <c r="K244" s="16"/>
      <c r="L244" s="16"/>
      <c r="M244" s="16"/>
      <c r="N244" s="16"/>
      <c r="O244" s="16"/>
      <c r="P244" s="16"/>
      <c r="Q244" s="4"/>
      <c r="R244" s="4"/>
      <c r="S244" s="4"/>
      <c r="T244" s="4"/>
      <c r="U244" s="4"/>
      <c r="V244" s="4"/>
      <c r="W244" s="4"/>
      <c r="X244" s="4"/>
      <c r="Y244" s="4"/>
      <c r="Z244" s="4"/>
      <c r="AA244" s="4"/>
      <c r="AB244" s="4"/>
      <c r="AC244" s="4"/>
      <c r="AD244" s="4"/>
      <c r="AE244" s="4"/>
    </row>
    <row r="245" spans="1:31" ht="13.2">
      <c r="A245" s="7"/>
      <c r="B245" s="7"/>
      <c r="C245" s="7"/>
      <c r="D245" s="29"/>
      <c r="E245" s="7"/>
      <c r="F245" s="7"/>
      <c r="G245" s="7"/>
      <c r="H245" s="16"/>
      <c r="I245" s="16"/>
      <c r="J245" s="16"/>
      <c r="K245" s="16"/>
      <c r="L245" s="16"/>
      <c r="M245" s="16"/>
      <c r="N245" s="16"/>
      <c r="O245" s="16"/>
      <c r="P245" s="16"/>
      <c r="Q245" s="4"/>
      <c r="R245" s="4"/>
      <c r="S245" s="4"/>
      <c r="T245" s="4"/>
      <c r="U245" s="4"/>
      <c r="V245" s="4"/>
      <c r="W245" s="4"/>
      <c r="X245" s="4"/>
      <c r="Y245" s="4"/>
      <c r="Z245" s="4"/>
      <c r="AA245" s="4"/>
      <c r="AB245" s="4"/>
      <c r="AC245" s="4"/>
      <c r="AD245" s="4"/>
      <c r="AE245" s="4"/>
    </row>
    <row r="246" spans="1:31" ht="13.2">
      <c r="A246" s="7"/>
      <c r="B246" s="7"/>
      <c r="C246" s="7"/>
      <c r="D246" s="29"/>
      <c r="E246" s="7"/>
      <c r="F246" s="7"/>
      <c r="G246" s="7"/>
      <c r="H246" s="16"/>
      <c r="I246" s="16"/>
      <c r="J246" s="16"/>
      <c r="K246" s="16"/>
      <c r="L246" s="16"/>
      <c r="M246" s="16"/>
      <c r="N246" s="16"/>
      <c r="O246" s="16"/>
      <c r="P246" s="16"/>
      <c r="Q246" s="4"/>
      <c r="R246" s="4"/>
      <c r="S246" s="4"/>
      <c r="T246" s="4"/>
      <c r="U246" s="4"/>
      <c r="V246" s="4"/>
      <c r="W246" s="4"/>
      <c r="X246" s="4"/>
      <c r="Y246" s="4"/>
      <c r="Z246" s="4"/>
      <c r="AA246" s="4"/>
      <c r="AB246" s="4"/>
      <c r="AC246" s="4"/>
      <c r="AD246" s="4"/>
      <c r="AE246" s="4"/>
    </row>
    <row r="247" spans="1:31" ht="13.2">
      <c r="A247" s="7"/>
      <c r="B247" s="7"/>
      <c r="C247" s="7"/>
      <c r="D247" s="29"/>
      <c r="E247" s="7"/>
      <c r="F247" s="7"/>
      <c r="G247" s="7"/>
      <c r="H247" s="16"/>
      <c r="I247" s="16"/>
      <c r="J247" s="16"/>
      <c r="K247" s="16"/>
      <c r="L247" s="16"/>
      <c r="M247" s="16"/>
      <c r="N247" s="16"/>
      <c r="O247" s="16"/>
      <c r="P247" s="16"/>
      <c r="Q247" s="4"/>
      <c r="R247" s="4"/>
      <c r="S247" s="4"/>
      <c r="T247" s="4"/>
      <c r="U247" s="4"/>
      <c r="V247" s="4"/>
      <c r="W247" s="4"/>
      <c r="X247" s="4"/>
      <c r="Y247" s="4"/>
      <c r="Z247" s="4"/>
      <c r="AA247" s="4"/>
      <c r="AB247" s="4"/>
      <c r="AC247" s="4"/>
      <c r="AD247" s="4"/>
      <c r="AE247" s="4"/>
    </row>
    <row r="248" spans="1:31" ht="13.2">
      <c r="A248" s="7"/>
      <c r="B248" s="7"/>
      <c r="C248" s="7"/>
      <c r="D248" s="29"/>
      <c r="E248" s="7"/>
      <c r="F248" s="7"/>
      <c r="G248" s="7"/>
      <c r="H248" s="16"/>
      <c r="I248" s="16"/>
      <c r="J248" s="16"/>
      <c r="K248" s="16"/>
      <c r="L248" s="16"/>
      <c r="M248" s="16"/>
      <c r="N248" s="16"/>
      <c r="O248" s="16"/>
      <c r="P248" s="16"/>
      <c r="Q248" s="4"/>
      <c r="R248" s="4"/>
      <c r="S248" s="4"/>
      <c r="T248" s="4"/>
      <c r="U248" s="4"/>
      <c r="V248" s="4"/>
      <c r="W248" s="4"/>
      <c r="X248" s="4"/>
      <c r="Y248" s="4"/>
      <c r="Z248" s="4"/>
      <c r="AA248" s="4"/>
      <c r="AB248" s="4"/>
      <c r="AC248" s="4"/>
      <c r="AD248" s="4"/>
      <c r="AE248" s="4"/>
    </row>
    <row r="249" spans="1:31" ht="13.2">
      <c r="A249" s="7"/>
      <c r="B249" s="7"/>
      <c r="C249" s="7"/>
      <c r="D249" s="29"/>
      <c r="E249" s="7"/>
      <c r="F249" s="7"/>
      <c r="G249" s="7"/>
      <c r="H249" s="16"/>
      <c r="I249" s="16"/>
      <c r="J249" s="16"/>
      <c r="K249" s="16"/>
      <c r="L249" s="16"/>
      <c r="M249" s="16"/>
      <c r="N249" s="16"/>
      <c r="O249" s="16"/>
      <c r="P249" s="16"/>
      <c r="Q249" s="4"/>
      <c r="R249" s="4"/>
      <c r="S249" s="4"/>
      <c r="T249" s="4"/>
      <c r="U249" s="4"/>
      <c r="V249" s="4"/>
      <c r="W249" s="4"/>
      <c r="X249" s="4"/>
      <c r="Y249" s="4"/>
      <c r="Z249" s="4"/>
      <c r="AA249" s="4"/>
      <c r="AB249" s="4"/>
      <c r="AC249" s="4"/>
      <c r="AD249" s="4"/>
      <c r="AE249" s="4"/>
    </row>
    <row r="250" spans="1:31" ht="13.2">
      <c r="A250" s="7"/>
      <c r="B250" s="7"/>
      <c r="C250" s="7"/>
      <c r="D250" s="29"/>
      <c r="E250" s="7"/>
      <c r="F250" s="7"/>
      <c r="G250" s="7"/>
      <c r="H250" s="16"/>
      <c r="I250" s="16"/>
      <c r="J250" s="16"/>
      <c r="K250" s="16"/>
      <c r="L250" s="16"/>
      <c r="M250" s="16"/>
      <c r="N250" s="16"/>
      <c r="O250" s="16"/>
      <c r="P250" s="16"/>
      <c r="Q250" s="4"/>
      <c r="R250" s="4"/>
      <c r="S250" s="4"/>
      <c r="T250" s="4"/>
      <c r="U250" s="4"/>
      <c r="V250" s="4"/>
      <c r="W250" s="4"/>
      <c r="X250" s="4"/>
      <c r="Y250" s="4"/>
      <c r="Z250" s="4"/>
      <c r="AA250" s="4"/>
      <c r="AB250" s="4"/>
      <c r="AC250" s="4"/>
      <c r="AD250" s="4"/>
      <c r="AE250" s="4"/>
    </row>
    <row r="251" spans="1:31" ht="13.2">
      <c r="A251" s="7"/>
      <c r="B251" s="7"/>
      <c r="C251" s="7"/>
      <c r="D251" s="29"/>
      <c r="E251" s="7"/>
      <c r="F251" s="7"/>
      <c r="G251" s="7"/>
      <c r="H251" s="16"/>
      <c r="I251" s="16"/>
      <c r="J251" s="16"/>
      <c r="K251" s="16"/>
      <c r="L251" s="16"/>
      <c r="M251" s="16"/>
      <c r="N251" s="16"/>
      <c r="O251" s="16"/>
      <c r="P251" s="16"/>
      <c r="Q251" s="4"/>
      <c r="R251" s="4"/>
      <c r="S251" s="4"/>
      <c r="T251" s="4"/>
      <c r="U251" s="4"/>
      <c r="V251" s="4"/>
      <c r="W251" s="4"/>
      <c r="X251" s="4"/>
      <c r="Y251" s="4"/>
      <c r="Z251" s="4"/>
      <c r="AA251" s="4"/>
      <c r="AB251" s="4"/>
      <c r="AC251" s="4"/>
      <c r="AD251" s="4"/>
      <c r="AE251" s="4"/>
    </row>
    <row r="252" spans="1:31" ht="13.2">
      <c r="A252" s="7"/>
      <c r="B252" s="7"/>
      <c r="C252" s="7"/>
      <c r="D252" s="29"/>
      <c r="E252" s="7"/>
      <c r="F252" s="7"/>
      <c r="G252" s="7"/>
      <c r="H252" s="16"/>
      <c r="I252" s="16"/>
      <c r="J252" s="16"/>
      <c r="K252" s="16"/>
      <c r="L252" s="16"/>
      <c r="M252" s="16"/>
      <c r="N252" s="16"/>
      <c r="O252" s="16"/>
      <c r="P252" s="16"/>
      <c r="Q252" s="4"/>
      <c r="R252" s="4"/>
      <c r="S252" s="4"/>
      <c r="T252" s="4"/>
      <c r="U252" s="4"/>
      <c r="V252" s="4"/>
      <c r="W252" s="4"/>
      <c r="X252" s="4"/>
      <c r="Y252" s="4"/>
      <c r="Z252" s="4"/>
      <c r="AA252" s="4"/>
      <c r="AB252" s="4"/>
      <c r="AC252" s="4"/>
      <c r="AD252" s="4"/>
      <c r="AE252" s="4"/>
    </row>
    <row r="253" spans="1:31" ht="13.2">
      <c r="A253" s="7"/>
      <c r="B253" s="7"/>
      <c r="C253" s="7"/>
      <c r="D253" s="29"/>
      <c r="E253" s="7"/>
      <c r="F253" s="7"/>
      <c r="G253" s="7"/>
      <c r="H253" s="16"/>
      <c r="I253" s="16"/>
      <c r="J253" s="16"/>
      <c r="K253" s="16"/>
      <c r="L253" s="16"/>
      <c r="M253" s="16"/>
      <c r="N253" s="16"/>
      <c r="O253" s="16"/>
      <c r="P253" s="16"/>
      <c r="Q253" s="4"/>
      <c r="R253" s="4"/>
      <c r="S253" s="4"/>
      <c r="T253" s="4"/>
      <c r="U253" s="4"/>
      <c r="V253" s="4"/>
      <c r="W253" s="4"/>
      <c r="X253" s="4"/>
      <c r="Y253" s="4"/>
      <c r="Z253" s="4"/>
      <c r="AA253" s="4"/>
      <c r="AB253" s="4"/>
      <c r="AC253" s="4"/>
      <c r="AD253" s="4"/>
      <c r="AE253" s="4"/>
    </row>
    <row r="254" spans="1:31" ht="13.2">
      <c r="A254" s="7"/>
      <c r="B254" s="7"/>
      <c r="C254" s="7"/>
      <c r="D254" s="29"/>
      <c r="E254" s="7"/>
      <c r="F254" s="7"/>
      <c r="G254" s="7"/>
      <c r="H254" s="16"/>
      <c r="I254" s="16"/>
      <c r="J254" s="16"/>
      <c r="K254" s="16"/>
      <c r="L254" s="16"/>
      <c r="M254" s="16"/>
      <c r="N254" s="16"/>
      <c r="O254" s="16"/>
      <c r="P254" s="16"/>
      <c r="Q254" s="4"/>
      <c r="R254" s="4"/>
      <c r="S254" s="4"/>
      <c r="T254" s="4"/>
      <c r="U254" s="4"/>
      <c r="V254" s="4"/>
      <c r="W254" s="4"/>
      <c r="X254" s="4"/>
      <c r="Y254" s="4"/>
      <c r="Z254" s="4"/>
      <c r="AA254" s="4"/>
      <c r="AB254" s="4"/>
      <c r="AC254" s="4"/>
      <c r="AD254" s="4"/>
      <c r="AE254" s="4"/>
    </row>
    <row r="255" spans="1:31" ht="13.2">
      <c r="A255" s="7"/>
      <c r="B255" s="7"/>
      <c r="C255" s="7"/>
      <c r="D255" s="29"/>
      <c r="E255" s="7"/>
      <c r="F255" s="7"/>
      <c r="G255" s="7"/>
      <c r="H255" s="16"/>
      <c r="I255" s="16"/>
      <c r="J255" s="16"/>
      <c r="K255" s="16"/>
      <c r="L255" s="16"/>
      <c r="M255" s="16"/>
      <c r="N255" s="16"/>
      <c r="O255" s="16"/>
      <c r="P255" s="16"/>
      <c r="Q255" s="4"/>
      <c r="R255" s="4"/>
      <c r="S255" s="4"/>
      <c r="T255" s="4"/>
      <c r="U255" s="4"/>
      <c r="V255" s="4"/>
      <c r="W255" s="4"/>
      <c r="X255" s="4"/>
      <c r="Y255" s="4"/>
      <c r="Z255" s="4"/>
      <c r="AA255" s="4"/>
      <c r="AB255" s="4"/>
      <c r="AC255" s="4"/>
      <c r="AD255" s="4"/>
      <c r="AE255" s="4"/>
    </row>
    <row r="256" spans="1:31" ht="13.2">
      <c r="A256" s="7"/>
      <c r="B256" s="7"/>
      <c r="C256" s="7"/>
      <c r="D256" s="29"/>
      <c r="E256" s="7"/>
      <c r="F256" s="7"/>
      <c r="G256" s="7"/>
      <c r="H256" s="16"/>
      <c r="I256" s="16"/>
      <c r="J256" s="16"/>
      <c r="K256" s="16"/>
      <c r="L256" s="16"/>
      <c r="M256" s="16"/>
      <c r="N256" s="16"/>
      <c r="O256" s="16"/>
      <c r="P256" s="16"/>
      <c r="Q256" s="4"/>
      <c r="R256" s="4"/>
      <c r="S256" s="4"/>
      <c r="T256" s="4"/>
      <c r="U256" s="4"/>
      <c r="V256" s="4"/>
      <c r="W256" s="4"/>
      <c r="X256" s="4"/>
      <c r="Y256" s="4"/>
      <c r="Z256" s="4"/>
      <c r="AA256" s="4"/>
      <c r="AB256" s="4"/>
      <c r="AC256" s="4"/>
      <c r="AD256" s="4"/>
      <c r="AE256" s="4"/>
    </row>
    <row r="257" spans="1:31" ht="13.2">
      <c r="A257" s="7"/>
      <c r="B257" s="7"/>
      <c r="C257" s="7"/>
      <c r="D257" s="29"/>
      <c r="E257" s="7"/>
      <c r="F257" s="7"/>
      <c r="G257" s="7"/>
      <c r="H257" s="16"/>
      <c r="I257" s="16"/>
      <c r="J257" s="16"/>
      <c r="K257" s="16"/>
      <c r="L257" s="16"/>
      <c r="M257" s="16"/>
      <c r="N257" s="16"/>
      <c r="O257" s="16"/>
      <c r="P257" s="16"/>
      <c r="Q257" s="4"/>
      <c r="R257" s="4"/>
      <c r="S257" s="4"/>
      <c r="T257" s="4"/>
      <c r="U257" s="4"/>
      <c r="V257" s="4"/>
      <c r="W257" s="4"/>
      <c r="X257" s="4"/>
      <c r="Y257" s="4"/>
      <c r="Z257" s="4"/>
      <c r="AA257" s="4"/>
      <c r="AB257" s="4"/>
      <c r="AC257" s="4"/>
      <c r="AD257" s="4"/>
      <c r="AE257" s="4"/>
    </row>
    <row r="258" spans="1:31" ht="13.2">
      <c r="A258" s="7"/>
      <c r="B258" s="7"/>
      <c r="C258" s="7"/>
      <c r="D258" s="29"/>
      <c r="E258" s="7"/>
      <c r="F258" s="7"/>
      <c r="G258" s="7"/>
      <c r="H258" s="16"/>
      <c r="I258" s="16"/>
      <c r="J258" s="16"/>
      <c r="K258" s="16"/>
      <c r="L258" s="16"/>
      <c r="M258" s="16"/>
      <c r="N258" s="16"/>
      <c r="O258" s="16"/>
      <c r="P258" s="16"/>
      <c r="Q258" s="4"/>
      <c r="R258" s="4"/>
      <c r="S258" s="4"/>
      <c r="T258" s="4"/>
      <c r="U258" s="4"/>
      <c r="V258" s="4"/>
      <c r="W258" s="4"/>
      <c r="X258" s="4"/>
      <c r="Y258" s="4"/>
      <c r="Z258" s="4"/>
      <c r="AA258" s="4"/>
      <c r="AB258" s="4"/>
      <c r="AC258" s="4"/>
      <c r="AD258" s="4"/>
      <c r="AE258" s="4"/>
    </row>
    <row r="259" spans="1:31" ht="13.2">
      <c r="A259" s="7"/>
      <c r="B259" s="7"/>
      <c r="C259" s="7"/>
      <c r="D259" s="29"/>
      <c r="E259" s="7"/>
      <c r="F259" s="7"/>
      <c r="G259" s="7"/>
      <c r="H259" s="16"/>
      <c r="I259" s="16"/>
      <c r="J259" s="16"/>
      <c r="K259" s="16"/>
      <c r="L259" s="16"/>
      <c r="M259" s="16"/>
      <c r="N259" s="16"/>
      <c r="O259" s="16"/>
      <c r="P259" s="16"/>
      <c r="Q259" s="4"/>
      <c r="R259" s="4"/>
      <c r="S259" s="4"/>
      <c r="T259" s="4"/>
      <c r="U259" s="4"/>
      <c r="V259" s="4"/>
      <c r="W259" s="4"/>
      <c r="X259" s="4"/>
      <c r="Y259" s="4"/>
      <c r="Z259" s="4"/>
      <c r="AA259" s="4"/>
      <c r="AB259" s="4"/>
      <c r="AC259" s="4"/>
      <c r="AD259" s="4"/>
      <c r="AE259" s="4"/>
    </row>
    <row r="260" spans="1:31" ht="13.2">
      <c r="A260" s="7"/>
      <c r="B260" s="7"/>
      <c r="C260" s="7"/>
      <c r="D260" s="29"/>
      <c r="E260" s="7"/>
      <c r="F260" s="7"/>
      <c r="G260" s="7"/>
      <c r="H260" s="16"/>
      <c r="I260" s="16"/>
      <c r="J260" s="16"/>
      <c r="K260" s="16"/>
      <c r="L260" s="16"/>
      <c r="M260" s="16"/>
      <c r="N260" s="16"/>
      <c r="O260" s="16"/>
      <c r="P260" s="16"/>
      <c r="Q260" s="4"/>
      <c r="R260" s="4"/>
      <c r="S260" s="4"/>
      <c r="T260" s="4"/>
      <c r="U260" s="4"/>
      <c r="V260" s="4"/>
      <c r="W260" s="4"/>
      <c r="X260" s="4"/>
      <c r="Y260" s="4"/>
      <c r="Z260" s="4"/>
      <c r="AA260" s="4"/>
      <c r="AB260" s="4"/>
      <c r="AC260" s="4"/>
      <c r="AD260" s="4"/>
      <c r="AE260" s="4"/>
    </row>
    <row r="261" spans="1:31" ht="13.2">
      <c r="A261" s="7"/>
      <c r="B261" s="7"/>
      <c r="C261" s="7"/>
      <c r="D261" s="29"/>
      <c r="E261" s="7"/>
      <c r="F261" s="7"/>
      <c r="G261" s="7"/>
      <c r="H261" s="16"/>
      <c r="I261" s="16"/>
      <c r="J261" s="16"/>
      <c r="K261" s="16"/>
      <c r="L261" s="16"/>
      <c r="M261" s="16"/>
      <c r="N261" s="16"/>
      <c r="O261" s="16"/>
      <c r="P261" s="16"/>
      <c r="Q261" s="4"/>
      <c r="R261" s="4"/>
      <c r="S261" s="4"/>
      <c r="T261" s="4"/>
      <c r="U261" s="4"/>
      <c r="V261" s="4"/>
      <c r="W261" s="4"/>
      <c r="X261" s="4"/>
      <c r="Y261" s="4"/>
      <c r="Z261" s="4"/>
      <c r="AA261" s="4"/>
      <c r="AB261" s="4"/>
      <c r="AC261" s="4"/>
      <c r="AD261" s="4"/>
      <c r="AE261" s="4"/>
    </row>
    <row r="262" spans="1:31" ht="13.2">
      <c r="A262" s="7"/>
      <c r="B262" s="7"/>
      <c r="C262" s="7"/>
      <c r="D262" s="29"/>
      <c r="E262" s="7"/>
      <c r="F262" s="7"/>
      <c r="G262" s="7"/>
      <c r="H262" s="16"/>
      <c r="I262" s="16"/>
      <c r="J262" s="16"/>
      <c r="K262" s="16"/>
      <c r="L262" s="16"/>
      <c r="M262" s="16"/>
      <c r="N262" s="16"/>
      <c r="O262" s="16"/>
      <c r="P262" s="16"/>
      <c r="Q262" s="4"/>
      <c r="R262" s="4"/>
      <c r="S262" s="4"/>
      <c r="T262" s="4"/>
      <c r="U262" s="4"/>
      <c r="V262" s="4"/>
      <c r="W262" s="4"/>
      <c r="X262" s="4"/>
      <c r="Y262" s="4"/>
      <c r="Z262" s="4"/>
      <c r="AA262" s="4"/>
      <c r="AB262" s="4"/>
      <c r="AC262" s="4"/>
      <c r="AD262" s="4"/>
      <c r="AE262" s="4"/>
    </row>
    <row r="263" spans="1:31" ht="13.2">
      <c r="A263" s="7"/>
      <c r="B263" s="7"/>
      <c r="C263" s="7"/>
      <c r="D263" s="29"/>
      <c r="E263" s="7"/>
      <c r="F263" s="7"/>
      <c r="G263" s="7"/>
      <c r="H263" s="16"/>
      <c r="I263" s="16"/>
      <c r="J263" s="16"/>
      <c r="K263" s="16"/>
      <c r="L263" s="16"/>
      <c r="M263" s="16"/>
      <c r="N263" s="16"/>
      <c r="O263" s="16"/>
      <c r="P263" s="16"/>
      <c r="Q263" s="4"/>
      <c r="R263" s="4"/>
      <c r="S263" s="4"/>
      <c r="T263" s="4"/>
      <c r="U263" s="4"/>
      <c r="V263" s="4"/>
      <c r="W263" s="4"/>
      <c r="X263" s="4"/>
      <c r="Y263" s="4"/>
      <c r="Z263" s="4"/>
      <c r="AA263" s="4"/>
      <c r="AB263" s="4"/>
      <c r="AC263" s="4"/>
      <c r="AD263" s="4"/>
      <c r="AE263" s="4"/>
    </row>
    <row r="264" spans="1:31" ht="13.2">
      <c r="A264" s="7"/>
      <c r="B264" s="7"/>
      <c r="C264" s="7"/>
      <c r="D264" s="29"/>
      <c r="E264" s="7"/>
      <c r="F264" s="7"/>
      <c r="G264" s="7"/>
      <c r="H264" s="16"/>
      <c r="I264" s="16"/>
      <c r="J264" s="16"/>
      <c r="K264" s="16"/>
      <c r="L264" s="16"/>
      <c r="M264" s="16"/>
      <c r="N264" s="16"/>
      <c r="O264" s="16"/>
      <c r="P264" s="16"/>
      <c r="Q264" s="4"/>
      <c r="R264" s="4"/>
      <c r="S264" s="4"/>
      <c r="T264" s="4"/>
      <c r="U264" s="4"/>
      <c r="V264" s="4"/>
      <c r="W264" s="4"/>
      <c r="X264" s="4"/>
      <c r="Y264" s="4"/>
      <c r="Z264" s="4"/>
      <c r="AA264" s="4"/>
      <c r="AB264" s="4"/>
      <c r="AC264" s="4"/>
      <c r="AD264" s="4"/>
      <c r="AE264" s="4"/>
    </row>
    <row r="265" spans="1:31" ht="13.2">
      <c r="A265" s="7"/>
      <c r="B265" s="7"/>
      <c r="C265" s="7"/>
      <c r="D265" s="29"/>
      <c r="E265" s="7"/>
      <c r="F265" s="7"/>
      <c r="G265" s="7"/>
      <c r="H265" s="16"/>
      <c r="I265" s="16"/>
      <c r="J265" s="16"/>
      <c r="K265" s="16"/>
      <c r="L265" s="16"/>
      <c r="M265" s="16"/>
      <c r="N265" s="16"/>
      <c r="O265" s="16"/>
      <c r="P265" s="16"/>
      <c r="Q265" s="4"/>
      <c r="R265" s="4"/>
      <c r="S265" s="4"/>
      <c r="T265" s="4"/>
      <c r="U265" s="4"/>
      <c r="V265" s="4"/>
      <c r="W265" s="4"/>
      <c r="X265" s="4"/>
      <c r="Y265" s="4"/>
      <c r="Z265" s="4"/>
      <c r="AA265" s="4"/>
      <c r="AB265" s="4"/>
      <c r="AC265" s="4"/>
      <c r="AD265" s="4"/>
      <c r="AE265" s="4"/>
    </row>
    <row r="266" spans="1:31" ht="13.2">
      <c r="A266" s="7"/>
      <c r="B266" s="7"/>
      <c r="C266" s="7"/>
      <c r="D266" s="29"/>
      <c r="E266" s="7"/>
      <c r="F266" s="7"/>
      <c r="G266" s="7"/>
      <c r="H266" s="16"/>
      <c r="I266" s="16"/>
      <c r="J266" s="16"/>
      <c r="K266" s="16"/>
      <c r="L266" s="16"/>
      <c r="M266" s="16"/>
      <c r="N266" s="16"/>
      <c r="O266" s="16"/>
      <c r="P266" s="16"/>
      <c r="Q266" s="4"/>
      <c r="R266" s="4"/>
      <c r="S266" s="4"/>
      <c r="T266" s="4"/>
      <c r="U266" s="4"/>
      <c r="V266" s="4"/>
      <c r="W266" s="4"/>
      <c r="X266" s="4"/>
      <c r="Y266" s="4"/>
      <c r="Z266" s="4"/>
      <c r="AA266" s="4"/>
      <c r="AB266" s="4"/>
      <c r="AC266" s="4"/>
      <c r="AD266" s="4"/>
      <c r="AE266" s="4"/>
    </row>
    <row r="267" spans="1:31" ht="13.2">
      <c r="A267" s="7"/>
      <c r="B267" s="7"/>
      <c r="C267" s="7"/>
      <c r="D267" s="29"/>
      <c r="E267" s="7"/>
      <c r="F267" s="7"/>
      <c r="G267" s="7"/>
      <c r="H267" s="16"/>
      <c r="I267" s="16"/>
      <c r="J267" s="16"/>
      <c r="K267" s="16"/>
      <c r="L267" s="16"/>
      <c r="M267" s="16"/>
      <c r="N267" s="16"/>
      <c r="O267" s="16"/>
      <c r="P267" s="16"/>
      <c r="Q267" s="4"/>
      <c r="R267" s="4"/>
      <c r="S267" s="4"/>
      <c r="T267" s="4"/>
      <c r="U267" s="4"/>
      <c r="V267" s="4"/>
      <c r="W267" s="4"/>
      <c r="X267" s="4"/>
      <c r="Y267" s="4"/>
      <c r="Z267" s="4"/>
      <c r="AA267" s="4"/>
      <c r="AB267" s="4"/>
      <c r="AC267" s="4"/>
      <c r="AD267" s="4"/>
      <c r="AE267" s="4"/>
    </row>
    <row r="268" spans="1:31" ht="13.2">
      <c r="A268" s="7"/>
      <c r="B268" s="7"/>
      <c r="C268" s="7"/>
      <c r="D268" s="29"/>
      <c r="E268" s="7"/>
      <c r="F268" s="7"/>
      <c r="G268" s="7"/>
      <c r="H268" s="16"/>
      <c r="I268" s="16"/>
      <c r="J268" s="16"/>
      <c r="K268" s="16"/>
      <c r="L268" s="16"/>
      <c r="M268" s="16"/>
      <c r="N268" s="16"/>
      <c r="O268" s="16"/>
      <c r="P268" s="16"/>
      <c r="Q268" s="4"/>
      <c r="R268" s="4"/>
      <c r="S268" s="4"/>
      <c r="T268" s="4"/>
      <c r="U268" s="4"/>
      <c r="V268" s="4"/>
      <c r="W268" s="4"/>
      <c r="X268" s="4"/>
      <c r="Y268" s="4"/>
      <c r="Z268" s="4"/>
      <c r="AA268" s="4"/>
      <c r="AB268" s="4"/>
      <c r="AC268" s="4"/>
      <c r="AD268" s="4"/>
      <c r="AE268" s="4"/>
    </row>
    <row r="269" spans="1:31" ht="13.2">
      <c r="A269" s="7"/>
      <c r="B269" s="7"/>
      <c r="C269" s="7"/>
      <c r="D269" s="29"/>
      <c r="E269" s="7"/>
      <c r="F269" s="7"/>
      <c r="G269" s="7"/>
      <c r="H269" s="16"/>
      <c r="I269" s="16"/>
      <c r="J269" s="16"/>
      <c r="K269" s="16"/>
      <c r="L269" s="16"/>
      <c r="M269" s="16"/>
      <c r="N269" s="16"/>
      <c r="O269" s="16"/>
      <c r="P269" s="16"/>
      <c r="Q269" s="4"/>
      <c r="R269" s="4"/>
      <c r="S269" s="4"/>
      <c r="T269" s="4"/>
      <c r="U269" s="4"/>
      <c r="V269" s="4"/>
      <c r="W269" s="4"/>
      <c r="X269" s="4"/>
      <c r="Y269" s="4"/>
      <c r="Z269" s="4"/>
      <c r="AA269" s="4"/>
      <c r="AB269" s="4"/>
      <c r="AC269" s="4"/>
      <c r="AD269" s="4"/>
      <c r="AE269" s="4"/>
    </row>
    <row r="270" spans="1:31" ht="13.2">
      <c r="A270" s="7"/>
      <c r="B270" s="7"/>
      <c r="C270" s="7"/>
      <c r="D270" s="29"/>
      <c r="E270" s="7"/>
      <c r="F270" s="7"/>
      <c r="G270" s="7"/>
      <c r="H270" s="16"/>
      <c r="I270" s="16"/>
      <c r="J270" s="16"/>
      <c r="K270" s="16"/>
      <c r="L270" s="16"/>
      <c r="M270" s="16"/>
      <c r="N270" s="16"/>
      <c r="O270" s="16"/>
      <c r="P270" s="16"/>
      <c r="Q270" s="4"/>
      <c r="R270" s="4"/>
      <c r="S270" s="4"/>
      <c r="T270" s="4"/>
      <c r="U270" s="4"/>
      <c r="V270" s="4"/>
      <c r="W270" s="4"/>
      <c r="X270" s="4"/>
      <c r="Y270" s="4"/>
      <c r="Z270" s="4"/>
      <c r="AA270" s="4"/>
      <c r="AB270" s="4"/>
      <c r="AC270" s="4"/>
      <c r="AD270" s="4"/>
      <c r="AE270" s="4"/>
    </row>
    <row r="271" spans="1:31" ht="13.2">
      <c r="A271" s="7"/>
      <c r="B271" s="7"/>
      <c r="C271" s="7"/>
      <c r="D271" s="29"/>
      <c r="E271" s="7"/>
      <c r="F271" s="7"/>
      <c r="G271" s="7"/>
      <c r="H271" s="16"/>
      <c r="I271" s="16"/>
      <c r="J271" s="16"/>
      <c r="K271" s="16"/>
      <c r="L271" s="16"/>
      <c r="M271" s="16"/>
      <c r="N271" s="16"/>
      <c r="O271" s="16"/>
      <c r="P271" s="16"/>
      <c r="Q271" s="4"/>
      <c r="R271" s="4"/>
      <c r="S271" s="4"/>
      <c r="T271" s="4"/>
      <c r="U271" s="4"/>
      <c r="V271" s="4"/>
      <c r="W271" s="4"/>
      <c r="X271" s="4"/>
      <c r="Y271" s="4"/>
      <c r="Z271" s="4"/>
      <c r="AA271" s="4"/>
      <c r="AB271" s="4"/>
      <c r="AC271" s="4"/>
      <c r="AD271" s="4"/>
      <c r="AE271" s="4"/>
    </row>
    <row r="272" spans="1:31" ht="13.2">
      <c r="A272" s="7"/>
      <c r="B272" s="7"/>
      <c r="C272" s="7"/>
      <c r="D272" s="29"/>
      <c r="E272" s="7"/>
      <c r="F272" s="7"/>
      <c r="G272" s="7"/>
      <c r="H272" s="16"/>
      <c r="I272" s="16"/>
      <c r="J272" s="16"/>
      <c r="K272" s="16"/>
      <c r="L272" s="16"/>
      <c r="M272" s="16"/>
      <c r="N272" s="16"/>
      <c r="O272" s="16"/>
      <c r="P272" s="16"/>
      <c r="Q272" s="4"/>
      <c r="R272" s="4"/>
      <c r="S272" s="4"/>
      <c r="T272" s="4"/>
      <c r="U272" s="4"/>
      <c r="V272" s="4"/>
      <c r="W272" s="4"/>
      <c r="X272" s="4"/>
      <c r="Y272" s="4"/>
      <c r="Z272" s="4"/>
      <c r="AA272" s="4"/>
      <c r="AB272" s="4"/>
      <c r="AC272" s="4"/>
      <c r="AD272" s="4"/>
      <c r="AE272" s="4"/>
    </row>
    <row r="273" spans="1:31" ht="13.2">
      <c r="A273" s="7"/>
      <c r="B273" s="7"/>
      <c r="C273" s="7"/>
      <c r="D273" s="29"/>
      <c r="E273" s="7"/>
      <c r="F273" s="7"/>
      <c r="G273" s="7"/>
      <c r="H273" s="16"/>
      <c r="I273" s="16"/>
      <c r="J273" s="16"/>
      <c r="K273" s="16"/>
      <c r="L273" s="16"/>
      <c r="M273" s="16"/>
      <c r="N273" s="16"/>
      <c r="O273" s="16"/>
      <c r="P273" s="16"/>
      <c r="Q273" s="4"/>
      <c r="R273" s="4"/>
      <c r="S273" s="4"/>
      <c r="T273" s="4"/>
      <c r="U273" s="4"/>
      <c r="V273" s="4"/>
      <c r="W273" s="4"/>
      <c r="X273" s="4"/>
      <c r="Y273" s="4"/>
      <c r="Z273" s="4"/>
      <c r="AA273" s="4"/>
      <c r="AB273" s="4"/>
      <c r="AC273" s="4"/>
      <c r="AD273" s="4"/>
      <c r="AE273" s="4"/>
    </row>
    <row r="274" spans="1:31" ht="13.2">
      <c r="A274" s="7"/>
      <c r="B274" s="7"/>
      <c r="C274" s="7"/>
      <c r="D274" s="29"/>
      <c r="E274" s="7"/>
      <c r="F274" s="7"/>
      <c r="G274" s="7"/>
      <c r="H274" s="16"/>
      <c r="I274" s="16"/>
      <c r="J274" s="16"/>
      <c r="K274" s="16"/>
      <c r="L274" s="16"/>
      <c r="M274" s="16"/>
      <c r="N274" s="16"/>
      <c r="O274" s="16"/>
      <c r="P274" s="16"/>
      <c r="Q274" s="4"/>
      <c r="R274" s="4"/>
      <c r="S274" s="4"/>
      <c r="T274" s="4"/>
      <c r="U274" s="4"/>
      <c r="V274" s="4"/>
      <c r="W274" s="4"/>
      <c r="X274" s="4"/>
      <c r="Y274" s="4"/>
      <c r="Z274" s="4"/>
      <c r="AA274" s="4"/>
      <c r="AB274" s="4"/>
      <c r="AC274" s="4"/>
      <c r="AD274" s="4"/>
      <c r="AE274" s="4"/>
    </row>
    <row r="275" spans="1:31" ht="13.2">
      <c r="A275" s="7"/>
      <c r="B275" s="7"/>
      <c r="C275" s="7"/>
      <c r="D275" s="29"/>
      <c r="E275" s="7"/>
      <c r="F275" s="7"/>
      <c r="G275" s="7"/>
      <c r="H275" s="16"/>
      <c r="I275" s="16"/>
      <c r="J275" s="16"/>
      <c r="K275" s="16"/>
      <c r="L275" s="16"/>
      <c r="M275" s="16"/>
      <c r="N275" s="16"/>
      <c r="O275" s="16"/>
      <c r="P275" s="16"/>
      <c r="Q275" s="4"/>
      <c r="R275" s="4"/>
      <c r="S275" s="4"/>
      <c r="T275" s="4"/>
      <c r="U275" s="4"/>
      <c r="V275" s="4"/>
      <c r="W275" s="4"/>
      <c r="X275" s="4"/>
      <c r="Y275" s="4"/>
      <c r="Z275" s="4"/>
      <c r="AA275" s="4"/>
      <c r="AB275" s="4"/>
      <c r="AC275" s="4"/>
      <c r="AD275" s="4"/>
      <c r="AE275" s="4"/>
    </row>
    <row r="276" spans="1:31" ht="13.2">
      <c r="A276" s="7"/>
      <c r="B276" s="7"/>
      <c r="C276" s="7"/>
      <c r="D276" s="29"/>
      <c r="E276" s="7"/>
      <c r="F276" s="7"/>
      <c r="G276" s="7"/>
      <c r="H276" s="16"/>
      <c r="I276" s="16"/>
      <c r="J276" s="16"/>
      <c r="K276" s="16"/>
      <c r="L276" s="16"/>
      <c r="M276" s="16"/>
      <c r="N276" s="16"/>
      <c r="O276" s="16"/>
      <c r="P276" s="16"/>
      <c r="Q276" s="4"/>
      <c r="R276" s="4"/>
      <c r="S276" s="4"/>
      <c r="T276" s="4"/>
      <c r="U276" s="4"/>
      <c r="V276" s="4"/>
      <c r="W276" s="4"/>
      <c r="X276" s="4"/>
      <c r="Y276" s="4"/>
      <c r="Z276" s="4"/>
      <c r="AA276" s="4"/>
      <c r="AB276" s="4"/>
      <c r="AC276" s="4"/>
      <c r="AD276" s="4"/>
      <c r="AE276" s="4"/>
    </row>
    <row r="277" spans="1:31" ht="13.2">
      <c r="A277" s="7"/>
      <c r="B277" s="7"/>
      <c r="C277" s="7"/>
      <c r="D277" s="29"/>
      <c r="E277" s="7"/>
      <c r="F277" s="7"/>
      <c r="G277" s="7"/>
      <c r="H277" s="16"/>
      <c r="I277" s="16"/>
      <c r="J277" s="16"/>
      <c r="K277" s="16"/>
      <c r="L277" s="16"/>
      <c r="M277" s="16"/>
      <c r="N277" s="16"/>
      <c r="O277" s="16"/>
      <c r="P277" s="16"/>
      <c r="Q277" s="4"/>
      <c r="R277" s="4"/>
      <c r="S277" s="4"/>
      <c r="T277" s="4"/>
      <c r="U277" s="4"/>
      <c r="V277" s="4"/>
      <c r="W277" s="4"/>
      <c r="X277" s="4"/>
      <c r="Y277" s="4"/>
      <c r="Z277" s="4"/>
      <c r="AA277" s="4"/>
      <c r="AB277" s="4"/>
      <c r="AC277" s="4"/>
      <c r="AD277" s="4"/>
      <c r="AE277" s="4"/>
    </row>
    <row r="278" spans="1:31" ht="13.2">
      <c r="A278" s="7"/>
      <c r="B278" s="7"/>
      <c r="C278" s="7"/>
      <c r="D278" s="29"/>
      <c r="E278" s="7"/>
      <c r="F278" s="7"/>
      <c r="G278" s="7"/>
      <c r="H278" s="16"/>
      <c r="I278" s="16"/>
      <c r="J278" s="16"/>
      <c r="K278" s="16"/>
      <c r="L278" s="16"/>
      <c r="M278" s="16"/>
      <c r="N278" s="16"/>
      <c r="O278" s="16"/>
      <c r="P278" s="16"/>
      <c r="Q278" s="4"/>
      <c r="R278" s="4"/>
      <c r="S278" s="4"/>
      <c r="T278" s="4"/>
      <c r="U278" s="4"/>
      <c r="V278" s="4"/>
      <c r="W278" s="4"/>
      <c r="X278" s="4"/>
      <c r="Y278" s="4"/>
      <c r="Z278" s="4"/>
      <c r="AA278" s="4"/>
      <c r="AB278" s="4"/>
      <c r="AC278" s="4"/>
      <c r="AD278" s="4"/>
      <c r="AE278" s="4"/>
    </row>
    <row r="279" spans="1:31" ht="13.2">
      <c r="A279" s="7"/>
      <c r="B279" s="7"/>
      <c r="C279" s="7"/>
      <c r="D279" s="29"/>
      <c r="E279" s="7"/>
      <c r="F279" s="7"/>
      <c r="G279" s="7"/>
      <c r="H279" s="16"/>
      <c r="I279" s="16"/>
      <c r="J279" s="16"/>
      <c r="K279" s="16"/>
      <c r="L279" s="16"/>
      <c r="M279" s="16"/>
      <c r="N279" s="16"/>
      <c r="O279" s="16"/>
      <c r="P279" s="16"/>
      <c r="Q279" s="4"/>
      <c r="R279" s="4"/>
      <c r="S279" s="4"/>
      <c r="T279" s="4"/>
      <c r="U279" s="4"/>
      <c r="V279" s="4"/>
      <c r="W279" s="4"/>
      <c r="X279" s="4"/>
      <c r="Y279" s="4"/>
      <c r="Z279" s="4"/>
      <c r="AA279" s="4"/>
      <c r="AB279" s="4"/>
      <c r="AC279" s="4"/>
      <c r="AD279" s="4"/>
      <c r="AE279" s="4"/>
    </row>
    <row r="280" spans="1:31" ht="13.2">
      <c r="A280" s="7"/>
      <c r="B280" s="7"/>
      <c r="C280" s="7"/>
      <c r="D280" s="29"/>
      <c r="E280" s="7"/>
      <c r="F280" s="7"/>
      <c r="G280" s="7"/>
      <c r="H280" s="16"/>
      <c r="I280" s="16"/>
      <c r="J280" s="16"/>
      <c r="K280" s="16"/>
      <c r="L280" s="16"/>
      <c r="M280" s="16"/>
      <c r="N280" s="16"/>
      <c r="O280" s="16"/>
      <c r="P280" s="16"/>
      <c r="Q280" s="4"/>
      <c r="R280" s="4"/>
      <c r="S280" s="4"/>
      <c r="T280" s="4"/>
      <c r="U280" s="4"/>
      <c r="V280" s="4"/>
      <c r="W280" s="4"/>
      <c r="X280" s="4"/>
      <c r="Y280" s="4"/>
      <c r="Z280" s="4"/>
      <c r="AA280" s="4"/>
      <c r="AB280" s="4"/>
      <c r="AC280" s="4"/>
      <c r="AD280" s="4"/>
      <c r="AE280" s="4"/>
    </row>
    <row r="281" spans="1:31" ht="13.2">
      <c r="A281" s="7"/>
      <c r="B281" s="7"/>
      <c r="C281" s="7"/>
      <c r="D281" s="29"/>
      <c r="E281" s="7"/>
      <c r="F281" s="7"/>
      <c r="G281" s="7"/>
      <c r="H281" s="16"/>
      <c r="I281" s="16"/>
      <c r="J281" s="16"/>
      <c r="K281" s="16"/>
      <c r="L281" s="16"/>
      <c r="M281" s="16"/>
      <c r="N281" s="16"/>
      <c r="O281" s="16"/>
      <c r="P281" s="16"/>
      <c r="Q281" s="4"/>
      <c r="R281" s="4"/>
      <c r="S281" s="4"/>
      <c r="T281" s="4"/>
      <c r="U281" s="4"/>
      <c r="V281" s="4"/>
      <c r="W281" s="4"/>
      <c r="X281" s="4"/>
      <c r="Y281" s="4"/>
      <c r="Z281" s="4"/>
      <c r="AA281" s="4"/>
      <c r="AB281" s="4"/>
      <c r="AC281" s="4"/>
      <c r="AD281" s="4"/>
      <c r="AE281" s="4"/>
    </row>
    <row r="282" spans="1:31" ht="13.2">
      <c r="A282" s="7"/>
      <c r="B282" s="7"/>
      <c r="C282" s="7"/>
      <c r="D282" s="29"/>
      <c r="E282" s="7"/>
      <c r="F282" s="7"/>
      <c r="G282" s="7"/>
      <c r="H282" s="16"/>
      <c r="I282" s="16"/>
      <c r="J282" s="16"/>
      <c r="K282" s="16"/>
      <c r="L282" s="16"/>
      <c r="M282" s="16"/>
      <c r="N282" s="16"/>
      <c r="O282" s="16"/>
      <c r="P282" s="16"/>
      <c r="Q282" s="4"/>
      <c r="R282" s="4"/>
      <c r="S282" s="4"/>
      <c r="T282" s="4"/>
      <c r="U282" s="4"/>
      <c r="V282" s="4"/>
      <c r="W282" s="4"/>
      <c r="X282" s="4"/>
      <c r="Y282" s="4"/>
      <c r="Z282" s="4"/>
      <c r="AA282" s="4"/>
      <c r="AB282" s="4"/>
      <c r="AC282" s="4"/>
      <c r="AD282" s="4"/>
      <c r="AE282" s="4"/>
    </row>
    <row r="283" spans="1:31" ht="13.2">
      <c r="A283" s="7"/>
      <c r="B283" s="7"/>
      <c r="C283" s="7"/>
      <c r="D283" s="29"/>
      <c r="E283" s="7"/>
      <c r="F283" s="7"/>
      <c r="G283" s="7"/>
      <c r="H283" s="16"/>
      <c r="I283" s="16"/>
      <c r="J283" s="16"/>
      <c r="K283" s="16"/>
      <c r="L283" s="16"/>
      <c r="M283" s="16"/>
      <c r="N283" s="16"/>
      <c r="O283" s="16"/>
      <c r="P283" s="16"/>
      <c r="Q283" s="4"/>
      <c r="R283" s="4"/>
      <c r="S283" s="4"/>
      <c r="T283" s="4"/>
      <c r="U283" s="4"/>
      <c r="V283" s="4"/>
      <c r="W283" s="4"/>
      <c r="X283" s="4"/>
      <c r="Y283" s="4"/>
      <c r="Z283" s="4"/>
      <c r="AA283" s="4"/>
      <c r="AB283" s="4"/>
      <c r="AC283" s="4"/>
      <c r="AD283" s="4"/>
      <c r="AE283" s="4"/>
    </row>
    <row r="284" spans="1:31" ht="13.2">
      <c r="A284" s="7"/>
      <c r="B284" s="7"/>
      <c r="C284" s="7"/>
      <c r="D284" s="29"/>
      <c r="E284" s="7"/>
      <c r="F284" s="7"/>
      <c r="G284" s="7"/>
      <c r="H284" s="16"/>
      <c r="I284" s="16"/>
      <c r="J284" s="16"/>
      <c r="K284" s="16"/>
      <c r="L284" s="16"/>
      <c r="M284" s="16"/>
      <c r="N284" s="16"/>
      <c r="O284" s="16"/>
      <c r="P284" s="16"/>
      <c r="Q284" s="4"/>
      <c r="R284" s="4"/>
      <c r="S284" s="4"/>
      <c r="T284" s="4"/>
      <c r="U284" s="4"/>
      <c r="V284" s="4"/>
      <c r="W284" s="4"/>
      <c r="X284" s="4"/>
      <c r="Y284" s="4"/>
      <c r="Z284" s="4"/>
      <c r="AA284" s="4"/>
      <c r="AB284" s="4"/>
      <c r="AC284" s="4"/>
      <c r="AD284" s="4"/>
      <c r="AE284" s="4"/>
    </row>
    <row r="285" spans="1:31" ht="13.2">
      <c r="A285" s="7"/>
      <c r="B285" s="7"/>
      <c r="C285" s="7"/>
      <c r="D285" s="29"/>
      <c r="E285" s="7"/>
      <c r="F285" s="7"/>
      <c r="G285" s="7"/>
      <c r="H285" s="16"/>
      <c r="I285" s="16"/>
      <c r="J285" s="16"/>
      <c r="K285" s="16"/>
      <c r="L285" s="16"/>
      <c r="M285" s="16"/>
      <c r="N285" s="16"/>
      <c r="O285" s="16"/>
      <c r="P285" s="16"/>
      <c r="Q285" s="4"/>
      <c r="R285" s="4"/>
      <c r="S285" s="4"/>
      <c r="T285" s="4"/>
      <c r="U285" s="4"/>
      <c r="V285" s="4"/>
      <c r="W285" s="4"/>
      <c r="X285" s="4"/>
      <c r="Y285" s="4"/>
      <c r="Z285" s="4"/>
      <c r="AA285" s="4"/>
      <c r="AB285" s="4"/>
      <c r="AC285" s="4"/>
      <c r="AD285" s="4"/>
      <c r="AE285" s="4"/>
    </row>
    <row r="286" spans="1:31" ht="13.2">
      <c r="A286" s="7"/>
      <c r="B286" s="7"/>
      <c r="C286" s="7"/>
      <c r="D286" s="29"/>
      <c r="E286" s="7"/>
      <c r="F286" s="7"/>
      <c r="G286" s="7"/>
      <c r="H286" s="16"/>
      <c r="I286" s="16"/>
      <c r="J286" s="16"/>
      <c r="K286" s="16"/>
      <c r="L286" s="16"/>
      <c r="M286" s="16"/>
      <c r="N286" s="16"/>
      <c r="O286" s="16"/>
      <c r="P286" s="16"/>
      <c r="Q286" s="4"/>
      <c r="R286" s="4"/>
      <c r="S286" s="4"/>
      <c r="T286" s="4"/>
      <c r="U286" s="4"/>
      <c r="V286" s="4"/>
      <c r="W286" s="4"/>
      <c r="X286" s="4"/>
      <c r="Y286" s="4"/>
      <c r="Z286" s="4"/>
      <c r="AA286" s="4"/>
      <c r="AB286" s="4"/>
      <c r="AC286" s="4"/>
      <c r="AD286" s="4"/>
      <c r="AE286" s="4"/>
    </row>
    <row r="287" spans="1:31" ht="13.2">
      <c r="A287" s="7"/>
      <c r="B287" s="7"/>
      <c r="C287" s="7"/>
      <c r="D287" s="29"/>
      <c r="E287" s="7"/>
      <c r="F287" s="7"/>
      <c r="G287" s="7"/>
      <c r="H287" s="16"/>
      <c r="I287" s="16"/>
      <c r="J287" s="16"/>
      <c r="K287" s="16"/>
      <c r="L287" s="16"/>
      <c r="M287" s="16"/>
      <c r="N287" s="16"/>
      <c r="O287" s="16"/>
      <c r="P287" s="16"/>
      <c r="Q287" s="4"/>
      <c r="R287" s="4"/>
      <c r="S287" s="4"/>
      <c r="T287" s="4"/>
      <c r="U287" s="4"/>
      <c r="V287" s="4"/>
      <c r="W287" s="4"/>
      <c r="X287" s="4"/>
      <c r="Y287" s="4"/>
      <c r="Z287" s="4"/>
      <c r="AA287" s="4"/>
      <c r="AB287" s="4"/>
      <c r="AC287" s="4"/>
      <c r="AD287" s="4"/>
      <c r="AE287" s="4"/>
    </row>
    <row r="288" spans="1:31" ht="13.2">
      <c r="A288" s="7"/>
      <c r="B288" s="7"/>
      <c r="C288" s="7"/>
      <c r="D288" s="29"/>
      <c r="E288" s="7"/>
      <c r="F288" s="7"/>
      <c r="G288" s="7"/>
      <c r="H288" s="16"/>
      <c r="I288" s="16"/>
      <c r="J288" s="16"/>
      <c r="K288" s="16"/>
      <c r="L288" s="16"/>
      <c r="M288" s="16"/>
      <c r="N288" s="16"/>
      <c r="O288" s="16"/>
      <c r="P288" s="16"/>
      <c r="Q288" s="4"/>
      <c r="R288" s="4"/>
      <c r="S288" s="4"/>
      <c r="T288" s="4"/>
      <c r="U288" s="4"/>
      <c r="V288" s="4"/>
      <c r="W288" s="4"/>
      <c r="X288" s="4"/>
      <c r="Y288" s="4"/>
      <c r="Z288" s="4"/>
      <c r="AA288" s="4"/>
      <c r="AB288" s="4"/>
      <c r="AC288" s="4"/>
      <c r="AD288" s="4"/>
      <c r="AE288" s="4"/>
    </row>
    <row r="289" spans="1:31" ht="13.2">
      <c r="A289" s="7"/>
      <c r="B289" s="7"/>
      <c r="C289" s="7"/>
      <c r="D289" s="29"/>
      <c r="E289" s="7"/>
      <c r="F289" s="7"/>
      <c r="G289" s="7"/>
      <c r="H289" s="16"/>
      <c r="I289" s="16"/>
      <c r="J289" s="16"/>
      <c r="K289" s="16"/>
      <c r="L289" s="16"/>
      <c r="M289" s="16"/>
      <c r="N289" s="16"/>
      <c r="O289" s="16"/>
      <c r="P289" s="16"/>
      <c r="Q289" s="4"/>
      <c r="R289" s="4"/>
      <c r="S289" s="4"/>
      <c r="T289" s="4"/>
      <c r="U289" s="4"/>
      <c r="V289" s="4"/>
      <c r="W289" s="4"/>
      <c r="X289" s="4"/>
      <c r="Y289" s="4"/>
      <c r="Z289" s="4"/>
      <c r="AA289" s="4"/>
      <c r="AB289" s="4"/>
      <c r="AC289" s="4"/>
      <c r="AD289" s="4"/>
      <c r="AE289" s="4"/>
    </row>
    <row r="290" spans="1:31" ht="13.2">
      <c r="A290" s="7"/>
      <c r="B290" s="7"/>
      <c r="C290" s="7"/>
      <c r="D290" s="29"/>
      <c r="E290" s="7"/>
      <c r="F290" s="7"/>
      <c r="G290" s="7"/>
      <c r="H290" s="16"/>
      <c r="I290" s="16"/>
      <c r="J290" s="16"/>
      <c r="K290" s="16"/>
      <c r="L290" s="16"/>
      <c r="M290" s="16"/>
      <c r="N290" s="16"/>
      <c r="O290" s="16"/>
      <c r="P290" s="16"/>
      <c r="Q290" s="4"/>
      <c r="R290" s="4"/>
      <c r="S290" s="4"/>
      <c r="T290" s="4"/>
      <c r="U290" s="4"/>
      <c r="V290" s="4"/>
      <c r="W290" s="4"/>
      <c r="X290" s="4"/>
      <c r="Y290" s="4"/>
      <c r="Z290" s="4"/>
      <c r="AA290" s="4"/>
      <c r="AB290" s="4"/>
      <c r="AC290" s="4"/>
      <c r="AD290" s="4"/>
      <c r="AE290" s="4"/>
    </row>
    <row r="291" spans="1:31" ht="13.2">
      <c r="A291" s="7"/>
      <c r="B291" s="7"/>
      <c r="C291" s="7"/>
      <c r="D291" s="29"/>
      <c r="E291" s="7"/>
      <c r="F291" s="7"/>
      <c r="G291" s="7"/>
      <c r="H291" s="16"/>
      <c r="I291" s="16"/>
      <c r="J291" s="16"/>
      <c r="K291" s="16"/>
      <c r="L291" s="16"/>
      <c r="M291" s="16"/>
      <c r="N291" s="16"/>
      <c r="O291" s="16"/>
      <c r="P291" s="16"/>
      <c r="Q291" s="4"/>
      <c r="R291" s="4"/>
      <c r="S291" s="4"/>
      <c r="T291" s="4"/>
      <c r="U291" s="4"/>
      <c r="V291" s="4"/>
      <c r="W291" s="4"/>
      <c r="X291" s="4"/>
      <c r="Y291" s="4"/>
      <c r="Z291" s="4"/>
      <c r="AA291" s="4"/>
      <c r="AB291" s="4"/>
      <c r="AC291" s="4"/>
      <c r="AD291" s="4"/>
      <c r="AE291" s="4"/>
    </row>
    <row r="292" spans="1:31" ht="13.2">
      <c r="A292" s="7"/>
      <c r="B292" s="7"/>
      <c r="C292" s="7"/>
      <c r="D292" s="29"/>
      <c r="E292" s="7"/>
      <c r="F292" s="7"/>
      <c r="G292" s="7"/>
      <c r="H292" s="16"/>
      <c r="I292" s="16"/>
      <c r="J292" s="16"/>
      <c r="K292" s="16"/>
      <c r="L292" s="16"/>
      <c r="M292" s="16"/>
      <c r="N292" s="16"/>
      <c r="O292" s="16"/>
      <c r="P292" s="16"/>
      <c r="Q292" s="4"/>
      <c r="R292" s="4"/>
      <c r="S292" s="4"/>
      <c r="T292" s="4"/>
      <c r="U292" s="4"/>
      <c r="V292" s="4"/>
      <c r="W292" s="4"/>
      <c r="X292" s="4"/>
      <c r="Y292" s="4"/>
      <c r="Z292" s="4"/>
      <c r="AA292" s="4"/>
      <c r="AB292" s="4"/>
      <c r="AC292" s="4"/>
      <c r="AD292" s="4"/>
      <c r="AE292" s="4"/>
    </row>
    <row r="293" spans="1:31" ht="13.2">
      <c r="A293" s="7"/>
      <c r="B293" s="7"/>
      <c r="C293" s="7"/>
      <c r="D293" s="29"/>
      <c r="E293" s="7"/>
      <c r="F293" s="7"/>
      <c r="G293" s="7"/>
      <c r="H293" s="16"/>
      <c r="I293" s="16"/>
      <c r="J293" s="16"/>
      <c r="K293" s="16"/>
      <c r="L293" s="16"/>
      <c r="M293" s="16"/>
      <c r="N293" s="16"/>
      <c r="O293" s="16"/>
      <c r="P293" s="16"/>
      <c r="Q293" s="4"/>
      <c r="R293" s="4"/>
      <c r="S293" s="4"/>
      <c r="T293" s="4"/>
      <c r="U293" s="4"/>
      <c r="V293" s="4"/>
      <c r="W293" s="4"/>
      <c r="X293" s="4"/>
      <c r="Y293" s="4"/>
      <c r="Z293" s="4"/>
      <c r="AA293" s="4"/>
      <c r="AB293" s="4"/>
      <c r="AC293" s="4"/>
      <c r="AD293" s="4"/>
      <c r="AE293" s="4"/>
    </row>
    <row r="294" spans="1:31" ht="13.2">
      <c r="A294" s="7"/>
      <c r="B294" s="7"/>
      <c r="C294" s="7"/>
      <c r="D294" s="29"/>
      <c r="E294" s="7"/>
      <c r="F294" s="7"/>
      <c r="G294" s="7"/>
      <c r="H294" s="16"/>
      <c r="I294" s="16"/>
      <c r="J294" s="16"/>
      <c r="K294" s="16"/>
      <c r="L294" s="16"/>
      <c r="M294" s="16"/>
      <c r="N294" s="16"/>
      <c r="O294" s="16"/>
      <c r="P294" s="16"/>
      <c r="Q294" s="4"/>
      <c r="R294" s="4"/>
      <c r="S294" s="4"/>
      <c r="T294" s="4"/>
      <c r="U294" s="4"/>
      <c r="V294" s="4"/>
      <c r="W294" s="4"/>
      <c r="X294" s="4"/>
      <c r="Y294" s="4"/>
      <c r="Z294" s="4"/>
      <c r="AA294" s="4"/>
      <c r="AB294" s="4"/>
      <c r="AC294" s="4"/>
      <c r="AD294" s="4"/>
      <c r="AE294" s="4"/>
    </row>
    <row r="295" spans="1:31" ht="13.2">
      <c r="A295" s="7"/>
      <c r="B295" s="7"/>
      <c r="C295" s="7"/>
      <c r="D295" s="29"/>
      <c r="E295" s="7"/>
      <c r="F295" s="7"/>
      <c r="G295" s="7"/>
      <c r="H295" s="16"/>
      <c r="I295" s="16"/>
      <c r="J295" s="16"/>
      <c r="K295" s="16"/>
      <c r="L295" s="16"/>
      <c r="M295" s="16"/>
      <c r="N295" s="16"/>
      <c r="O295" s="16"/>
      <c r="P295" s="16"/>
      <c r="Q295" s="4"/>
      <c r="R295" s="4"/>
      <c r="S295" s="4"/>
      <c r="T295" s="4"/>
      <c r="U295" s="4"/>
      <c r="V295" s="4"/>
      <c r="W295" s="4"/>
      <c r="X295" s="4"/>
      <c r="Y295" s="4"/>
      <c r="Z295" s="4"/>
      <c r="AA295" s="4"/>
      <c r="AB295" s="4"/>
      <c r="AC295" s="4"/>
      <c r="AD295" s="4"/>
      <c r="AE295" s="4"/>
    </row>
    <row r="296" spans="1:31" ht="13.2">
      <c r="A296" s="7"/>
      <c r="B296" s="7"/>
      <c r="C296" s="7"/>
      <c r="D296" s="29"/>
      <c r="E296" s="7"/>
      <c r="F296" s="7"/>
      <c r="G296" s="7"/>
      <c r="H296" s="16"/>
      <c r="I296" s="16"/>
      <c r="J296" s="16"/>
      <c r="K296" s="16"/>
      <c r="L296" s="16"/>
      <c r="M296" s="16"/>
      <c r="N296" s="16"/>
      <c r="O296" s="16"/>
      <c r="P296" s="16"/>
      <c r="Q296" s="4"/>
      <c r="R296" s="4"/>
      <c r="S296" s="4"/>
      <c r="T296" s="4"/>
      <c r="U296" s="4"/>
      <c r="V296" s="4"/>
      <c r="W296" s="4"/>
      <c r="X296" s="4"/>
      <c r="Y296" s="4"/>
      <c r="Z296" s="4"/>
      <c r="AA296" s="4"/>
      <c r="AB296" s="4"/>
      <c r="AC296" s="4"/>
      <c r="AD296" s="4"/>
      <c r="AE296" s="4"/>
    </row>
    <row r="297" spans="1:31" ht="13.2">
      <c r="A297" s="7"/>
      <c r="B297" s="7"/>
      <c r="C297" s="7"/>
      <c r="D297" s="29"/>
      <c r="E297" s="7"/>
      <c r="F297" s="7"/>
      <c r="G297" s="7"/>
      <c r="H297" s="16"/>
      <c r="I297" s="16"/>
      <c r="J297" s="16"/>
      <c r="K297" s="16"/>
      <c r="L297" s="16"/>
      <c r="M297" s="16"/>
      <c r="N297" s="16"/>
      <c r="O297" s="16"/>
      <c r="P297" s="16"/>
      <c r="Q297" s="4"/>
      <c r="R297" s="4"/>
      <c r="S297" s="4"/>
      <c r="T297" s="4"/>
      <c r="U297" s="4"/>
      <c r="V297" s="4"/>
      <c r="W297" s="4"/>
      <c r="X297" s="4"/>
      <c r="Y297" s="4"/>
      <c r="Z297" s="4"/>
      <c r="AA297" s="4"/>
      <c r="AB297" s="4"/>
      <c r="AC297" s="4"/>
      <c r="AD297" s="4"/>
      <c r="AE297" s="4"/>
    </row>
    <row r="298" spans="1:31" ht="13.2">
      <c r="A298" s="7"/>
      <c r="B298" s="7"/>
      <c r="C298" s="7"/>
      <c r="D298" s="29"/>
      <c r="E298" s="7"/>
      <c r="F298" s="7"/>
      <c r="G298" s="7"/>
      <c r="H298" s="16"/>
      <c r="I298" s="16"/>
      <c r="J298" s="16"/>
      <c r="K298" s="16"/>
      <c r="L298" s="16"/>
      <c r="M298" s="16"/>
      <c r="N298" s="16"/>
      <c r="O298" s="16"/>
      <c r="P298" s="16"/>
      <c r="Q298" s="4"/>
      <c r="R298" s="4"/>
      <c r="S298" s="4"/>
      <c r="T298" s="4"/>
      <c r="U298" s="4"/>
      <c r="V298" s="4"/>
      <c r="W298" s="4"/>
      <c r="X298" s="4"/>
      <c r="Y298" s="4"/>
      <c r="Z298" s="4"/>
      <c r="AA298" s="4"/>
      <c r="AB298" s="4"/>
      <c r="AC298" s="4"/>
      <c r="AD298" s="4"/>
      <c r="AE298" s="4"/>
    </row>
    <row r="299" spans="1:31" ht="13.2">
      <c r="A299" s="7"/>
      <c r="B299" s="7"/>
      <c r="C299" s="7"/>
      <c r="D299" s="29"/>
      <c r="E299" s="7"/>
      <c r="F299" s="7"/>
      <c r="G299" s="7"/>
      <c r="H299" s="16"/>
      <c r="I299" s="16"/>
      <c r="J299" s="16"/>
      <c r="K299" s="16"/>
      <c r="L299" s="16"/>
      <c r="M299" s="16"/>
      <c r="N299" s="16"/>
      <c r="O299" s="16"/>
      <c r="P299" s="16"/>
      <c r="Q299" s="4"/>
      <c r="R299" s="4"/>
      <c r="S299" s="4"/>
      <c r="T299" s="4"/>
      <c r="U299" s="4"/>
      <c r="V299" s="4"/>
      <c r="W299" s="4"/>
      <c r="X299" s="4"/>
      <c r="Y299" s="4"/>
      <c r="Z299" s="4"/>
      <c r="AA299" s="4"/>
      <c r="AB299" s="4"/>
      <c r="AC299" s="4"/>
      <c r="AD299" s="4"/>
      <c r="AE299" s="4"/>
    </row>
    <row r="300" spans="1:31" ht="13.2">
      <c r="A300" s="7"/>
      <c r="B300" s="7"/>
      <c r="C300" s="7"/>
      <c r="D300" s="29"/>
      <c r="E300" s="7"/>
      <c r="F300" s="7"/>
      <c r="G300" s="7"/>
      <c r="H300" s="16"/>
      <c r="I300" s="16"/>
      <c r="J300" s="16"/>
      <c r="K300" s="16"/>
      <c r="L300" s="16"/>
      <c r="M300" s="16"/>
      <c r="N300" s="16"/>
      <c r="O300" s="16"/>
      <c r="P300" s="16"/>
      <c r="Q300" s="4"/>
      <c r="R300" s="4"/>
      <c r="S300" s="4"/>
      <c r="T300" s="4"/>
      <c r="U300" s="4"/>
      <c r="V300" s="4"/>
      <c r="W300" s="4"/>
      <c r="X300" s="4"/>
      <c r="Y300" s="4"/>
      <c r="Z300" s="4"/>
      <c r="AA300" s="4"/>
      <c r="AB300" s="4"/>
      <c r="AC300" s="4"/>
      <c r="AD300" s="4"/>
      <c r="AE300" s="4"/>
    </row>
    <row r="301" spans="1:31" ht="13.2">
      <c r="A301" s="7"/>
      <c r="B301" s="7"/>
      <c r="C301" s="7"/>
      <c r="D301" s="29"/>
      <c r="E301" s="7"/>
      <c r="F301" s="7"/>
      <c r="G301" s="7"/>
      <c r="H301" s="16"/>
      <c r="I301" s="16"/>
      <c r="J301" s="16"/>
      <c r="K301" s="16"/>
      <c r="L301" s="16"/>
      <c r="M301" s="16"/>
      <c r="N301" s="16"/>
      <c r="O301" s="16"/>
      <c r="P301" s="16"/>
      <c r="Q301" s="4"/>
      <c r="R301" s="4"/>
      <c r="S301" s="4"/>
      <c r="T301" s="4"/>
      <c r="U301" s="4"/>
      <c r="V301" s="4"/>
      <c r="W301" s="4"/>
      <c r="X301" s="4"/>
      <c r="Y301" s="4"/>
      <c r="Z301" s="4"/>
      <c r="AA301" s="4"/>
      <c r="AB301" s="4"/>
      <c r="AC301" s="4"/>
      <c r="AD301" s="4"/>
      <c r="AE301" s="4"/>
    </row>
    <row r="302" spans="1:31" ht="13.2">
      <c r="A302" s="7"/>
      <c r="B302" s="7"/>
      <c r="C302" s="7"/>
      <c r="D302" s="29"/>
      <c r="E302" s="7"/>
      <c r="F302" s="7"/>
      <c r="G302" s="7"/>
      <c r="H302" s="16"/>
      <c r="I302" s="16"/>
      <c r="J302" s="16"/>
      <c r="K302" s="16"/>
      <c r="L302" s="16"/>
      <c r="M302" s="16"/>
      <c r="N302" s="16"/>
      <c r="O302" s="16"/>
      <c r="P302" s="16"/>
      <c r="Q302" s="4"/>
      <c r="R302" s="4"/>
      <c r="S302" s="4"/>
      <c r="T302" s="4"/>
      <c r="U302" s="4"/>
      <c r="V302" s="4"/>
      <c r="W302" s="4"/>
      <c r="X302" s="4"/>
      <c r="Y302" s="4"/>
      <c r="Z302" s="4"/>
      <c r="AA302" s="4"/>
      <c r="AB302" s="4"/>
      <c r="AC302" s="4"/>
      <c r="AD302" s="4"/>
      <c r="AE302" s="4"/>
    </row>
    <row r="303" spans="1:31" ht="13.2">
      <c r="A303" s="7"/>
      <c r="B303" s="7"/>
      <c r="C303" s="7"/>
      <c r="D303" s="29"/>
      <c r="E303" s="7"/>
      <c r="F303" s="7"/>
      <c r="G303" s="7"/>
      <c r="H303" s="16"/>
      <c r="I303" s="16"/>
      <c r="J303" s="16"/>
      <c r="K303" s="16"/>
      <c r="L303" s="16"/>
      <c r="M303" s="16"/>
      <c r="N303" s="16"/>
      <c r="O303" s="16"/>
      <c r="P303" s="16"/>
      <c r="Q303" s="4"/>
      <c r="R303" s="4"/>
      <c r="S303" s="4"/>
      <c r="T303" s="4"/>
      <c r="U303" s="4"/>
      <c r="V303" s="4"/>
      <c r="W303" s="4"/>
      <c r="X303" s="4"/>
      <c r="Y303" s="4"/>
      <c r="Z303" s="4"/>
      <c r="AA303" s="4"/>
      <c r="AB303" s="4"/>
      <c r="AC303" s="4"/>
      <c r="AD303" s="4"/>
      <c r="AE303" s="4"/>
    </row>
    <row r="304" spans="1:31" ht="13.2">
      <c r="A304" s="7"/>
      <c r="B304" s="7"/>
      <c r="C304" s="7"/>
      <c r="D304" s="29"/>
      <c r="E304" s="7"/>
      <c r="F304" s="7"/>
      <c r="G304" s="7"/>
      <c r="H304" s="16"/>
      <c r="I304" s="16"/>
      <c r="J304" s="16"/>
      <c r="K304" s="16"/>
      <c r="L304" s="16"/>
      <c r="M304" s="16"/>
      <c r="N304" s="16"/>
      <c r="O304" s="16"/>
      <c r="P304" s="16"/>
      <c r="Q304" s="4"/>
      <c r="R304" s="4"/>
      <c r="S304" s="4"/>
      <c r="T304" s="4"/>
      <c r="U304" s="4"/>
      <c r="V304" s="4"/>
      <c r="W304" s="4"/>
      <c r="X304" s="4"/>
      <c r="Y304" s="4"/>
      <c r="Z304" s="4"/>
      <c r="AA304" s="4"/>
      <c r="AB304" s="4"/>
      <c r="AC304" s="4"/>
      <c r="AD304" s="4"/>
      <c r="AE304" s="4"/>
    </row>
    <row r="305" spans="1:31" ht="13.2">
      <c r="A305" s="7"/>
      <c r="B305" s="7"/>
      <c r="C305" s="7"/>
      <c r="D305" s="29"/>
      <c r="E305" s="7"/>
      <c r="F305" s="7"/>
      <c r="G305" s="7"/>
      <c r="H305" s="16"/>
      <c r="I305" s="16"/>
      <c r="J305" s="16"/>
      <c r="K305" s="16"/>
      <c r="L305" s="16"/>
      <c r="M305" s="16"/>
      <c r="N305" s="16"/>
      <c r="O305" s="16"/>
      <c r="P305" s="16"/>
      <c r="Q305" s="4"/>
      <c r="R305" s="4"/>
      <c r="S305" s="4"/>
      <c r="T305" s="4"/>
      <c r="U305" s="4"/>
      <c r="V305" s="4"/>
      <c r="W305" s="4"/>
      <c r="X305" s="4"/>
      <c r="Y305" s="4"/>
      <c r="Z305" s="4"/>
      <c r="AA305" s="4"/>
      <c r="AB305" s="4"/>
      <c r="AC305" s="4"/>
      <c r="AD305" s="4"/>
      <c r="AE305" s="4"/>
    </row>
    <row r="306" spans="1:31" ht="13.2">
      <c r="A306" s="7"/>
      <c r="B306" s="7"/>
      <c r="C306" s="7"/>
      <c r="D306" s="29"/>
      <c r="E306" s="7"/>
      <c r="F306" s="7"/>
      <c r="G306" s="7"/>
      <c r="H306" s="16"/>
      <c r="I306" s="16"/>
      <c r="J306" s="16"/>
      <c r="K306" s="16"/>
      <c r="L306" s="16"/>
      <c r="M306" s="16"/>
      <c r="N306" s="16"/>
      <c r="O306" s="16"/>
      <c r="P306" s="16"/>
      <c r="Q306" s="4"/>
      <c r="R306" s="4"/>
      <c r="S306" s="4"/>
      <c r="T306" s="4"/>
      <c r="U306" s="4"/>
      <c r="V306" s="4"/>
      <c r="W306" s="4"/>
      <c r="X306" s="4"/>
      <c r="Y306" s="4"/>
      <c r="Z306" s="4"/>
      <c r="AA306" s="4"/>
      <c r="AB306" s="4"/>
      <c r="AC306" s="4"/>
      <c r="AD306" s="4"/>
      <c r="AE306" s="4"/>
    </row>
    <row r="307" spans="1:31" ht="13.2">
      <c r="A307" s="7"/>
      <c r="B307" s="7"/>
      <c r="C307" s="7"/>
      <c r="D307" s="29"/>
      <c r="E307" s="7"/>
      <c r="F307" s="7"/>
      <c r="G307" s="7"/>
      <c r="H307" s="16"/>
      <c r="I307" s="16"/>
      <c r="J307" s="16"/>
      <c r="K307" s="16"/>
      <c r="L307" s="16"/>
      <c r="M307" s="16"/>
      <c r="N307" s="16"/>
      <c r="O307" s="16"/>
      <c r="P307" s="16"/>
      <c r="Q307" s="4"/>
      <c r="R307" s="4"/>
      <c r="S307" s="4"/>
      <c r="T307" s="4"/>
      <c r="U307" s="4"/>
      <c r="V307" s="4"/>
      <c r="W307" s="4"/>
      <c r="X307" s="4"/>
      <c r="Y307" s="4"/>
      <c r="Z307" s="4"/>
      <c r="AA307" s="4"/>
      <c r="AB307" s="4"/>
      <c r="AC307" s="4"/>
      <c r="AD307" s="4"/>
      <c r="AE307" s="4"/>
    </row>
    <row r="308" spans="1:31" ht="13.2">
      <c r="A308" s="7"/>
      <c r="B308" s="7"/>
      <c r="C308" s="7"/>
      <c r="D308" s="29"/>
      <c r="E308" s="7"/>
      <c r="F308" s="7"/>
      <c r="G308" s="7"/>
      <c r="H308" s="16"/>
      <c r="I308" s="16"/>
      <c r="J308" s="16"/>
      <c r="K308" s="16"/>
      <c r="L308" s="16"/>
      <c r="M308" s="16"/>
      <c r="N308" s="16"/>
      <c r="O308" s="16"/>
      <c r="P308" s="16"/>
      <c r="Q308" s="4"/>
      <c r="R308" s="4"/>
      <c r="S308" s="4"/>
      <c r="T308" s="4"/>
      <c r="U308" s="4"/>
      <c r="V308" s="4"/>
      <c r="W308" s="4"/>
      <c r="X308" s="4"/>
      <c r="Y308" s="4"/>
      <c r="Z308" s="4"/>
      <c r="AA308" s="4"/>
      <c r="AB308" s="4"/>
      <c r="AC308" s="4"/>
      <c r="AD308" s="4"/>
      <c r="AE308" s="4"/>
    </row>
    <row r="309" spans="1:31" ht="13.2">
      <c r="A309" s="7"/>
      <c r="B309" s="7"/>
      <c r="C309" s="7"/>
      <c r="D309" s="29"/>
      <c r="E309" s="7"/>
      <c r="F309" s="7"/>
      <c r="G309" s="7"/>
      <c r="H309" s="16"/>
      <c r="I309" s="16"/>
      <c r="J309" s="16"/>
      <c r="K309" s="16"/>
      <c r="L309" s="16"/>
      <c r="M309" s="16"/>
      <c r="N309" s="16"/>
      <c r="O309" s="16"/>
      <c r="P309" s="16"/>
      <c r="Q309" s="4"/>
      <c r="R309" s="4"/>
      <c r="S309" s="4"/>
      <c r="T309" s="4"/>
      <c r="U309" s="4"/>
      <c r="V309" s="4"/>
      <c r="W309" s="4"/>
      <c r="X309" s="4"/>
      <c r="Y309" s="4"/>
      <c r="Z309" s="4"/>
      <c r="AA309" s="4"/>
      <c r="AB309" s="4"/>
      <c r="AC309" s="4"/>
      <c r="AD309" s="4"/>
      <c r="AE309" s="4"/>
    </row>
    <row r="310" spans="1:31" ht="13.2">
      <c r="A310" s="7"/>
      <c r="B310" s="7"/>
      <c r="C310" s="7"/>
      <c r="D310" s="29"/>
      <c r="E310" s="7"/>
      <c r="F310" s="7"/>
      <c r="G310" s="7"/>
      <c r="H310" s="16"/>
      <c r="I310" s="16"/>
      <c r="J310" s="16"/>
      <c r="K310" s="16"/>
      <c r="L310" s="16"/>
      <c r="M310" s="16"/>
      <c r="N310" s="16"/>
      <c r="O310" s="16"/>
      <c r="P310" s="16"/>
      <c r="Q310" s="4"/>
      <c r="R310" s="4"/>
      <c r="S310" s="4"/>
      <c r="T310" s="4"/>
      <c r="U310" s="4"/>
      <c r="V310" s="4"/>
      <c r="W310" s="4"/>
      <c r="X310" s="4"/>
      <c r="Y310" s="4"/>
      <c r="Z310" s="4"/>
      <c r="AA310" s="4"/>
      <c r="AB310" s="4"/>
      <c r="AC310" s="4"/>
      <c r="AD310" s="4"/>
      <c r="AE310" s="4"/>
    </row>
    <row r="311" spans="1:31" ht="13.2">
      <c r="A311" s="7"/>
      <c r="B311" s="7"/>
      <c r="C311" s="7"/>
      <c r="D311" s="29"/>
      <c r="E311" s="7"/>
      <c r="F311" s="7"/>
      <c r="G311" s="7"/>
      <c r="H311" s="16"/>
      <c r="I311" s="16"/>
      <c r="J311" s="16"/>
      <c r="K311" s="16"/>
      <c r="L311" s="16"/>
      <c r="M311" s="16"/>
      <c r="N311" s="16"/>
      <c r="O311" s="16"/>
      <c r="P311" s="16"/>
      <c r="Q311" s="4"/>
      <c r="R311" s="4"/>
      <c r="S311" s="4"/>
      <c r="T311" s="4"/>
      <c r="U311" s="4"/>
      <c r="V311" s="4"/>
      <c r="W311" s="4"/>
      <c r="X311" s="4"/>
      <c r="Y311" s="4"/>
      <c r="Z311" s="4"/>
      <c r="AA311" s="4"/>
      <c r="AB311" s="4"/>
      <c r="AC311" s="4"/>
      <c r="AD311" s="4"/>
      <c r="AE311" s="4"/>
    </row>
    <row r="312" spans="1:31" ht="13.2">
      <c r="A312" s="7"/>
      <c r="B312" s="7"/>
      <c r="C312" s="7"/>
      <c r="D312" s="29"/>
      <c r="E312" s="7"/>
      <c r="F312" s="7"/>
      <c r="G312" s="7"/>
      <c r="H312" s="16"/>
      <c r="I312" s="16"/>
      <c r="J312" s="16"/>
      <c r="K312" s="16"/>
      <c r="L312" s="16"/>
      <c r="M312" s="16"/>
      <c r="N312" s="16"/>
      <c r="O312" s="16"/>
      <c r="P312" s="16"/>
      <c r="Q312" s="4"/>
      <c r="R312" s="4"/>
      <c r="S312" s="4"/>
      <c r="T312" s="4"/>
      <c r="U312" s="4"/>
      <c r="V312" s="4"/>
      <c r="W312" s="4"/>
      <c r="X312" s="4"/>
      <c r="Y312" s="4"/>
      <c r="Z312" s="4"/>
      <c r="AA312" s="4"/>
      <c r="AB312" s="4"/>
      <c r="AC312" s="4"/>
      <c r="AD312" s="4"/>
      <c r="AE312" s="4"/>
    </row>
    <row r="313" spans="1:31" ht="13.2">
      <c r="A313" s="7"/>
      <c r="B313" s="7"/>
      <c r="C313" s="7"/>
      <c r="D313" s="29"/>
      <c r="E313" s="7"/>
      <c r="F313" s="7"/>
      <c r="G313" s="7"/>
      <c r="H313" s="16"/>
      <c r="I313" s="16"/>
      <c r="J313" s="16"/>
      <c r="K313" s="16"/>
      <c r="L313" s="16"/>
      <c r="M313" s="16"/>
      <c r="N313" s="16"/>
      <c r="O313" s="16"/>
      <c r="P313" s="16"/>
      <c r="Q313" s="4"/>
      <c r="R313" s="4"/>
      <c r="S313" s="4"/>
      <c r="T313" s="4"/>
      <c r="U313" s="4"/>
      <c r="V313" s="4"/>
      <c r="W313" s="4"/>
      <c r="X313" s="4"/>
      <c r="Y313" s="4"/>
      <c r="Z313" s="4"/>
      <c r="AA313" s="4"/>
      <c r="AB313" s="4"/>
      <c r="AC313" s="4"/>
      <c r="AD313" s="4"/>
      <c r="AE313" s="4"/>
    </row>
    <row r="314" spans="1:31" ht="13.2">
      <c r="A314" s="7"/>
      <c r="B314" s="7"/>
      <c r="C314" s="7"/>
      <c r="D314" s="29"/>
      <c r="E314" s="7"/>
      <c r="F314" s="7"/>
      <c r="G314" s="7"/>
      <c r="H314" s="16"/>
      <c r="I314" s="16"/>
      <c r="J314" s="16"/>
      <c r="K314" s="16"/>
      <c r="L314" s="16"/>
      <c r="M314" s="16"/>
      <c r="N314" s="16"/>
      <c r="O314" s="16"/>
      <c r="P314" s="16"/>
      <c r="Q314" s="4"/>
      <c r="R314" s="4"/>
      <c r="S314" s="4"/>
      <c r="T314" s="4"/>
      <c r="U314" s="4"/>
      <c r="V314" s="4"/>
      <c r="W314" s="4"/>
      <c r="X314" s="4"/>
      <c r="Y314" s="4"/>
      <c r="Z314" s="4"/>
      <c r="AA314" s="4"/>
      <c r="AB314" s="4"/>
      <c r="AC314" s="4"/>
      <c r="AD314" s="4"/>
      <c r="AE314" s="4"/>
    </row>
    <row r="315" spans="1:31" ht="13.2">
      <c r="A315" s="7"/>
      <c r="B315" s="7"/>
      <c r="C315" s="7"/>
      <c r="D315" s="29"/>
      <c r="E315" s="7"/>
      <c r="F315" s="7"/>
      <c r="G315" s="7"/>
      <c r="H315" s="16"/>
      <c r="I315" s="16"/>
      <c r="J315" s="16"/>
      <c r="K315" s="16"/>
      <c r="L315" s="16"/>
      <c r="M315" s="16"/>
      <c r="N315" s="16"/>
      <c r="O315" s="16"/>
      <c r="P315" s="16"/>
      <c r="Q315" s="4"/>
      <c r="R315" s="4"/>
      <c r="S315" s="4"/>
      <c r="T315" s="4"/>
      <c r="U315" s="4"/>
      <c r="V315" s="4"/>
      <c r="W315" s="4"/>
      <c r="X315" s="4"/>
      <c r="Y315" s="4"/>
      <c r="Z315" s="4"/>
      <c r="AA315" s="4"/>
      <c r="AB315" s="4"/>
      <c r="AC315" s="4"/>
      <c r="AD315" s="4"/>
      <c r="AE315" s="4"/>
    </row>
    <row r="316" spans="1:31" ht="13.2">
      <c r="A316" s="7"/>
      <c r="B316" s="7"/>
      <c r="C316" s="7"/>
      <c r="D316" s="29"/>
      <c r="E316" s="7"/>
      <c r="F316" s="7"/>
      <c r="G316" s="7"/>
      <c r="H316" s="16"/>
      <c r="I316" s="16"/>
      <c r="J316" s="16"/>
      <c r="K316" s="16"/>
      <c r="L316" s="16"/>
      <c r="M316" s="16"/>
      <c r="N316" s="16"/>
      <c r="O316" s="16"/>
      <c r="P316" s="16"/>
      <c r="Q316" s="4"/>
      <c r="R316" s="4"/>
      <c r="S316" s="4"/>
      <c r="T316" s="4"/>
      <c r="U316" s="4"/>
      <c r="V316" s="4"/>
      <c r="W316" s="4"/>
      <c r="X316" s="4"/>
      <c r="Y316" s="4"/>
      <c r="Z316" s="4"/>
      <c r="AA316" s="4"/>
      <c r="AB316" s="4"/>
      <c r="AC316" s="4"/>
      <c r="AD316" s="4"/>
      <c r="AE316" s="4"/>
    </row>
    <row r="317" spans="1:31" ht="13.2">
      <c r="A317" s="7"/>
      <c r="B317" s="7"/>
      <c r="C317" s="7"/>
      <c r="D317" s="29"/>
      <c r="E317" s="7"/>
      <c r="F317" s="7"/>
      <c r="G317" s="7"/>
      <c r="H317" s="16"/>
      <c r="I317" s="16"/>
      <c r="J317" s="16"/>
      <c r="K317" s="16"/>
      <c r="L317" s="16"/>
      <c r="M317" s="16"/>
      <c r="N317" s="16"/>
      <c r="O317" s="16"/>
      <c r="P317" s="16"/>
      <c r="Q317" s="4"/>
      <c r="R317" s="4"/>
      <c r="S317" s="4"/>
      <c r="T317" s="4"/>
      <c r="U317" s="4"/>
      <c r="V317" s="4"/>
      <c r="W317" s="4"/>
      <c r="X317" s="4"/>
      <c r="Y317" s="4"/>
      <c r="Z317" s="4"/>
      <c r="AA317" s="4"/>
      <c r="AB317" s="4"/>
      <c r="AC317" s="4"/>
      <c r="AD317" s="4"/>
      <c r="AE317" s="4"/>
    </row>
    <row r="318" spans="1:31" ht="13.2">
      <c r="A318" s="7"/>
      <c r="B318" s="7"/>
      <c r="C318" s="7"/>
      <c r="D318" s="29"/>
      <c r="E318" s="7"/>
      <c r="F318" s="7"/>
      <c r="G318" s="7"/>
      <c r="H318" s="16"/>
      <c r="I318" s="16"/>
      <c r="J318" s="16"/>
      <c r="K318" s="16"/>
      <c r="L318" s="16"/>
      <c r="M318" s="16"/>
      <c r="N318" s="16"/>
      <c r="O318" s="16"/>
      <c r="P318" s="16"/>
      <c r="Q318" s="4"/>
      <c r="R318" s="4"/>
      <c r="S318" s="4"/>
      <c r="T318" s="4"/>
      <c r="U318" s="4"/>
      <c r="V318" s="4"/>
      <c r="W318" s="4"/>
      <c r="X318" s="4"/>
      <c r="Y318" s="4"/>
      <c r="Z318" s="4"/>
      <c r="AA318" s="4"/>
      <c r="AB318" s="4"/>
      <c r="AC318" s="4"/>
      <c r="AD318" s="4"/>
      <c r="AE318" s="4"/>
    </row>
    <row r="319" spans="1:31" ht="13.2">
      <c r="A319" s="7"/>
      <c r="B319" s="7"/>
      <c r="C319" s="7"/>
      <c r="D319" s="29"/>
      <c r="E319" s="7"/>
      <c r="F319" s="7"/>
      <c r="G319" s="7"/>
      <c r="H319" s="16"/>
      <c r="I319" s="16"/>
      <c r="J319" s="16"/>
      <c r="K319" s="16"/>
      <c r="L319" s="16"/>
      <c r="M319" s="16"/>
      <c r="N319" s="16"/>
      <c r="O319" s="16"/>
      <c r="P319" s="16"/>
      <c r="Q319" s="4"/>
      <c r="R319" s="4"/>
      <c r="S319" s="4"/>
      <c r="T319" s="4"/>
      <c r="U319" s="4"/>
      <c r="V319" s="4"/>
      <c r="W319" s="4"/>
      <c r="X319" s="4"/>
      <c r="Y319" s="4"/>
      <c r="Z319" s="4"/>
      <c r="AA319" s="4"/>
      <c r="AB319" s="4"/>
      <c r="AC319" s="4"/>
      <c r="AD319" s="4"/>
      <c r="AE319" s="4"/>
    </row>
    <row r="320" spans="1:31" ht="13.2">
      <c r="A320" s="7"/>
      <c r="B320" s="7"/>
      <c r="C320" s="7"/>
      <c r="D320" s="29"/>
      <c r="E320" s="7"/>
      <c r="F320" s="7"/>
      <c r="G320" s="7"/>
      <c r="H320" s="16"/>
      <c r="I320" s="16"/>
      <c r="J320" s="16"/>
      <c r="K320" s="16"/>
      <c r="L320" s="16"/>
      <c r="M320" s="16"/>
      <c r="N320" s="16"/>
      <c r="O320" s="16"/>
      <c r="P320" s="16"/>
      <c r="Q320" s="4"/>
      <c r="R320" s="4"/>
      <c r="S320" s="4"/>
      <c r="T320" s="4"/>
      <c r="U320" s="4"/>
      <c r="V320" s="4"/>
      <c r="W320" s="4"/>
      <c r="X320" s="4"/>
      <c r="Y320" s="4"/>
      <c r="Z320" s="4"/>
      <c r="AA320" s="4"/>
      <c r="AB320" s="4"/>
      <c r="AC320" s="4"/>
      <c r="AD320" s="4"/>
      <c r="AE320" s="4"/>
    </row>
    <row r="321" spans="1:31" ht="13.2">
      <c r="A321" s="7"/>
      <c r="B321" s="7"/>
      <c r="C321" s="7"/>
      <c r="D321" s="29"/>
      <c r="E321" s="7"/>
      <c r="F321" s="7"/>
      <c r="G321" s="7"/>
      <c r="H321" s="16"/>
      <c r="I321" s="16"/>
      <c r="J321" s="16"/>
      <c r="K321" s="16"/>
      <c r="L321" s="16"/>
      <c r="M321" s="16"/>
      <c r="N321" s="16"/>
      <c r="O321" s="16"/>
      <c r="P321" s="16"/>
      <c r="Q321" s="4"/>
      <c r="R321" s="4"/>
      <c r="S321" s="4"/>
      <c r="T321" s="4"/>
      <c r="U321" s="4"/>
      <c r="V321" s="4"/>
      <c r="W321" s="4"/>
      <c r="X321" s="4"/>
      <c r="Y321" s="4"/>
      <c r="Z321" s="4"/>
      <c r="AA321" s="4"/>
      <c r="AB321" s="4"/>
      <c r="AC321" s="4"/>
      <c r="AD321" s="4"/>
      <c r="AE321" s="4"/>
    </row>
    <row r="322" spans="1:31" ht="13.2">
      <c r="A322" s="7"/>
      <c r="B322" s="7"/>
      <c r="C322" s="7"/>
      <c r="D322" s="29"/>
      <c r="E322" s="7"/>
      <c r="F322" s="7"/>
      <c r="G322" s="7"/>
      <c r="H322" s="16"/>
      <c r="I322" s="16"/>
      <c r="J322" s="16"/>
      <c r="K322" s="16"/>
      <c r="L322" s="16"/>
      <c r="M322" s="16"/>
      <c r="N322" s="16"/>
      <c r="O322" s="16"/>
      <c r="P322" s="16"/>
      <c r="Q322" s="4"/>
      <c r="R322" s="4"/>
      <c r="S322" s="4"/>
      <c r="T322" s="4"/>
      <c r="U322" s="4"/>
      <c r="V322" s="4"/>
      <c r="W322" s="4"/>
      <c r="X322" s="4"/>
      <c r="Y322" s="4"/>
      <c r="Z322" s="4"/>
      <c r="AA322" s="4"/>
      <c r="AB322" s="4"/>
      <c r="AC322" s="4"/>
      <c r="AD322" s="4"/>
      <c r="AE322" s="4"/>
    </row>
    <row r="323" spans="1:31" ht="13.2">
      <c r="A323" s="7"/>
      <c r="B323" s="7"/>
      <c r="C323" s="7"/>
      <c r="D323" s="29"/>
      <c r="E323" s="7"/>
      <c r="F323" s="7"/>
      <c r="G323" s="7"/>
      <c r="H323" s="16"/>
      <c r="I323" s="16"/>
      <c r="J323" s="16"/>
      <c r="K323" s="16"/>
      <c r="L323" s="16"/>
      <c r="M323" s="16"/>
      <c r="N323" s="16"/>
      <c r="O323" s="16"/>
      <c r="P323" s="16"/>
      <c r="Q323" s="4"/>
      <c r="R323" s="4"/>
      <c r="S323" s="4"/>
      <c r="T323" s="4"/>
      <c r="U323" s="4"/>
      <c r="V323" s="4"/>
      <c r="W323" s="4"/>
      <c r="X323" s="4"/>
      <c r="Y323" s="4"/>
      <c r="Z323" s="4"/>
      <c r="AA323" s="4"/>
      <c r="AB323" s="4"/>
      <c r="AC323" s="4"/>
      <c r="AD323" s="4"/>
      <c r="AE323" s="4"/>
    </row>
    <row r="324" spans="1:31" ht="13.2">
      <c r="A324" s="7"/>
      <c r="B324" s="7"/>
      <c r="C324" s="7"/>
      <c r="D324" s="29"/>
      <c r="E324" s="7"/>
      <c r="F324" s="7"/>
      <c r="G324" s="7"/>
      <c r="H324" s="16"/>
      <c r="I324" s="16"/>
      <c r="J324" s="16"/>
      <c r="K324" s="16"/>
      <c r="L324" s="16"/>
      <c r="M324" s="16"/>
      <c r="N324" s="16"/>
      <c r="O324" s="16"/>
      <c r="P324" s="16"/>
      <c r="Q324" s="4"/>
      <c r="R324" s="4"/>
      <c r="S324" s="4"/>
      <c r="T324" s="4"/>
      <c r="U324" s="4"/>
      <c r="V324" s="4"/>
      <c r="W324" s="4"/>
      <c r="X324" s="4"/>
      <c r="Y324" s="4"/>
      <c r="Z324" s="4"/>
      <c r="AA324" s="4"/>
      <c r="AB324" s="4"/>
      <c r="AC324" s="4"/>
      <c r="AD324" s="4"/>
      <c r="AE324" s="4"/>
    </row>
    <row r="325" spans="1:31" ht="13.2">
      <c r="A325" s="7"/>
      <c r="B325" s="7"/>
      <c r="C325" s="7"/>
      <c r="D325" s="29"/>
      <c r="E325" s="7"/>
      <c r="F325" s="7"/>
      <c r="G325" s="7"/>
      <c r="H325" s="16"/>
      <c r="I325" s="16"/>
      <c r="J325" s="16"/>
      <c r="K325" s="16"/>
      <c r="L325" s="16"/>
      <c r="M325" s="16"/>
      <c r="N325" s="16"/>
      <c r="O325" s="16"/>
      <c r="P325" s="16"/>
      <c r="Q325" s="4"/>
      <c r="R325" s="4"/>
      <c r="S325" s="4"/>
      <c r="T325" s="4"/>
      <c r="U325" s="4"/>
      <c r="V325" s="4"/>
      <c r="W325" s="4"/>
      <c r="X325" s="4"/>
      <c r="Y325" s="4"/>
      <c r="Z325" s="4"/>
      <c r="AA325" s="4"/>
      <c r="AB325" s="4"/>
      <c r="AC325" s="4"/>
      <c r="AD325" s="4"/>
      <c r="AE325" s="4"/>
    </row>
    <row r="326" spans="1:31" ht="13.2">
      <c r="A326" s="7"/>
      <c r="B326" s="7"/>
      <c r="C326" s="7"/>
      <c r="D326" s="29"/>
      <c r="E326" s="7"/>
      <c r="F326" s="7"/>
      <c r="G326" s="7"/>
      <c r="H326" s="16"/>
      <c r="I326" s="16"/>
      <c r="J326" s="16"/>
      <c r="K326" s="16"/>
      <c r="L326" s="16"/>
      <c r="M326" s="16"/>
      <c r="N326" s="16"/>
      <c r="O326" s="16"/>
      <c r="P326" s="16"/>
      <c r="Q326" s="4"/>
      <c r="R326" s="4"/>
      <c r="S326" s="4"/>
      <c r="T326" s="4"/>
      <c r="U326" s="4"/>
      <c r="V326" s="4"/>
      <c r="W326" s="4"/>
      <c r="X326" s="4"/>
      <c r="Y326" s="4"/>
      <c r="Z326" s="4"/>
      <c r="AA326" s="4"/>
      <c r="AB326" s="4"/>
      <c r="AC326" s="4"/>
      <c r="AD326" s="4"/>
      <c r="AE326" s="4"/>
    </row>
    <row r="327" spans="1:31" ht="13.2">
      <c r="A327" s="7"/>
      <c r="B327" s="7"/>
      <c r="C327" s="7"/>
      <c r="D327" s="29"/>
      <c r="E327" s="7"/>
      <c r="F327" s="7"/>
      <c r="G327" s="7"/>
      <c r="H327" s="16"/>
      <c r="I327" s="16"/>
      <c r="J327" s="16"/>
      <c r="K327" s="16"/>
      <c r="L327" s="16"/>
      <c r="M327" s="16"/>
      <c r="N327" s="16"/>
      <c r="O327" s="16"/>
      <c r="P327" s="16"/>
      <c r="Q327" s="4"/>
      <c r="R327" s="4"/>
      <c r="S327" s="4"/>
      <c r="T327" s="4"/>
      <c r="U327" s="4"/>
      <c r="V327" s="4"/>
      <c r="W327" s="4"/>
      <c r="X327" s="4"/>
      <c r="Y327" s="4"/>
      <c r="Z327" s="4"/>
      <c r="AA327" s="4"/>
      <c r="AB327" s="4"/>
      <c r="AC327" s="4"/>
      <c r="AD327" s="4"/>
      <c r="AE327" s="4"/>
    </row>
    <row r="328" spans="1:31" ht="13.2">
      <c r="A328" s="7"/>
      <c r="B328" s="7"/>
      <c r="C328" s="7"/>
      <c r="D328" s="29"/>
      <c r="E328" s="7"/>
      <c r="F328" s="7"/>
      <c r="G328" s="7"/>
      <c r="H328" s="16"/>
      <c r="I328" s="16"/>
      <c r="J328" s="16"/>
      <c r="K328" s="16"/>
      <c r="L328" s="16"/>
      <c r="M328" s="16"/>
      <c r="N328" s="16"/>
      <c r="O328" s="16"/>
      <c r="P328" s="16"/>
      <c r="Q328" s="4"/>
      <c r="R328" s="4"/>
      <c r="S328" s="4"/>
      <c r="T328" s="4"/>
      <c r="U328" s="4"/>
      <c r="V328" s="4"/>
      <c r="W328" s="4"/>
      <c r="X328" s="4"/>
      <c r="Y328" s="4"/>
      <c r="Z328" s="4"/>
      <c r="AA328" s="4"/>
      <c r="AB328" s="4"/>
      <c r="AC328" s="4"/>
      <c r="AD328" s="4"/>
      <c r="AE328" s="4"/>
    </row>
    <row r="329" spans="1:31" ht="13.2">
      <c r="A329" s="7"/>
      <c r="B329" s="7"/>
      <c r="C329" s="7"/>
      <c r="D329" s="29"/>
      <c r="E329" s="7"/>
      <c r="F329" s="7"/>
      <c r="G329" s="7"/>
      <c r="H329" s="16"/>
      <c r="I329" s="16"/>
      <c r="J329" s="16"/>
      <c r="K329" s="16"/>
      <c r="L329" s="16"/>
      <c r="M329" s="16"/>
      <c r="N329" s="16"/>
      <c r="O329" s="16"/>
      <c r="P329" s="16"/>
      <c r="Q329" s="4"/>
      <c r="R329" s="4"/>
      <c r="S329" s="4"/>
      <c r="T329" s="4"/>
      <c r="U329" s="4"/>
      <c r="V329" s="4"/>
      <c r="W329" s="4"/>
      <c r="X329" s="4"/>
      <c r="Y329" s="4"/>
      <c r="Z329" s="4"/>
      <c r="AA329" s="4"/>
      <c r="AB329" s="4"/>
      <c r="AC329" s="4"/>
      <c r="AD329" s="4"/>
      <c r="AE329" s="4"/>
    </row>
    <row r="330" spans="1:31" ht="13.2">
      <c r="A330" s="7"/>
      <c r="B330" s="7"/>
      <c r="C330" s="7"/>
      <c r="D330" s="29"/>
      <c r="E330" s="7"/>
      <c r="F330" s="7"/>
      <c r="G330" s="7"/>
      <c r="H330" s="16"/>
      <c r="I330" s="16"/>
      <c r="J330" s="16"/>
      <c r="K330" s="16"/>
      <c r="L330" s="16"/>
      <c r="M330" s="16"/>
      <c r="N330" s="16"/>
      <c r="O330" s="16"/>
      <c r="P330" s="16"/>
      <c r="Q330" s="4"/>
      <c r="R330" s="4"/>
      <c r="S330" s="4"/>
      <c r="T330" s="4"/>
      <c r="U330" s="4"/>
      <c r="V330" s="4"/>
      <c r="W330" s="4"/>
      <c r="X330" s="4"/>
      <c r="Y330" s="4"/>
      <c r="Z330" s="4"/>
      <c r="AA330" s="4"/>
      <c r="AB330" s="4"/>
      <c r="AC330" s="4"/>
      <c r="AD330" s="4"/>
      <c r="AE330" s="4"/>
    </row>
    <row r="331" spans="1:31" ht="13.2">
      <c r="A331" s="7"/>
      <c r="B331" s="7"/>
      <c r="C331" s="7"/>
      <c r="D331" s="29"/>
      <c r="E331" s="7"/>
      <c r="F331" s="7"/>
      <c r="G331" s="7"/>
      <c r="H331" s="16"/>
      <c r="I331" s="16"/>
      <c r="J331" s="16"/>
      <c r="K331" s="16"/>
      <c r="L331" s="16"/>
      <c r="M331" s="16"/>
      <c r="N331" s="16"/>
      <c r="O331" s="16"/>
      <c r="P331" s="16"/>
      <c r="Q331" s="4"/>
      <c r="R331" s="4"/>
      <c r="S331" s="4"/>
      <c r="T331" s="4"/>
      <c r="U331" s="4"/>
      <c r="V331" s="4"/>
      <c r="W331" s="4"/>
      <c r="X331" s="4"/>
      <c r="Y331" s="4"/>
      <c r="Z331" s="4"/>
      <c r="AA331" s="4"/>
      <c r="AB331" s="4"/>
      <c r="AC331" s="4"/>
      <c r="AD331" s="4"/>
      <c r="AE331" s="4"/>
    </row>
    <row r="332" spans="1:31" ht="13.2">
      <c r="A332" s="7"/>
      <c r="B332" s="7"/>
      <c r="C332" s="7"/>
      <c r="D332" s="29"/>
      <c r="E332" s="7"/>
      <c r="F332" s="7"/>
      <c r="G332" s="7"/>
      <c r="H332" s="16"/>
      <c r="I332" s="16"/>
      <c r="J332" s="16"/>
      <c r="K332" s="16"/>
      <c r="L332" s="16"/>
      <c r="M332" s="16"/>
      <c r="N332" s="16"/>
      <c r="O332" s="16"/>
      <c r="P332" s="16"/>
      <c r="Q332" s="4"/>
      <c r="R332" s="4"/>
      <c r="S332" s="4"/>
      <c r="T332" s="4"/>
      <c r="U332" s="4"/>
      <c r="V332" s="4"/>
      <c r="W332" s="4"/>
      <c r="X332" s="4"/>
      <c r="Y332" s="4"/>
      <c r="Z332" s="4"/>
      <c r="AA332" s="4"/>
      <c r="AB332" s="4"/>
      <c r="AC332" s="4"/>
      <c r="AD332" s="4"/>
      <c r="AE332" s="4"/>
    </row>
    <row r="333" spans="1:31" ht="13.2">
      <c r="A333" s="7"/>
      <c r="B333" s="7"/>
      <c r="C333" s="7"/>
      <c r="D333" s="29"/>
      <c r="E333" s="7"/>
      <c r="F333" s="7"/>
      <c r="G333" s="7"/>
      <c r="H333" s="16"/>
      <c r="I333" s="16"/>
      <c r="J333" s="16"/>
      <c r="K333" s="16"/>
      <c r="L333" s="16"/>
      <c r="M333" s="16"/>
      <c r="N333" s="16"/>
      <c r="O333" s="16"/>
      <c r="P333" s="16"/>
      <c r="Q333" s="4"/>
      <c r="R333" s="4"/>
      <c r="S333" s="4"/>
      <c r="T333" s="4"/>
      <c r="U333" s="4"/>
      <c r="V333" s="4"/>
      <c r="W333" s="4"/>
      <c r="X333" s="4"/>
      <c r="Y333" s="4"/>
      <c r="Z333" s="4"/>
      <c r="AA333" s="4"/>
      <c r="AB333" s="4"/>
      <c r="AC333" s="4"/>
      <c r="AD333" s="4"/>
      <c r="AE333" s="4"/>
    </row>
    <row r="334" spans="1:31" ht="13.2">
      <c r="A334" s="7"/>
      <c r="B334" s="7"/>
      <c r="C334" s="7"/>
      <c r="D334" s="29"/>
      <c r="E334" s="7"/>
      <c r="F334" s="7"/>
      <c r="G334" s="7"/>
      <c r="H334" s="16"/>
      <c r="I334" s="16"/>
      <c r="J334" s="16"/>
      <c r="K334" s="16"/>
      <c r="L334" s="16"/>
      <c r="M334" s="16"/>
      <c r="N334" s="16"/>
      <c r="O334" s="16"/>
      <c r="P334" s="16"/>
      <c r="Q334" s="4"/>
      <c r="R334" s="4"/>
      <c r="S334" s="4"/>
      <c r="T334" s="4"/>
      <c r="U334" s="4"/>
      <c r="V334" s="4"/>
      <c r="W334" s="4"/>
      <c r="X334" s="4"/>
      <c r="Y334" s="4"/>
      <c r="Z334" s="4"/>
      <c r="AA334" s="4"/>
      <c r="AB334" s="4"/>
      <c r="AC334" s="4"/>
      <c r="AD334" s="4"/>
      <c r="AE334" s="4"/>
    </row>
    <row r="335" spans="1:31" ht="13.2">
      <c r="A335" s="7"/>
      <c r="B335" s="7"/>
      <c r="C335" s="7"/>
      <c r="D335" s="29"/>
      <c r="E335" s="7"/>
      <c r="F335" s="7"/>
      <c r="G335" s="7"/>
      <c r="H335" s="16"/>
      <c r="I335" s="16"/>
      <c r="J335" s="16"/>
      <c r="K335" s="16"/>
      <c r="L335" s="16"/>
      <c r="M335" s="16"/>
      <c r="N335" s="16"/>
      <c r="O335" s="16"/>
      <c r="P335" s="16"/>
      <c r="Q335" s="4"/>
      <c r="R335" s="4"/>
      <c r="S335" s="4"/>
      <c r="T335" s="4"/>
      <c r="U335" s="4"/>
      <c r="V335" s="4"/>
      <c r="W335" s="4"/>
      <c r="X335" s="4"/>
      <c r="Y335" s="4"/>
      <c r="Z335" s="4"/>
      <c r="AA335" s="4"/>
      <c r="AB335" s="4"/>
      <c r="AC335" s="4"/>
      <c r="AD335" s="4"/>
      <c r="AE335" s="4"/>
    </row>
    <row r="336" spans="1:31" ht="13.2">
      <c r="A336" s="7"/>
      <c r="B336" s="7"/>
      <c r="C336" s="7"/>
      <c r="D336" s="29"/>
      <c r="E336" s="7"/>
      <c r="F336" s="7"/>
      <c r="G336" s="7"/>
      <c r="H336" s="16"/>
      <c r="I336" s="16"/>
      <c r="J336" s="16"/>
      <c r="K336" s="16"/>
      <c r="L336" s="16"/>
      <c r="M336" s="16"/>
      <c r="N336" s="16"/>
      <c r="O336" s="16"/>
      <c r="P336" s="16"/>
      <c r="Q336" s="4"/>
      <c r="R336" s="4"/>
      <c r="S336" s="4"/>
      <c r="T336" s="4"/>
      <c r="U336" s="4"/>
      <c r="V336" s="4"/>
      <c r="W336" s="4"/>
      <c r="X336" s="4"/>
      <c r="Y336" s="4"/>
      <c r="Z336" s="4"/>
      <c r="AA336" s="4"/>
      <c r="AB336" s="4"/>
      <c r="AC336" s="4"/>
      <c r="AD336" s="4"/>
      <c r="AE336" s="4"/>
    </row>
    <row r="337" spans="1:31" ht="13.2">
      <c r="A337" s="7"/>
      <c r="B337" s="7"/>
      <c r="C337" s="7"/>
      <c r="D337" s="29"/>
      <c r="E337" s="7"/>
      <c r="F337" s="7"/>
      <c r="G337" s="7"/>
      <c r="H337" s="16"/>
      <c r="I337" s="16"/>
      <c r="J337" s="16"/>
      <c r="K337" s="16"/>
      <c r="L337" s="16"/>
      <c r="M337" s="16"/>
      <c r="N337" s="16"/>
      <c r="O337" s="16"/>
      <c r="P337" s="16"/>
      <c r="Q337" s="4"/>
      <c r="R337" s="4"/>
      <c r="S337" s="4"/>
      <c r="T337" s="4"/>
      <c r="U337" s="4"/>
      <c r="V337" s="4"/>
      <c r="W337" s="4"/>
      <c r="X337" s="4"/>
      <c r="Y337" s="4"/>
      <c r="Z337" s="4"/>
      <c r="AA337" s="4"/>
      <c r="AB337" s="4"/>
      <c r="AC337" s="4"/>
      <c r="AD337" s="4"/>
      <c r="AE337" s="4"/>
    </row>
    <row r="338" spans="1:31" ht="13.2">
      <c r="A338" s="7"/>
      <c r="B338" s="7"/>
      <c r="C338" s="7"/>
      <c r="D338" s="29"/>
      <c r="E338" s="7"/>
      <c r="F338" s="7"/>
      <c r="G338" s="7"/>
      <c r="H338" s="16"/>
      <c r="I338" s="16"/>
      <c r="J338" s="16"/>
      <c r="K338" s="16"/>
      <c r="L338" s="16"/>
      <c r="M338" s="16"/>
      <c r="N338" s="16"/>
      <c r="O338" s="16"/>
      <c r="P338" s="16"/>
      <c r="Q338" s="4"/>
      <c r="R338" s="4"/>
      <c r="S338" s="4"/>
      <c r="T338" s="4"/>
      <c r="U338" s="4"/>
      <c r="V338" s="4"/>
      <c r="W338" s="4"/>
      <c r="X338" s="4"/>
      <c r="Y338" s="4"/>
      <c r="Z338" s="4"/>
      <c r="AA338" s="4"/>
      <c r="AB338" s="4"/>
      <c r="AC338" s="4"/>
      <c r="AD338" s="4"/>
      <c r="AE338" s="4"/>
    </row>
    <row r="339" spans="1:31" ht="13.2">
      <c r="A339" s="7"/>
      <c r="B339" s="7"/>
      <c r="C339" s="7"/>
      <c r="D339" s="29"/>
      <c r="E339" s="7"/>
      <c r="F339" s="7"/>
      <c r="G339" s="7"/>
      <c r="H339" s="16"/>
      <c r="I339" s="16"/>
      <c r="J339" s="16"/>
      <c r="K339" s="16"/>
      <c r="L339" s="16"/>
      <c r="M339" s="16"/>
      <c r="N339" s="16"/>
      <c r="O339" s="16"/>
      <c r="P339" s="16"/>
      <c r="Q339" s="4"/>
      <c r="R339" s="4"/>
      <c r="S339" s="4"/>
      <c r="T339" s="4"/>
      <c r="U339" s="4"/>
      <c r="V339" s="4"/>
      <c r="W339" s="4"/>
      <c r="X339" s="4"/>
      <c r="Y339" s="4"/>
      <c r="Z339" s="4"/>
      <c r="AA339" s="4"/>
      <c r="AB339" s="4"/>
      <c r="AC339" s="4"/>
      <c r="AD339" s="4"/>
      <c r="AE339" s="4"/>
    </row>
    <row r="340" spans="1:31" ht="13.2">
      <c r="A340" s="7"/>
      <c r="B340" s="7"/>
      <c r="C340" s="7"/>
      <c r="D340" s="29"/>
      <c r="E340" s="7"/>
      <c r="F340" s="7"/>
      <c r="G340" s="7"/>
      <c r="H340" s="16"/>
      <c r="I340" s="16"/>
      <c r="J340" s="16"/>
      <c r="K340" s="16"/>
      <c r="L340" s="16"/>
      <c r="M340" s="16"/>
      <c r="N340" s="16"/>
      <c r="O340" s="16"/>
      <c r="P340" s="16"/>
      <c r="Q340" s="4"/>
      <c r="R340" s="4"/>
      <c r="S340" s="4"/>
      <c r="T340" s="4"/>
      <c r="U340" s="4"/>
      <c r="V340" s="4"/>
      <c r="W340" s="4"/>
      <c r="X340" s="4"/>
      <c r="Y340" s="4"/>
      <c r="Z340" s="4"/>
      <c r="AA340" s="4"/>
      <c r="AB340" s="4"/>
      <c r="AC340" s="4"/>
      <c r="AD340" s="4"/>
      <c r="AE340" s="4"/>
    </row>
    <row r="341" spans="1:31" ht="13.2">
      <c r="A341" s="7"/>
      <c r="B341" s="7"/>
      <c r="C341" s="7"/>
      <c r="D341" s="29"/>
      <c r="E341" s="7"/>
      <c r="F341" s="7"/>
      <c r="G341" s="7"/>
      <c r="H341" s="16"/>
      <c r="I341" s="16"/>
      <c r="J341" s="16"/>
      <c r="K341" s="16"/>
      <c r="L341" s="16"/>
      <c r="M341" s="16"/>
      <c r="N341" s="16"/>
      <c r="O341" s="16"/>
      <c r="P341" s="16"/>
      <c r="Q341" s="4"/>
      <c r="R341" s="4"/>
      <c r="S341" s="4"/>
      <c r="T341" s="4"/>
      <c r="U341" s="4"/>
      <c r="V341" s="4"/>
      <c r="W341" s="4"/>
      <c r="X341" s="4"/>
      <c r="Y341" s="4"/>
      <c r="Z341" s="4"/>
      <c r="AA341" s="4"/>
      <c r="AB341" s="4"/>
      <c r="AC341" s="4"/>
      <c r="AD341" s="4"/>
      <c r="AE341" s="4"/>
    </row>
    <row r="342" spans="1:31" ht="13.2">
      <c r="A342" s="7"/>
      <c r="B342" s="7"/>
      <c r="C342" s="7"/>
      <c r="D342" s="29"/>
      <c r="E342" s="7"/>
      <c r="F342" s="7"/>
      <c r="G342" s="7"/>
      <c r="H342" s="16"/>
      <c r="I342" s="16"/>
      <c r="J342" s="16"/>
      <c r="K342" s="16"/>
      <c r="L342" s="16"/>
      <c r="M342" s="16"/>
      <c r="N342" s="16"/>
      <c r="O342" s="16"/>
      <c r="P342" s="16"/>
      <c r="Q342" s="4"/>
      <c r="R342" s="4"/>
      <c r="S342" s="4"/>
      <c r="T342" s="4"/>
      <c r="U342" s="4"/>
      <c r="V342" s="4"/>
      <c r="W342" s="4"/>
      <c r="X342" s="4"/>
      <c r="Y342" s="4"/>
      <c r="Z342" s="4"/>
      <c r="AA342" s="4"/>
      <c r="AB342" s="4"/>
      <c r="AC342" s="4"/>
      <c r="AD342" s="4"/>
      <c r="AE342" s="4"/>
    </row>
    <row r="343" spans="1:31" ht="13.2">
      <c r="A343" s="7"/>
      <c r="B343" s="7"/>
      <c r="C343" s="7"/>
      <c r="D343" s="29"/>
      <c r="E343" s="7"/>
      <c r="F343" s="7"/>
      <c r="G343" s="7"/>
      <c r="H343" s="16"/>
      <c r="I343" s="16"/>
      <c r="J343" s="16"/>
      <c r="K343" s="16"/>
      <c r="L343" s="16"/>
      <c r="M343" s="16"/>
      <c r="N343" s="16"/>
      <c r="O343" s="16"/>
      <c r="P343" s="16"/>
      <c r="Q343" s="4"/>
      <c r="R343" s="4"/>
      <c r="S343" s="4"/>
      <c r="T343" s="4"/>
      <c r="U343" s="4"/>
      <c r="V343" s="4"/>
      <c r="W343" s="4"/>
      <c r="X343" s="4"/>
      <c r="Y343" s="4"/>
      <c r="Z343" s="4"/>
      <c r="AA343" s="4"/>
      <c r="AB343" s="4"/>
      <c r="AC343" s="4"/>
      <c r="AD343" s="4"/>
      <c r="AE343" s="4"/>
    </row>
    <row r="344" spans="1:31" ht="13.2">
      <c r="A344" s="7"/>
      <c r="B344" s="7"/>
      <c r="C344" s="7"/>
      <c r="D344" s="29"/>
      <c r="E344" s="7"/>
      <c r="F344" s="7"/>
      <c r="G344" s="7"/>
      <c r="H344" s="16"/>
      <c r="I344" s="16"/>
      <c r="J344" s="16"/>
      <c r="K344" s="16"/>
      <c r="L344" s="16"/>
      <c r="M344" s="16"/>
      <c r="N344" s="16"/>
      <c r="O344" s="16"/>
      <c r="P344" s="16"/>
      <c r="Q344" s="4"/>
      <c r="R344" s="4"/>
      <c r="S344" s="4"/>
      <c r="T344" s="4"/>
      <c r="U344" s="4"/>
      <c r="V344" s="4"/>
      <c r="W344" s="4"/>
      <c r="X344" s="4"/>
      <c r="Y344" s="4"/>
      <c r="Z344" s="4"/>
      <c r="AA344" s="4"/>
      <c r="AB344" s="4"/>
      <c r="AC344" s="4"/>
      <c r="AD344" s="4"/>
      <c r="AE344" s="4"/>
    </row>
    <row r="345" spans="1:31" ht="13.2">
      <c r="A345" s="7"/>
      <c r="B345" s="7"/>
      <c r="C345" s="7"/>
      <c r="D345" s="29"/>
      <c r="E345" s="7"/>
      <c r="F345" s="7"/>
      <c r="G345" s="7"/>
      <c r="H345" s="16"/>
      <c r="I345" s="16"/>
      <c r="J345" s="16"/>
      <c r="K345" s="16"/>
      <c r="L345" s="16"/>
      <c r="M345" s="16"/>
      <c r="N345" s="16"/>
      <c r="O345" s="16"/>
      <c r="P345" s="16"/>
      <c r="Q345" s="4"/>
      <c r="R345" s="4"/>
      <c r="S345" s="4"/>
      <c r="T345" s="4"/>
      <c r="U345" s="4"/>
      <c r="V345" s="4"/>
      <c r="W345" s="4"/>
      <c r="X345" s="4"/>
      <c r="Y345" s="4"/>
      <c r="Z345" s="4"/>
      <c r="AA345" s="4"/>
      <c r="AB345" s="4"/>
      <c r="AC345" s="4"/>
      <c r="AD345" s="4"/>
      <c r="AE345" s="4"/>
    </row>
    <row r="346" spans="1:31" ht="13.2">
      <c r="A346" s="7"/>
      <c r="B346" s="7"/>
      <c r="C346" s="7"/>
      <c r="D346" s="29"/>
      <c r="E346" s="7"/>
      <c r="F346" s="7"/>
      <c r="G346" s="7"/>
      <c r="H346" s="16"/>
      <c r="I346" s="16"/>
      <c r="J346" s="16"/>
      <c r="K346" s="16"/>
      <c r="L346" s="16"/>
      <c r="M346" s="16"/>
      <c r="N346" s="16"/>
      <c r="O346" s="16"/>
      <c r="P346" s="16"/>
      <c r="Q346" s="4"/>
      <c r="R346" s="4"/>
      <c r="S346" s="4"/>
      <c r="T346" s="4"/>
      <c r="U346" s="4"/>
      <c r="V346" s="4"/>
      <c r="W346" s="4"/>
      <c r="X346" s="4"/>
      <c r="Y346" s="4"/>
      <c r="Z346" s="4"/>
      <c r="AA346" s="4"/>
      <c r="AB346" s="4"/>
      <c r="AC346" s="4"/>
      <c r="AD346" s="4"/>
      <c r="AE346" s="4"/>
    </row>
    <row r="347" spans="1:31" ht="13.2">
      <c r="A347" s="7"/>
      <c r="B347" s="7"/>
      <c r="C347" s="7"/>
      <c r="D347" s="29"/>
      <c r="E347" s="7"/>
      <c r="F347" s="7"/>
      <c r="G347" s="7"/>
      <c r="H347" s="16"/>
      <c r="I347" s="16"/>
      <c r="J347" s="16"/>
      <c r="K347" s="16"/>
      <c r="L347" s="16"/>
      <c r="M347" s="16"/>
      <c r="N347" s="16"/>
      <c r="O347" s="16"/>
      <c r="P347" s="16"/>
      <c r="Q347" s="4"/>
      <c r="R347" s="4"/>
      <c r="S347" s="4"/>
      <c r="T347" s="4"/>
      <c r="U347" s="4"/>
      <c r="V347" s="4"/>
      <c r="W347" s="4"/>
      <c r="X347" s="4"/>
      <c r="Y347" s="4"/>
      <c r="Z347" s="4"/>
      <c r="AA347" s="4"/>
      <c r="AB347" s="4"/>
      <c r="AC347" s="4"/>
      <c r="AD347" s="4"/>
      <c r="AE347" s="4"/>
    </row>
    <row r="348" spans="1:31" ht="13.2">
      <c r="A348" s="7"/>
      <c r="B348" s="7"/>
      <c r="C348" s="7"/>
      <c r="D348" s="29"/>
      <c r="E348" s="7"/>
      <c r="F348" s="7"/>
      <c r="G348" s="7"/>
      <c r="H348" s="16"/>
      <c r="I348" s="16"/>
      <c r="J348" s="16"/>
      <c r="K348" s="16"/>
      <c r="L348" s="16"/>
      <c r="M348" s="16"/>
      <c r="N348" s="16"/>
      <c r="O348" s="16"/>
      <c r="P348" s="16"/>
      <c r="Q348" s="4"/>
      <c r="R348" s="4"/>
      <c r="S348" s="4"/>
      <c r="T348" s="4"/>
      <c r="U348" s="4"/>
      <c r="V348" s="4"/>
      <c r="W348" s="4"/>
      <c r="X348" s="4"/>
      <c r="Y348" s="4"/>
      <c r="Z348" s="4"/>
      <c r="AA348" s="4"/>
      <c r="AB348" s="4"/>
      <c r="AC348" s="4"/>
      <c r="AD348" s="4"/>
      <c r="AE348" s="4"/>
    </row>
    <row r="349" spans="1:31" ht="13.2">
      <c r="A349" s="7"/>
      <c r="B349" s="7"/>
      <c r="C349" s="7"/>
      <c r="D349" s="29"/>
      <c r="E349" s="7"/>
      <c r="F349" s="7"/>
      <c r="G349" s="7"/>
      <c r="H349" s="16"/>
      <c r="I349" s="16"/>
      <c r="J349" s="16"/>
      <c r="K349" s="16"/>
      <c r="L349" s="16"/>
      <c r="M349" s="16"/>
      <c r="N349" s="16"/>
      <c r="O349" s="16"/>
      <c r="P349" s="16"/>
      <c r="Q349" s="4"/>
      <c r="R349" s="4"/>
      <c r="S349" s="4"/>
      <c r="T349" s="4"/>
      <c r="U349" s="4"/>
      <c r="V349" s="4"/>
      <c r="W349" s="4"/>
      <c r="X349" s="4"/>
      <c r="Y349" s="4"/>
      <c r="Z349" s="4"/>
      <c r="AA349" s="4"/>
      <c r="AB349" s="4"/>
      <c r="AC349" s="4"/>
      <c r="AD349" s="4"/>
      <c r="AE349" s="4"/>
    </row>
    <row r="350" spans="1:31" ht="13.2">
      <c r="A350" s="7"/>
      <c r="B350" s="7"/>
      <c r="C350" s="7"/>
      <c r="D350" s="29"/>
      <c r="E350" s="7"/>
      <c r="F350" s="7"/>
      <c r="G350" s="7"/>
      <c r="H350" s="16"/>
      <c r="I350" s="16"/>
      <c r="J350" s="16"/>
      <c r="K350" s="16"/>
      <c r="L350" s="16"/>
      <c r="M350" s="16"/>
      <c r="N350" s="16"/>
      <c r="O350" s="16"/>
      <c r="P350" s="16"/>
      <c r="Q350" s="4"/>
      <c r="R350" s="4"/>
      <c r="S350" s="4"/>
      <c r="T350" s="4"/>
      <c r="U350" s="4"/>
      <c r="V350" s="4"/>
      <c r="W350" s="4"/>
      <c r="X350" s="4"/>
      <c r="Y350" s="4"/>
      <c r="Z350" s="4"/>
      <c r="AA350" s="4"/>
      <c r="AB350" s="4"/>
      <c r="AC350" s="4"/>
      <c r="AD350" s="4"/>
      <c r="AE350" s="4"/>
    </row>
    <row r="351" spans="1:31" ht="13.2">
      <c r="A351" s="7"/>
      <c r="B351" s="7"/>
      <c r="C351" s="7"/>
      <c r="D351" s="29"/>
      <c r="E351" s="7"/>
      <c r="F351" s="7"/>
      <c r="G351" s="7"/>
      <c r="H351" s="16"/>
      <c r="I351" s="16"/>
      <c r="J351" s="16"/>
      <c r="K351" s="16"/>
      <c r="L351" s="16"/>
      <c r="M351" s="16"/>
      <c r="N351" s="16"/>
      <c r="O351" s="16"/>
      <c r="P351" s="16"/>
      <c r="Q351" s="4"/>
      <c r="R351" s="4"/>
      <c r="S351" s="4"/>
      <c r="T351" s="4"/>
      <c r="U351" s="4"/>
      <c r="V351" s="4"/>
      <c r="W351" s="4"/>
      <c r="X351" s="4"/>
      <c r="Y351" s="4"/>
      <c r="Z351" s="4"/>
      <c r="AA351" s="4"/>
      <c r="AB351" s="4"/>
      <c r="AC351" s="4"/>
      <c r="AD351" s="4"/>
      <c r="AE351" s="4"/>
    </row>
    <row r="352" spans="1:31" ht="13.2">
      <c r="A352" s="7"/>
      <c r="B352" s="7"/>
      <c r="C352" s="7"/>
      <c r="D352" s="29"/>
      <c r="E352" s="7"/>
      <c r="F352" s="7"/>
      <c r="G352" s="7"/>
      <c r="H352" s="16"/>
      <c r="I352" s="16"/>
      <c r="J352" s="16"/>
      <c r="K352" s="16"/>
      <c r="L352" s="16"/>
      <c r="M352" s="16"/>
      <c r="N352" s="16"/>
      <c r="O352" s="16"/>
      <c r="P352" s="16"/>
      <c r="Q352" s="4"/>
      <c r="R352" s="4"/>
      <c r="S352" s="4"/>
      <c r="T352" s="4"/>
      <c r="U352" s="4"/>
      <c r="V352" s="4"/>
      <c r="W352" s="4"/>
      <c r="X352" s="4"/>
      <c r="Y352" s="4"/>
      <c r="Z352" s="4"/>
      <c r="AA352" s="4"/>
      <c r="AB352" s="4"/>
      <c r="AC352" s="4"/>
      <c r="AD352" s="4"/>
      <c r="AE352" s="4"/>
    </row>
    <row r="353" spans="1:31" ht="13.2">
      <c r="A353" s="7"/>
      <c r="B353" s="7"/>
      <c r="C353" s="7"/>
      <c r="D353" s="29"/>
      <c r="E353" s="7"/>
      <c r="F353" s="7"/>
      <c r="G353" s="7"/>
      <c r="H353" s="16"/>
      <c r="I353" s="16"/>
      <c r="J353" s="16"/>
      <c r="K353" s="16"/>
      <c r="L353" s="16"/>
      <c r="M353" s="16"/>
      <c r="N353" s="16"/>
      <c r="O353" s="16"/>
      <c r="P353" s="16"/>
      <c r="Q353" s="4"/>
      <c r="R353" s="4"/>
      <c r="S353" s="4"/>
      <c r="T353" s="4"/>
      <c r="U353" s="4"/>
      <c r="V353" s="4"/>
      <c r="W353" s="4"/>
      <c r="X353" s="4"/>
      <c r="Y353" s="4"/>
      <c r="Z353" s="4"/>
      <c r="AA353" s="4"/>
      <c r="AB353" s="4"/>
      <c r="AC353" s="4"/>
      <c r="AD353" s="4"/>
      <c r="AE353" s="4"/>
    </row>
    <row r="354" spans="1:31" ht="13.2">
      <c r="A354" s="7"/>
      <c r="B354" s="7"/>
      <c r="C354" s="7"/>
      <c r="D354" s="29"/>
      <c r="E354" s="7"/>
      <c r="F354" s="7"/>
      <c r="G354" s="7"/>
      <c r="H354" s="16"/>
      <c r="I354" s="16"/>
      <c r="J354" s="16"/>
      <c r="K354" s="16"/>
      <c r="L354" s="16"/>
      <c r="M354" s="16"/>
      <c r="N354" s="16"/>
      <c r="O354" s="16"/>
      <c r="P354" s="16"/>
      <c r="Q354" s="4"/>
      <c r="R354" s="4"/>
      <c r="S354" s="4"/>
      <c r="T354" s="4"/>
      <c r="U354" s="4"/>
      <c r="V354" s="4"/>
      <c r="W354" s="4"/>
      <c r="X354" s="4"/>
      <c r="Y354" s="4"/>
      <c r="Z354" s="4"/>
      <c r="AA354" s="4"/>
      <c r="AB354" s="4"/>
      <c r="AC354" s="4"/>
      <c r="AD354" s="4"/>
      <c r="AE354" s="4"/>
    </row>
    <row r="355" spans="1:31" ht="13.2">
      <c r="A355" s="7"/>
      <c r="B355" s="7"/>
      <c r="C355" s="7"/>
      <c r="D355" s="29"/>
      <c r="E355" s="7"/>
      <c r="F355" s="7"/>
      <c r="G355" s="7"/>
      <c r="H355" s="16"/>
      <c r="I355" s="16"/>
      <c r="J355" s="16"/>
      <c r="K355" s="16"/>
      <c r="L355" s="16"/>
      <c r="M355" s="16"/>
      <c r="N355" s="16"/>
      <c r="O355" s="16"/>
      <c r="P355" s="16"/>
      <c r="Q355" s="4"/>
      <c r="R355" s="4"/>
      <c r="S355" s="4"/>
      <c r="T355" s="4"/>
      <c r="U355" s="4"/>
      <c r="V355" s="4"/>
      <c r="W355" s="4"/>
      <c r="X355" s="4"/>
      <c r="Y355" s="4"/>
      <c r="Z355" s="4"/>
      <c r="AA355" s="4"/>
      <c r="AB355" s="4"/>
      <c r="AC355" s="4"/>
      <c r="AD355" s="4"/>
      <c r="AE355" s="4"/>
    </row>
    <row r="356" spans="1:31" ht="13.2">
      <c r="A356" s="7"/>
      <c r="B356" s="7"/>
      <c r="C356" s="7"/>
      <c r="D356" s="29"/>
      <c r="E356" s="7"/>
      <c r="F356" s="7"/>
      <c r="G356" s="7"/>
      <c r="H356" s="16"/>
      <c r="I356" s="16"/>
      <c r="J356" s="16"/>
      <c r="K356" s="16"/>
      <c r="L356" s="16"/>
      <c r="M356" s="16"/>
      <c r="N356" s="16"/>
      <c r="O356" s="16"/>
      <c r="P356" s="16"/>
      <c r="Q356" s="4"/>
      <c r="R356" s="4"/>
      <c r="S356" s="4"/>
      <c r="T356" s="4"/>
      <c r="U356" s="4"/>
      <c r="V356" s="4"/>
      <c r="W356" s="4"/>
      <c r="X356" s="4"/>
      <c r="Y356" s="4"/>
      <c r="Z356" s="4"/>
      <c r="AA356" s="4"/>
      <c r="AB356" s="4"/>
      <c r="AC356" s="4"/>
      <c r="AD356" s="4"/>
      <c r="AE356" s="4"/>
    </row>
    <row r="357" spans="1:31" ht="13.2">
      <c r="A357" s="7"/>
      <c r="B357" s="7"/>
      <c r="C357" s="7"/>
      <c r="D357" s="29"/>
      <c r="E357" s="7"/>
      <c r="F357" s="7"/>
      <c r="G357" s="7"/>
      <c r="H357" s="16"/>
      <c r="I357" s="16"/>
      <c r="J357" s="16"/>
      <c r="K357" s="16"/>
      <c r="L357" s="16"/>
      <c r="M357" s="16"/>
      <c r="N357" s="16"/>
      <c r="O357" s="16"/>
      <c r="P357" s="16"/>
      <c r="Q357" s="4"/>
      <c r="R357" s="4"/>
      <c r="S357" s="4"/>
      <c r="T357" s="4"/>
      <c r="U357" s="4"/>
      <c r="V357" s="4"/>
      <c r="W357" s="4"/>
      <c r="X357" s="4"/>
      <c r="Y357" s="4"/>
      <c r="Z357" s="4"/>
      <c r="AA357" s="4"/>
      <c r="AB357" s="4"/>
      <c r="AC357" s="4"/>
      <c r="AD357" s="4"/>
      <c r="AE357" s="4"/>
    </row>
    <row r="358" spans="1:31" ht="13.2">
      <c r="A358" s="7"/>
      <c r="B358" s="7"/>
      <c r="C358" s="7"/>
      <c r="D358" s="29"/>
      <c r="E358" s="7"/>
      <c r="F358" s="7"/>
      <c r="G358" s="7"/>
      <c r="H358" s="16"/>
      <c r="I358" s="16"/>
      <c r="J358" s="16"/>
      <c r="K358" s="16"/>
      <c r="L358" s="16"/>
      <c r="M358" s="16"/>
      <c r="N358" s="16"/>
      <c r="O358" s="16"/>
      <c r="P358" s="16"/>
      <c r="Q358" s="4"/>
      <c r="R358" s="4"/>
      <c r="S358" s="4"/>
      <c r="T358" s="4"/>
      <c r="U358" s="4"/>
      <c r="V358" s="4"/>
      <c r="W358" s="4"/>
      <c r="X358" s="4"/>
      <c r="Y358" s="4"/>
      <c r="Z358" s="4"/>
      <c r="AA358" s="4"/>
      <c r="AB358" s="4"/>
      <c r="AC358" s="4"/>
      <c r="AD358" s="4"/>
      <c r="AE358" s="4"/>
    </row>
    <row r="359" spans="1:31" ht="13.2">
      <c r="A359" s="7"/>
      <c r="B359" s="7"/>
      <c r="C359" s="7"/>
      <c r="D359" s="29"/>
      <c r="E359" s="7"/>
      <c r="F359" s="7"/>
      <c r="G359" s="7"/>
      <c r="H359" s="16"/>
      <c r="I359" s="16"/>
      <c r="J359" s="16"/>
      <c r="K359" s="16"/>
      <c r="L359" s="16"/>
      <c r="M359" s="16"/>
      <c r="N359" s="16"/>
      <c r="O359" s="16"/>
      <c r="P359" s="16"/>
      <c r="Q359" s="4"/>
      <c r="R359" s="4"/>
      <c r="S359" s="4"/>
      <c r="T359" s="4"/>
      <c r="U359" s="4"/>
      <c r="V359" s="4"/>
      <c r="W359" s="4"/>
      <c r="X359" s="4"/>
      <c r="Y359" s="4"/>
      <c r="Z359" s="4"/>
      <c r="AA359" s="4"/>
      <c r="AB359" s="4"/>
      <c r="AC359" s="4"/>
      <c r="AD359" s="4"/>
      <c r="AE359" s="4"/>
    </row>
    <row r="360" spans="1:31" ht="13.2">
      <c r="A360" s="7"/>
      <c r="B360" s="7"/>
      <c r="C360" s="7"/>
      <c r="D360" s="29"/>
      <c r="E360" s="7"/>
      <c r="F360" s="7"/>
      <c r="G360" s="7"/>
      <c r="H360" s="16"/>
      <c r="I360" s="16"/>
      <c r="J360" s="16"/>
      <c r="K360" s="16"/>
      <c r="L360" s="16"/>
      <c r="M360" s="16"/>
      <c r="N360" s="16"/>
      <c r="O360" s="16"/>
      <c r="P360" s="16"/>
      <c r="Q360" s="4"/>
      <c r="R360" s="4"/>
      <c r="S360" s="4"/>
      <c r="T360" s="4"/>
      <c r="U360" s="4"/>
      <c r="V360" s="4"/>
      <c r="W360" s="4"/>
      <c r="X360" s="4"/>
      <c r="Y360" s="4"/>
      <c r="Z360" s="4"/>
      <c r="AA360" s="4"/>
      <c r="AB360" s="4"/>
      <c r="AC360" s="4"/>
      <c r="AD360" s="4"/>
      <c r="AE360" s="4"/>
    </row>
    <row r="361" spans="1:31" ht="13.2">
      <c r="A361" s="7"/>
      <c r="B361" s="7"/>
      <c r="C361" s="7"/>
      <c r="D361" s="29"/>
      <c r="E361" s="7"/>
      <c r="F361" s="7"/>
      <c r="G361" s="7"/>
      <c r="H361" s="16"/>
      <c r="I361" s="16"/>
      <c r="J361" s="16"/>
      <c r="K361" s="16"/>
      <c r="L361" s="16"/>
      <c r="M361" s="16"/>
      <c r="N361" s="16"/>
      <c r="O361" s="16"/>
      <c r="P361" s="16"/>
      <c r="Q361" s="4"/>
      <c r="R361" s="4"/>
      <c r="S361" s="4"/>
      <c r="T361" s="4"/>
      <c r="U361" s="4"/>
      <c r="V361" s="4"/>
      <c r="W361" s="4"/>
      <c r="X361" s="4"/>
      <c r="Y361" s="4"/>
      <c r="Z361" s="4"/>
      <c r="AA361" s="4"/>
      <c r="AB361" s="4"/>
      <c r="AC361" s="4"/>
      <c r="AD361" s="4"/>
      <c r="AE361" s="4"/>
    </row>
    <row r="362" spans="1:31" ht="13.2">
      <c r="A362" s="7"/>
      <c r="B362" s="7"/>
      <c r="C362" s="7"/>
      <c r="D362" s="29"/>
      <c r="E362" s="7"/>
      <c r="F362" s="7"/>
      <c r="G362" s="7"/>
      <c r="H362" s="16"/>
      <c r="I362" s="16"/>
      <c r="J362" s="16"/>
      <c r="K362" s="16"/>
      <c r="L362" s="16"/>
      <c r="M362" s="16"/>
      <c r="N362" s="16"/>
      <c r="O362" s="16"/>
      <c r="P362" s="16"/>
      <c r="Q362" s="4"/>
      <c r="R362" s="4"/>
      <c r="S362" s="4"/>
      <c r="T362" s="4"/>
      <c r="U362" s="4"/>
      <c r="V362" s="4"/>
      <c r="W362" s="4"/>
      <c r="X362" s="4"/>
      <c r="Y362" s="4"/>
      <c r="Z362" s="4"/>
      <c r="AA362" s="4"/>
      <c r="AB362" s="4"/>
      <c r="AC362" s="4"/>
      <c r="AD362" s="4"/>
      <c r="AE362" s="4"/>
    </row>
    <row r="363" spans="1:31" ht="13.2">
      <c r="A363" s="7"/>
      <c r="B363" s="7"/>
      <c r="C363" s="7"/>
      <c r="D363" s="29"/>
      <c r="E363" s="7"/>
      <c r="F363" s="7"/>
      <c r="G363" s="7"/>
      <c r="H363" s="16"/>
      <c r="I363" s="16"/>
      <c r="J363" s="16"/>
      <c r="K363" s="16"/>
      <c r="L363" s="16"/>
      <c r="M363" s="16"/>
      <c r="N363" s="16"/>
      <c r="O363" s="16"/>
      <c r="P363" s="16"/>
      <c r="Q363" s="4"/>
      <c r="R363" s="4"/>
      <c r="S363" s="4"/>
      <c r="T363" s="4"/>
      <c r="U363" s="4"/>
      <c r="V363" s="4"/>
      <c r="W363" s="4"/>
      <c r="X363" s="4"/>
      <c r="Y363" s="4"/>
      <c r="Z363" s="4"/>
      <c r="AA363" s="4"/>
      <c r="AB363" s="4"/>
      <c r="AC363" s="4"/>
      <c r="AD363" s="4"/>
      <c r="AE363" s="4"/>
    </row>
    <row r="364" spans="1:31" ht="13.2">
      <c r="A364" s="7"/>
      <c r="B364" s="7"/>
      <c r="C364" s="7"/>
      <c r="D364" s="29"/>
      <c r="E364" s="7"/>
      <c r="F364" s="7"/>
      <c r="G364" s="7"/>
      <c r="H364" s="16"/>
      <c r="I364" s="16"/>
      <c r="J364" s="16"/>
      <c r="K364" s="16"/>
      <c r="L364" s="16"/>
      <c r="M364" s="16"/>
      <c r="N364" s="16"/>
      <c r="O364" s="16"/>
      <c r="P364" s="16"/>
      <c r="Q364" s="4"/>
      <c r="R364" s="4"/>
      <c r="S364" s="4"/>
      <c r="T364" s="4"/>
      <c r="U364" s="4"/>
      <c r="V364" s="4"/>
      <c r="W364" s="4"/>
      <c r="X364" s="4"/>
      <c r="Y364" s="4"/>
      <c r="Z364" s="4"/>
      <c r="AA364" s="4"/>
      <c r="AB364" s="4"/>
      <c r="AC364" s="4"/>
      <c r="AD364" s="4"/>
      <c r="AE364" s="4"/>
    </row>
    <row r="365" spans="1:31" ht="13.2">
      <c r="A365" s="7"/>
      <c r="B365" s="7"/>
      <c r="C365" s="7"/>
      <c r="D365" s="29"/>
      <c r="E365" s="7"/>
      <c r="F365" s="7"/>
      <c r="G365" s="7"/>
      <c r="H365" s="16"/>
      <c r="I365" s="16"/>
      <c r="J365" s="16"/>
      <c r="K365" s="16"/>
      <c r="L365" s="16"/>
      <c r="M365" s="16"/>
      <c r="N365" s="16"/>
      <c r="O365" s="16"/>
      <c r="P365" s="16"/>
      <c r="Q365" s="4"/>
      <c r="R365" s="4"/>
      <c r="S365" s="4"/>
      <c r="T365" s="4"/>
      <c r="U365" s="4"/>
      <c r="V365" s="4"/>
      <c r="W365" s="4"/>
      <c r="X365" s="4"/>
      <c r="Y365" s="4"/>
      <c r="Z365" s="4"/>
      <c r="AA365" s="4"/>
      <c r="AB365" s="4"/>
      <c r="AC365" s="4"/>
      <c r="AD365" s="4"/>
      <c r="AE365" s="4"/>
    </row>
    <row r="366" spans="1:31" ht="13.2">
      <c r="A366" s="7"/>
      <c r="B366" s="7"/>
      <c r="C366" s="7"/>
      <c r="D366" s="29"/>
      <c r="E366" s="7"/>
      <c r="F366" s="7"/>
      <c r="G366" s="7"/>
      <c r="H366" s="16"/>
      <c r="I366" s="16"/>
      <c r="J366" s="16"/>
      <c r="K366" s="16"/>
      <c r="L366" s="16"/>
      <c r="M366" s="16"/>
      <c r="N366" s="16"/>
      <c r="O366" s="16"/>
      <c r="P366" s="16"/>
      <c r="Q366" s="4"/>
      <c r="R366" s="4"/>
      <c r="S366" s="4"/>
      <c r="T366" s="4"/>
      <c r="U366" s="4"/>
      <c r="V366" s="4"/>
      <c r="W366" s="4"/>
      <c r="X366" s="4"/>
      <c r="Y366" s="4"/>
      <c r="Z366" s="4"/>
      <c r="AA366" s="4"/>
      <c r="AB366" s="4"/>
      <c r="AC366" s="4"/>
      <c r="AD366" s="4"/>
      <c r="AE366" s="4"/>
    </row>
    <row r="367" spans="1:31" ht="13.2">
      <c r="A367" s="7"/>
      <c r="B367" s="7"/>
      <c r="C367" s="7"/>
      <c r="D367" s="29"/>
      <c r="E367" s="7"/>
      <c r="F367" s="7"/>
      <c r="G367" s="7"/>
      <c r="H367" s="16"/>
      <c r="I367" s="16"/>
      <c r="J367" s="16"/>
      <c r="K367" s="16"/>
      <c r="L367" s="16"/>
      <c r="M367" s="16"/>
      <c r="N367" s="16"/>
      <c r="O367" s="16"/>
      <c r="P367" s="16"/>
      <c r="Q367" s="4"/>
      <c r="R367" s="4"/>
      <c r="S367" s="4"/>
      <c r="T367" s="4"/>
      <c r="U367" s="4"/>
      <c r="V367" s="4"/>
      <c r="W367" s="4"/>
      <c r="X367" s="4"/>
      <c r="Y367" s="4"/>
      <c r="Z367" s="4"/>
      <c r="AA367" s="4"/>
      <c r="AB367" s="4"/>
      <c r="AC367" s="4"/>
      <c r="AD367" s="4"/>
      <c r="AE367" s="4"/>
    </row>
    <row r="368" spans="1:31" ht="13.2">
      <c r="A368" s="7"/>
      <c r="B368" s="7"/>
      <c r="C368" s="7"/>
      <c r="D368" s="29"/>
      <c r="E368" s="7"/>
      <c r="F368" s="7"/>
      <c r="G368" s="7"/>
      <c r="H368" s="16"/>
      <c r="I368" s="16"/>
      <c r="J368" s="16"/>
      <c r="K368" s="16"/>
      <c r="L368" s="16"/>
      <c r="M368" s="16"/>
      <c r="N368" s="16"/>
      <c r="O368" s="16"/>
      <c r="P368" s="16"/>
      <c r="Q368" s="4"/>
      <c r="R368" s="4"/>
      <c r="S368" s="4"/>
      <c r="T368" s="4"/>
      <c r="U368" s="4"/>
      <c r="V368" s="4"/>
      <c r="W368" s="4"/>
      <c r="X368" s="4"/>
      <c r="Y368" s="4"/>
      <c r="Z368" s="4"/>
      <c r="AA368" s="4"/>
      <c r="AB368" s="4"/>
      <c r="AC368" s="4"/>
      <c r="AD368" s="4"/>
      <c r="AE368" s="4"/>
    </row>
    <row r="369" spans="1:31" ht="13.2">
      <c r="A369" s="7"/>
      <c r="B369" s="7"/>
      <c r="C369" s="7"/>
      <c r="D369" s="29"/>
      <c r="E369" s="7"/>
      <c r="F369" s="7"/>
      <c r="G369" s="7"/>
      <c r="H369" s="16"/>
      <c r="I369" s="16"/>
      <c r="J369" s="16"/>
      <c r="K369" s="16"/>
      <c r="L369" s="16"/>
      <c r="M369" s="16"/>
      <c r="N369" s="16"/>
      <c r="O369" s="16"/>
      <c r="P369" s="16"/>
      <c r="Q369" s="4"/>
      <c r="R369" s="4"/>
      <c r="S369" s="4"/>
      <c r="T369" s="4"/>
      <c r="U369" s="4"/>
      <c r="V369" s="4"/>
      <c r="W369" s="4"/>
      <c r="X369" s="4"/>
      <c r="Y369" s="4"/>
      <c r="Z369" s="4"/>
      <c r="AA369" s="4"/>
      <c r="AB369" s="4"/>
      <c r="AC369" s="4"/>
      <c r="AD369" s="4"/>
      <c r="AE369" s="4"/>
    </row>
    <row r="370" spans="1:31" ht="13.2">
      <c r="A370" s="7"/>
      <c r="B370" s="7"/>
      <c r="C370" s="7"/>
      <c r="D370" s="29"/>
      <c r="E370" s="7"/>
      <c r="F370" s="7"/>
      <c r="G370" s="7"/>
      <c r="H370" s="16"/>
      <c r="I370" s="16"/>
      <c r="J370" s="16"/>
      <c r="K370" s="16"/>
      <c r="L370" s="16"/>
      <c r="M370" s="16"/>
      <c r="N370" s="16"/>
      <c r="O370" s="16"/>
      <c r="P370" s="16"/>
      <c r="Q370" s="4"/>
      <c r="R370" s="4"/>
      <c r="S370" s="4"/>
      <c r="T370" s="4"/>
      <c r="U370" s="4"/>
      <c r="V370" s="4"/>
      <c r="W370" s="4"/>
      <c r="X370" s="4"/>
      <c r="Y370" s="4"/>
      <c r="Z370" s="4"/>
      <c r="AA370" s="4"/>
      <c r="AB370" s="4"/>
      <c r="AC370" s="4"/>
      <c r="AD370" s="4"/>
      <c r="AE370" s="4"/>
    </row>
    <row r="371" spans="1:31" ht="13.2">
      <c r="A371" s="7"/>
      <c r="B371" s="7"/>
      <c r="C371" s="7"/>
      <c r="D371" s="29"/>
      <c r="E371" s="7"/>
      <c r="F371" s="7"/>
      <c r="G371" s="7"/>
      <c r="H371" s="16"/>
      <c r="I371" s="16"/>
      <c r="J371" s="16"/>
      <c r="K371" s="16"/>
      <c r="L371" s="16"/>
      <c r="M371" s="16"/>
      <c r="N371" s="16"/>
      <c r="O371" s="16"/>
      <c r="P371" s="16"/>
      <c r="Q371" s="4"/>
      <c r="R371" s="4"/>
      <c r="S371" s="4"/>
      <c r="T371" s="4"/>
      <c r="U371" s="4"/>
      <c r="V371" s="4"/>
      <c r="W371" s="4"/>
      <c r="X371" s="4"/>
      <c r="Y371" s="4"/>
      <c r="Z371" s="4"/>
      <c r="AA371" s="4"/>
      <c r="AB371" s="4"/>
      <c r="AC371" s="4"/>
      <c r="AD371" s="4"/>
      <c r="AE371" s="4"/>
    </row>
    <row r="372" spans="1:31" ht="13.2">
      <c r="A372" s="7"/>
      <c r="B372" s="7"/>
      <c r="C372" s="7"/>
      <c r="D372" s="29"/>
      <c r="E372" s="7"/>
      <c r="F372" s="7"/>
      <c r="G372" s="7"/>
      <c r="H372" s="16"/>
      <c r="I372" s="16"/>
      <c r="J372" s="16"/>
      <c r="K372" s="16"/>
      <c r="L372" s="16"/>
      <c r="M372" s="16"/>
      <c r="N372" s="16"/>
      <c r="O372" s="16"/>
      <c r="P372" s="16"/>
      <c r="Q372" s="4"/>
      <c r="R372" s="4"/>
      <c r="S372" s="4"/>
      <c r="T372" s="4"/>
      <c r="U372" s="4"/>
      <c r="V372" s="4"/>
      <c r="W372" s="4"/>
      <c r="X372" s="4"/>
      <c r="Y372" s="4"/>
      <c r="Z372" s="4"/>
      <c r="AA372" s="4"/>
      <c r="AB372" s="4"/>
      <c r="AC372" s="4"/>
      <c r="AD372" s="4"/>
      <c r="AE372" s="4"/>
    </row>
    <row r="373" spans="1:31" ht="13.2">
      <c r="A373" s="7"/>
      <c r="B373" s="7"/>
      <c r="C373" s="7"/>
      <c r="D373" s="29"/>
      <c r="E373" s="7"/>
      <c r="F373" s="7"/>
      <c r="G373" s="7"/>
      <c r="H373" s="16"/>
      <c r="I373" s="16"/>
      <c r="J373" s="16"/>
      <c r="K373" s="16"/>
      <c r="L373" s="16"/>
      <c r="M373" s="16"/>
      <c r="N373" s="16"/>
      <c r="O373" s="16"/>
      <c r="P373" s="16"/>
      <c r="Q373" s="4"/>
      <c r="R373" s="4"/>
      <c r="S373" s="4"/>
      <c r="T373" s="4"/>
      <c r="U373" s="4"/>
      <c r="V373" s="4"/>
      <c r="W373" s="4"/>
      <c r="X373" s="4"/>
      <c r="Y373" s="4"/>
      <c r="Z373" s="4"/>
      <c r="AA373" s="4"/>
      <c r="AB373" s="4"/>
      <c r="AC373" s="4"/>
      <c r="AD373" s="4"/>
      <c r="AE373" s="4"/>
    </row>
    <row r="374" spans="1:31" ht="13.2">
      <c r="A374" s="7"/>
      <c r="B374" s="7"/>
      <c r="C374" s="7"/>
      <c r="D374" s="29"/>
      <c r="E374" s="7"/>
      <c r="F374" s="7"/>
      <c r="G374" s="7"/>
      <c r="H374" s="16"/>
      <c r="I374" s="16"/>
      <c r="J374" s="16"/>
      <c r="K374" s="16"/>
      <c r="L374" s="16"/>
      <c r="M374" s="16"/>
      <c r="N374" s="16"/>
      <c r="O374" s="16"/>
      <c r="P374" s="16"/>
      <c r="Q374" s="4"/>
      <c r="R374" s="4"/>
      <c r="S374" s="4"/>
      <c r="T374" s="4"/>
      <c r="U374" s="4"/>
      <c r="V374" s="4"/>
      <c r="W374" s="4"/>
      <c r="X374" s="4"/>
      <c r="Y374" s="4"/>
      <c r="Z374" s="4"/>
      <c r="AA374" s="4"/>
      <c r="AB374" s="4"/>
      <c r="AC374" s="4"/>
      <c r="AD374" s="4"/>
      <c r="AE374" s="4"/>
    </row>
    <row r="375" spans="1:31" ht="13.2">
      <c r="A375" s="7"/>
      <c r="B375" s="7"/>
      <c r="C375" s="7"/>
      <c r="D375" s="29"/>
      <c r="E375" s="7"/>
      <c r="F375" s="7"/>
      <c r="G375" s="7"/>
      <c r="H375" s="16"/>
      <c r="I375" s="16"/>
      <c r="J375" s="16"/>
      <c r="K375" s="16"/>
      <c r="L375" s="16"/>
      <c r="M375" s="16"/>
      <c r="N375" s="16"/>
      <c r="O375" s="16"/>
      <c r="P375" s="16"/>
      <c r="Q375" s="4"/>
      <c r="R375" s="4"/>
      <c r="S375" s="4"/>
      <c r="T375" s="4"/>
      <c r="U375" s="4"/>
      <c r="V375" s="4"/>
      <c r="W375" s="4"/>
      <c r="X375" s="4"/>
      <c r="Y375" s="4"/>
      <c r="Z375" s="4"/>
      <c r="AA375" s="4"/>
      <c r="AB375" s="4"/>
      <c r="AC375" s="4"/>
      <c r="AD375" s="4"/>
      <c r="AE375" s="4"/>
    </row>
    <row r="376" spans="1:31" ht="13.2">
      <c r="A376" s="7"/>
      <c r="B376" s="7"/>
      <c r="C376" s="7"/>
      <c r="D376" s="29"/>
      <c r="E376" s="7"/>
      <c r="F376" s="7"/>
      <c r="G376" s="7"/>
      <c r="H376" s="16"/>
      <c r="I376" s="16"/>
      <c r="J376" s="16"/>
      <c r="K376" s="16"/>
      <c r="L376" s="16"/>
      <c r="M376" s="16"/>
      <c r="N376" s="16"/>
      <c r="O376" s="16"/>
      <c r="P376" s="16"/>
      <c r="Q376" s="4"/>
      <c r="R376" s="4"/>
      <c r="S376" s="4"/>
      <c r="T376" s="4"/>
      <c r="U376" s="4"/>
      <c r="V376" s="4"/>
      <c r="W376" s="4"/>
      <c r="X376" s="4"/>
      <c r="Y376" s="4"/>
      <c r="Z376" s="4"/>
      <c r="AA376" s="4"/>
      <c r="AB376" s="4"/>
      <c r="AC376" s="4"/>
      <c r="AD376" s="4"/>
      <c r="AE376" s="4"/>
    </row>
    <row r="377" spans="1:31" ht="13.2">
      <c r="A377" s="7"/>
      <c r="B377" s="7"/>
      <c r="C377" s="7"/>
      <c r="D377" s="29"/>
      <c r="E377" s="7"/>
      <c r="F377" s="7"/>
      <c r="G377" s="7"/>
      <c r="H377" s="16"/>
      <c r="I377" s="16"/>
      <c r="J377" s="16"/>
      <c r="K377" s="16"/>
      <c r="L377" s="16"/>
      <c r="M377" s="16"/>
      <c r="N377" s="16"/>
      <c r="O377" s="16"/>
      <c r="P377" s="16"/>
      <c r="Q377" s="4"/>
      <c r="R377" s="4"/>
      <c r="S377" s="4"/>
      <c r="T377" s="4"/>
      <c r="U377" s="4"/>
      <c r="V377" s="4"/>
      <c r="W377" s="4"/>
      <c r="X377" s="4"/>
      <c r="Y377" s="4"/>
      <c r="Z377" s="4"/>
      <c r="AA377" s="4"/>
      <c r="AB377" s="4"/>
      <c r="AC377" s="4"/>
      <c r="AD377" s="4"/>
      <c r="AE377" s="4"/>
    </row>
    <row r="378" spans="1:31" ht="13.2">
      <c r="A378" s="7"/>
      <c r="B378" s="7"/>
      <c r="C378" s="7"/>
      <c r="D378" s="29"/>
      <c r="E378" s="7"/>
      <c r="F378" s="7"/>
      <c r="G378" s="7"/>
      <c r="H378" s="16"/>
      <c r="I378" s="16"/>
      <c r="J378" s="16"/>
      <c r="K378" s="16"/>
      <c r="L378" s="16"/>
      <c r="M378" s="16"/>
      <c r="N378" s="16"/>
      <c r="O378" s="16"/>
      <c r="P378" s="16"/>
      <c r="Q378" s="4"/>
      <c r="R378" s="4"/>
      <c r="S378" s="4"/>
      <c r="T378" s="4"/>
      <c r="U378" s="4"/>
      <c r="V378" s="4"/>
      <c r="W378" s="4"/>
      <c r="X378" s="4"/>
      <c r="Y378" s="4"/>
      <c r="Z378" s="4"/>
      <c r="AA378" s="4"/>
      <c r="AB378" s="4"/>
      <c r="AC378" s="4"/>
      <c r="AD378" s="4"/>
      <c r="AE378" s="4"/>
    </row>
    <row r="379" spans="1:31" ht="13.2">
      <c r="A379" s="7"/>
      <c r="B379" s="7"/>
      <c r="C379" s="7"/>
      <c r="D379" s="29"/>
      <c r="E379" s="7"/>
      <c r="F379" s="7"/>
      <c r="G379" s="7"/>
      <c r="H379" s="16"/>
      <c r="I379" s="16"/>
      <c r="J379" s="16"/>
      <c r="K379" s="16"/>
      <c r="L379" s="16"/>
      <c r="M379" s="16"/>
      <c r="N379" s="16"/>
      <c r="O379" s="16"/>
      <c r="P379" s="16"/>
      <c r="Q379" s="4"/>
      <c r="R379" s="4"/>
      <c r="S379" s="4"/>
      <c r="T379" s="4"/>
      <c r="U379" s="4"/>
      <c r="V379" s="4"/>
      <c r="W379" s="4"/>
      <c r="X379" s="4"/>
      <c r="Y379" s="4"/>
      <c r="Z379" s="4"/>
      <c r="AA379" s="4"/>
      <c r="AB379" s="4"/>
      <c r="AC379" s="4"/>
      <c r="AD379" s="4"/>
      <c r="AE379" s="4"/>
    </row>
    <row r="380" spans="1:31" ht="13.2">
      <c r="A380" s="7"/>
      <c r="B380" s="7"/>
      <c r="C380" s="7"/>
      <c r="D380" s="29"/>
      <c r="E380" s="7"/>
      <c r="F380" s="7"/>
      <c r="G380" s="7"/>
      <c r="H380" s="16"/>
      <c r="I380" s="16"/>
      <c r="J380" s="16"/>
      <c r="K380" s="16"/>
      <c r="L380" s="16"/>
      <c r="M380" s="16"/>
      <c r="N380" s="16"/>
      <c r="O380" s="16"/>
      <c r="P380" s="16"/>
      <c r="Q380" s="4"/>
      <c r="R380" s="4"/>
      <c r="S380" s="4"/>
      <c r="T380" s="4"/>
      <c r="U380" s="4"/>
      <c r="V380" s="4"/>
      <c r="W380" s="4"/>
      <c r="X380" s="4"/>
      <c r="Y380" s="4"/>
      <c r="Z380" s="4"/>
      <c r="AA380" s="4"/>
      <c r="AB380" s="4"/>
      <c r="AC380" s="4"/>
      <c r="AD380" s="4"/>
      <c r="AE380" s="4"/>
    </row>
    <row r="381" spans="1:31" ht="13.2">
      <c r="A381" s="7"/>
      <c r="B381" s="7"/>
      <c r="C381" s="7"/>
      <c r="D381" s="29"/>
      <c r="E381" s="7"/>
      <c r="F381" s="7"/>
      <c r="G381" s="7"/>
      <c r="H381" s="16"/>
      <c r="I381" s="16"/>
      <c r="J381" s="16"/>
      <c r="K381" s="16"/>
      <c r="L381" s="16"/>
      <c r="M381" s="16"/>
      <c r="N381" s="16"/>
      <c r="O381" s="16"/>
      <c r="P381" s="16"/>
      <c r="Q381" s="4"/>
      <c r="R381" s="4"/>
      <c r="S381" s="4"/>
      <c r="T381" s="4"/>
      <c r="U381" s="4"/>
      <c r="V381" s="4"/>
      <c r="W381" s="4"/>
      <c r="X381" s="4"/>
      <c r="Y381" s="4"/>
      <c r="Z381" s="4"/>
      <c r="AA381" s="4"/>
      <c r="AB381" s="4"/>
      <c r="AC381" s="4"/>
      <c r="AD381" s="4"/>
      <c r="AE381" s="4"/>
    </row>
    <row r="382" spans="1:31" ht="13.2">
      <c r="A382" s="7"/>
      <c r="B382" s="7"/>
      <c r="C382" s="7"/>
      <c r="D382" s="29"/>
      <c r="E382" s="7"/>
      <c r="F382" s="7"/>
      <c r="G382" s="7"/>
      <c r="H382" s="16"/>
      <c r="I382" s="16"/>
      <c r="J382" s="16"/>
      <c r="K382" s="16"/>
      <c r="L382" s="16"/>
      <c r="M382" s="16"/>
      <c r="N382" s="16"/>
      <c r="O382" s="16"/>
      <c r="P382" s="16"/>
      <c r="Q382" s="4"/>
      <c r="R382" s="4"/>
      <c r="S382" s="4"/>
      <c r="T382" s="4"/>
      <c r="U382" s="4"/>
      <c r="V382" s="4"/>
      <c r="W382" s="4"/>
      <c r="X382" s="4"/>
      <c r="Y382" s="4"/>
      <c r="Z382" s="4"/>
      <c r="AA382" s="4"/>
      <c r="AB382" s="4"/>
      <c r="AC382" s="4"/>
      <c r="AD382" s="4"/>
      <c r="AE382" s="4"/>
    </row>
    <row r="383" spans="1:31" ht="13.2">
      <c r="A383" s="7"/>
      <c r="B383" s="7"/>
      <c r="C383" s="7"/>
      <c r="D383" s="29"/>
      <c r="E383" s="7"/>
      <c r="F383" s="7"/>
      <c r="G383" s="7"/>
      <c r="H383" s="16"/>
      <c r="I383" s="16"/>
      <c r="J383" s="16"/>
      <c r="K383" s="16"/>
      <c r="L383" s="16"/>
      <c r="M383" s="16"/>
      <c r="N383" s="16"/>
      <c r="O383" s="16"/>
      <c r="P383" s="16"/>
      <c r="Q383" s="4"/>
      <c r="R383" s="4"/>
      <c r="S383" s="4"/>
      <c r="T383" s="4"/>
      <c r="U383" s="4"/>
      <c r="V383" s="4"/>
      <c r="W383" s="4"/>
      <c r="X383" s="4"/>
      <c r="Y383" s="4"/>
      <c r="Z383" s="4"/>
      <c r="AA383" s="4"/>
      <c r="AB383" s="4"/>
      <c r="AC383" s="4"/>
      <c r="AD383" s="4"/>
      <c r="AE383" s="4"/>
    </row>
    <row r="384" spans="1:31" ht="13.2">
      <c r="A384" s="7"/>
      <c r="B384" s="7"/>
      <c r="C384" s="7"/>
      <c r="D384" s="29"/>
      <c r="E384" s="7"/>
      <c r="F384" s="7"/>
      <c r="G384" s="7"/>
      <c r="H384" s="16"/>
      <c r="I384" s="16"/>
      <c r="J384" s="16"/>
      <c r="K384" s="16"/>
      <c r="L384" s="16"/>
      <c r="M384" s="16"/>
      <c r="N384" s="16"/>
      <c r="O384" s="16"/>
      <c r="P384" s="16"/>
      <c r="Q384" s="4"/>
      <c r="R384" s="4"/>
      <c r="S384" s="4"/>
      <c r="T384" s="4"/>
      <c r="U384" s="4"/>
      <c r="V384" s="4"/>
      <c r="W384" s="4"/>
      <c r="X384" s="4"/>
      <c r="Y384" s="4"/>
      <c r="Z384" s="4"/>
      <c r="AA384" s="4"/>
      <c r="AB384" s="4"/>
      <c r="AC384" s="4"/>
      <c r="AD384" s="4"/>
      <c r="AE384" s="4"/>
    </row>
    <row r="385" spans="1:31" ht="13.2">
      <c r="A385" s="7"/>
      <c r="B385" s="7"/>
      <c r="C385" s="7"/>
      <c r="D385" s="29"/>
      <c r="E385" s="7"/>
      <c r="F385" s="7"/>
      <c r="G385" s="7"/>
      <c r="H385" s="16"/>
      <c r="I385" s="16"/>
      <c r="J385" s="16"/>
      <c r="K385" s="16"/>
      <c r="L385" s="16"/>
      <c r="M385" s="16"/>
      <c r="N385" s="16"/>
      <c r="O385" s="16"/>
      <c r="P385" s="16"/>
      <c r="Q385" s="4"/>
      <c r="R385" s="4"/>
      <c r="S385" s="4"/>
      <c r="T385" s="4"/>
      <c r="U385" s="4"/>
      <c r="V385" s="4"/>
      <c r="W385" s="4"/>
      <c r="X385" s="4"/>
      <c r="Y385" s="4"/>
      <c r="Z385" s="4"/>
      <c r="AA385" s="4"/>
      <c r="AB385" s="4"/>
      <c r="AC385" s="4"/>
      <c r="AD385" s="4"/>
      <c r="AE385" s="4"/>
    </row>
    <row r="386" spans="1:31" ht="13.2">
      <c r="A386" s="7"/>
      <c r="B386" s="7"/>
      <c r="C386" s="7"/>
      <c r="D386" s="29"/>
      <c r="E386" s="7"/>
      <c r="F386" s="7"/>
      <c r="G386" s="7"/>
      <c r="H386" s="16"/>
      <c r="I386" s="16"/>
      <c r="J386" s="16"/>
      <c r="K386" s="16"/>
      <c r="L386" s="16"/>
      <c r="M386" s="16"/>
      <c r="N386" s="16"/>
      <c r="O386" s="16"/>
      <c r="P386" s="16"/>
      <c r="Q386" s="4"/>
      <c r="R386" s="4"/>
      <c r="S386" s="4"/>
      <c r="T386" s="4"/>
      <c r="U386" s="4"/>
      <c r="V386" s="4"/>
      <c r="W386" s="4"/>
      <c r="X386" s="4"/>
      <c r="Y386" s="4"/>
      <c r="Z386" s="4"/>
      <c r="AA386" s="4"/>
      <c r="AB386" s="4"/>
      <c r="AC386" s="4"/>
      <c r="AD386" s="4"/>
      <c r="AE386" s="4"/>
    </row>
    <row r="387" spans="1:31" ht="13.2">
      <c r="A387" s="7"/>
      <c r="B387" s="7"/>
      <c r="C387" s="7"/>
      <c r="D387" s="29"/>
      <c r="E387" s="7"/>
      <c r="F387" s="7"/>
      <c r="G387" s="7"/>
      <c r="H387" s="16"/>
      <c r="I387" s="16"/>
      <c r="J387" s="16"/>
      <c r="K387" s="16"/>
      <c r="L387" s="16"/>
      <c r="M387" s="16"/>
      <c r="N387" s="16"/>
      <c r="O387" s="16"/>
      <c r="P387" s="16"/>
      <c r="Q387" s="4"/>
      <c r="R387" s="4"/>
      <c r="S387" s="4"/>
      <c r="T387" s="4"/>
      <c r="U387" s="4"/>
      <c r="V387" s="4"/>
      <c r="W387" s="4"/>
      <c r="X387" s="4"/>
      <c r="Y387" s="4"/>
      <c r="Z387" s="4"/>
      <c r="AA387" s="4"/>
      <c r="AB387" s="4"/>
      <c r="AC387" s="4"/>
      <c r="AD387" s="4"/>
      <c r="AE387" s="4"/>
    </row>
    <row r="388" spans="1:31" ht="13.2">
      <c r="A388" s="7"/>
      <c r="B388" s="7"/>
      <c r="C388" s="7"/>
      <c r="D388" s="29"/>
      <c r="E388" s="7"/>
      <c r="F388" s="7"/>
      <c r="G388" s="7"/>
      <c r="H388" s="16"/>
      <c r="I388" s="16"/>
      <c r="J388" s="16"/>
      <c r="K388" s="16"/>
      <c r="L388" s="16"/>
      <c r="M388" s="16"/>
      <c r="N388" s="16"/>
      <c r="O388" s="16"/>
      <c r="P388" s="16"/>
      <c r="Q388" s="4"/>
      <c r="R388" s="4"/>
      <c r="S388" s="4"/>
      <c r="T388" s="4"/>
      <c r="U388" s="4"/>
      <c r="V388" s="4"/>
      <c r="W388" s="4"/>
      <c r="X388" s="4"/>
      <c r="Y388" s="4"/>
      <c r="Z388" s="4"/>
      <c r="AA388" s="4"/>
      <c r="AB388" s="4"/>
      <c r="AC388" s="4"/>
      <c r="AD388" s="4"/>
      <c r="AE388" s="4"/>
    </row>
    <row r="389" spans="1:31" ht="13.2">
      <c r="A389" s="7"/>
      <c r="B389" s="7"/>
      <c r="C389" s="7"/>
      <c r="D389" s="29"/>
      <c r="E389" s="7"/>
      <c r="F389" s="7"/>
      <c r="G389" s="7"/>
      <c r="H389" s="16"/>
      <c r="I389" s="16"/>
      <c r="J389" s="16"/>
      <c r="K389" s="16"/>
      <c r="L389" s="16"/>
      <c r="M389" s="16"/>
      <c r="N389" s="16"/>
      <c r="O389" s="16"/>
      <c r="P389" s="16"/>
      <c r="Q389" s="4"/>
      <c r="R389" s="4"/>
      <c r="S389" s="4"/>
      <c r="T389" s="4"/>
      <c r="U389" s="4"/>
      <c r="V389" s="4"/>
      <c r="W389" s="4"/>
      <c r="X389" s="4"/>
      <c r="Y389" s="4"/>
      <c r="Z389" s="4"/>
      <c r="AA389" s="4"/>
      <c r="AB389" s="4"/>
      <c r="AC389" s="4"/>
      <c r="AD389" s="4"/>
      <c r="AE389" s="4"/>
    </row>
    <row r="390" spans="1:31" ht="13.2">
      <c r="A390" s="7"/>
      <c r="B390" s="7"/>
      <c r="C390" s="7"/>
      <c r="D390" s="29"/>
      <c r="E390" s="7"/>
      <c r="F390" s="7"/>
      <c r="G390" s="7"/>
      <c r="H390" s="16"/>
      <c r="I390" s="16"/>
      <c r="J390" s="16"/>
      <c r="K390" s="16"/>
      <c r="L390" s="16"/>
      <c r="M390" s="16"/>
      <c r="N390" s="16"/>
      <c r="O390" s="16"/>
      <c r="P390" s="16"/>
      <c r="Q390" s="4"/>
      <c r="R390" s="4"/>
      <c r="S390" s="4"/>
      <c r="T390" s="4"/>
      <c r="U390" s="4"/>
      <c r="V390" s="4"/>
      <c r="W390" s="4"/>
      <c r="X390" s="4"/>
      <c r="Y390" s="4"/>
      <c r="Z390" s="4"/>
      <c r="AA390" s="4"/>
      <c r="AB390" s="4"/>
      <c r="AC390" s="4"/>
      <c r="AD390" s="4"/>
      <c r="AE390" s="4"/>
    </row>
    <row r="391" spans="1:31" ht="13.2">
      <c r="A391" s="7"/>
      <c r="B391" s="7"/>
      <c r="C391" s="7"/>
      <c r="D391" s="29"/>
      <c r="E391" s="7"/>
      <c r="F391" s="7"/>
      <c r="G391" s="7"/>
      <c r="H391" s="16"/>
      <c r="I391" s="16"/>
      <c r="J391" s="16"/>
      <c r="K391" s="16"/>
      <c r="L391" s="16"/>
      <c r="M391" s="16"/>
      <c r="N391" s="16"/>
      <c r="O391" s="16"/>
      <c r="P391" s="16"/>
      <c r="Q391" s="4"/>
      <c r="R391" s="4"/>
      <c r="S391" s="4"/>
      <c r="T391" s="4"/>
      <c r="U391" s="4"/>
      <c r="V391" s="4"/>
      <c r="W391" s="4"/>
      <c r="X391" s="4"/>
      <c r="Y391" s="4"/>
      <c r="Z391" s="4"/>
      <c r="AA391" s="4"/>
      <c r="AB391" s="4"/>
      <c r="AC391" s="4"/>
      <c r="AD391" s="4"/>
      <c r="AE391" s="4"/>
    </row>
    <row r="392" spans="1:31" ht="13.2">
      <c r="A392" s="7"/>
      <c r="B392" s="7"/>
      <c r="C392" s="7"/>
      <c r="D392" s="29"/>
      <c r="E392" s="7"/>
      <c r="F392" s="7"/>
      <c r="G392" s="7"/>
      <c r="H392" s="16"/>
      <c r="I392" s="16"/>
      <c r="J392" s="16"/>
      <c r="K392" s="16"/>
      <c r="L392" s="16"/>
      <c r="M392" s="16"/>
      <c r="N392" s="16"/>
      <c r="O392" s="16"/>
      <c r="P392" s="16"/>
      <c r="Q392" s="4"/>
      <c r="R392" s="4"/>
      <c r="S392" s="4"/>
      <c r="T392" s="4"/>
      <c r="U392" s="4"/>
      <c r="V392" s="4"/>
      <c r="W392" s="4"/>
      <c r="X392" s="4"/>
      <c r="Y392" s="4"/>
      <c r="Z392" s="4"/>
      <c r="AA392" s="4"/>
      <c r="AB392" s="4"/>
      <c r="AC392" s="4"/>
      <c r="AD392" s="4"/>
      <c r="AE392" s="4"/>
    </row>
    <row r="393" spans="1:31" ht="13.2">
      <c r="A393" s="7"/>
      <c r="B393" s="7"/>
      <c r="C393" s="7"/>
      <c r="D393" s="29"/>
      <c r="E393" s="7"/>
      <c r="F393" s="7"/>
      <c r="G393" s="7"/>
      <c r="H393" s="16"/>
      <c r="I393" s="16"/>
      <c r="J393" s="16"/>
      <c r="K393" s="16"/>
      <c r="L393" s="16"/>
      <c r="M393" s="16"/>
      <c r="N393" s="16"/>
      <c r="O393" s="16"/>
      <c r="P393" s="16"/>
      <c r="Q393" s="4"/>
      <c r="R393" s="4"/>
      <c r="S393" s="4"/>
      <c r="T393" s="4"/>
      <c r="U393" s="4"/>
      <c r="V393" s="4"/>
      <c r="W393" s="4"/>
      <c r="X393" s="4"/>
      <c r="Y393" s="4"/>
      <c r="Z393" s="4"/>
      <c r="AA393" s="4"/>
      <c r="AB393" s="4"/>
      <c r="AC393" s="4"/>
      <c r="AD393" s="4"/>
      <c r="AE393" s="4"/>
    </row>
    <row r="394" spans="1:31" ht="13.2">
      <c r="A394" s="7"/>
      <c r="B394" s="7"/>
      <c r="C394" s="7"/>
      <c r="D394" s="29"/>
      <c r="E394" s="7"/>
      <c r="F394" s="7"/>
      <c r="G394" s="7"/>
      <c r="H394" s="16"/>
      <c r="I394" s="16"/>
      <c r="J394" s="16"/>
      <c r="K394" s="16"/>
      <c r="L394" s="16"/>
      <c r="M394" s="16"/>
      <c r="N394" s="16"/>
      <c r="O394" s="16"/>
      <c r="P394" s="16"/>
      <c r="Q394" s="4"/>
      <c r="R394" s="4"/>
      <c r="S394" s="4"/>
      <c r="T394" s="4"/>
      <c r="U394" s="4"/>
      <c r="V394" s="4"/>
      <c r="W394" s="4"/>
      <c r="X394" s="4"/>
      <c r="Y394" s="4"/>
      <c r="Z394" s="4"/>
      <c r="AA394" s="4"/>
      <c r="AB394" s="4"/>
      <c r="AC394" s="4"/>
      <c r="AD394" s="4"/>
      <c r="AE394" s="4"/>
    </row>
    <row r="395" spans="1:31" ht="13.2">
      <c r="A395" s="7"/>
      <c r="B395" s="7"/>
      <c r="C395" s="7"/>
      <c r="D395" s="29"/>
      <c r="E395" s="7"/>
      <c r="F395" s="7"/>
      <c r="G395" s="7"/>
      <c r="H395" s="16"/>
      <c r="I395" s="16"/>
      <c r="J395" s="16"/>
      <c r="K395" s="16"/>
      <c r="L395" s="16"/>
      <c r="M395" s="16"/>
      <c r="N395" s="16"/>
      <c r="O395" s="16"/>
      <c r="P395" s="16"/>
      <c r="Q395" s="4"/>
      <c r="R395" s="4"/>
      <c r="S395" s="4"/>
      <c r="T395" s="4"/>
      <c r="U395" s="4"/>
      <c r="V395" s="4"/>
      <c r="W395" s="4"/>
      <c r="X395" s="4"/>
      <c r="Y395" s="4"/>
      <c r="Z395" s="4"/>
      <c r="AA395" s="4"/>
      <c r="AB395" s="4"/>
      <c r="AC395" s="4"/>
      <c r="AD395" s="4"/>
      <c r="AE395" s="4"/>
    </row>
    <row r="396" spans="1:31" ht="13.2">
      <c r="A396" s="7"/>
      <c r="B396" s="7"/>
      <c r="C396" s="7"/>
      <c r="D396" s="29"/>
      <c r="E396" s="7"/>
      <c r="F396" s="7"/>
      <c r="G396" s="7"/>
      <c r="H396" s="16"/>
      <c r="I396" s="16"/>
      <c r="J396" s="16"/>
      <c r="K396" s="16"/>
      <c r="L396" s="16"/>
      <c r="M396" s="16"/>
      <c r="N396" s="16"/>
      <c r="O396" s="16"/>
      <c r="P396" s="16"/>
      <c r="Q396" s="4"/>
      <c r="R396" s="4"/>
      <c r="S396" s="4"/>
      <c r="T396" s="4"/>
      <c r="U396" s="4"/>
      <c r="V396" s="4"/>
      <c r="W396" s="4"/>
      <c r="X396" s="4"/>
      <c r="Y396" s="4"/>
      <c r="Z396" s="4"/>
      <c r="AA396" s="4"/>
      <c r="AB396" s="4"/>
      <c r="AC396" s="4"/>
      <c r="AD396" s="4"/>
      <c r="AE396" s="4"/>
    </row>
    <row r="397" spans="1:31" ht="13.2">
      <c r="A397" s="7"/>
      <c r="B397" s="7"/>
      <c r="C397" s="7"/>
      <c r="D397" s="29"/>
      <c r="E397" s="7"/>
      <c r="F397" s="7"/>
      <c r="G397" s="7"/>
      <c r="H397" s="16"/>
      <c r="I397" s="16"/>
      <c r="J397" s="16"/>
      <c r="K397" s="16"/>
      <c r="L397" s="16"/>
      <c r="M397" s="16"/>
      <c r="N397" s="16"/>
      <c r="O397" s="16"/>
      <c r="P397" s="16"/>
      <c r="Q397" s="4"/>
      <c r="R397" s="4"/>
      <c r="S397" s="4"/>
      <c r="T397" s="4"/>
      <c r="U397" s="4"/>
      <c r="V397" s="4"/>
      <c r="W397" s="4"/>
      <c r="X397" s="4"/>
      <c r="Y397" s="4"/>
      <c r="Z397" s="4"/>
      <c r="AA397" s="4"/>
      <c r="AB397" s="4"/>
      <c r="AC397" s="4"/>
      <c r="AD397" s="4"/>
      <c r="AE397" s="4"/>
    </row>
    <row r="398" spans="1:31" ht="13.2">
      <c r="A398" s="7"/>
      <c r="B398" s="7"/>
      <c r="C398" s="7"/>
      <c r="D398" s="29"/>
      <c r="E398" s="7"/>
      <c r="F398" s="7"/>
      <c r="G398" s="7"/>
      <c r="H398" s="16"/>
      <c r="I398" s="16"/>
      <c r="J398" s="16"/>
      <c r="K398" s="16"/>
      <c r="L398" s="16"/>
      <c r="M398" s="16"/>
      <c r="N398" s="16"/>
      <c r="O398" s="16"/>
      <c r="P398" s="16"/>
      <c r="Q398" s="4"/>
      <c r="R398" s="4"/>
      <c r="S398" s="4"/>
      <c r="T398" s="4"/>
      <c r="U398" s="4"/>
      <c r="V398" s="4"/>
      <c r="W398" s="4"/>
      <c r="X398" s="4"/>
      <c r="Y398" s="4"/>
      <c r="Z398" s="4"/>
      <c r="AA398" s="4"/>
      <c r="AB398" s="4"/>
      <c r="AC398" s="4"/>
      <c r="AD398" s="4"/>
      <c r="AE398" s="4"/>
    </row>
    <row r="399" spans="1:31" ht="13.2">
      <c r="A399" s="7"/>
      <c r="B399" s="7"/>
      <c r="C399" s="7"/>
      <c r="D399" s="29"/>
      <c r="E399" s="7"/>
      <c r="F399" s="7"/>
      <c r="G399" s="7"/>
      <c r="H399" s="16"/>
      <c r="I399" s="16"/>
      <c r="J399" s="16"/>
      <c r="K399" s="16"/>
      <c r="L399" s="16"/>
      <c r="M399" s="16"/>
      <c r="N399" s="16"/>
      <c r="O399" s="16"/>
      <c r="P399" s="16"/>
      <c r="Q399" s="4"/>
      <c r="R399" s="4"/>
      <c r="S399" s="4"/>
      <c r="T399" s="4"/>
      <c r="U399" s="4"/>
      <c r="V399" s="4"/>
      <c r="W399" s="4"/>
      <c r="X399" s="4"/>
      <c r="Y399" s="4"/>
      <c r="Z399" s="4"/>
      <c r="AA399" s="4"/>
      <c r="AB399" s="4"/>
      <c r="AC399" s="4"/>
      <c r="AD399" s="4"/>
      <c r="AE399" s="4"/>
    </row>
    <row r="400" spans="1:31" ht="13.2">
      <c r="A400" s="7"/>
      <c r="B400" s="7"/>
      <c r="C400" s="7"/>
      <c r="D400" s="29"/>
      <c r="E400" s="7"/>
      <c r="F400" s="7"/>
      <c r="G400" s="7"/>
      <c r="H400" s="16"/>
      <c r="I400" s="16"/>
      <c r="J400" s="16"/>
      <c r="K400" s="16"/>
      <c r="L400" s="16"/>
      <c r="M400" s="16"/>
      <c r="N400" s="16"/>
      <c r="O400" s="16"/>
      <c r="P400" s="16"/>
      <c r="Q400" s="4"/>
      <c r="R400" s="4"/>
      <c r="S400" s="4"/>
      <c r="T400" s="4"/>
      <c r="U400" s="4"/>
      <c r="V400" s="4"/>
      <c r="W400" s="4"/>
      <c r="X400" s="4"/>
      <c r="Y400" s="4"/>
      <c r="Z400" s="4"/>
      <c r="AA400" s="4"/>
      <c r="AB400" s="4"/>
      <c r="AC400" s="4"/>
      <c r="AD400" s="4"/>
      <c r="AE400" s="4"/>
    </row>
    <row r="401" spans="1:31" ht="13.2">
      <c r="A401" s="7"/>
      <c r="B401" s="7"/>
      <c r="C401" s="7"/>
      <c r="D401" s="29"/>
      <c r="E401" s="7"/>
      <c r="F401" s="7"/>
      <c r="G401" s="7"/>
      <c r="H401" s="16"/>
      <c r="I401" s="16"/>
      <c r="J401" s="16"/>
      <c r="K401" s="16"/>
      <c r="L401" s="16"/>
      <c r="M401" s="16"/>
      <c r="N401" s="16"/>
      <c r="O401" s="16"/>
      <c r="P401" s="16"/>
      <c r="Q401" s="4"/>
      <c r="R401" s="4"/>
      <c r="S401" s="4"/>
      <c r="T401" s="4"/>
      <c r="U401" s="4"/>
      <c r="V401" s="4"/>
      <c r="W401" s="4"/>
      <c r="X401" s="4"/>
      <c r="Y401" s="4"/>
      <c r="Z401" s="4"/>
      <c r="AA401" s="4"/>
      <c r="AB401" s="4"/>
      <c r="AC401" s="4"/>
      <c r="AD401" s="4"/>
      <c r="AE401" s="4"/>
    </row>
    <row r="402" spans="1:31" ht="13.2">
      <c r="A402" s="7"/>
      <c r="B402" s="7"/>
      <c r="C402" s="7"/>
      <c r="D402" s="29"/>
      <c r="E402" s="7"/>
      <c r="F402" s="7"/>
      <c r="G402" s="7"/>
      <c r="H402" s="16"/>
      <c r="I402" s="16"/>
      <c r="J402" s="16"/>
      <c r="K402" s="16"/>
      <c r="L402" s="16"/>
      <c r="M402" s="16"/>
      <c r="N402" s="16"/>
      <c r="O402" s="16"/>
      <c r="P402" s="16"/>
      <c r="Q402" s="4"/>
      <c r="R402" s="4"/>
      <c r="S402" s="4"/>
      <c r="T402" s="4"/>
      <c r="U402" s="4"/>
      <c r="V402" s="4"/>
      <c r="W402" s="4"/>
      <c r="X402" s="4"/>
      <c r="Y402" s="4"/>
      <c r="Z402" s="4"/>
      <c r="AA402" s="4"/>
      <c r="AB402" s="4"/>
      <c r="AC402" s="4"/>
      <c r="AD402" s="4"/>
      <c r="AE402" s="4"/>
    </row>
    <row r="403" spans="1:31" ht="13.2">
      <c r="A403" s="7"/>
      <c r="B403" s="7"/>
      <c r="C403" s="7"/>
      <c r="D403" s="29"/>
      <c r="E403" s="7"/>
      <c r="F403" s="7"/>
      <c r="G403" s="7"/>
      <c r="H403" s="16"/>
      <c r="I403" s="16"/>
      <c r="J403" s="16"/>
      <c r="K403" s="16"/>
      <c r="L403" s="16"/>
      <c r="M403" s="16"/>
      <c r="N403" s="16"/>
      <c r="O403" s="16"/>
      <c r="P403" s="16"/>
      <c r="Q403" s="4"/>
      <c r="R403" s="4"/>
      <c r="S403" s="4"/>
      <c r="T403" s="4"/>
      <c r="U403" s="4"/>
      <c r="V403" s="4"/>
      <c r="W403" s="4"/>
      <c r="X403" s="4"/>
      <c r="Y403" s="4"/>
      <c r="Z403" s="4"/>
      <c r="AA403" s="4"/>
      <c r="AB403" s="4"/>
      <c r="AC403" s="4"/>
      <c r="AD403" s="4"/>
      <c r="AE403" s="4"/>
    </row>
    <row r="404" spans="1:31" ht="13.2">
      <c r="A404" s="7"/>
      <c r="B404" s="7"/>
      <c r="C404" s="7"/>
      <c r="D404" s="29"/>
      <c r="E404" s="7"/>
      <c r="F404" s="7"/>
      <c r="G404" s="7"/>
      <c r="H404" s="16"/>
      <c r="I404" s="16"/>
      <c r="J404" s="16"/>
      <c r="K404" s="16"/>
      <c r="L404" s="16"/>
      <c r="M404" s="16"/>
      <c r="N404" s="16"/>
      <c r="O404" s="16"/>
      <c r="P404" s="16"/>
      <c r="Q404" s="4"/>
      <c r="R404" s="4"/>
      <c r="S404" s="4"/>
      <c r="T404" s="4"/>
      <c r="U404" s="4"/>
      <c r="V404" s="4"/>
      <c r="W404" s="4"/>
      <c r="X404" s="4"/>
      <c r="Y404" s="4"/>
      <c r="Z404" s="4"/>
      <c r="AA404" s="4"/>
      <c r="AB404" s="4"/>
      <c r="AC404" s="4"/>
      <c r="AD404" s="4"/>
      <c r="AE404" s="4"/>
    </row>
    <row r="405" spans="1:31" ht="13.2">
      <c r="A405" s="7"/>
      <c r="B405" s="7"/>
      <c r="C405" s="7"/>
      <c r="D405" s="29"/>
      <c r="E405" s="7"/>
      <c r="F405" s="7"/>
      <c r="G405" s="7"/>
      <c r="H405" s="16"/>
      <c r="I405" s="16"/>
      <c r="J405" s="16"/>
      <c r="K405" s="16"/>
      <c r="L405" s="16"/>
      <c r="M405" s="16"/>
      <c r="N405" s="16"/>
      <c r="O405" s="16"/>
      <c r="P405" s="16"/>
      <c r="Q405" s="4"/>
      <c r="R405" s="4"/>
      <c r="S405" s="4"/>
      <c r="T405" s="4"/>
      <c r="U405" s="4"/>
      <c r="V405" s="4"/>
      <c r="W405" s="4"/>
      <c r="X405" s="4"/>
      <c r="Y405" s="4"/>
      <c r="Z405" s="4"/>
      <c r="AA405" s="4"/>
      <c r="AB405" s="4"/>
      <c r="AC405" s="4"/>
      <c r="AD405" s="4"/>
      <c r="AE405" s="4"/>
    </row>
    <row r="406" spans="1:31" ht="13.2">
      <c r="A406" s="7"/>
      <c r="B406" s="7"/>
      <c r="C406" s="7"/>
      <c r="D406" s="29"/>
      <c r="E406" s="7"/>
      <c r="F406" s="7"/>
      <c r="G406" s="7"/>
      <c r="H406" s="16"/>
      <c r="I406" s="16"/>
      <c r="J406" s="16"/>
      <c r="K406" s="16"/>
      <c r="L406" s="16"/>
      <c r="M406" s="16"/>
      <c r="N406" s="16"/>
      <c r="O406" s="16"/>
      <c r="P406" s="16"/>
      <c r="Q406" s="4"/>
      <c r="R406" s="4"/>
      <c r="S406" s="4"/>
      <c r="T406" s="4"/>
      <c r="U406" s="4"/>
      <c r="V406" s="4"/>
      <c r="W406" s="4"/>
      <c r="X406" s="4"/>
      <c r="Y406" s="4"/>
      <c r="Z406" s="4"/>
      <c r="AA406" s="4"/>
      <c r="AB406" s="4"/>
      <c r="AC406" s="4"/>
      <c r="AD406" s="4"/>
      <c r="AE406" s="4"/>
    </row>
    <row r="407" spans="1:31" ht="13.2">
      <c r="A407" s="7"/>
      <c r="B407" s="7"/>
      <c r="C407" s="7"/>
      <c r="D407" s="29"/>
      <c r="E407" s="7"/>
      <c r="F407" s="7"/>
      <c r="G407" s="7"/>
      <c r="H407" s="16"/>
      <c r="I407" s="16"/>
      <c r="J407" s="16"/>
      <c r="K407" s="16"/>
      <c r="L407" s="16"/>
      <c r="M407" s="16"/>
      <c r="N407" s="16"/>
      <c r="O407" s="16"/>
      <c r="P407" s="16"/>
      <c r="Q407" s="4"/>
      <c r="R407" s="4"/>
      <c r="S407" s="4"/>
      <c r="T407" s="4"/>
      <c r="U407" s="4"/>
      <c r="V407" s="4"/>
      <c r="W407" s="4"/>
      <c r="X407" s="4"/>
      <c r="Y407" s="4"/>
      <c r="Z407" s="4"/>
      <c r="AA407" s="4"/>
      <c r="AB407" s="4"/>
      <c r="AC407" s="4"/>
      <c r="AD407" s="4"/>
      <c r="AE407" s="4"/>
    </row>
    <row r="408" spans="1:31" ht="13.2">
      <c r="A408" s="7"/>
      <c r="B408" s="7"/>
      <c r="C408" s="7"/>
      <c r="D408" s="29"/>
      <c r="E408" s="7"/>
      <c r="F408" s="7"/>
      <c r="G408" s="7"/>
      <c r="H408" s="16"/>
      <c r="I408" s="16"/>
      <c r="J408" s="16"/>
      <c r="K408" s="16"/>
      <c r="L408" s="16"/>
      <c r="M408" s="16"/>
      <c r="N408" s="16"/>
      <c r="O408" s="16"/>
      <c r="P408" s="16"/>
      <c r="Q408" s="4"/>
      <c r="R408" s="4"/>
      <c r="S408" s="4"/>
      <c r="T408" s="4"/>
      <c r="U408" s="4"/>
      <c r="V408" s="4"/>
      <c r="W408" s="4"/>
      <c r="X408" s="4"/>
      <c r="Y408" s="4"/>
      <c r="Z408" s="4"/>
      <c r="AA408" s="4"/>
      <c r="AB408" s="4"/>
      <c r="AC408" s="4"/>
      <c r="AD408" s="4"/>
      <c r="AE408" s="4"/>
    </row>
    <row r="409" spans="1:31" ht="13.2">
      <c r="A409" s="7"/>
      <c r="B409" s="7"/>
      <c r="C409" s="7"/>
      <c r="D409" s="29"/>
      <c r="E409" s="7"/>
      <c r="F409" s="7"/>
      <c r="G409" s="7"/>
      <c r="H409" s="16"/>
      <c r="I409" s="16"/>
      <c r="J409" s="16"/>
      <c r="K409" s="16"/>
      <c r="L409" s="16"/>
      <c r="M409" s="16"/>
      <c r="N409" s="16"/>
      <c r="O409" s="16"/>
      <c r="P409" s="16"/>
      <c r="Q409" s="4"/>
      <c r="R409" s="4"/>
      <c r="S409" s="4"/>
      <c r="T409" s="4"/>
      <c r="U409" s="4"/>
      <c r="V409" s="4"/>
      <c r="W409" s="4"/>
      <c r="X409" s="4"/>
      <c r="Y409" s="4"/>
      <c r="Z409" s="4"/>
      <c r="AA409" s="4"/>
      <c r="AB409" s="4"/>
      <c r="AC409" s="4"/>
      <c r="AD409" s="4"/>
      <c r="AE409" s="4"/>
    </row>
    <row r="410" spans="1:31" ht="13.2">
      <c r="A410" s="7"/>
      <c r="B410" s="7"/>
      <c r="C410" s="7"/>
      <c r="D410" s="29"/>
      <c r="E410" s="7"/>
      <c r="F410" s="7"/>
      <c r="G410" s="7"/>
      <c r="H410" s="16"/>
      <c r="I410" s="16"/>
      <c r="J410" s="16"/>
      <c r="K410" s="16"/>
      <c r="L410" s="16"/>
      <c r="M410" s="16"/>
      <c r="N410" s="16"/>
      <c r="O410" s="16"/>
      <c r="P410" s="16"/>
      <c r="Q410" s="4"/>
      <c r="R410" s="4"/>
      <c r="S410" s="4"/>
      <c r="T410" s="4"/>
      <c r="U410" s="4"/>
      <c r="V410" s="4"/>
      <c r="W410" s="4"/>
      <c r="X410" s="4"/>
      <c r="Y410" s="4"/>
      <c r="Z410" s="4"/>
      <c r="AA410" s="4"/>
      <c r="AB410" s="4"/>
      <c r="AC410" s="4"/>
      <c r="AD410" s="4"/>
      <c r="AE410" s="4"/>
    </row>
    <row r="411" spans="1:31" ht="13.2">
      <c r="A411" s="7"/>
      <c r="B411" s="7"/>
      <c r="C411" s="7"/>
      <c r="D411" s="29"/>
      <c r="E411" s="7"/>
      <c r="F411" s="7"/>
      <c r="G411" s="7"/>
      <c r="H411" s="16"/>
      <c r="I411" s="16"/>
      <c r="J411" s="16"/>
      <c r="K411" s="16"/>
      <c r="L411" s="16"/>
      <c r="M411" s="16"/>
      <c r="N411" s="16"/>
      <c r="O411" s="16"/>
      <c r="P411" s="16"/>
      <c r="Q411" s="4"/>
      <c r="R411" s="4"/>
      <c r="S411" s="4"/>
      <c r="T411" s="4"/>
      <c r="U411" s="4"/>
      <c r="V411" s="4"/>
      <c r="W411" s="4"/>
      <c r="X411" s="4"/>
      <c r="Y411" s="4"/>
      <c r="Z411" s="4"/>
      <c r="AA411" s="4"/>
      <c r="AB411" s="4"/>
      <c r="AC411" s="4"/>
      <c r="AD411" s="4"/>
      <c r="AE411" s="4"/>
    </row>
    <row r="412" spans="1:31" ht="13.2">
      <c r="A412" s="7"/>
      <c r="B412" s="7"/>
      <c r="C412" s="7"/>
      <c r="D412" s="29"/>
      <c r="E412" s="7"/>
      <c r="F412" s="7"/>
      <c r="G412" s="7"/>
      <c r="H412" s="16"/>
      <c r="I412" s="16"/>
      <c r="J412" s="16"/>
      <c r="K412" s="16"/>
      <c r="L412" s="16"/>
      <c r="M412" s="16"/>
      <c r="N412" s="16"/>
      <c r="O412" s="16"/>
      <c r="P412" s="16"/>
      <c r="Q412" s="4"/>
      <c r="R412" s="4"/>
      <c r="S412" s="4"/>
      <c r="T412" s="4"/>
      <c r="U412" s="4"/>
      <c r="V412" s="4"/>
      <c r="W412" s="4"/>
      <c r="X412" s="4"/>
      <c r="Y412" s="4"/>
      <c r="Z412" s="4"/>
      <c r="AA412" s="4"/>
      <c r="AB412" s="4"/>
      <c r="AC412" s="4"/>
      <c r="AD412" s="4"/>
      <c r="AE412" s="4"/>
    </row>
    <row r="413" spans="1:31" ht="13.2">
      <c r="A413" s="7"/>
      <c r="B413" s="7"/>
      <c r="C413" s="7"/>
      <c r="D413" s="29"/>
      <c r="E413" s="7"/>
      <c r="F413" s="7"/>
      <c r="G413" s="7"/>
      <c r="H413" s="16"/>
      <c r="I413" s="16"/>
      <c r="J413" s="16"/>
      <c r="K413" s="16"/>
      <c r="L413" s="16"/>
      <c r="M413" s="16"/>
      <c r="N413" s="16"/>
      <c r="O413" s="16"/>
      <c r="P413" s="16"/>
      <c r="Q413" s="4"/>
      <c r="R413" s="4"/>
      <c r="S413" s="4"/>
      <c r="T413" s="4"/>
      <c r="U413" s="4"/>
      <c r="V413" s="4"/>
      <c r="W413" s="4"/>
      <c r="X413" s="4"/>
      <c r="Y413" s="4"/>
      <c r="Z413" s="4"/>
      <c r="AA413" s="4"/>
      <c r="AB413" s="4"/>
      <c r="AC413" s="4"/>
      <c r="AD413" s="4"/>
      <c r="AE413" s="4"/>
    </row>
    <row r="414" spans="1:31" ht="13.2">
      <c r="A414" s="7"/>
      <c r="B414" s="7"/>
      <c r="C414" s="7"/>
      <c r="D414" s="29"/>
      <c r="E414" s="7"/>
      <c r="F414" s="7"/>
      <c r="G414" s="7"/>
      <c r="H414" s="16"/>
      <c r="I414" s="16"/>
      <c r="J414" s="16"/>
      <c r="K414" s="16"/>
      <c r="L414" s="16"/>
      <c r="M414" s="16"/>
      <c r="N414" s="16"/>
      <c r="O414" s="16"/>
      <c r="P414" s="16"/>
      <c r="Q414" s="4"/>
      <c r="R414" s="4"/>
      <c r="S414" s="4"/>
      <c r="T414" s="4"/>
      <c r="U414" s="4"/>
      <c r="V414" s="4"/>
      <c r="W414" s="4"/>
      <c r="X414" s="4"/>
      <c r="Y414" s="4"/>
      <c r="Z414" s="4"/>
      <c r="AA414" s="4"/>
      <c r="AB414" s="4"/>
      <c r="AC414" s="4"/>
      <c r="AD414" s="4"/>
      <c r="AE414" s="4"/>
    </row>
    <row r="415" spans="1:31" ht="13.2">
      <c r="A415" s="7"/>
      <c r="B415" s="7"/>
      <c r="C415" s="7"/>
      <c r="D415" s="29"/>
      <c r="E415" s="7"/>
      <c r="F415" s="7"/>
      <c r="G415" s="7"/>
      <c r="H415" s="16"/>
      <c r="I415" s="16"/>
      <c r="J415" s="16"/>
      <c r="K415" s="16"/>
      <c r="L415" s="16"/>
      <c r="M415" s="16"/>
      <c r="N415" s="16"/>
      <c r="O415" s="16"/>
      <c r="P415" s="16"/>
      <c r="Q415" s="4"/>
      <c r="R415" s="4"/>
      <c r="S415" s="4"/>
      <c r="T415" s="4"/>
      <c r="U415" s="4"/>
      <c r="V415" s="4"/>
      <c r="W415" s="4"/>
      <c r="X415" s="4"/>
      <c r="Y415" s="4"/>
      <c r="Z415" s="4"/>
      <c r="AA415" s="4"/>
      <c r="AB415" s="4"/>
      <c r="AC415" s="4"/>
      <c r="AD415" s="4"/>
      <c r="AE415" s="4"/>
    </row>
    <row r="416" spans="1:31" ht="13.2">
      <c r="A416" s="7"/>
      <c r="B416" s="7"/>
      <c r="C416" s="7"/>
      <c r="D416" s="29"/>
      <c r="E416" s="7"/>
      <c r="F416" s="7"/>
      <c r="G416" s="7"/>
      <c r="H416" s="16"/>
      <c r="I416" s="16"/>
      <c r="J416" s="16"/>
      <c r="K416" s="16"/>
      <c r="L416" s="16"/>
      <c r="M416" s="16"/>
      <c r="N416" s="16"/>
      <c r="O416" s="16"/>
      <c r="P416" s="16"/>
      <c r="Q416" s="4"/>
      <c r="R416" s="4"/>
      <c r="S416" s="4"/>
      <c r="T416" s="4"/>
      <c r="U416" s="4"/>
      <c r="V416" s="4"/>
      <c r="W416" s="4"/>
      <c r="X416" s="4"/>
      <c r="Y416" s="4"/>
      <c r="Z416" s="4"/>
      <c r="AA416" s="4"/>
      <c r="AB416" s="4"/>
      <c r="AC416" s="4"/>
      <c r="AD416" s="4"/>
      <c r="AE416" s="4"/>
    </row>
    <row r="417" spans="1:31" ht="13.2">
      <c r="A417" s="7"/>
      <c r="B417" s="7"/>
      <c r="C417" s="7"/>
      <c r="D417" s="29"/>
      <c r="E417" s="7"/>
      <c r="F417" s="7"/>
      <c r="G417" s="7"/>
      <c r="H417" s="16"/>
      <c r="I417" s="16"/>
      <c r="J417" s="16"/>
      <c r="K417" s="16"/>
      <c r="L417" s="16"/>
      <c r="M417" s="16"/>
      <c r="N417" s="16"/>
      <c r="O417" s="16"/>
      <c r="P417" s="16"/>
      <c r="Q417" s="4"/>
      <c r="R417" s="4"/>
      <c r="S417" s="4"/>
      <c r="T417" s="4"/>
      <c r="U417" s="4"/>
      <c r="V417" s="4"/>
      <c r="W417" s="4"/>
      <c r="X417" s="4"/>
      <c r="Y417" s="4"/>
      <c r="Z417" s="4"/>
      <c r="AA417" s="4"/>
      <c r="AB417" s="4"/>
      <c r="AC417" s="4"/>
      <c r="AD417" s="4"/>
      <c r="AE417" s="4"/>
    </row>
    <row r="418" spans="1:31" ht="13.2">
      <c r="A418" s="7"/>
      <c r="B418" s="7"/>
      <c r="C418" s="7"/>
      <c r="D418" s="29"/>
      <c r="E418" s="7"/>
      <c r="F418" s="7"/>
      <c r="G418" s="7"/>
      <c r="H418" s="16"/>
      <c r="I418" s="16"/>
      <c r="J418" s="16"/>
      <c r="K418" s="16"/>
      <c r="L418" s="16"/>
      <c r="M418" s="16"/>
      <c r="N418" s="16"/>
      <c r="O418" s="16"/>
      <c r="P418" s="16"/>
      <c r="Q418" s="4"/>
      <c r="R418" s="4"/>
      <c r="S418" s="4"/>
      <c r="T418" s="4"/>
      <c r="U418" s="4"/>
      <c r="V418" s="4"/>
      <c r="W418" s="4"/>
      <c r="X418" s="4"/>
      <c r="Y418" s="4"/>
      <c r="Z418" s="4"/>
      <c r="AA418" s="4"/>
      <c r="AB418" s="4"/>
      <c r="AC418" s="4"/>
      <c r="AD418" s="4"/>
      <c r="AE418" s="4"/>
    </row>
    <row r="419" spans="1:31" ht="13.2">
      <c r="A419" s="7"/>
      <c r="B419" s="7"/>
      <c r="C419" s="7"/>
      <c r="D419" s="29"/>
      <c r="E419" s="7"/>
      <c r="F419" s="7"/>
      <c r="G419" s="7"/>
      <c r="H419" s="16"/>
      <c r="I419" s="16"/>
      <c r="J419" s="16"/>
      <c r="K419" s="16"/>
      <c r="L419" s="16"/>
      <c r="M419" s="16"/>
      <c r="N419" s="16"/>
      <c r="O419" s="16"/>
      <c r="P419" s="16"/>
      <c r="Q419" s="4"/>
      <c r="R419" s="4"/>
      <c r="S419" s="4"/>
      <c r="T419" s="4"/>
      <c r="U419" s="4"/>
      <c r="V419" s="4"/>
      <c r="W419" s="4"/>
      <c r="X419" s="4"/>
      <c r="Y419" s="4"/>
      <c r="Z419" s="4"/>
      <c r="AA419" s="4"/>
      <c r="AB419" s="4"/>
      <c r="AC419" s="4"/>
      <c r="AD419" s="4"/>
      <c r="AE419" s="4"/>
    </row>
    <row r="420" spans="1:31" ht="13.2">
      <c r="A420" s="7"/>
      <c r="B420" s="7"/>
      <c r="C420" s="7"/>
      <c r="D420" s="29"/>
      <c r="E420" s="7"/>
      <c r="F420" s="7"/>
      <c r="G420" s="7"/>
      <c r="H420" s="16"/>
      <c r="I420" s="16"/>
      <c r="J420" s="16"/>
      <c r="K420" s="16"/>
      <c r="L420" s="16"/>
      <c r="M420" s="16"/>
      <c r="N420" s="16"/>
      <c r="O420" s="16"/>
      <c r="P420" s="16"/>
      <c r="Q420" s="4"/>
      <c r="R420" s="4"/>
      <c r="S420" s="4"/>
      <c r="T420" s="4"/>
      <c r="U420" s="4"/>
      <c r="V420" s="4"/>
      <c r="W420" s="4"/>
      <c r="X420" s="4"/>
      <c r="Y420" s="4"/>
      <c r="Z420" s="4"/>
      <c r="AA420" s="4"/>
      <c r="AB420" s="4"/>
      <c r="AC420" s="4"/>
      <c r="AD420" s="4"/>
      <c r="AE420" s="4"/>
    </row>
    <row r="421" spans="1:31" ht="13.2">
      <c r="A421" s="7"/>
      <c r="B421" s="7"/>
      <c r="C421" s="7"/>
      <c r="D421" s="29"/>
      <c r="E421" s="7"/>
      <c r="F421" s="7"/>
      <c r="G421" s="7"/>
      <c r="H421" s="16"/>
      <c r="I421" s="16"/>
      <c r="J421" s="16"/>
      <c r="K421" s="16"/>
      <c r="L421" s="16"/>
      <c r="M421" s="16"/>
      <c r="N421" s="16"/>
      <c r="O421" s="16"/>
      <c r="P421" s="16"/>
      <c r="Q421" s="4"/>
      <c r="R421" s="4"/>
      <c r="S421" s="4"/>
      <c r="T421" s="4"/>
      <c r="U421" s="4"/>
      <c r="V421" s="4"/>
      <c r="W421" s="4"/>
      <c r="X421" s="4"/>
      <c r="Y421" s="4"/>
      <c r="Z421" s="4"/>
      <c r="AA421" s="4"/>
      <c r="AB421" s="4"/>
      <c r="AC421" s="4"/>
      <c r="AD421" s="4"/>
      <c r="AE421" s="4"/>
    </row>
    <row r="422" spans="1:31" ht="13.2">
      <c r="A422" s="7"/>
      <c r="B422" s="7"/>
      <c r="C422" s="7"/>
      <c r="D422" s="29"/>
      <c r="E422" s="7"/>
      <c r="F422" s="7"/>
      <c r="G422" s="7"/>
      <c r="H422" s="16"/>
      <c r="I422" s="16"/>
      <c r="J422" s="16"/>
      <c r="K422" s="16"/>
      <c r="L422" s="16"/>
      <c r="M422" s="16"/>
      <c r="N422" s="16"/>
      <c r="O422" s="16"/>
      <c r="P422" s="16"/>
      <c r="Q422" s="4"/>
      <c r="R422" s="4"/>
      <c r="S422" s="4"/>
      <c r="T422" s="4"/>
      <c r="U422" s="4"/>
      <c r="V422" s="4"/>
      <c r="W422" s="4"/>
      <c r="X422" s="4"/>
      <c r="Y422" s="4"/>
      <c r="Z422" s="4"/>
      <c r="AA422" s="4"/>
      <c r="AB422" s="4"/>
      <c r="AC422" s="4"/>
      <c r="AD422" s="4"/>
      <c r="AE422" s="4"/>
    </row>
    <row r="423" spans="1:31" ht="13.2">
      <c r="A423" s="7"/>
      <c r="B423" s="7"/>
      <c r="C423" s="7"/>
      <c r="D423" s="29"/>
      <c r="E423" s="7"/>
      <c r="F423" s="7"/>
      <c r="G423" s="7"/>
      <c r="H423" s="16"/>
      <c r="I423" s="16"/>
      <c r="J423" s="16"/>
      <c r="K423" s="16"/>
      <c r="L423" s="16"/>
      <c r="M423" s="16"/>
      <c r="N423" s="16"/>
      <c r="O423" s="16"/>
      <c r="P423" s="16"/>
      <c r="Q423" s="4"/>
      <c r="R423" s="4"/>
      <c r="S423" s="4"/>
      <c r="T423" s="4"/>
      <c r="U423" s="4"/>
      <c r="V423" s="4"/>
      <c r="W423" s="4"/>
      <c r="X423" s="4"/>
      <c r="Y423" s="4"/>
      <c r="Z423" s="4"/>
      <c r="AA423" s="4"/>
      <c r="AB423" s="4"/>
      <c r="AC423" s="4"/>
      <c r="AD423" s="4"/>
      <c r="AE423" s="4"/>
    </row>
    <row r="424" spans="1:31" ht="13.2">
      <c r="A424" s="7"/>
      <c r="B424" s="7"/>
      <c r="C424" s="7"/>
      <c r="D424" s="29"/>
      <c r="E424" s="7"/>
      <c r="F424" s="7"/>
      <c r="G424" s="7"/>
      <c r="H424" s="16"/>
      <c r="I424" s="16"/>
      <c r="J424" s="16"/>
      <c r="K424" s="16"/>
      <c r="L424" s="16"/>
      <c r="M424" s="16"/>
      <c r="N424" s="16"/>
      <c r="O424" s="16"/>
      <c r="P424" s="16"/>
      <c r="Q424" s="4"/>
      <c r="R424" s="4"/>
      <c r="S424" s="4"/>
      <c r="T424" s="4"/>
      <c r="U424" s="4"/>
      <c r="V424" s="4"/>
      <c r="W424" s="4"/>
      <c r="X424" s="4"/>
      <c r="Y424" s="4"/>
      <c r="Z424" s="4"/>
      <c r="AA424" s="4"/>
      <c r="AB424" s="4"/>
      <c r="AC424" s="4"/>
      <c r="AD424" s="4"/>
      <c r="AE424" s="4"/>
    </row>
    <row r="425" spans="1:31" ht="13.2">
      <c r="A425" s="7"/>
      <c r="B425" s="7"/>
      <c r="C425" s="7"/>
      <c r="D425" s="29"/>
      <c r="E425" s="7"/>
      <c r="F425" s="7"/>
      <c r="G425" s="7"/>
      <c r="H425" s="16"/>
      <c r="I425" s="16"/>
      <c r="J425" s="16"/>
      <c r="K425" s="16"/>
      <c r="L425" s="16"/>
      <c r="M425" s="16"/>
      <c r="N425" s="16"/>
      <c r="O425" s="16"/>
      <c r="P425" s="16"/>
      <c r="Q425" s="4"/>
      <c r="R425" s="4"/>
      <c r="S425" s="4"/>
      <c r="T425" s="4"/>
      <c r="U425" s="4"/>
      <c r="V425" s="4"/>
      <c r="W425" s="4"/>
      <c r="X425" s="4"/>
      <c r="Y425" s="4"/>
      <c r="Z425" s="4"/>
      <c r="AA425" s="4"/>
      <c r="AB425" s="4"/>
      <c r="AC425" s="4"/>
      <c r="AD425" s="4"/>
      <c r="AE425" s="4"/>
    </row>
    <row r="426" spans="1:31" ht="13.2">
      <c r="A426" s="7"/>
      <c r="B426" s="7"/>
      <c r="C426" s="7"/>
      <c r="D426" s="29"/>
      <c r="E426" s="7"/>
      <c r="F426" s="7"/>
      <c r="G426" s="7"/>
      <c r="H426" s="16"/>
      <c r="I426" s="16"/>
      <c r="J426" s="16"/>
      <c r="K426" s="16"/>
      <c r="L426" s="16"/>
      <c r="M426" s="16"/>
      <c r="N426" s="16"/>
      <c r="O426" s="16"/>
      <c r="P426" s="16"/>
      <c r="Q426" s="4"/>
      <c r="R426" s="4"/>
      <c r="S426" s="4"/>
      <c r="T426" s="4"/>
      <c r="U426" s="4"/>
      <c r="V426" s="4"/>
      <c r="W426" s="4"/>
      <c r="X426" s="4"/>
      <c r="Y426" s="4"/>
      <c r="Z426" s="4"/>
      <c r="AA426" s="4"/>
      <c r="AB426" s="4"/>
      <c r="AC426" s="4"/>
      <c r="AD426" s="4"/>
      <c r="AE426" s="4"/>
    </row>
    <row r="427" spans="1:31" ht="13.2">
      <c r="A427" s="7"/>
      <c r="B427" s="7"/>
      <c r="C427" s="7"/>
      <c r="D427" s="29"/>
      <c r="E427" s="7"/>
      <c r="F427" s="7"/>
      <c r="G427" s="7"/>
      <c r="H427" s="16"/>
      <c r="I427" s="16"/>
      <c r="J427" s="16"/>
      <c r="K427" s="16"/>
      <c r="L427" s="16"/>
      <c r="M427" s="16"/>
      <c r="N427" s="16"/>
      <c r="O427" s="16"/>
      <c r="P427" s="16"/>
      <c r="Q427" s="4"/>
      <c r="R427" s="4"/>
      <c r="S427" s="4"/>
      <c r="T427" s="4"/>
      <c r="U427" s="4"/>
      <c r="V427" s="4"/>
      <c r="W427" s="4"/>
      <c r="X427" s="4"/>
      <c r="Y427" s="4"/>
      <c r="Z427" s="4"/>
      <c r="AA427" s="4"/>
      <c r="AB427" s="4"/>
      <c r="AC427" s="4"/>
      <c r="AD427" s="4"/>
      <c r="AE427" s="4"/>
    </row>
    <row r="428" spans="1:31" ht="13.2">
      <c r="A428" s="7"/>
      <c r="B428" s="7"/>
      <c r="C428" s="7"/>
      <c r="D428" s="29"/>
      <c r="E428" s="7"/>
      <c r="F428" s="7"/>
      <c r="G428" s="7"/>
      <c r="H428" s="16"/>
      <c r="I428" s="16"/>
      <c r="J428" s="16"/>
      <c r="K428" s="16"/>
      <c r="L428" s="16"/>
      <c r="M428" s="16"/>
      <c r="N428" s="16"/>
      <c r="O428" s="16"/>
      <c r="P428" s="16"/>
      <c r="Q428" s="4"/>
      <c r="R428" s="4"/>
      <c r="S428" s="4"/>
      <c r="T428" s="4"/>
      <c r="U428" s="4"/>
      <c r="V428" s="4"/>
      <c r="W428" s="4"/>
      <c r="X428" s="4"/>
      <c r="Y428" s="4"/>
      <c r="Z428" s="4"/>
      <c r="AA428" s="4"/>
      <c r="AB428" s="4"/>
      <c r="AC428" s="4"/>
      <c r="AD428" s="4"/>
      <c r="AE428" s="4"/>
    </row>
    <row r="429" spans="1:31" ht="13.2">
      <c r="A429" s="7"/>
      <c r="B429" s="7"/>
      <c r="C429" s="7"/>
      <c r="D429" s="29"/>
      <c r="E429" s="7"/>
      <c r="F429" s="7"/>
      <c r="G429" s="7"/>
      <c r="H429" s="16"/>
      <c r="I429" s="16"/>
      <c r="J429" s="16"/>
      <c r="K429" s="16"/>
      <c r="L429" s="16"/>
      <c r="M429" s="16"/>
      <c r="N429" s="16"/>
      <c r="O429" s="16"/>
      <c r="P429" s="16"/>
      <c r="Q429" s="4"/>
      <c r="R429" s="4"/>
      <c r="S429" s="4"/>
      <c r="T429" s="4"/>
      <c r="U429" s="4"/>
      <c r="V429" s="4"/>
      <c r="W429" s="4"/>
      <c r="X429" s="4"/>
      <c r="Y429" s="4"/>
      <c r="Z429" s="4"/>
      <c r="AA429" s="4"/>
      <c r="AB429" s="4"/>
      <c r="AC429" s="4"/>
      <c r="AD429" s="4"/>
      <c r="AE429" s="4"/>
    </row>
    <row r="430" spans="1:31" ht="13.2">
      <c r="A430" s="7"/>
      <c r="B430" s="7"/>
      <c r="C430" s="7"/>
      <c r="D430" s="29"/>
      <c r="E430" s="7"/>
      <c r="F430" s="7"/>
      <c r="G430" s="7"/>
      <c r="H430" s="16"/>
      <c r="I430" s="16"/>
      <c r="J430" s="16"/>
      <c r="K430" s="16"/>
      <c r="L430" s="16"/>
      <c r="M430" s="16"/>
      <c r="N430" s="16"/>
      <c r="O430" s="16"/>
      <c r="P430" s="16"/>
      <c r="Q430" s="4"/>
      <c r="R430" s="4"/>
      <c r="S430" s="4"/>
      <c r="T430" s="4"/>
      <c r="U430" s="4"/>
      <c r="V430" s="4"/>
      <c r="W430" s="4"/>
      <c r="X430" s="4"/>
      <c r="Y430" s="4"/>
      <c r="Z430" s="4"/>
      <c r="AA430" s="4"/>
      <c r="AB430" s="4"/>
      <c r="AC430" s="4"/>
      <c r="AD430" s="4"/>
      <c r="AE430" s="4"/>
    </row>
    <row r="431" spans="1:31" ht="13.2">
      <c r="A431" s="7"/>
      <c r="B431" s="7"/>
      <c r="C431" s="7"/>
      <c r="D431" s="29"/>
      <c r="E431" s="7"/>
      <c r="F431" s="7"/>
      <c r="G431" s="7"/>
      <c r="H431" s="16"/>
      <c r="I431" s="16"/>
      <c r="J431" s="16"/>
      <c r="K431" s="16"/>
      <c r="L431" s="16"/>
      <c r="M431" s="16"/>
      <c r="N431" s="16"/>
      <c r="O431" s="16"/>
      <c r="P431" s="16"/>
      <c r="Q431" s="4"/>
      <c r="R431" s="4"/>
      <c r="S431" s="4"/>
      <c r="T431" s="4"/>
      <c r="U431" s="4"/>
      <c r="V431" s="4"/>
      <c r="W431" s="4"/>
      <c r="X431" s="4"/>
      <c r="Y431" s="4"/>
      <c r="Z431" s="4"/>
      <c r="AA431" s="4"/>
      <c r="AB431" s="4"/>
      <c r="AC431" s="4"/>
      <c r="AD431" s="4"/>
      <c r="AE431" s="4"/>
    </row>
    <row r="432" spans="1:31" ht="13.2">
      <c r="A432" s="7"/>
      <c r="B432" s="7"/>
      <c r="C432" s="7"/>
      <c r="D432" s="29"/>
      <c r="E432" s="7"/>
      <c r="F432" s="7"/>
      <c r="G432" s="7"/>
      <c r="H432" s="16"/>
      <c r="I432" s="16"/>
      <c r="J432" s="16"/>
      <c r="K432" s="16"/>
      <c r="L432" s="16"/>
      <c r="M432" s="16"/>
      <c r="N432" s="16"/>
      <c r="O432" s="16"/>
      <c r="P432" s="16"/>
      <c r="Q432" s="4"/>
      <c r="R432" s="4"/>
      <c r="S432" s="4"/>
      <c r="T432" s="4"/>
      <c r="U432" s="4"/>
      <c r="V432" s="4"/>
      <c r="W432" s="4"/>
      <c r="X432" s="4"/>
      <c r="Y432" s="4"/>
      <c r="Z432" s="4"/>
      <c r="AA432" s="4"/>
      <c r="AB432" s="4"/>
      <c r="AC432" s="4"/>
      <c r="AD432" s="4"/>
      <c r="AE432" s="4"/>
    </row>
    <row r="433" spans="1:31" ht="13.2">
      <c r="A433" s="7"/>
      <c r="B433" s="7"/>
      <c r="C433" s="7"/>
      <c r="D433" s="29"/>
      <c r="E433" s="7"/>
      <c r="F433" s="7"/>
      <c r="G433" s="7"/>
      <c r="H433" s="16"/>
      <c r="I433" s="16"/>
      <c r="J433" s="16"/>
      <c r="K433" s="16"/>
      <c r="L433" s="16"/>
      <c r="M433" s="16"/>
      <c r="N433" s="16"/>
      <c r="O433" s="16"/>
      <c r="P433" s="16"/>
      <c r="Q433" s="4"/>
      <c r="R433" s="4"/>
      <c r="S433" s="4"/>
      <c r="T433" s="4"/>
      <c r="U433" s="4"/>
      <c r="V433" s="4"/>
      <c r="W433" s="4"/>
      <c r="X433" s="4"/>
      <c r="Y433" s="4"/>
      <c r="Z433" s="4"/>
      <c r="AA433" s="4"/>
      <c r="AB433" s="4"/>
      <c r="AC433" s="4"/>
      <c r="AD433" s="4"/>
      <c r="AE433" s="4"/>
    </row>
    <row r="434" spans="1:31" ht="13.2">
      <c r="A434" s="7"/>
      <c r="B434" s="7"/>
      <c r="C434" s="7"/>
      <c r="D434" s="29"/>
      <c r="E434" s="7"/>
      <c r="F434" s="7"/>
      <c r="G434" s="7"/>
      <c r="H434" s="16"/>
      <c r="I434" s="16"/>
      <c r="J434" s="16"/>
      <c r="K434" s="16"/>
      <c r="L434" s="16"/>
      <c r="M434" s="16"/>
      <c r="N434" s="16"/>
      <c r="O434" s="16"/>
      <c r="P434" s="16"/>
      <c r="Q434" s="4"/>
      <c r="R434" s="4"/>
      <c r="S434" s="4"/>
      <c r="T434" s="4"/>
      <c r="U434" s="4"/>
      <c r="V434" s="4"/>
      <c r="W434" s="4"/>
      <c r="X434" s="4"/>
      <c r="Y434" s="4"/>
      <c r="Z434" s="4"/>
      <c r="AA434" s="4"/>
      <c r="AB434" s="4"/>
      <c r="AC434" s="4"/>
      <c r="AD434" s="4"/>
      <c r="AE434" s="4"/>
    </row>
    <row r="435" spans="1:31" ht="13.2">
      <c r="A435" s="7"/>
      <c r="B435" s="7"/>
      <c r="C435" s="7"/>
      <c r="D435" s="29"/>
      <c r="E435" s="7"/>
      <c r="F435" s="7"/>
      <c r="G435" s="7"/>
      <c r="H435" s="16"/>
      <c r="I435" s="16"/>
      <c r="J435" s="16"/>
      <c r="K435" s="16"/>
      <c r="L435" s="16"/>
      <c r="M435" s="16"/>
      <c r="N435" s="16"/>
      <c r="O435" s="16"/>
      <c r="P435" s="16"/>
      <c r="Q435" s="4"/>
      <c r="R435" s="4"/>
      <c r="S435" s="4"/>
      <c r="T435" s="4"/>
      <c r="U435" s="4"/>
      <c r="V435" s="4"/>
      <c r="W435" s="4"/>
      <c r="X435" s="4"/>
      <c r="Y435" s="4"/>
      <c r="Z435" s="4"/>
      <c r="AA435" s="4"/>
      <c r="AB435" s="4"/>
      <c r="AC435" s="4"/>
      <c r="AD435" s="4"/>
      <c r="AE435" s="4"/>
    </row>
    <row r="436" spans="1:31" ht="13.2">
      <c r="A436" s="7"/>
      <c r="B436" s="7"/>
      <c r="C436" s="7"/>
      <c r="D436" s="29"/>
      <c r="E436" s="7"/>
      <c r="F436" s="7"/>
      <c r="G436" s="7"/>
      <c r="H436" s="16"/>
      <c r="I436" s="16"/>
      <c r="J436" s="16"/>
      <c r="K436" s="16"/>
      <c r="L436" s="16"/>
      <c r="M436" s="16"/>
      <c r="N436" s="16"/>
      <c r="O436" s="16"/>
      <c r="P436" s="16"/>
      <c r="Q436" s="4"/>
      <c r="R436" s="4"/>
      <c r="S436" s="4"/>
      <c r="T436" s="4"/>
      <c r="U436" s="4"/>
      <c r="V436" s="4"/>
      <c r="W436" s="4"/>
      <c r="X436" s="4"/>
      <c r="Y436" s="4"/>
      <c r="Z436" s="4"/>
      <c r="AA436" s="4"/>
      <c r="AB436" s="4"/>
      <c r="AC436" s="4"/>
      <c r="AD436" s="4"/>
      <c r="AE436" s="4"/>
    </row>
    <row r="437" spans="1:31" ht="13.2">
      <c r="A437" s="7"/>
      <c r="B437" s="7"/>
      <c r="C437" s="7"/>
      <c r="D437" s="29"/>
      <c r="E437" s="7"/>
      <c r="F437" s="7"/>
      <c r="G437" s="7"/>
      <c r="H437" s="16"/>
      <c r="I437" s="16"/>
      <c r="J437" s="16"/>
      <c r="K437" s="16"/>
      <c r="L437" s="16"/>
      <c r="M437" s="16"/>
      <c r="N437" s="16"/>
      <c r="O437" s="16"/>
      <c r="P437" s="16"/>
      <c r="Q437" s="4"/>
      <c r="R437" s="4"/>
      <c r="S437" s="4"/>
      <c r="T437" s="4"/>
      <c r="U437" s="4"/>
      <c r="V437" s="4"/>
      <c r="W437" s="4"/>
      <c r="X437" s="4"/>
      <c r="Y437" s="4"/>
      <c r="Z437" s="4"/>
      <c r="AA437" s="4"/>
      <c r="AB437" s="4"/>
      <c r="AC437" s="4"/>
      <c r="AD437" s="4"/>
      <c r="AE437" s="4"/>
    </row>
    <row r="438" spans="1:31" ht="13.2">
      <c r="A438" s="7"/>
      <c r="B438" s="7"/>
      <c r="C438" s="7"/>
      <c r="D438" s="29"/>
      <c r="E438" s="7"/>
      <c r="F438" s="7"/>
      <c r="G438" s="7"/>
      <c r="H438" s="16"/>
      <c r="I438" s="16"/>
      <c r="J438" s="16"/>
      <c r="K438" s="16"/>
      <c r="L438" s="16"/>
      <c r="M438" s="16"/>
      <c r="N438" s="16"/>
      <c r="O438" s="16"/>
      <c r="P438" s="16"/>
      <c r="Q438" s="4"/>
      <c r="R438" s="4"/>
      <c r="S438" s="4"/>
      <c r="T438" s="4"/>
      <c r="U438" s="4"/>
      <c r="V438" s="4"/>
      <c r="W438" s="4"/>
      <c r="X438" s="4"/>
      <c r="Y438" s="4"/>
      <c r="Z438" s="4"/>
      <c r="AA438" s="4"/>
      <c r="AB438" s="4"/>
      <c r="AC438" s="4"/>
      <c r="AD438" s="4"/>
      <c r="AE438" s="4"/>
    </row>
    <row r="439" spans="1:31" ht="13.2">
      <c r="A439" s="7"/>
      <c r="B439" s="7"/>
      <c r="C439" s="7"/>
      <c r="D439" s="29"/>
      <c r="E439" s="7"/>
      <c r="F439" s="7"/>
      <c r="G439" s="7"/>
      <c r="H439" s="16"/>
      <c r="I439" s="16"/>
      <c r="J439" s="16"/>
      <c r="K439" s="16"/>
      <c r="L439" s="16"/>
      <c r="M439" s="16"/>
      <c r="N439" s="16"/>
      <c r="O439" s="16"/>
      <c r="P439" s="16"/>
      <c r="Q439" s="4"/>
      <c r="R439" s="4"/>
      <c r="S439" s="4"/>
      <c r="T439" s="4"/>
      <c r="U439" s="4"/>
      <c r="V439" s="4"/>
      <c r="W439" s="4"/>
      <c r="X439" s="4"/>
      <c r="Y439" s="4"/>
      <c r="Z439" s="4"/>
      <c r="AA439" s="4"/>
      <c r="AB439" s="4"/>
      <c r="AC439" s="4"/>
      <c r="AD439" s="4"/>
      <c r="AE439" s="4"/>
    </row>
    <row r="440" spans="1:31" ht="13.2">
      <c r="A440" s="7"/>
      <c r="B440" s="7"/>
      <c r="C440" s="7"/>
      <c r="D440" s="29"/>
      <c r="E440" s="7"/>
      <c r="F440" s="7"/>
      <c r="G440" s="7"/>
      <c r="H440" s="16"/>
      <c r="I440" s="16"/>
      <c r="J440" s="16"/>
      <c r="K440" s="16"/>
      <c r="L440" s="16"/>
      <c r="M440" s="16"/>
      <c r="N440" s="16"/>
      <c r="O440" s="16"/>
      <c r="P440" s="16"/>
      <c r="Q440" s="4"/>
      <c r="R440" s="4"/>
      <c r="S440" s="4"/>
      <c r="T440" s="4"/>
      <c r="U440" s="4"/>
      <c r="V440" s="4"/>
      <c r="W440" s="4"/>
      <c r="X440" s="4"/>
      <c r="Y440" s="4"/>
      <c r="Z440" s="4"/>
      <c r="AA440" s="4"/>
      <c r="AB440" s="4"/>
      <c r="AC440" s="4"/>
      <c r="AD440" s="4"/>
      <c r="AE440" s="4"/>
    </row>
    <row r="441" spans="1:31" ht="13.2">
      <c r="A441" s="7"/>
      <c r="B441" s="7"/>
      <c r="C441" s="7"/>
      <c r="D441" s="29"/>
      <c r="E441" s="7"/>
      <c r="F441" s="7"/>
      <c r="G441" s="7"/>
      <c r="H441" s="16"/>
      <c r="I441" s="16"/>
      <c r="J441" s="16"/>
      <c r="K441" s="16"/>
      <c r="L441" s="16"/>
      <c r="M441" s="16"/>
      <c r="N441" s="16"/>
      <c r="O441" s="16"/>
      <c r="P441" s="16"/>
      <c r="Q441" s="4"/>
      <c r="R441" s="4"/>
      <c r="S441" s="4"/>
      <c r="T441" s="4"/>
      <c r="U441" s="4"/>
      <c r="V441" s="4"/>
      <c r="W441" s="4"/>
      <c r="X441" s="4"/>
      <c r="Y441" s="4"/>
      <c r="Z441" s="4"/>
      <c r="AA441" s="4"/>
      <c r="AB441" s="4"/>
      <c r="AC441" s="4"/>
      <c r="AD441" s="4"/>
      <c r="AE441" s="4"/>
    </row>
    <row r="442" spans="1:31" ht="13.2">
      <c r="A442" s="7"/>
      <c r="B442" s="7"/>
      <c r="C442" s="7"/>
      <c r="D442" s="29"/>
      <c r="E442" s="7"/>
      <c r="F442" s="7"/>
      <c r="G442" s="7"/>
      <c r="H442" s="16"/>
      <c r="I442" s="16"/>
      <c r="J442" s="16"/>
      <c r="K442" s="16"/>
      <c r="L442" s="16"/>
      <c r="M442" s="16"/>
      <c r="N442" s="16"/>
      <c r="O442" s="16"/>
      <c r="P442" s="16"/>
      <c r="Q442" s="4"/>
      <c r="R442" s="4"/>
      <c r="S442" s="4"/>
      <c r="T442" s="4"/>
      <c r="U442" s="4"/>
      <c r="V442" s="4"/>
      <c r="W442" s="4"/>
      <c r="X442" s="4"/>
      <c r="Y442" s="4"/>
      <c r="Z442" s="4"/>
      <c r="AA442" s="4"/>
      <c r="AB442" s="4"/>
      <c r="AC442" s="4"/>
      <c r="AD442" s="4"/>
      <c r="AE442" s="4"/>
    </row>
    <row r="443" spans="1:31" ht="13.2">
      <c r="A443" s="7"/>
      <c r="B443" s="7"/>
      <c r="C443" s="7"/>
      <c r="D443" s="29"/>
      <c r="E443" s="7"/>
      <c r="F443" s="7"/>
      <c r="G443" s="7"/>
      <c r="H443" s="16"/>
      <c r="I443" s="16"/>
      <c r="J443" s="16"/>
      <c r="K443" s="16"/>
      <c r="L443" s="16"/>
      <c r="M443" s="16"/>
      <c r="N443" s="16"/>
      <c r="O443" s="16"/>
      <c r="P443" s="16"/>
      <c r="Q443" s="4"/>
      <c r="R443" s="4"/>
      <c r="S443" s="4"/>
      <c r="T443" s="4"/>
      <c r="U443" s="4"/>
      <c r="V443" s="4"/>
      <c r="W443" s="4"/>
      <c r="X443" s="4"/>
      <c r="Y443" s="4"/>
      <c r="Z443" s="4"/>
      <c r="AA443" s="4"/>
      <c r="AB443" s="4"/>
      <c r="AC443" s="4"/>
      <c r="AD443" s="4"/>
      <c r="AE443" s="4"/>
    </row>
    <row r="444" spans="1:31" ht="13.2">
      <c r="A444" s="7"/>
      <c r="B444" s="7"/>
      <c r="C444" s="7"/>
      <c r="D444" s="29"/>
      <c r="E444" s="7"/>
      <c r="F444" s="7"/>
      <c r="G444" s="7"/>
      <c r="H444" s="16"/>
      <c r="I444" s="16"/>
      <c r="J444" s="16"/>
      <c r="K444" s="16"/>
      <c r="L444" s="16"/>
      <c r="M444" s="16"/>
      <c r="N444" s="16"/>
      <c r="O444" s="16"/>
      <c r="P444" s="16"/>
      <c r="Q444" s="4"/>
      <c r="R444" s="4"/>
      <c r="S444" s="4"/>
      <c r="T444" s="4"/>
      <c r="U444" s="4"/>
      <c r="V444" s="4"/>
      <c r="W444" s="4"/>
      <c r="X444" s="4"/>
      <c r="Y444" s="4"/>
      <c r="Z444" s="4"/>
      <c r="AA444" s="4"/>
      <c r="AB444" s="4"/>
      <c r="AC444" s="4"/>
      <c r="AD444" s="4"/>
      <c r="AE444" s="4"/>
    </row>
    <row r="445" spans="1:31" ht="13.2">
      <c r="A445" s="7"/>
      <c r="B445" s="7"/>
      <c r="C445" s="7"/>
      <c r="D445" s="29"/>
      <c r="E445" s="7"/>
      <c r="F445" s="7"/>
      <c r="G445" s="7"/>
      <c r="H445" s="16"/>
      <c r="I445" s="16"/>
      <c r="J445" s="16"/>
      <c r="K445" s="16"/>
      <c r="L445" s="16"/>
      <c r="M445" s="16"/>
      <c r="N445" s="16"/>
      <c r="O445" s="16"/>
      <c r="P445" s="16"/>
      <c r="Q445" s="4"/>
      <c r="R445" s="4"/>
      <c r="S445" s="4"/>
      <c r="T445" s="4"/>
      <c r="U445" s="4"/>
      <c r="V445" s="4"/>
      <c r="W445" s="4"/>
      <c r="X445" s="4"/>
      <c r="Y445" s="4"/>
      <c r="Z445" s="4"/>
      <c r="AA445" s="4"/>
      <c r="AB445" s="4"/>
      <c r="AC445" s="4"/>
      <c r="AD445" s="4"/>
      <c r="AE445" s="4"/>
    </row>
    <row r="446" spans="1:31" ht="13.2">
      <c r="A446" s="7"/>
      <c r="B446" s="7"/>
      <c r="C446" s="7"/>
      <c r="D446" s="29"/>
      <c r="E446" s="7"/>
      <c r="F446" s="7"/>
      <c r="G446" s="7"/>
      <c r="H446" s="16"/>
      <c r="I446" s="16"/>
      <c r="J446" s="16"/>
      <c r="K446" s="16"/>
      <c r="L446" s="16"/>
      <c r="M446" s="16"/>
      <c r="N446" s="16"/>
      <c r="O446" s="16"/>
      <c r="P446" s="16"/>
      <c r="Q446" s="4"/>
      <c r="R446" s="4"/>
      <c r="S446" s="4"/>
      <c r="T446" s="4"/>
      <c r="U446" s="4"/>
      <c r="V446" s="4"/>
      <c r="W446" s="4"/>
      <c r="X446" s="4"/>
      <c r="Y446" s="4"/>
      <c r="Z446" s="4"/>
      <c r="AA446" s="4"/>
      <c r="AB446" s="4"/>
      <c r="AC446" s="4"/>
      <c r="AD446" s="4"/>
      <c r="AE446" s="4"/>
    </row>
    <row r="447" spans="1:31" ht="13.2">
      <c r="A447" s="7"/>
      <c r="B447" s="7"/>
      <c r="C447" s="7"/>
      <c r="D447" s="29"/>
      <c r="E447" s="7"/>
      <c r="F447" s="7"/>
      <c r="G447" s="7"/>
      <c r="H447" s="16"/>
      <c r="I447" s="16"/>
      <c r="J447" s="16"/>
      <c r="K447" s="16"/>
      <c r="L447" s="16"/>
      <c r="M447" s="16"/>
      <c r="N447" s="16"/>
      <c r="O447" s="16"/>
      <c r="P447" s="16"/>
      <c r="Q447" s="4"/>
      <c r="R447" s="4"/>
      <c r="S447" s="4"/>
      <c r="T447" s="4"/>
      <c r="U447" s="4"/>
      <c r="V447" s="4"/>
      <c r="W447" s="4"/>
      <c r="X447" s="4"/>
      <c r="Y447" s="4"/>
      <c r="Z447" s="4"/>
      <c r="AA447" s="4"/>
      <c r="AB447" s="4"/>
      <c r="AC447" s="4"/>
      <c r="AD447" s="4"/>
      <c r="AE447" s="4"/>
    </row>
    <row r="448" spans="1:31" ht="13.2">
      <c r="A448" s="7"/>
      <c r="B448" s="7"/>
      <c r="C448" s="7"/>
      <c r="D448" s="29"/>
      <c r="E448" s="7"/>
      <c r="F448" s="7"/>
      <c r="G448" s="7"/>
      <c r="H448" s="16"/>
      <c r="I448" s="16"/>
      <c r="J448" s="16"/>
      <c r="K448" s="16"/>
      <c r="L448" s="16"/>
      <c r="M448" s="16"/>
      <c r="N448" s="16"/>
      <c r="O448" s="16"/>
      <c r="P448" s="16"/>
      <c r="Q448" s="4"/>
      <c r="R448" s="4"/>
      <c r="S448" s="4"/>
      <c r="T448" s="4"/>
      <c r="U448" s="4"/>
      <c r="V448" s="4"/>
      <c r="W448" s="4"/>
      <c r="X448" s="4"/>
      <c r="Y448" s="4"/>
      <c r="Z448" s="4"/>
      <c r="AA448" s="4"/>
      <c r="AB448" s="4"/>
      <c r="AC448" s="4"/>
      <c r="AD448" s="4"/>
      <c r="AE448" s="4"/>
    </row>
    <row r="449" spans="1:31" ht="13.2">
      <c r="A449" s="7"/>
      <c r="B449" s="7"/>
      <c r="C449" s="7"/>
      <c r="D449" s="29"/>
      <c r="E449" s="7"/>
      <c r="F449" s="7"/>
      <c r="G449" s="7"/>
      <c r="H449" s="16"/>
      <c r="I449" s="16"/>
      <c r="J449" s="16"/>
      <c r="K449" s="16"/>
      <c r="L449" s="16"/>
      <c r="M449" s="16"/>
      <c r="N449" s="16"/>
      <c r="O449" s="16"/>
      <c r="P449" s="16"/>
      <c r="Q449" s="4"/>
      <c r="R449" s="4"/>
      <c r="S449" s="4"/>
      <c r="T449" s="4"/>
      <c r="U449" s="4"/>
      <c r="V449" s="4"/>
      <c r="W449" s="4"/>
      <c r="X449" s="4"/>
      <c r="Y449" s="4"/>
      <c r="Z449" s="4"/>
      <c r="AA449" s="4"/>
      <c r="AB449" s="4"/>
      <c r="AC449" s="4"/>
      <c r="AD449" s="4"/>
      <c r="AE449" s="4"/>
    </row>
    <row r="450" spans="1:31" ht="13.2">
      <c r="A450" s="7"/>
      <c r="B450" s="7"/>
      <c r="C450" s="7"/>
      <c r="D450" s="29"/>
      <c r="E450" s="7"/>
      <c r="F450" s="7"/>
      <c r="G450" s="7"/>
      <c r="H450" s="16"/>
      <c r="I450" s="16"/>
      <c r="J450" s="16"/>
      <c r="K450" s="16"/>
      <c r="L450" s="16"/>
      <c r="M450" s="16"/>
      <c r="N450" s="16"/>
      <c r="O450" s="16"/>
      <c r="P450" s="16"/>
      <c r="Q450" s="4"/>
      <c r="R450" s="4"/>
      <c r="S450" s="4"/>
      <c r="T450" s="4"/>
      <c r="U450" s="4"/>
      <c r="V450" s="4"/>
      <c r="W450" s="4"/>
      <c r="X450" s="4"/>
      <c r="Y450" s="4"/>
      <c r="Z450" s="4"/>
      <c r="AA450" s="4"/>
      <c r="AB450" s="4"/>
      <c r="AC450" s="4"/>
      <c r="AD450" s="4"/>
      <c r="AE450" s="4"/>
    </row>
    <row r="451" spans="1:31" ht="13.2">
      <c r="A451" s="7"/>
      <c r="B451" s="7"/>
      <c r="C451" s="7"/>
      <c r="D451" s="29"/>
      <c r="E451" s="7"/>
      <c r="F451" s="7"/>
      <c r="G451" s="7"/>
      <c r="H451" s="16"/>
      <c r="I451" s="16"/>
      <c r="J451" s="16"/>
      <c r="K451" s="16"/>
      <c r="L451" s="16"/>
      <c r="M451" s="16"/>
      <c r="N451" s="16"/>
      <c r="O451" s="16"/>
      <c r="P451" s="16"/>
      <c r="Q451" s="4"/>
      <c r="R451" s="4"/>
      <c r="S451" s="4"/>
      <c r="T451" s="4"/>
      <c r="U451" s="4"/>
      <c r="V451" s="4"/>
      <c r="W451" s="4"/>
      <c r="X451" s="4"/>
      <c r="Y451" s="4"/>
      <c r="Z451" s="4"/>
      <c r="AA451" s="4"/>
      <c r="AB451" s="4"/>
      <c r="AC451" s="4"/>
      <c r="AD451" s="4"/>
      <c r="AE451" s="4"/>
    </row>
    <row r="452" spans="1:31" ht="13.2">
      <c r="A452" s="7"/>
      <c r="B452" s="7"/>
      <c r="C452" s="7"/>
      <c r="D452" s="29"/>
      <c r="E452" s="7"/>
      <c r="F452" s="7"/>
      <c r="G452" s="7"/>
      <c r="H452" s="16"/>
      <c r="I452" s="16"/>
      <c r="J452" s="16"/>
      <c r="K452" s="16"/>
      <c r="L452" s="16"/>
      <c r="M452" s="16"/>
      <c r="N452" s="16"/>
      <c r="O452" s="16"/>
      <c r="P452" s="16"/>
      <c r="Q452" s="4"/>
      <c r="R452" s="4"/>
      <c r="S452" s="4"/>
      <c r="T452" s="4"/>
      <c r="U452" s="4"/>
      <c r="V452" s="4"/>
      <c r="W452" s="4"/>
      <c r="X452" s="4"/>
      <c r="Y452" s="4"/>
      <c r="Z452" s="4"/>
      <c r="AA452" s="4"/>
      <c r="AB452" s="4"/>
      <c r="AC452" s="4"/>
      <c r="AD452" s="4"/>
      <c r="AE452" s="4"/>
    </row>
    <row r="453" spans="1:31" ht="13.2">
      <c r="A453" s="7"/>
      <c r="B453" s="7"/>
      <c r="C453" s="7"/>
      <c r="D453" s="29"/>
      <c r="E453" s="7"/>
      <c r="F453" s="7"/>
      <c r="G453" s="7"/>
      <c r="H453" s="16"/>
      <c r="I453" s="16"/>
      <c r="J453" s="16"/>
      <c r="K453" s="16"/>
      <c r="L453" s="16"/>
      <c r="M453" s="16"/>
      <c r="N453" s="16"/>
      <c r="O453" s="16"/>
      <c r="P453" s="16"/>
      <c r="Q453" s="4"/>
      <c r="R453" s="4"/>
      <c r="S453" s="4"/>
      <c r="T453" s="4"/>
      <c r="U453" s="4"/>
      <c r="V453" s="4"/>
      <c r="W453" s="4"/>
      <c r="X453" s="4"/>
      <c r="Y453" s="4"/>
      <c r="Z453" s="4"/>
      <c r="AA453" s="4"/>
      <c r="AB453" s="4"/>
      <c r="AC453" s="4"/>
      <c r="AD453" s="4"/>
      <c r="AE453" s="4"/>
    </row>
    <row r="454" spans="1:31" ht="13.2">
      <c r="A454" s="7"/>
      <c r="B454" s="7"/>
      <c r="C454" s="7"/>
      <c r="D454" s="29"/>
      <c r="E454" s="7"/>
      <c r="F454" s="7"/>
      <c r="G454" s="7"/>
      <c r="H454" s="16"/>
      <c r="I454" s="16"/>
      <c r="J454" s="16"/>
      <c r="K454" s="16"/>
      <c r="L454" s="16"/>
      <c r="M454" s="16"/>
      <c r="N454" s="16"/>
      <c r="O454" s="16"/>
      <c r="P454" s="16"/>
      <c r="Q454" s="4"/>
      <c r="R454" s="4"/>
      <c r="S454" s="4"/>
      <c r="T454" s="4"/>
      <c r="U454" s="4"/>
      <c r="V454" s="4"/>
      <c r="W454" s="4"/>
      <c r="X454" s="4"/>
      <c r="Y454" s="4"/>
      <c r="Z454" s="4"/>
      <c r="AA454" s="4"/>
      <c r="AB454" s="4"/>
      <c r="AC454" s="4"/>
      <c r="AD454" s="4"/>
      <c r="AE454" s="4"/>
    </row>
    <row r="455" spans="1:31" ht="13.2">
      <c r="A455" s="7"/>
      <c r="B455" s="7"/>
      <c r="C455" s="7"/>
      <c r="D455" s="29"/>
      <c r="E455" s="7"/>
      <c r="F455" s="7"/>
      <c r="G455" s="7"/>
      <c r="H455" s="16"/>
      <c r="I455" s="16"/>
      <c r="J455" s="16"/>
      <c r="K455" s="16"/>
      <c r="L455" s="16"/>
      <c r="M455" s="16"/>
      <c r="N455" s="16"/>
      <c r="O455" s="16"/>
      <c r="P455" s="16"/>
      <c r="Q455" s="4"/>
      <c r="R455" s="4"/>
      <c r="S455" s="4"/>
      <c r="T455" s="4"/>
      <c r="U455" s="4"/>
      <c r="V455" s="4"/>
      <c r="W455" s="4"/>
      <c r="X455" s="4"/>
      <c r="Y455" s="4"/>
      <c r="Z455" s="4"/>
      <c r="AA455" s="4"/>
      <c r="AB455" s="4"/>
      <c r="AC455" s="4"/>
      <c r="AD455" s="4"/>
      <c r="AE455" s="4"/>
    </row>
    <row r="456" spans="1:31" ht="13.2">
      <c r="A456" s="7"/>
      <c r="B456" s="7"/>
      <c r="C456" s="7"/>
      <c r="D456" s="29"/>
      <c r="E456" s="7"/>
      <c r="F456" s="7"/>
      <c r="G456" s="7"/>
      <c r="H456" s="16"/>
      <c r="I456" s="16"/>
      <c r="J456" s="16"/>
      <c r="K456" s="16"/>
      <c r="L456" s="16"/>
      <c r="M456" s="16"/>
      <c r="N456" s="16"/>
      <c r="O456" s="16"/>
      <c r="P456" s="16"/>
      <c r="Q456" s="4"/>
      <c r="R456" s="4"/>
      <c r="S456" s="4"/>
      <c r="T456" s="4"/>
      <c r="U456" s="4"/>
      <c r="V456" s="4"/>
      <c r="W456" s="4"/>
      <c r="X456" s="4"/>
      <c r="Y456" s="4"/>
      <c r="Z456" s="4"/>
      <c r="AA456" s="4"/>
      <c r="AB456" s="4"/>
      <c r="AC456" s="4"/>
      <c r="AD456" s="4"/>
      <c r="AE456" s="4"/>
    </row>
    <row r="457" spans="1:31" ht="13.2">
      <c r="A457" s="7"/>
      <c r="B457" s="7"/>
      <c r="C457" s="7"/>
      <c r="D457" s="29"/>
      <c r="E457" s="7"/>
      <c r="F457" s="7"/>
      <c r="G457" s="7"/>
      <c r="H457" s="16"/>
      <c r="I457" s="16"/>
      <c r="J457" s="16"/>
      <c r="K457" s="16"/>
      <c r="L457" s="16"/>
      <c r="M457" s="16"/>
      <c r="N457" s="16"/>
      <c r="O457" s="16"/>
      <c r="P457" s="16"/>
      <c r="Q457" s="4"/>
      <c r="R457" s="4"/>
      <c r="S457" s="4"/>
      <c r="T457" s="4"/>
      <c r="U457" s="4"/>
      <c r="V457" s="4"/>
      <c r="W457" s="4"/>
      <c r="X457" s="4"/>
      <c r="Y457" s="4"/>
      <c r="Z457" s="4"/>
      <c r="AA457" s="4"/>
      <c r="AB457" s="4"/>
      <c r="AC457" s="4"/>
      <c r="AD457" s="4"/>
      <c r="AE457" s="4"/>
    </row>
    <row r="458" spans="1:31" ht="13.2">
      <c r="A458" s="7"/>
      <c r="B458" s="7"/>
      <c r="C458" s="7"/>
      <c r="D458" s="29"/>
      <c r="E458" s="7"/>
      <c r="F458" s="7"/>
      <c r="G458" s="7"/>
      <c r="H458" s="16"/>
      <c r="I458" s="16"/>
      <c r="J458" s="16"/>
      <c r="K458" s="16"/>
      <c r="L458" s="16"/>
      <c r="M458" s="16"/>
      <c r="N458" s="16"/>
      <c r="O458" s="16"/>
      <c r="P458" s="16"/>
      <c r="Q458" s="4"/>
      <c r="R458" s="4"/>
      <c r="S458" s="4"/>
      <c r="T458" s="4"/>
      <c r="U458" s="4"/>
      <c r="V458" s="4"/>
      <c r="W458" s="4"/>
      <c r="X458" s="4"/>
      <c r="Y458" s="4"/>
      <c r="Z458" s="4"/>
      <c r="AA458" s="4"/>
      <c r="AB458" s="4"/>
      <c r="AC458" s="4"/>
      <c r="AD458" s="4"/>
      <c r="AE458" s="4"/>
    </row>
    <row r="459" spans="1:31" ht="13.2">
      <c r="A459" s="7"/>
      <c r="B459" s="7"/>
      <c r="C459" s="7"/>
      <c r="D459" s="29"/>
      <c r="E459" s="7"/>
      <c r="F459" s="7"/>
      <c r="G459" s="7"/>
      <c r="H459" s="16"/>
      <c r="I459" s="16"/>
      <c r="J459" s="16"/>
      <c r="K459" s="16"/>
      <c r="L459" s="16"/>
      <c r="M459" s="16"/>
      <c r="N459" s="16"/>
      <c r="O459" s="16"/>
      <c r="P459" s="16"/>
      <c r="Q459" s="4"/>
      <c r="R459" s="4"/>
      <c r="S459" s="4"/>
      <c r="T459" s="4"/>
      <c r="U459" s="4"/>
      <c r="V459" s="4"/>
      <c r="W459" s="4"/>
      <c r="X459" s="4"/>
      <c r="Y459" s="4"/>
      <c r="Z459" s="4"/>
      <c r="AA459" s="4"/>
      <c r="AB459" s="4"/>
      <c r="AC459" s="4"/>
      <c r="AD459" s="4"/>
      <c r="AE459" s="4"/>
    </row>
    <row r="460" spans="1:31" ht="13.2">
      <c r="A460" s="7"/>
      <c r="B460" s="7"/>
      <c r="C460" s="7"/>
      <c r="D460" s="29"/>
      <c r="E460" s="7"/>
      <c r="F460" s="7"/>
      <c r="G460" s="7"/>
      <c r="H460" s="16"/>
      <c r="I460" s="16"/>
      <c r="J460" s="16"/>
      <c r="K460" s="16"/>
      <c r="L460" s="16"/>
      <c r="M460" s="16"/>
      <c r="N460" s="16"/>
      <c r="O460" s="16"/>
      <c r="P460" s="16"/>
      <c r="Q460" s="4"/>
      <c r="R460" s="4"/>
      <c r="S460" s="4"/>
      <c r="T460" s="4"/>
      <c r="U460" s="4"/>
      <c r="V460" s="4"/>
      <c r="W460" s="4"/>
      <c r="X460" s="4"/>
      <c r="Y460" s="4"/>
      <c r="Z460" s="4"/>
      <c r="AA460" s="4"/>
      <c r="AB460" s="4"/>
      <c r="AC460" s="4"/>
      <c r="AD460" s="4"/>
      <c r="AE460" s="4"/>
    </row>
    <row r="461" spans="1:31" ht="13.2">
      <c r="A461" s="7"/>
      <c r="B461" s="7"/>
      <c r="C461" s="7"/>
      <c r="D461" s="29"/>
      <c r="E461" s="7"/>
      <c r="F461" s="7"/>
      <c r="G461" s="7"/>
      <c r="H461" s="16"/>
      <c r="I461" s="16"/>
      <c r="J461" s="16"/>
      <c r="K461" s="16"/>
      <c r="L461" s="16"/>
      <c r="M461" s="16"/>
      <c r="N461" s="16"/>
      <c r="O461" s="16"/>
      <c r="P461" s="16"/>
      <c r="Q461" s="4"/>
      <c r="R461" s="4"/>
      <c r="S461" s="4"/>
      <c r="T461" s="4"/>
      <c r="U461" s="4"/>
      <c r="V461" s="4"/>
      <c r="W461" s="4"/>
      <c r="X461" s="4"/>
      <c r="Y461" s="4"/>
      <c r="Z461" s="4"/>
      <c r="AA461" s="4"/>
      <c r="AB461" s="4"/>
      <c r="AC461" s="4"/>
      <c r="AD461" s="4"/>
      <c r="AE461" s="4"/>
    </row>
    <row r="462" spans="1:31" ht="13.2">
      <c r="A462" s="7"/>
      <c r="B462" s="7"/>
      <c r="C462" s="7"/>
      <c r="D462" s="29"/>
      <c r="E462" s="7"/>
      <c r="F462" s="7"/>
      <c r="G462" s="7"/>
      <c r="H462" s="16"/>
      <c r="I462" s="16"/>
      <c r="J462" s="16"/>
      <c r="K462" s="16"/>
      <c r="L462" s="16"/>
      <c r="M462" s="16"/>
      <c r="N462" s="16"/>
      <c r="O462" s="16"/>
      <c r="P462" s="16"/>
      <c r="Q462" s="4"/>
      <c r="R462" s="4"/>
      <c r="S462" s="4"/>
      <c r="T462" s="4"/>
      <c r="U462" s="4"/>
      <c r="V462" s="4"/>
      <c r="W462" s="4"/>
      <c r="X462" s="4"/>
      <c r="Y462" s="4"/>
      <c r="Z462" s="4"/>
      <c r="AA462" s="4"/>
      <c r="AB462" s="4"/>
      <c r="AC462" s="4"/>
      <c r="AD462" s="4"/>
      <c r="AE462" s="4"/>
    </row>
    <row r="463" spans="1:31" ht="13.2">
      <c r="A463" s="7"/>
      <c r="B463" s="7"/>
      <c r="C463" s="7"/>
      <c r="D463" s="29"/>
      <c r="E463" s="7"/>
      <c r="F463" s="7"/>
      <c r="G463" s="7"/>
      <c r="H463" s="16"/>
      <c r="I463" s="16"/>
      <c r="J463" s="16"/>
      <c r="K463" s="16"/>
      <c r="L463" s="16"/>
      <c r="M463" s="16"/>
      <c r="N463" s="16"/>
      <c r="O463" s="16"/>
      <c r="P463" s="16"/>
      <c r="Q463" s="4"/>
      <c r="R463" s="4"/>
      <c r="S463" s="4"/>
      <c r="T463" s="4"/>
      <c r="U463" s="4"/>
      <c r="V463" s="4"/>
      <c r="W463" s="4"/>
      <c r="X463" s="4"/>
      <c r="Y463" s="4"/>
      <c r="Z463" s="4"/>
      <c r="AA463" s="4"/>
      <c r="AB463" s="4"/>
      <c r="AC463" s="4"/>
      <c r="AD463" s="4"/>
      <c r="AE463" s="4"/>
    </row>
    <row r="464" spans="1:31" ht="13.2">
      <c r="A464" s="7"/>
      <c r="B464" s="7"/>
      <c r="C464" s="7"/>
      <c r="D464" s="29"/>
      <c r="E464" s="7"/>
      <c r="F464" s="7"/>
      <c r="G464" s="7"/>
      <c r="H464" s="16"/>
      <c r="I464" s="16"/>
      <c r="J464" s="16"/>
      <c r="K464" s="16"/>
      <c r="L464" s="16"/>
      <c r="M464" s="16"/>
      <c r="N464" s="16"/>
      <c r="O464" s="16"/>
      <c r="P464" s="16"/>
      <c r="Q464" s="4"/>
      <c r="R464" s="4"/>
      <c r="S464" s="4"/>
      <c r="T464" s="4"/>
      <c r="U464" s="4"/>
      <c r="V464" s="4"/>
      <c r="W464" s="4"/>
      <c r="X464" s="4"/>
      <c r="Y464" s="4"/>
      <c r="Z464" s="4"/>
      <c r="AA464" s="4"/>
      <c r="AB464" s="4"/>
      <c r="AC464" s="4"/>
      <c r="AD464" s="4"/>
      <c r="AE464" s="4"/>
    </row>
    <row r="465" spans="1:31" ht="13.2">
      <c r="A465" s="7"/>
      <c r="B465" s="7"/>
      <c r="C465" s="7"/>
      <c r="D465" s="29"/>
      <c r="E465" s="7"/>
      <c r="F465" s="7"/>
      <c r="G465" s="7"/>
      <c r="H465" s="16"/>
      <c r="I465" s="16"/>
      <c r="J465" s="16"/>
      <c r="K465" s="16"/>
      <c r="L465" s="16"/>
      <c r="M465" s="16"/>
      <c r="N465" s="16"/>
      <c r="O465" s="16"/>
      <c r="P465" s="16"/>
      <c r="Q465" s="4"/>
      <c r="R465" s="4"/>
      <c r="S465" s="4"/>
      <c r="T465" s="4"/>
      <c r="U465" s="4"/>
      <c r="V465" s="4"/>
      <c r="W465" s="4"/>
      <c r="X465" s="4"/>
      <c r="Y465" s="4"/>
      <c r="Z465" s="4"/>
      <c r="AA465" s="4"/>
      <c r="AB465" s="4"/>
      <c r="AC465" s="4"/>
      <c r="AD465" s="4"/>
      <c r="AE465" s="4"/>
    </row>
    <row r="466" spans="1:31" ht="13.2">
      <c r="A466" s="7"/>
      <c r="B466" s="7"/>
      <c r="C466" s="7"/>
      <c r="D466" s="29"/>
      <c r="E466" s="7"/>
      <c r="F466" s="7"/>
      <c r="G466" s="7"/>
      <c r="H466" s="16"/>
      <c r="I466" s="16"/>
      <c r="J466" s="16"/>
      <c r="K466" s="16"/>
      <c r="L466" s="16"/>
      <c r="M466" s="16"/>
      <c r="N466" s="16"/>
      <c r="O466" s="16"/>
      <c r="P466" s="16"/>
      <c r="Q466" s="4"/>
      <c r="R466" s="4"/>
      <c r="S466" s="4"/>
      <c r="T466" s="4"/>
      <c r="U466" s="4"/>
      <c r="V466" s="4"/>
      <c r="W466" s="4"/>
      <c r="X466" s="4"/>
      <c r="Y466" s="4"/>
      <c r="Z466" s="4"/>
      <c r="AA466" s="4"/>
      <c r="AB466" s="4"/>
      <c r="AC466" s="4"/>
      <c r="AD466" s="4"/>
      <c r="AE466" s="4"/>
    </row>
    <row r="467" spans="1:31" ht="13.2">
      <c r="A467" s="7"/>
      <c r="B467" s="7"/>
      <c r="C467" s="7"/>
      <c r="D467" s="29"/>
      <c r="E467" s="7"/>
      <c r="F467" s="7"/>
      <c r="G467" s="7"/>
      <c r="H467" s="16"/>
      <c r="I467" s="16"/>
      <c r="J467" s="16"/>
      <c r="K467" s="16"/>
      <c r="L467" s="16"/>
      <c r="M467" s="16"/>
      <c r="N467" s="16"/>
      <c r="O467" s="16"/>
      <c r="P467" s="16"/>
      <c r="Q467" s="4"/>
      <c r="R467" s="4"/>
      <c r="S467" s="4"/>
      <c r="T467" s="4"/>
      <c r="U467" s="4"/>
      <c r="V467" s="4"/>
      <c r="W467" s="4"/>
      <c r="X467" s="4"/>
      <c r="Y467" s="4"/>
      <c r="Z467" s="4"/>
      <c r="AA467" s="4"/>
      <c r="AB467" s="4"/>
      <c r="AC467" s="4"/>
      <c r="AD467" s="4"/>
      <c r="AE467" s="4"/>
    </row>
    <row r="468" spans="1:31" ht="13.2">
      <c r="A468" s="7"/>
      <c r="B468" s="7"/>
      <c r="C468" s="7"/>
      <c r="D468" s="29"/>
      <c r="E468" s="7"/>
      <c r="F468" s="7"/>
      <c r="G468" s="7"/>
      <c r="H468" s="16"/>
      <c r="I468" s="16"/>
      <c r="J468" s="16"/>
      <c r="K468" s="16"/>
      <c r="L468" s="16"/>
      <c r="M468" s="16"/>
      <c r="N468" s="16"/>
      <c r="O468" s="16"/>
      <c r="P468" s="16"/>
      <c r="Q468" s="4"/>
      <c r="R468" s="4"/>
      <c r="S468" s="4"/>
      <c r="T468" s="4"/>
      <c r="U468" s="4"/>
      <c r="V468" s="4"/>
      <c r="W468" s="4"/>
      <c r="X468" s="4"/>
      <c r="Y468" s="4"/>
      <c r="Z468" s="4"/>
      <c r="AA468" s="4"/>
      <c r="AB468" s="4"/>
      <c r="AC468" s="4"/>
      <c r="AD468" s="4"/>
      <c r="AE468" s="4"/>
    </row>
    <row r="469" spans="1:31" ht="13.2">
      <c r="A469" s="7"/>
      <c r="B469" s="7"/>
      <c r="C469" s="7"/>
      <c r="D469" s="29"/>
      <c r="E469" s="7"/>
      <c r="F469" s="7"/>
      <c r="G469" s="7"/>
      <c r="H469" s="16"/>
      <c r="I469" s="16"/>
      <c r="J469" s="16"/>
      <c r="K469" s="16"/>
      <c r="L469" s="16"/>
      <c r="M469" s="16"/>
      <c r="N469" s="16"/>
      <c r="O469" s="16"/>
      <c r="P469" s="16"/>
      <c r="Q469" s="4"/>
      <c r="R469" s="4"/>
      <c r="S469" s="4"/>
      <c r="T469" s="4"/>
      <c r="U469" s="4"/>
      <c r="V469" s="4"/>
      <c r="W469" s="4"/>
      <c r="X469" s="4"/>
      <c r="Y469" s="4"/>
      <c r="Z469" s="4"/>
      <c r="AA469" s="4"/>
      <c r="AB469" s="4"/>
      <c r="AC469" s="4"/>
      <c r="AD469" s="4"/>
      <c r="AE469" s="4"/>
    </row>
    <row r="470" spans="1:31" ht="13.2">
      <c r="A470" s="7"/>
      <c r="B470" s="7"/>
      <c r="C470" s="7"/>
      <c r="D470" s="29"/>
      <c r="E470" s="7"/>
      <c r="F470" s="7"/>
      <c r="G470" s="7"/>
      <c r="H470" s="16"/>
      <c r="I470" s="16"/>
      <c r="J470" s="16"/>
      <c r="K470" s="16"/>
      <c r="L470" s="16"/>
      <c r="M470" s="16"/>
      <c r="N470" s="16"/>
      <c r="O470" s="16"/>
      <c r="P470" s="16"/>
      <c r="Q470" s="4"/>
      <c r="R470" s="4"/>
      <c r="S470" s="4"/>
      <c r="T470" s="4"/>
      <c r="U470" s="4"/>
      <c r="V470" s="4"/>
      <c r="W470" s="4"/>
      <c r="X470" s="4"/>
      <c r="Y470" s="4"/>
      <c r="Z470" s="4"/>
      <c r="AA470" s="4"/>
      <c r="AB470" s="4"/>
      <c r="AC470" s="4"/>
      <c r="AD470" s="4"/>
      <c r="AE470" s="4"/>
    </row>
    <row r="471" spans="1:31" ht="13.2">
      <c r="A471" s="7"/>
      <c r="B471" s="7"/>
      <c r="C471" s="7"/>
      <c r="D471" s="29"/>
      <c r="E471" s="7"/>
      <c r="F471" s="7"/>
      <c r="G471" s="7"/>
      <c r="H471" s="16"/>
      <c r="I471" s="16"/>
      <c r="J471" s="16"/>
      <c r="K471" s="16"/>
      <c r="L471" s="16"/>
      <c r="M471" s="16"/>
      <c r="N471" s="16"/>
      <c r="O471" s="16"/>
      <c r="P471" s="16"/>
      <c r="Q471" s="4"/>
      <c r="R471" s="4"/>
      <c r="S471" s="4"/>
      <c r="T471" s="4"/>
      <c r="U471" s="4"/>
      <c r="V471" s="4"/>
      <c r="W471" s="4"/>
      <c r="X471" s="4"/>
      <c r="Y471" s="4"/>
      <c r="Z471" s="4"/>
      <c r="AA471" s="4"/>
      <c r="AB471" s="4"/>
      <c r="AC471" s="4"/>
      <c r="AD471" s="4"/>
      <c r="AE471" s="4"/>
    </row>
    <row r="472" spans="1:31" ht="13.2">
      <c r="A472" s="7"/>
      <c r="B472" s="7"/>
      <c r="C472" s="7"/>
      <c r="D472" s="29"/>
      <c r="E472" s="7"/>
      <c r="F472" s="7"/>
      <c r="G472" s="7"/>
      <c r="H472" s="16"/>
      <c r="I472" s="16"/>
      <c r="J472" s="16"/>
      <c r="K472" s="16"/>
      <c r="L472" s="16"/>
      <c r="M472" s="16"/>
      <c r="N472" s="16"/>
      <c r="O472" s="16"/>
      <c r="P472" s="16"/>
      <c r="Q472" s="4"/>
      <c r="R472" s="4"/>
      <c r="S472" s="4"/>
      <c r="T472" s="4"/>
      <c r="U472" s="4"/>
      <c r="V472" s="4"/>
      <c r="W472" s="4"/>
      <c r="X472" s="4"/>
      <c r="Y472" s="4"/>
      <c r="Z472" s="4"/>
      <c r="AA472" s="4"/>
      <c r="AB472" s="4"/>
      <c r="AC472" s="4"/>
      <c r="AD472" s="4"/>
      <c r="AE472" s="4"/>
    </row>
    <row r="473" spans="1:31" ht="13.2">
      <c r="A473" s="7"/>
      <c r="B473" s="7"/>
      <c r="C473" s="7"/>
      <c r="D473" s="29"/>
      <c r="E473" s="7"/>
      <c r="F473" s="7"/>
      <c r="G473" s="7"/>
      <c r="H473" s="16"/>
      <c r="I473" s="16"/>
      <c r="J473" s="16"/>
      <c r="K473" s="16"/>
      <c r="L473" s="16"/>
      <c r="M473" s="16"/>
      <c r="N473" s="16"/>
      <c r="O473" s="16"/>
      <c r="P473" s="16"/>
      <c r="Q473" s="4"/>
      <c r="R473" s="4"/>
      <c r="S473" s="4"/>
      <c r="T473" s="4"/>
      <c r="U473" s="4"/>
      <c r="V473" s="4"/>
      <c r="W473" s="4"/>
      <c r="X473" s="4"/>
      <c r="Y473" s="4"/>
      <c r="Z473" s="4"/>
      <c r="AA473" s="4"/>
      <c r="AB473" s="4"/>
      <c r="AC473" s="4"/>
      <c r="AD473" s="4"/>
      <c r="AE473" s="4"/>
    </row>
    <row r="474" spans="1:31" ht="13.2">
      <c r="A474" s="7"/>
      <c r="B474" s="7"/>
      <c r="C474" s="7"/>
      <c r="D474" s="29"/>
      <c r="E474" s="7"/>
      <c r="F474" s="7"/>
      <c r="G474" s="7"/>
      <c r="H474" s="16"/>
      <c r="I474" s="16"/>
      <c r="J474" s="16"/>
      <c r="K474" s="16"/>
      <c r="L474" s="16"/>
      <c r="M474" s="16"/>
      <c r="N474" s="16"/>
      <c r="O474" s="16"/>
      <c r="P474" s="16"/>
      <c r="Q474" s="4"/>
      <c r="R474" s="4"/>
      <c r="S474" s="4"/>
      <c r="T474" s="4"/>
      <c r="U474" s="4"/>
      <c r="V474" s="4"/>
      <c r="W474" s="4"/>
      <c r="X474" s="4"/>
      <c r="Y474" s="4"/>
      <c r="Z474" s="4"/>
      <c r="AA474" s="4"/>
      <c r="AB474" s="4"/>
      <c r="AC474" s="4"/>
      <c r="AD474" s="4"/>
      <c r="AE474" s="4"/>
    </row>
    <row r="475" spans="1:31" ht="13.2">
      <c r="A475" s="7"/>
      <c r="B475" s="7"/>
      <c r="C475" s="7"/>
      <c r="D475" s="29"/>
      <c r="E475" s="7"/>
      <c r="F475" s="7"/>
      <c r="G475" s="7"/>
      <c r="H475" s="16"/>
      <c r="I475" s="16"/>
      <c r="J475" s="16"/>
      <c r="K475" s="16"/>
      <c r="L475" s="16"/>
      <c r="M475" s="16"/>
      <c r="N475" s="16"/>
      <c r="O475" s="16"/>
      <c r="P475" s="16"/>
      <c r="Q475" s="4"/>
      <c r="R475" s="4"/>
      <c r="S475" s="4"/>
      <c r="T475" s="4"/>
      <c r="U475" s="4"/>
      <c r="V475" s="4"/>
      <c r="W475" s="4"/>
      <c r="X475" s="4"/>
      <c r="Y475" s="4"/>
      <c r="Z475" s="4"/>
      <c r="AA475" s="4"/>
      <c r="AB475" s="4"/>
      <c r="AC475" s="4"/>
      <c r="AD475" s="4"/>
      <c r="AE475" s="4"/>
    </row>
    <row r="476" spans="1:31" ht="13.2">
      <c r="A476" s="7"/>
      <c r="B476" s="7"/>
      <c r="C476" s="7"/>
      <c r="D476" s="29"/>
      <c r="E476" s="7"/>
      <c r="F476" s="7"/>
      <c r="G476" s="7"/>
      <c r="H476" s="16"/>
      <c r="I476" s="16"/>
      <c r="J476" s="16"/>
      <c r="K476" s="16"/>
      <c r="L476" s="16"/>
      <c r="M476" s="16"/>
      <c r="N476" s="16"/>
      <c r="O476" s="16"/>
      <c r="P476" s="16"/>
      <c r="Q476" s="4"/>
      <c r="R476" s="4"/>
      <c r="S476" s="4"/>
      <c r="T476" s="4"/>
      <c r="U476" s="4"/>
      <c r="V476" s="4"/>
      <c r="W476" s="4"/>
      <c r="X476" s="4"/>
      <c r="Y476" s="4"/>
      <c r="Z476" s="4"/>
      <c r="AA476" s="4"/>
      <c r="AB476" s="4"/>
      <c r="AC476" s="4"/>
      <c r="AD476" s="4"/>
      <c r="AE476" s="4"/>
    </row>
    <row r="477" spans="1:31" ht="13.2">
      <c r="A477" s="7"/>
      <c r="B477" s="7"/>
      <c r="C477" s="7"/>
      <c r="D477" s="29"/>
      <c r="E477" s="7"/>
      <c r="F477" s="7"/>
      <c r="G477" s="7"/>
      <c r="H477" s="16"/>
      <c r="I477" s="16"/>
      <c r="J477" s="16"/>
      <c r="K477" s="16"/>
      <c r="L477" s="16"/>
      <c r="M477" s="16"/>
      <c r="N477" s="16"/>
      <c r="O477" s="16"/>
      <c r="P477" s="16"/>
      <c r="Q477" s="4"/>
      <c r="R477" s="4"/>
      <c r="S477" s="4"/>
      <c r="T477" s="4"/>
      <c r="U477" s="4"/>
      <c r="V477" s="4"/>
      <c r="W477" s="4"/>
      <c r="X477" s="4"/>
      <c r="Y477" s="4"/>
      <c r="Z477" s="4"/>
      <c r="AA477" s="4"/>
      <c r="AB477" s="4"/>
      <c r="AC477" s="4"/>
      <c r="AD477" s="4"/>
      <c r="AE477" s="4"/>
    </row>
    <row r="478" spans="1:31" ht="13.2">
      <c r="A478" s="7"/>
      <c r="B478" s="7"/>
      <c r="C478" s="7"/>
      <c r="D478" s="29"/>
      <c r="E478" s="7"/>
      <c r="F478" s="7"/>
      <c r="G478" s="7"/>
      <c r="H478" s="16"/>
      <c r="I478" s="16"/>
      <c r="J478" s="16"/>
      <c r="K478" s="16"/>
      <c r="L478" s="16"/>
      <c r="M478" s="16"/>
      <c r="N478" s="16"/>
      <c r="O478" s="16"/>
      <c r="P478" s="16"/>
      <c r="Q478" s="4"/>
      <c r="R478" s="4"/>
      <c r="S478" s="4"/>
      <c r="T478" s="4"/>
      <c r="U478" s="4"/>
      <c r="V478" s="4"/>
      <c r="W478" s="4"/>
      <c r="X478" s="4"/>
      <c r="Y478" s="4"/>
      <c r="Z478" s="4"/>
      <c r="AA478" s="4"/>
      <c r="AB478" s="4"/>
      <c r="AC478" s="4"/>
      <c r="AD478" s="4"/>
      <c r="AE478" s="4"/>
    </row>
    <row r="479" spans="1:31" ht="13.2">
      <c r="A479" s="7"/>
      <c r="B479" s="7"/>
      <c r="C479" s="7"/>
      <c r="D479" s="29"/>
      <c r="E479" s="7"/>
      <c r="F479" s="7"/>
      <c r="G479" s="7"/>
      <c r="H479" s="16"/>
      <c r="I479" s="16"/>
      <c r="J479" s="16"/>
      <c r="K479" s="16"/>
      <c r="L479" s="16"/>
      <c r="M479" s="16"/>
      <c r="N479" s="16"/>
      <c r="O479" s="16"/>
      <c r="P479" s="16"/>
      <c r="Q479" s="4"/>
      <c r="R479" s="4"/>
      <c r="S479" s="4"/>
      <c r="T479" s="4"/>
      <c r="U479" s="4"/>
      <c r="V479" s="4"/>
      <c r="W479" s="4"/>
      <c r="X479" s="4"/>
      <c r="Y479" s="4"/>
      <c r="Z479" s="4"/>
      <c r="AA479" s="4"/>
      <c r="AB479" s="4"/>
      <c r="AC479" s="4"/>
      <c r="AD479" s="4"/>
      <c r="AE479" s="4"/>
    </row>
    <row r="480" spans="1:31" ht="13.2">
      <c r="A480" s="7"/>
      <c r="B480" s="7"/>
      <c r="C480" s="7"/>
      <c r="D480" s="29"/>
      <c r="E480" s="7"/>
      <c r="F480" s="7"/>
      <c r="G480" s="7"/>
      <c r="H480" s="16"/>
      <c r="I480" s="16"/>
      <c r="J480" s="16"/>
      <c r="K480" s="16"/>
      <c r="L480" s="16"/>
      <c r="M480" s="16"/>
      <c r="N480" s="16"/>
      <c r="O480" s="16"/>
      <c r="P480" s="16"/>
      <c r="Q480" s="4"/>
      <c r="R480" s="4"/>
      <c r="S480" s="4"/>
      <c r="T480" s="4"/>
      <c r="U480" s="4"/>
      <c r="V480" s="4"/>
      <c r="W480" s="4"/>
      <c r="X480" s="4"/>
      <c r="Y480" s="4"/>
      <c r="Z480" s="4"/>
      <c r="AA480" s="4"/>
      <c r="AB480" s="4"/>
      <c r="AC480" s="4"/>
      <c r="AD480" s="4"/>
      <c r="AE480" s="4"/>
    </row>
    <row r="481" spans="1:31" ht="13.2">
      <c r="A481" s="7"/>
      <c r="B481" s="7"/>
      <c r="C481" s="7"/>
      <c r="D481" s="29"/>
      <c r="E481" s="7"/>
      <c r="F481" s="7"/>
      <c r="G481" s="7"/>
      <c r="H481" s="16"/>
      <c r="I481" s="16"/>
      <c r="J481" s="16"/>
      <c r="K481" s="16"/>
      <c r="L481" s="16"/>
      <c r="M481" s="16"/>
      <c r="N481" s="16"/>
      <c r="O481" s="16"/>
      <c r="P481" s="16"/>
      <c r="Q481" s="4"/>
      <c r="R481" s="4"/>
      <c r="S481" s="4"/>
      <c r="T481" s="4"/>
      <c r="U481" s="4"/>
      <c r="V481" s="4"/>
      <c r="W481" s="4"/>
      <c r="X481" s="4"/>
      <c r="Y481" s="4"/>
      <c r="Z481" s="4"/>
      <c r="AA481" s="4"/>
      <c r="AB481" s="4"/>
      <c r="AC481" s="4"/>
      <c r="AD481" s="4"/>
      <c r="AE481" s="4"/>
    </row>
    <row r="482" spans="1:31" ht="13.2">
      <c r="A482" s="7"/>
      <c r="B482" s="7"/>
      <c r="C482" s="7"/>
      <c r="D482" s="29"/>
      <c r="E482" s="7"/>
      <c r="F482" s="7"/>
      <c r="G482" s="7"/>
      <c r="H482" s="16"/>
      <c r="I482" s="16"/>
      <c r="J482" s="16"/>
      <c r="K482" s="16"/>
      <c r="L482" s="16"/>
      <c r="M482" s="16"/>
      <c r="N482" s="16"/>
      <c r="O482" s="16"/>
      <c r="P482" s="16"/>
      <c r="Q482" s="4"/>
      <c r="R482" s="4"/>
      <c r="S482" s="4"/>
      <c r="T482" s="4"/>
      <c r="U482" s="4"/>
      <c r="V482" s="4"/>
      <c r="W482" s="4"/>
      <c r="X482" s="4"/>
      <c r="Y482" s="4"/>
      <c r="Z482" s="4"/>
      <c r="AA482" s="4"/>
      <c r="AB482" s="4"/>
      <c r="AC482" s="4"/>
      <c r="AD482" s="4"/>
      <c r="AE482" s="4"/>
    </row>
    <row r="483" spans="1:31" ht="13.2">
      <c r="A483" s="7"/>
      <c r="B483" s="7"/>
      <c r="C483" s="7"/>
      <c r="D483" s="29"/>
      <c r="E483" s="7"/>
      <c r="F483" s="7"/>
      <c r="G483" s="7"/>
      <c r="H483" s="16"/>
      <c r="I483" s="16"/>
      <c r="J483" s="16"/>
      <c r="K483" s="16"/>
      <c r="L483" s="16"/>
      <c r="M483" s="16"/>
      <c r="N483" s="16"/>
      <c r="O483" s="16"/>
      <c r="P483" s="16"/>
      <c r="Q483" s="4"/>
      <c r="R483" s="4"/>
      <c r="S483" s="4"/>
      <c r="T483" s="4"/>
      <c r="U483" s="4"/>
      <c r="V483" s="4"/>
      <c r="W483" s="4"/>
      <c r="X483" s="4"/>
      <c r="Y483" s="4"/>
      <c r="Z483" s="4"/>
      <c r="AA483" s="4"/>
      <c r="AB483" s="4"/>
      <c r="AC483" s="4"/>
      <c r="AD483" s="4"/>
      <c r="AE483" s="4"/>
    </row>
    <row r="484" spans="1:31" ht="13.2">
      <c r="A484" s="7"/>
      <c r="B484" s="7"/>
      <c r="C484" s="7"/>
      <c r="D484" s="29"/>
      <c r="E484" s="7"/>
      <c r="F484" s="7"/>
      <c r="G484" s="7"/>
      <c r="H484" s="16"/>
      <c r="I484" s="16"/>
      <c r="J484" s="16"/>
      <c r="K484" s="16"/>
      <c r="L484" s="16"/>
      <c r="M484" s="16"/>
      <c r="N484" s="16"/>
      <c r="O484" s="16"/>
      <c r="P484" s="16"/>
      <c r="Q484" s="4"/>
      <c r="R484" s="4"/>
      <c r="S484" s="4"/>
      <c r="T484" s="4"/>
      <c r="U484" s="4"/>
      <c r="V484" s="4"/>
      <c r="W484" s="4"/>
      <c r="X484" s="4"/>
      <c r="Y484" s="4"/>
      <c r="Z484" s="4"/>
      <c r="AA484" s="4"/>
      <c r="AB484" s="4"/>
      <c r="AC484" s="4"/>
      <c r="AD484" s="4"/>
      <c r="AE484" s="4"/>
    </row>
    <row r="485" spans="1:31" ht="13.2">
      <c r="A485" s="7"/>
      <c r="B485" s="7"/>
      <c r="C485" s="7"/>
      <c r="D485" s="29"/>
      <c r="E485" s="7"/>
      <c r="F485" s="7"/>
      <c r="G485" s="7"/>
      <c r="H485" s="16"/>
      <c r="I485" s="16"/>
      <c r="J485" s="16"/>
      <c r="K485" s="16"/>
      <c r="L485" s="16"/>
      <c r="M485" s="16"/>
      <c r="N485" s="16"/>
      <c r="O485" s="16"/>
      <c r="P485" s="16"/>
      <c r="Q485" s="4"/>
      <c r="R485" s="4"/>
      <c r="S485" s="4"/>
      <c r="T485" s="4"/>
      <c r="U485" s="4"/>
      <c r="V485" s="4"/>
      <c r="W485" s="4"/>
      <c r="X485" s="4"/>
      <c r="Y485" s="4"/>
      <c r="Z485" s="4"/>
      <c r="AA485" s="4"/>
      <c r="AB485" s="4"/>
      <c r="AC485" s="4"/>
      <c r="AD485" s="4"/>
      <c r="AE485" s="4"/>
    </row>
    <row r="486" spans="1:31" ht="13.2">
      <c r="A486" s="7"/>
      <c r="B486" s="7"/>
      <c r="C486" s="7"/>
      <c r="D486" s="29"/>
      <c r="E486" s="7"/>
      <c r="F486" s="7"/>
      <c r="G486" s="7"/>
      <c r="H486" s="16"/>
      <c r="I486" s="16"/>
      <c r="J486" s="16"/>
      <c r="K486" s="16"/>
      <c r="L486" s="16"/>
      <c r="M486" s="16"/>
      <c r="N486" s="16"/>
      <c r="O486" s="16"/>
      <c r="P486" s="16"/>
      <c r="Q486" s="4"/>
      <c r="R486" s="4"/>
      <c r="S486" s="4"/>
      <c r="T486" s="4"/>
      <c r="U486" s="4"/>
      <c r="V486" s="4"/>
      <c r="W486" s="4"/>
      <c r="X486" s="4"/>
      <c r="Y486" s="4"/>
      <c r="Z486" s="4"/>
      <c r="AA486" s="4"/>
      <c r="AB486" s="4"/>
      <c r="AC486" s="4"/>
      <c r="AD486" s="4"/>
      <c r="AE486" s="4"/>
    </row>
    <row r="487" spans="1:31" ht="13.2">
      <c r="A487" s="7"/>
      <c r="B487" s="7"/>
      <c r="C487" s="7"/>
      <c r="D487" s="29"/>
      <c r="E487" s="7"/>
      <c r="F487" s="7"/>
      <c r="G487" s="7"/>
      <c r="H487" s="16"/>
      <c r="I487" s="16"/>
      <c r="J487" s="16"/>
      <c r="K487" s="16"/>
      <c r="L487" s="16"/>
      <c r="M487" s="16"/>
      <c r="N487" s="16"/>
      <c r="O487" s="16"/>
      <c r="P487" s="16"/>
      <c r="Q487" s="4"/>
      <c r="R487" s="4"/>
      <c r="S487" s="4"/>
      <c r="T487" s="4"/>
      <c r="U487" s="4"/>
      <c r="V487" s="4"/>
      <c r="W487" s="4"/>
      <c r="X487" s="4"/>
      <c r="Y487" s="4"/>
      <c r="Z487" s="4"/>
      <c r="AA487" s="4"/>
      <c r="AB487" s="4"/>
      <c r="AC487" s="4"/>
      <c r="AD487" s="4"/>
      <c r="AE487" s="4"/>
    </row>
    <row r="488" spans="1:31" ht="13.2">
      <c r="A488" s="7"/>
      <c r="B488" s="7"/>
      <c r="C488" s="7"/>
      <c r="D488" s="29"/>
      <c r="E488" s="7"/>
      <c r="F488" s="7"/>
      <c r="G488" s="7"/>
      <c r="H488" s="16"/>
      <c r="I488" s="16"/>
      <c r="J488" s="16"/>
      <c r="K488" s="16"/>
      <c r="L488" s="16"/>
      <c r="M488" s="16"/>
      <c r="N488" s="16"/>
      <c r="O488" s="16"/>
      <c r="P488" s="16"/>
      <c r="Q488" s="4"/>
      <c r="R488" s="4"/>
      <c r="S488" s="4"/>
      <c r="T488" s="4"/>
      <c r="U488" s="4"/>
      <c r="V488" s="4"/>
      <c r="W488" s="4"/>
      <c r="X488" s="4"/>
      <c r="Y488" s="4"/>
      <c r="Z488" s="4"/>
      <c r="AA488" s="4"/>
      <c r="AB488" s="4"/>
      <c r="AC488" s="4"/>
      <c r="AD488" s="4"/>
      <c r="AE488" s="4"/>
    </row>
    <row r="489" spans="1:31" ht="13.2">
      <c r="A489" s="7"/>
      <c r="B489" s="7"/>
      <c r="C489" s="7"/>
      <c r="D489" s="29"/>
      <c r="E489" s="7"/>
      <c r="F489" s="7"/>
      <c r="G489" s="7"/>
      <c r="H489" s="16"/>
      <c r="I489" s="16"/>
      <c r="J489" s="16"/>
      <c r="K489" s="16"/>
      <c r="L489" s="16"/>
      <c r="M489" s="16"/>
      <c r="N489" s="16"/>
      <c r="O489" s="16"/>
      <c r="P489" s="16"/>
      <c r="Q489" s="4"/>
      <c r="R489" s="4"/>
      <c r="S489" s="4"/>
      <c r="T489" s="4"/>
      <c r="U489" s="4"/>
      <c r="V489" s="4"/>
      <c r="W489" s="4"/>
      <c r="X489" s="4"/>
      <c r="Y489" s="4"/>
      <c r="Z489" s="4"/>
      <c r="AA489" s="4"/>
      <c r="AB489" s="4"/>
      <c r="AC489" s="4"/>
      <c r="AD489" s="4"/>
      <c r="AE489" s="4"/>
    </row>
    <row r="490" spans="1:31" ht="13.2">
      <c r="A490" s="7"/>
      <c r="B490" s="7"/>
      <c r="C490" s="7"/>
      <c r="D490" s="29"/>
      <c r="E490" s="7"/>
      <c r="F490" s="7"/>
      <c r="G490" s="7"/>
      <c r="H490" s="16"/>
      <c r="I490" s="16"/>
      <c r="J490" s="16"/>
      <c r="K490" s="16"/>
      <c r="L490" s="16"/>
      <c r="M490" s="16"/>
      <c r="N490" s="16"/>
      <c r="O490" s="16"/>
      <c r="P490" s="16"/>
      <c r="Q490" s="4"/>
      <c r="R490" s="4"/>
      <c r="S490" s="4"/>
      <c r="T490" s="4"/>
      <c r="U490" s="4"/>
      <c r="V490" s="4"/>
      <c r="W490" s="4"/>
      <c r="X490" s="4"/>
      <c r="Y490" s="4"/>
      <c r="Z490" s="4"/>
      <c r="AA490" s="4"/>
      <c r="AB490" s="4"/>
      <c r="AC490" s="4"/>
      <c r="AD490" s="4"/>
      <c r="AE490" s="4"/>
    </row>
    <row r="491" spans="1:31" ht="13.2">
      <c r="A491" s="7"/>
      <c r="B491" s="7"/>
      <c r="C491" s="7"/>
      <c r="D491" s="29"/>
      <c r="E491" s="7"/>
      <c r="F491" s="7"/>
      <c r="G491" s="7"/>
      <c r="H491" s="16"/>
      <c r="I491" s="16"/>
      <c r="J491" s="16"/>
      <c r="K491" s="16"/>
      <c r="L491" s="16"/>
      <c r="M491" s="16"/>
      <c r="N491" s="16"/>
      <c r="O491" s="16"/>
      <c r="P491" s="16"/>
      <c r="Q491" s="4"/>
      <c r="R491" s="4"/>
      <c r="S491" s="4"/>
      <c r="T491" s="4"/>
      <c r="U491" s="4"/>
      <c r="V491" s="4"/>
      <c r="W491" s="4"/>
      <c r="X491" s="4"/>
      <c r="Y491" s="4"/>
      <c r="Z491" s="4"/>
      <c r="AA491" s="4"/>
      <c r="AB491" s="4"/>
      <c r="AC491" s="4"/>
      <c r="AD491" s="4"/>
      <c r="AE491" s="4"/>
    </row>
    <row r="492" spans="1:31" ht="13.2">
      <c r="A492" s="7"/>
      <c r="B492" s="7"/>
      <c r="C492" s="7"/>
      <c r="D492" s="29"/>
      <c r="E492" s="7"/>
      <c r="F492" s="7"/>
      <c r="G492" s="7"/>
      <c r="H492" s="16"/>
      <c r="I492" s="16"/>
      <c r="J492" s="16"/>
      <c r="K492" s="16"/>
      <c r="L492" s="16"/>
      <c r="M492" s="16"/>
      <c r="N492" s="16"/>
      <c r="O492" s="16"/>
      <c r="P492" s="16"/>
      <c r="Q492" s="4"/>
      <c r="R492" s="4"/>
      <c r="S492" s="4"/>
      <c r="T492" s="4"/>
      <c r="U492" s="4"/>
      <c r="V492" s="4"/>
      <c r="W492" s="4"/>
      <c r="X492" s="4"/>
      <c r="Y492" s="4"/>
      <c r="Z492" s="4"/>
      <c r="AA492" s="4"/>
      <c r="AB492" s="4"/>
      <c r="AC492" s="4"/>
      <c r="AD492" s="4"/>
      <c r="AE492" s="4"/>
    </row>
    <row r="493" spans="1:31" ht="13.2">
      <c r="A493" s="7"/>
      <c r="B493" s="7"/>
      <c r="C493" s="7"/>
      <c r="D493" s="29"/>
      <c r="E493" s="7"/>
      <c r="F493" s="7"/>
      <c r="G493" s="7"/>
      <c r="H493" s="16"/>
      <c r="I493" s="16"/>
      <c r="J493" s="16"/>
      <c r="K493" s="16"/>
      <c r="L493" s="16"/>
      <c r="M493" s="16"/>
      <c r="N493" s="16"/>
      <c r="O493" s="16"/>
      <c r="P493" s="16"/>
      <c r="Q493" s="4"/>
      <c r="R493" s="4"/>
      <c r="S493" s="4"/>
      <c r="T493" s="4"/>
      <c r="U493" s="4"/>
      <c r="V493" s="4"/>
      <c r="W493" s="4"/>
      <c r="X493" s="4"/>
      <c r="Y493" s="4"/>
      <c r="Z493" s="4"/>
      <c r="AA493" s="4"/>
      <c r="AB493" s="4"/>
      <c r="AC493" s="4"/>
      <c r="AD493" s="4"/>
      <c r="AE493" s="4"/>
    </row>
    <row r="494" spans="1:31" ht="13.2">
      <c r="A494" s="7"/>
      <c r="B494" s="7"/>
      <c r="C494" s="7"/>
      <c r="D494" s="29"/>
      <c r="E494" s="7"/>
      <c r="F494" s="7"/>
      <c r="G494" s="7"/>
      <c r="H494" s="16"/>
      <c r="I494" s="16"/>
      <c r="J494" s="16"/>
      <c r="K494" s="16"/>
      <c r="L494" s="16"/>
      <c r="M494" s="16"/>
      <c r="N494" s="16"/>
      <c r="O494" s="16"/>
      <c r="P494" s="16"/>
      <c r="Q494" s="4"/>
      <c r="R494" s="4"/>
      <c r="S494" s="4"/>
      <c r="T494" s="4"/>
      <c r="U494" s="4"/>
      <c r="V494" s="4"/>
      <c r="W494" s="4"/>
      <c r="X494" s="4"/>
      <c r="Y494" s="4"/>
      <c r="Z494" s="4"/>
      <c r="AA494" s="4"/>
      <c r="AB494" s="4"/>
      <c r="AC494" s="4"/>
      <c r="AD494" s="4"/>
      <c r="AE494" s="4"/>
    </row>
    <row r="495" spans="1:31" ht="13.2">
      <c r="A495" s="7"/>
      <c r="B495" s="7"/>
      <c r="C495" s="7"/>
      <c r="D495" s="29"/>
      <c r="E495" s="7"/>
      <c r="F495" s="7"/>
      <c r="G495" s="7"/>
      <c r="H495" s="16"/>
      <c r="I495" s="16"/>
      <c r="J495" s="16"/>
      <c r="K495" s="16"/>
      <c r="L495" s="16"/>
      <c r="M495" s="16"/>
      <c r="N495" s="16"/>
      <c r="O495" s="16"/>
      <c r="P495" s="16"/>
      <c r="Q495" s="4"/>
      <c r="R495" s="4"/>
      <c r="S495" s="4"/>
      <c r="T495" s="4"/>
      <c r="U495" s="4"/>
      <c r="V495" s="4"/>
      <c r="W495" s="4"/>
      <c r="X495" s="4"/>
      <c r="Y495" s="4"/>
      <c r="Z495" s="4"/>
      <c r="AA495" s="4"/>
      <c r="AB495" s="4"/>
      <c r="AC495" s="4"/>
      <c r="AD495" s="4"/>
      <c r="AE495" s="4"/>
    </row>
    <row r="496" spans="1:31" ht="13.2">
      <c r="A496" s="7"/>
      <c r="B496" s="7"/>
      <c r="C496" s="7"/>
      <c r="D496" s="29"/>
      <c r="E496" s="7"/>
      <c r="F496" s="7"/>
      <c r="G496" s="7"/>
      <c r="H496" s="16"/>
      <c r="I496" s="16"/>
      <c r="J496" s="16"/>
      <c r="K496" s="16"/>
      <c r="L496" s="16"/>
      <c r="M496" s="16"/>
      <c r="N496" s="16"/>
      <c r="O496" s="16"/>
      <c r="P496" s="16"/>
      <c r="Q496" s="4"/>
      <c r="R496" s="4"/>
      <c r="S496" s="4"/>
      <c r="T496" s="4"/>
      <c r="U496" s="4"/>
      <c r="V496" s="4"/>
      <c r="W496" s="4"/>
      <c r="X496" s="4"/>
      <c r="Y496" s="4"/>
      <c r="Z496" s="4"/>
      <c r="AA496" s="4"/>
      <c r="AB496" s="4"/>
      <c r="AC496" s="4"/>
      <c r="AD496" s="4"/>
      <c r="AE496" s="4"/>
    </row>
    <row r="497" spans="1:31" ht="13.2">
      <c r="A497" s="7"/>
      <c r="B497" s="7"/>
      <c r="C497" s="7"/>
      <c r="D497" s="29"/>
      <c r="E497" s="7"/>
      <c r="F497" s="7"/>
      <c r="G497" s="7"/>
      <c r="H497" s="16"/>
      <c r="I497" s="16"/>
      <c r="J497" s="16"/>
      <c r="K497" s="16"/>
      <c r="L497" s="16"/>
      <c r="M497" s="16"/>
      <c r="N497" s="16"/>
      <c r="O497" s="16"/>
      <c r="P497" s="16"/>
      <c r="Q497" s="4"/>
      <c r="R497" s="4"/>
      <c r="S497" s="4"/>
      <c r="T497" s="4"/>
      <c r="U497" s="4"/>
      <c r="V497" s="4"/>
      <c r="W497" s="4"/>
      <c r="X497" s="4"/>
      <c r="Y497" s="4"/>
      <c r="Z497" s="4"/>
      <c r="AA497" s="4"/>
      <c r="AB497" s="4"/>
      <c r="AC497" s="4"/>
      <c r="AD497" s="4"/>
      <c r="AE497" s="4"/>
    </row>
    <row r="498" spans="1:31" ht="13.2">
      <c r="A498" s="7"/>
      <c r="B498" s="7"/>
      <c r="C498" s="7"/>
      <c r="D498" s="29"/>
      <c r="E498" s="7"/>
      <c r="F498" s="7"/>
      <c r="G498" s="7"/>
      <c r="H498" s="16"/>
      <c r="I498" s="16"/>
      <c r="J498" s="16"/>
      <c r="K498" s="16"/>
      <c r="L498" s="16"/>
      <c r="M498" s="16"/>
      <c r="N498" s="16"/>
      <c r="O498" s="16"/>
      <c r="P498" s="16"/>
      <c r="Q498" s="4"/>
      <c r="R498" s="4"/>
      <c r="S498" s="4"/>
      <c r="T498" s="4"/>
      <c r="U498" s="4"/>
      <c r="V498" s="4"/>
      <c r="W498" s="4"/>
      <c r="X498" s="4"/>
      <c r="Y498" s="4"/>
      <c r="Z498" s="4"/>
      <c r="AA498" s="4"/>
      <c r="AB498" s="4"/>
      <c r="AC498" s="4"/>
      <c r="AD498" s="4"/>
      <c r="AE498" s="4"/>
    </row>
    <row r="499" spans="1:31" ht="13.2">
      <c r="A499" s="7"/>
      <c r="B499" s="7"/>
      <c r="C499" s="7"/>
      <c r="D499" s="29"/>
      <c r="E499" s="7"/>
      <c r="F499" s="7"/>
      <c r="G499" s="7"/>
      <c r="H499" s="16"/>
      <c r="I499" s="16"/>
      <c r="J499" s="16"/>
      <c r="K499" s="16"/>
      <c r="L499" s="16"/>
      <c r="M499" s="16"/>
      <c r="N499" s="16"/>
      <c r="O499" s="16"/>
      <c r="P499" s="16"/>
      <c r="Q499" s="4"/>
      <c r="R499" s="4"/>
      <c r="S499" s="4"/>
      <c r="T499" s="4"/>
      <c r="U499" s="4"/>
      <c r="V499" s="4"/>
      <c r="W499" s="4"/>
      <c r="X499" s="4"/>
      <c r="Y499" s="4"/>
      <c r="Z499" s="4"/>
      <c r="AA499" s="4"/>
      <c r="AB499" s="4"/>
      <c r="AC499" s="4"/>
      <c r="AD499" s="4"/>
      <c r="AE499" s="4"/>
    </row>
    <row r="500" spans="1:31" ht="13.2">
      <c r="A500" s="7"/>
      <c r="B500" s="7"/>
      <c r="C500" s="7"/>
      <c r="D500" s="29"/>
      <c r="E500" s="7"/>
      <c r="F500" s="7"/>
      <c r="G500" s="7"/>
      <c r="H500" s="16"/>
      <c r="I500" s="16"/>
      <c r="J500" s="16"/>
      <c r="K500" s="16"/>
      <c r="L500" s="16"/>
      <c r="M500" s="16"/>
      <c r="N500" s="16"/>
      <c r="O500" s="16"/>
      <c r="P500" s="16"/>
      <c r="Q500" s="4"/>
      <c r="R500" s="4"/>
      <c r="S500" s="4"/>
      <c r="T500" s="4"/>
      <c r="U500" s="4"/>
      <c r="V500" s="4"/>
      <c r="W500" s="4"/>
      <c r="X500" s="4"/>
      <c r="Y500" s="4"/>
      <c r="Z500" s="4"/>
      <c r="AA500" s="4"/>
      <c r="AB500" s="4"/>
      <c r="AC500" s="4"/>
      <c r="AD500" s="4"/>
      <c r="AE500" s="4"/>
    </row>
    <row r="501" spans="1:31" ht="13.2">
      <c r="A501" s="7"/>
      <c r="B501" s="7"/>
      <c r="C501" s="7"/>
      <c r="D501" s="29"/>
      <c r="E501" s="7"/>
      <c r="F501" s="7"/>
      <c r="G501" s="7"/>
      <c r="H501" s="16"/>
      <c r="I501" s="16"/>
      <c r="J501" s="16"/>
      <c r="K501" s="16"/>
      <c r="L501" s="16"/>
      <c r="M501" s="16"/>
      <c r="N501" s="16"/>
      <c r="O501" s="16"/>
      <c r="P501" s="16"/>
      <c r="Q501" s="4"/>
      <c r="R501" s="4"/>
      <c r="S501" s="4"/>
      <c r="T501" s="4"/>
      <c r="U501" s="4"/>
      <c r="V501" s="4"/>
      <c r="W501" s="4"/>
      <c r="X501" s="4"/>
      <c r="Y501" s="4"/>
      <c r="Z501" s="4"/>
      <c r="AA501" s="4"/>
      <c r="AB501" s="4"/>
      <c r="AC501" s="4"/>
      <c r="AD501" s="4"/>
      <c r="AE501" s="4"/>
    </row>
    <row r="502" spans="1:31" ht="13.2">
      <c r="A502" s="7"/>
      <c r="B502" s="7"/>
      <c r="C502" s="7"/>
      <c r="D502" s="29"/>
      <c r="E502" s="7"/>
      <c r="F502" s="7"/>
      <c r="G502" s="7"/>
      <c r="H502" s="16"/>
      <c r="I502" s="16"/>
      <c r="J502" s="16"/>
      <c r="K502" s="16"/>
      <c r="L502" s="16"/>
      <c r="M502" s="16"/>
      <c r="N502" s="16"/>
      <c r="O502" s="16"/>
      <c r="P502" s="16"/>
      <c r="Q502" s="4"/>
      <c r="R502" s="4"/>
      <c r="S502" s="4"/>
      <c r="T502" s="4"/>
      <c r="U502" s="4"/>
      <c r="V502" s="4"/>
      <c r="W502" s="4"/>
      <c r="X502" s="4"/>
      <c r="Y502" s="4"/>
      <c r="Z502" s="4"/>
      <c r="AA502" s="4"/>
      <c r="AB502" s="4"/>
      <c r="AC502" s="4"/>
      <c r="AD502" s="4"/>
      <c r="AE502" s="4"/>
    </row>
    <row r="503" spans="1:31" ht="13.2">
      <c r="A503" s="7"/>
      <c r="B503" s="7"/>
      <c r="C503" s="7"/>
      <c r="D503" s="29"/>
      <c r="E503" s="7"/>
      <c r="F503" s="7"/>
      <c r="G503" s="7"/>
      <c r="H503" s="16"/>
      <c r="I503" s="16"/>
      <c r="J503" s="16"/>
      <c r="K503" s="16"/>
      <c r="L503" s="16"/>
      <c r="M503" s="16"/>
      <c r="N503" s="16"/>
      <c r="O503" s="16"/>
      <c r="P503" s="16"/>
      <c r="Q503" s="4"/>
      <c r="R503" s="4"/>
      <c r="S503" s="4"/>
      <c r="T503" s="4"/>
      <c r="U503" s="4"/>
      <c r="V503" s="4"/>
      <c r="W503" s="4"/>
      <c r="X503" s="4"/>
      <c r="Y503" s="4"/>
      <c r="Z503" s="4"/>
      <c r="AA503" s="4"/>
      <c r="AB503" s="4"/>
      <c r="AC503" s="4"/>
      <c r="AD503" s="4"/>
      <c r="AE503" s="4"/>
    </row>
    <row r="504" spans="1:31" ht="13.2">
      <c r="A504" s="7"/>
      <c r="B504" s="7"/>
      <c r="C504" s="7"/>
      <c r="D504" s="29"/>
      <c r="E504" s="7"/>
      <c r="F504" s="7"/>
      <c r="G504" s="7"/>
      <c r="H504" s="16"/>
      <c r="I504" s="16"/>
      <c r="J504" s="16"/>
      <c r="K504" s="16"/>
      <c r="L504" s="16"/>
      <c r="M504" s="16"/>
      <c r="N504" s="16"/>
      <c r="O504" s="16"/>
      <c r="P504" s="16"/>
      <c r="Q504" s="4"/>
      <c r="R504" s="4"/>
      <c r="S504" s="4"/>
      <c r="T504" s="4"/>
      <c r="U504" s="4"/>
      <c r="V504" s="4"/>
      <c r="W504" s="4"/>
      <c r="X504" s="4"/>
      <c r="Y504" s="4"/>
      <c r="Z504" s="4"/>
      <c r="AA504" s="4"/>
      <c r="AB504" s="4"/>
      <c r="AC504" s="4"/>
      <c r="AD504" s="4"/>
      <c r="AE504" s="4"/>
    </row>
    <row r="505" spans="1:31" ht="13.2">
      <c r="A505" s="7"/>
      <c r="B505" s="7"/>
      <c r="C505" s="7"/>
      <c r="D505" s="29"/>
      <c r="E505" s="7"/>
      <c r="F505" s="7"/>
      <c r="G505" s="7"/>
      <c r="H505" s="16"/>
      <c r="I505" s="16"/>
      <c r="J505" s="16"/>
      <c r="K505" s="16"/>
      <c r="L505" s="16"/>
      <c r="M505" s="16"/>
      <c r="N505" s="16"/>
      <c r="O505" s="16"/>
      <c r="P505" s="16"/>
      <c r="Q505" s="4"/>
      <c r="R505" s="4"/>
      <c r="S505" s="4"/>
      <c r="T505" s="4"/>
      <c r="U505" s="4"/>
      <c r="V505" s="4"/>
      <c r="W505" s="4"/>
      <c r="X505" s="4"/>
      <c r="Y505" s="4"/>
      <c r="Z505" s="4"/>
      <c r="AA505" s="4"/>
      <c r="AB505" s="4"/>
      <c r="AC505" s="4"/>
      <c r="AD505" s="4"/>
      <c r="AE505" s="4"/>
    </row>
    <row r="506" spans="1:31" ht="13.2">
      <c r="A506" s="7"/>
      <c r="B506" s="7"/>
      <c r="C506" s="7"/>
      <c r="D506" s="29"/>
      <c r="E506" s="7"/>
      <c r="F506" s="7"/>
      <c r="G506" s="7"/>
      <c r="H506" s="16"/>
      <c r="I506" s="16"/>
      <c r="J506" s="16"/>
      <c r="K506" s="16"/>
      <c r="L506" s="16"/>
      <c r="M506" s="16"/>
      <c r="N506" s="16"/>
      <c r="O506" s="16"/>
      <c r="P506" s="16"/>
      <c r="Q506" s="4"/>
      <c r="R506" s="4"/>
      <c r="S506" s="4"/>
      <c r="T506" s="4"/>
      <c r="U506" s="4"/>
      <c r="V506" s="4"/>
      <c r="W506" s="4"/>
      <c r="X506" s="4"/>
      <c r="Y506" s="4"/>
      <c r="Z506" s="4"/>
      <c r="AA506" s="4"/>
      <c r="AB506" s="4"/>
      <c r="AC506" s="4"/>
      <c r="AD506" s="4"/>
      <c r="AE506" s="4"/>
    </row>
    <row r="507" spans="1:31" ht="13.2">
      <c r="A507" s="7"/>
      <c r="B507" s="7"/>
      <c r="C507" s="7"/>
      <c r="D507" s="29"/>
      <c r="E507" s="7"/>
      <c r="F507" s="7"/>
      <c r="G507" s="7"/>
      <c r="H507" s="16"/>
      <c r="I507" s="16"/>
      <c r="J507" s="16"/>
      <c r="K507" s="16"/>
      <c r="L507" s="16"/>
      <c r="M507" s="16"/>
      <c r="N507" s="16"/>
      <c r="O507" s="16"/>
      <c r="P507" s="16"/>
      <c r="Q507" s="4"/>
      <c r="R507" s="4"/>
      <c r="S507" s="4"/>
      <c r="T507" s="4"/>
      <c r="U507" s="4"/>
      <c r="V507" s="4"/>
      <c r="W507" s="4"/>
      <c r="X507" s="4"/>
      <c r="Y507" s="4"/>
      <c r="Z507" s="4"/>
      <c r="AA507" s="4"/>
      <c r="AB507" s="4"/>
      <c r="AC507" s="4"/>
      <c r="AD507" s="4"/>
      <c r="AE507" s="4"/>
    </row>
    <row r="508" spans="1:31" ht="13.2">
      <c r="A508" s="7"/>
      <c r="B508" s="7"/>
      <c r="C508" s="7"/>
      <c r="D508" s="29"/>
      <c r="E508" s="7"/>
      <c r="F508" s="7"/>
      <c r="G508" s="7"/>
      <c r="H508" s="16"/>
      <c r="I508" s="16"/>
      <c r="J508" s="16"/>
      <c r="K508" s="16"/>
      <c r="L508" s="16"/>
      <c r="M508" s="16"/>
      <c r="N508" s="16"/>
      <c r="O508" s="16"/>
      <c r="P508" s="16"/>
      <c r="Q508" s="4"/>
      <c r="R508" s="4"/>
      <c r="S508" s="4"/>
      <c r="T508" s="4"/>
      <c r="U508" s="4"/>
      <c r="V508" s="4"/>
      <c r="W508" s="4"/>
      <c r="X508" s="4"/>
      <c r="Y508" s="4"/>
      <c r="Z508" s="4"/>
      <c r="AA508" s="4"/>
      <c r="AB508" s="4"/>
      <c r="AC508" s="4"/>
      <c r="AD508" s="4"/>
      <c r="AE508" s="4"/>
    </row>
    <row r="509" spans="1:31" ht="13.2">
      <c r="A509" s="7"/>
      <c r="B509" s="7"/>
      <c r="C509" s="7"/>
      <c r="D509" s="29"/>
      <c r="E509" s="7"/>
      <c r="F509" s="7"/>
      <c r="G509" s="7"/>
      <c r="H509" s="16"/>
      <c r="I509" s="16"/>
      <c r="J509" s="16"/>
      <c r="K509" s="16"/>
      <c r="L509" s="16"/>
      <c r="M509" s="16"/>
      <c r="N509" s="16"/>
      <c r="O509" s="16"/>
      <c r="P509" s="16"/>
      <c r="Q509" s="4"/>
      <c r="R509" s="4"/>
      <c r="S509" s="4"/>
      <c r="T509" s="4"/>
      <c r="U509" s="4"/>
      <c r="V509" s="4"/>
      <c r="W509" s="4"/>
      <c r="X509" s="4"/>
      <c r="Y509" s="4"/>
      <c r="Z509" s="4"/>
      <c r="AA509" s="4"/>
      <c r="AB509" s="4"/>
      <c r="AC509" s="4"/>
      <c r="AD509" s="4"/>
      <c r="AE509" s="4"/>
    </row>
    <row r="510" spans="1:31" ht="13.2">
      <c r="A510" s="7"/>
      <c r="B510" s="7"/>
      <c r="C510" s="7"/>
      <c r="D510" s="29"/>
      <c r="E510" s="7"/>
      <c r="F510" s="7"/>
      <c r="G510" s="7"/>
      <c r="H510" s="16"/>
      <c r="I510" s="16"/>
      <c r="J510" s="16"/>
      <c r="K510" s="16"/>
      <c r="L510" s="16"/>
      <c r="M510" s="16"/>
      <c r="N510" s="16"/>
      <c r="O510" s="16"/>
      <c r="P510" s="16"/>
      <c r="Q510" s="4"/>
      <c r="R510" s="4"/>
      <c r="S510" s="4"/>
      <c r="T510" s="4"/>
      <c r="U510" s="4"/>
      <c r="V510" s="4"/>
      <c r="W510" s="4"/>
      <c r="X510" s="4"/>
      <c r="Y510" s="4"/>
      <c r="Z510" s="4"/>
      <c r="AA510" s="4"/>
      <c r="AB510" s="4"/>
      <c r="AC510" s="4"/>
      <c r="AD510" s="4"/>
      <c r="AE510" s="4"/>
    </row>
    <row r="511" spans="1:31" ht="13.2">
      <c r="A511" s="7"/>
      <c r="B511" s="7"/>
      <c r="C511" s="7"/>
      <c r="D511" s="29"/>
      <c r="E511" s="7"/>
      <c r="F511" s="7"/>
      <c r="G511" s="7"/>
      <c r="H511" s="16"/>
      <c r="I511" s="16"/>
      <c r="J511" s="16"/>
      <c r="K511" s="16"/>
      <c r="L511" s="16"/>
      <c r="M511" s="16"/>
      <c r="N511" s="16"/>
      <c r="O511" s="16"/>
      <c r="P511" s="16"/>
      <c r="Q511" s="4"/>
      <c r="R511" s="4"/>
      <c r="S511" s="4"/>
      <c r="T511" s="4"/>
      <c r="U511" s="4"/>
      <c r="V511" s="4"/>
      <c r="W511" s="4"/>
      <c r="X511" s="4"/>
      <c r="Y511" s="4"/>
      <c r="Z511" s="4"/>
      <c r="AA511" s="4"/>
      <c r="AB511" s="4"/>
      <c r="AC511" s="4"/>
      <c r="AD511" s="4"/>
      <c r="AE511" s="4"/>
    </row>
    <row r="512" spans="1:31" ht="13.2">
      <c r="A512" s="7"/>
      <c r="B512" s="7"/>
      <c r="C512" s="7"/>
      <c r="D512" s="29"/>
      <c r="E512" s="7"/>
      <c r="F512" s="7"/>
      <c r="G512" s="7"/>
      <c r="H512" s="16"/>
      <c r="I512" s="16"/>
      <c r="J512" s="16"/>
      <c r="K512" s="16"/>
      <c r="L512" s="16"/>
      <c r="M512" s="16"/>
      <c r="N512" s="16"/>
      <c r="O512" s="16"/>
      <c r="P512" s="16"/>
      <c r="Q512" s="4"/>
      <c r="R512" s="4"/>
      <c r="S512" s="4"/>
      <c r="T512" s="4"/>
      <c r="U512" s="4"/>
      <c r="V512" s="4"/>
      <c r="W512" s="4"/>
      <c r="X512" s="4"/>
      <c r="Y512" s="4"/>
      <c r="Z512" s="4"/>
      <c r="AA512" s="4"/>
      <c r="AB512" s="4"/>
      <c r="AC512" s="4"/>
      <c r="AD512" s="4"/>
      <c r="AE512" s="4"/>
    </row>
    <row r="513" spans="1:31" ht="13.2">
      <c r="A513" s="7"/>
      <c r="B513" s="7"/>
      <c r="C513" s="7"/>
      <c r="D513" s="29"/>
      <c r="E513" s="7"/>
      <c r="F513" s="7"/>
      <c r="G513" s="7"/>
      <c r="H513" s="16"/>
      <c r="I513" s="16"/>
      <c r="J513" s="16"/>
      <c r="K513" s="16"/>
      <c r="L513" s="16"/>
      <c r="M513" s="16"/>
      <c r="N513" s="16"/>
      <c r="O513" s="16"/>
      <c r="P513" s="16"/>
      <c r="Q513" s="4"/>
      <c r="R513" s="4"/>
      <c r="S513" s="4"/>
      <c r="T513" s="4"/>
      <c r="U513" s="4"/>
      <c r="V513" s="4"/>
      <c r="W513" s="4"/>
      <c r="X513" s="4"/>
      <c r="Y513" s="4"/>
      <c r="Z513" s="4"/>
      <c r="AA513" s="4"/>
      <c r="AB513" s="4"/>
      <c r="AC513" s="4"/>
      <c r="AD513" s="4"/>
      <c r="AE513" s="4"/>
    </row>
    <row r="514" spans="1:31" ht="13.2">
      <c r="A514" s="7"/>
      <c r="B514" s="7"/>
      <c r="C514" s="7"/>
      <c r="D514" s="29"/>
      <c r="E514" s="7"/>
      <c r="F514" s="7"/>
      <c r="G514" s="7"/>
      <c r="H514" s="16"/>
      <c r="I514" s="16"/>
      <c r="J514" s="16"/>
      <c r="K514" s="16"/>
      <c r="L514" s="16"/>
      <c r="M514" s="16"/>
      <c r="N514" s="16"/>
      <c r="O514" s="16"/>
      <c r="P514" s="16"/>
      <c r="Q514" s="4"/>
      <c r="R514" s="4"/>
      <c r="S514" s="4"/>
      <c r="T514" s="4"/>
      <c r="U514" s="4"/>
      <c r="V514" s="4"/>
      <c r="W514" s="4"/>
      <c r="X514" s="4"/>
      <c r="Y514" s="4"/>
      <c r="Z514" s="4"/>
      <c r="AA514" s="4"/>
      <c r="AB514" s="4"/>
      <c r="AC514" s="4"/>
      <c r="AD514" s="4"/>
      <c r="AE514" s="4"/>
    </row>
    <row r="515" spans="1:31" ht="13.2">
      <c r="A515" s="7"/>
      <c r="B515" s="7"/>
      <c r="C515" s="7"/>
      <c r="D515" s="29"/>
      <c r="E515" s="7"/>
      <c r="F515" s="7"/>
      <c r="G515" s="7"/>
      <c r="H515" s="16"/>
      <c r="I515" s="16"/>
      <c r="J515" s="16"/>
      <c r="K515" s="16"/>
      <c r="L515" s="16"/>
      <c r="M515" s="16"/>
      <c r="N515" s="16"/>
      <c r="O515" s="16"/>
      <c r="P515" s="16"/>
      <c r="Q515" s="4"/>
      <c r="R515" s="4"/>
      <c r="S515" s="4"/>
      <c r="T515" s="4"/>
      <c r="U515" s="4"/>
      <c r="V515" s="4"/>
      <c r="W515" s="4"/>
      <c r="X515" s="4"/>
      <c r="Y515" s="4"/>
      <c r="Z515" s="4"/>
      <c r="AA515" s="4"/>
      <c r="AB515" s="4"/>
      <c r="AC515" s="4"/>
      <c r="AD515" s="4"/>
      <c r="AE515" s="4"/>
    </row>
    <row r="516" spans="1:31" ht="13.2">
      <c r="A516" s="7"/>
      <c r="B516" s="7"/>
      <c r="C516" s="7"/>
      <c r="D516" s="29"/>
      <c r="E516" s="7"/>
      <c r="F516" s="7"/>
      <c r="G516" s="7"/>
      <c r="H516" s="16"/>
      <c r="I516" s="16"/>
      <c r="J516" s="16"/>
      <c r="K516" s="16"/>
      <c r="L516" s="16"/>
      <c r="M516" s="16"/>
      <c r="N516" s="16"/>
      <c r="O516" s="16"/>
      <c r="P516" s="16"/>
      <c r="Q516" s="4"/>
      <c r="R516" s="4"/>
      <c r="S516" s="4"/>
      <c r="T516" s="4"/>
      <c r="U516" s="4"/>
      <c r="V516" s="4"/>
      <c r="W516" s="4"/>
      <c r="X516" s="4"/>
      <c r="Y516" s="4"/>
      <c r="Z516" s="4"/>
      <c r="AA516" s="4"/>
      <c r="AB516" s="4"/>
      <c r="AC516" s="4"/>
      <c r="AD516" s="4"/>
      <c r="AE516" s="4"/>
    </row>
    <row r="517" spans="1:31" ht="13.2">
      <c r="A517" s="7"/>
      <c r="B517" s="7"/>
      <c r="C517" s="7"/>
      <c r="D517" s="29"/>
      <c r="E517" s="7"/>
      <c r="F517" s="7"/>
      <c r="G517" s="7"/>
      <c r="H517" s="16"/>
      <c r="I517" s="16"/>
      <c r="J517" s="16"/>
      <c r="K517" s="16"/>
      <c r="L517" s="16"/>
      <c r="M517" s="16"/>
      <c r="N517" s="16"/>
      <c r="O517" s="16"/>
      <c r="P517" s="16"/>
      <c r="Q517" s="4"/>
      <c r="R517" s="4"/>
      <c r="S517" s="4"/>
      <c r="T517" s="4"/>
      <c r="U517" s="4"/>
      <c r="V517" s="4"/>
      <c r="W517" s="4"/>
      <c r="X517" s="4"/>
      <c r="Y517" s="4"/>
      <c r="Z517" s="4"/>
      <c r="AA517" s="4"/>
      <c r="AB517" s="4"/>
      <c r="AC517" s="4"/>
      <c r="AD517" s="4"/>
      <c r="AE517" s="4"/>
    </row>
    <row r="518" spans="1:31" ht="13.2">
      <c r="A518" s="7"/>
      <c r="B518" s="7"/>
      <c r="C518" s="7"/>
      <c r="D518" s="29"/>
      <c r="E518" s="7"/>
      <c r="F518" s="7"/>
      <c r="G518" s="7"/>
      <c r="H518" s="16"/>
      <c r="I518" s="16"/>
      <c r="J518" s="16"/>
      <c r="K518" s="16"/>
      <c r="L518" s="16"/>
      <c r="M518" s="16"/>
      <c r="N518" s="16"/>
      <c r="O518" s="16"/>
      <c r="P518" s="16"/>
      <c r="Q518" s="4"/>
      <c r="R518" s="4"/>
      <c r="S518" s="4"/>
      <c r="T518" s="4"/>
      <c r="U518" s="4"/>
      <c r="V518" s="4"/>
      <c r="W518" s="4"/>
      <c r="X518" s="4"/>
      <c r="Y518" s="4"/>
      <c r="Z518" s="4"/>
      <c r="AA518" s="4"/>
      <c r="AB518" s="4"/>
      <c r="AC518" s="4"/>
      <c r="AD518" s="4"/>
      <c r="AE518" s="4"/>
    </row>
    <row r="519" spans="1:31" ht="13.2">
      <c r="A519" s="7"/>
      <c r="B519" s="7"/>
      <c r="C519" s="7"/>
      <c r="D519" s="29"/>
      <c r="E519" s="7"/>
      <c r="F519" s="7"/>
      <c r="G519" s="7"/>
      <c r="H519" s="16"/>
      <c r="I519" s="16"/>
      <c r="J519" s="16"/>
      <c r="K519" s="16"/>
      <c r="L519" s="16"/>
      <c r="M519" s="16"/>
      <c r="N519" s="16"/>
      <c r="O519" s="16"/>
      <c r="P519" s="16"/>
      <c r="Q519" s="4"/>
      <c r="R519" s="4"/>
      <c r="S519" s="4"/>
      <c r="T519" s="4"/>
      <c r="U519" s="4"/>
      <c r="V519" s="4"/>
      <c r="W519" s="4"/>
      <c r="X519" s="4"/>
      <c r="Y519" s="4"/>
      <c r="Z519" s="4"/>
      <c r="AA519" s="4"/>
      <c r="AB519" s="4"/>
      <c r="AC519" s="4"/>
      <c r="AD519" s="4"/>
      <c r="AE519" s="4"/>
    </row>
    <row r="520" spans="1:31" ht="13.2">
      <c r="A520" s="7"/>
      <c r="B520" s="7"/>
      <c r="C520" s="7"/>
      <c r="D520" s="29"/>
      <c r="E520" s="7"/>
      <c r="F520" s="7"/>
      <c r="G520" s="7"/>
      <c r="H520" s="16"/>
      <c r="I520" s="16"/>
      <c r="J520" s="16"/>
      <c r="K520" s="16"/>
      <c r="L520" s="16"/>
      <c r="M520" s="16"/>
      <c r="N520" s="16"/>
      <c r="O520" s="16"/>
      <c r="P520" s="16"/>
      <c r="Q520" s="4"/>
      <c r="R520" s="4"/>
      <c r="S520" s="4"/>
      <c r="T520" s="4"/>
      <c r="U520" s="4"/>
      <c r="V520" s="4"/>
      <c r="W520" s="4"/>
      <c r="X520" s="4"/>
      <c r="Y520" s="4"/>
      <c r="Z520" s="4"/>
      <c r="AA520" s="4"/>
      <c r="AB520" s="4"/>
      <c r="AC520" s="4"/>
      <c r="AD520" s="4"/>
      <c r="AE520" s="4"/>
    </row>
    <row r="521" spans="1:31" ht="13.2">
      <c r="A521" s="7"/>
      <c r="B521" s="7"/>
      <c r="C521" s="7"/>
      <c r="D521" s="29"/>
      <c r="E521" s="7"/>
      <c r="F521" s="7"/>
      <c r="G521" s="7"/>
      <c r="H521" s="16"/>
      <c r="I521" s="16"/>
      <c r="J521" s="16"/>
      <c r="K521" s="16"/>
      <c r="L521" s="16"/>
      <c r="M521" s="16"/>
      <c r="N521" s="16"/>
      <c r="O521" s="16"/>
      <c r="P521" s="16"/>
      <c r="Q521" s="4"/>
      <c r="R521" s="4"/>
      <c r="S521" s="4"/>
      <c r="T521" s="4"/>
      <c r="U521" s="4"/>
      <c r="V521" s="4"/>
      <c r="W521" s="4"/>
      <c r="X521" s="4"/>
      <c r="Y521" s="4"/>
      <c r="Z521" s="4"/>
      <c r="AA521" s="4"/>
      <c r="AB521" s="4"/>
      <c r="AC521" s="4"/>
      <c r="AD521" s="4"/>
      <c r="AE521" s="4"/>
    </row>
    <row r="522" spans="1:31" ht="13.2">
      <c r="A522" s="7"/>
      <c r="B522" s="7"/>
      <c r="C522" s="7"/>
      <c r="D522" s="29"/>
      <c r="E522" s="7"/>
      <c r="F522" s="7"/>
      <c r="G522" s="7"/>
      <c r="H522" s="16"/>
      <c r="I522" s="16"/>
      <c r="J522" s="16"/>
      <c r="K522" s="16"/>
      <c r="L522" s="16"/>
      <c r="M522" s="16"/>
      <c r="N522" s="16"/>
      <c r="O522" s="16"/>
      <c r="P522" s="16"/>
      <c r="Q522" s="4"/>
      <c r="R522" s="4"/>
      <c r="S522" s="4"/>
      <c r="T522" s="4"/>
      <c r="U522" s="4"/>
      <c r="V522" s="4"/>
      <c r="W522" s="4"/>
      <c r="X522" s="4"/>
      <c r="Y522" s="4"/>
      <c r="Z522" s="4"/>
      <c r="AA522" s="4"/>
      <c r="AB522" s="4"/>
      <c r="AC522" s="4"/>
      <c r="AD522" s="4"/>
      <c r="AE522" s="4"/>
    </row>
    <row r="523" spans="1:31" ht="13.2">
      <c r="A523" s="7"/>
      <c r="B523" s="7"/>
      <c r="C523" s="7"/>
      <c r="D523" s="29"/>
      <c r="E523" s="7"/>
      <c r="F523" s="7"/>
      <c r="G523" s="7"/>
      <c r="H523" s="16"/>
      <c r="I523" s="16"/>
      <c r="J523" s="16"/>
      <c r="K523" s="16"/>
      <c r="L523" s="16"/>
      <c r="M523" s="16"/>
      <c r="N523" s="16"/>
      <c r="O523" s="16"/>
      <c r="P523" s="16"/>
      <c r="Q523" s="4"/>
      <c r="R523" s="4"/>
      <c r="S523" s="4"/>
      <c r="T523" s="4"/>
      <c r="U523" s="4"/>
      <c r="V523" s="4"/>
      <c r="W523" s="4"/>
      <c r="X523" s="4"/>
      <c r="Y523" s="4"/>
      <c r="Z523" s="4"/>
      <c r="AA523" s="4"/>
      <c r="AB523" s="4"/>
      <c r="AC523" s="4"/>
      <c r="AD523" s="4"/>
      <c r="AE523" s="4"/>
    </row>
    <row r="524" spans="1:31" ht="13.2">
      <c r="A524" s="7"/>
      <c r="B524" s="7"/>
      <c r="C524" s="7"/>
      <c r="D524" s="29"/>
      <c r="E524" s="7"/>
      <c r="F524" s="7"/>
      <c r="G524" s="7"/>
      <c r="H524" s="16"/>
      <c r="I524" s="16"/>
      <c r="J524" s="16"/>
      <c r="K524" s="16"/>
      <c r="L524" s="16"/>
      <c r="M524" s="16"/>
      <c r="N524" s="16"/>
      <c r="O524" s="16"/>
      <c r="P524" s="16"/>
      <c r="Q524" s="4"/>
      <c r="R524" s="4"/>
      <c r="S524" s="4"/>
      <c r="T524" s="4"/>
      <c r="U524" s="4"/>
      <c r="V524" s="4"/>
      <c r="W524" s="4"/>
      <c r="X524" s="4"/>
      <c r="Y524" s="4"/>
      <c r="Z524" s="4"/>
      <c r="AA524" s="4"/>
      <c r="AB524" s="4"/>
      <c r="AC524" s="4"/>
      <c r="AD524" s="4"/>
      <c r="AE524" s="4"/>
    </row>
    <row r="525" spans="1:31" ht="13.2">
      <c r="A525" s="7"/>
      <c r="B525" s="7"/>
      <c r="C525" s="7"/>
      <c r="D525" s="29"/>
      <c r="E525" s="7"/>
      <c r="F525" s="7"/>
      <c r="G525" s="7"/>
      <c r="H525" s="16"/>
      <c r="I525" s="16"/>
      <c r="J525" s="16"/>
      <c r="K525" s="16"/>
      <c r="L525" s="16"/>
      <c r="M525" s="16"/>
      <c r="N525" s="16"/>
      <c r="O525" s="16"/>
      <c r="P525" s="16"/>
      <c r="Q525" s="4"/>
      <c r="R525" s="4"/>
      <c r="S525" s="4"/>
      <c r="T525" s="4"/>
      <c r="U525" s="4"/>
      <c r="V525" s="4"/>
      <c r="W525" s="4"/>
      <c r="X525" s="4"/>
      <c r="Y525" s="4"/>
      <c r="Z525" s="4"/>
      <c r="AA525" s="4"/>
      <c r="AB525" s="4"/>
      <c r="AC525" s="4"/>
      <c r="AD525" s="4"/>
      <c r="AE525" s="4"/>
    </row>
    <row r="526" spans="1:31" ht="13.2">
      <c r="A526" s="7"/>
      <c r="B526" s="7"/>
      <c r="C526" s="7"/>
      <c r="D526" s="29"/>
      <c r="E526" s="7"/>
      <c r="F526" s="7"/>
      <c r="G526" s="7"/>
      <c r="H526" s="16"/>
      <c r="I526" s="16"/>
      <c r="J526" s="16"/>
      <c r="K526" s="16"/>
      <c r="L526" s="16"/>
      <c r="M526" s="16"/>
      <c r="N526" s="16"/>
      <c r="O526" s="16"/>
      <c r="P526" s="16"/>
      <c r="Q526" s="4"/>
      <c r="R526" s="4"/>
      <c r="S526" s="4"/>
      <c r="T526" s="4"/>
      <c r="U526" s="4"/>
      <c r="V526" s="4"/>
      <c r="W526" s="4"/>
      <c r="X526" s="4"/>
      <c r="Y526" s="4"/>
      <c r="Z526" s="4"/>
      <c r="AA526" s="4"/>
      <c r="AB526" s="4"/>
      <c r="AC526" s="4"/>
      <c r="AD526" s="4"/>
      <c r="AE526" s="4"/>
    </row>
    <row r="527" spans="1:31" ht="13.2">
      <c r="A527" s="7"/>
      <c r="B527" s="7"/>
      <c r="C527" s="7"/>
      <c r="D527" s="29"/>
      <c r="E527" s="7"/>
      <c r="F527" s="7"/>
      <c r="G527" s="7"/>
      <c r="H527" s="16"/>
      <c r="I527" s="16"/>
      <c r="J527" s="16"/>
      <c r="K527" s="16"/>
      <c r="L527" s="16"/>
      <c r="M527" s="16"/>
      <c r="N527" s="16"/>
      <c r="O527" s="16"/>
      <c r="P527" s="16"/>
      <c r="Q527" s="4"/>
      <c r="R527" s="4"/>
      <c r="S527" s="4"/>
      <c r="T527" s="4"/>
      <c r="U527" s="4"/>
      <c r="V527" s="4"/>
      <c r="W527" s="4"/>
      <c r="X527" s="4"/>
      <c r="Y527" s="4"/>
      <c r="Z527" s="4"/>
      <c r="AA527" s="4"/>
      <c r="AB527" s="4"/>
      <c r="AC527" s="4"/>
      <c r="AD527" s="4"/>
      <c r="AE527" s="4"/>
    </row>
    <row r="528" spans="1:31" ht="13.2">
      <c r="A528" s="7"/>
      <c r="B528" s="7"/>
      <c r="C528" s="7"/>
      <c r="D528" s="29"/>
      <c r="E528" s="7"/>
      <c r="F528" s="7"/>
      <c r="G528" s="7"/>
      <c r="H528" s="16"/>
      <c r="I528" s="16"/>
      <c r="J528" s="16"/>
      <c r="K528" s="16"/>
      <c r="L528" s="16"/>
      <c r="M528" s="16"/>
      <c r="N528" s="16"/>
      <c r="O528" s="16"/>
      <c r="P528" s="16"/>
      <c r="Q528" s="4"/>
      <c r="R528" s="4"/>
      <c r="S528" s="4"/>
      <c r="T528" s="4"/>
      <c r="U528" s="4"/>
      <c r="V528" s="4"/>
      <c r="W528" s="4"/>
      <c r="X528" s="4"/>
      <c r="Y528" s="4"/>
      <c r="Z528" s="4"/>
      <c r="AA528" s="4"/>
      <c r="AB528" s="4"/>
      <c r="AC528" s="4"/>
      <c r="AD528" s="4"/>
      <c r="AE528" s="4"/>
    </row>
    <row r="529" spans="1:31" ht="13.2">
      <c r="A529" s="7"/>
      <c r="B529" s="7"/>
      <c r="C529" s="7"/>
      <c r="D529" s="29"/>
      <c r="E529" s="7"/>
      <c r="F529" s="7"/>
      <c r="G529" s="7"/>
      <c r="H529" s="16"/>
      <c r="I529" s="16"/>
      <c r="J529" s="16"/>
      <c r="K529" s="16"/>
      <c r="L529" s="16"/>
      <c r="M529" s="16"/>
      <c r="N529" s="16"/>
      <c r="O529" s="16"/>
      <c r="P529" s="16"/>
      <c r="Q529" s="4"/>
      <c r="R529" s="4"/>
      <c r="S529" s="4"/>
      <c r="T529" s="4"/>
      <c r="U529" s="4"/>
      <c r="V529" s="4"/>
      <c r="W529" s="4"/>
      <c r="X529" s="4"/>
      <c r="Y529" s="4"/>
      <c r="Z529" s="4"/>
      <c r="AA529" s="4"/>
      <c r="AB529" s="4"/>
      <c r="AC529" s="4"/>
      <c r="AD529" s="4"/>
      <c r="AE529" s="4"/>
    </row>
    <row r="530" spans="1:31" ht="13.2">
      <c r="A530" s="7"/>
      <c r="B530" s="7"/>
      <c r="C530" s="7"/>
      <c r="D530" s="29"/>
      <c r="E530" s="7"/>
      <c r="F530" s="7"/>
      <c r="G530" s="7"/>
      <c r="H530" s="16"/>
      <c r="I530" s="16"/>
      <c r="J530" s="16"/>
      <c r="K530" s="16"/>
      <c r="L530" s="16"/>
      <c r="M530" s="16"/>
      <c r="N530" s="16"/>
      <c r="O530" s="16"/>
      <c r="P530" s="16"/>
      <c r="Q530" s="4"/>
      <c r="R530" s="4"/>
      <c r="S530" s="4"/>
      <c r="T530" s="4"/>
      <c r="U530" s="4"/>
      <c r="V530" s="4"/>
      <c r="W530" s="4"/>
      <c r="X530" s="4"/>
      <c r="Y530" s="4"/>
      <c r="Z530" s="4"/>
      <c r="AA530" s="4"/>
      <c r="AB530" s="4"/>
      <c r="AC530" s="4"/>
      <c r="AD530" s="4"/>
      <c r="AE530" s="4"/>
    </row>
    <row r="531" spans="1:31" ht="13.2">
      <c r="A531" s="7"/>
      <c r="B531" s="7"/>
      <c r="C531" s="7"/>
      <c r="D531" s="29"/>
      <c r="E531" s="7"/>
      <c r="F531" s="7"/>
      <c r="G531" s="7"/>
      <c r="H531" s="16"/>
      <c r="I531" s="16"/>
      <c r="J531" s="16"/>
      <c r="K531" s="16"/>
      <c r="L531" s="16"/>
      <c r="M531" s="16"/>
      <c r="N531" s="16"/>
      <c r="O531" s="16"/>
      <c r="P531" s="16"/>
      <c r="Q531" s="4"/>
      <c r="R531" s="4"/>
      <c r="S531" s="4"/>
      <c r="T531" s="4"/>
      <c r="U531" s="4"/>
      <c r="V531" s="4"/>
      <c r="W531" s="4"/>
      <c r="X531" s="4"/>
      <c r="Y531" s="4"/>
      <c r="Z531" s="4"/>
      <c r="AA531" s="4"/>
      <c r="AB531" s="4"/>
      <c r="AC531" s="4"/>
      <c r="AD531" s="4"/>
      <c r="AE531" s="4"/>
    </row>
    <row r="532" spans="1:31" ht="13.2">
      <c r="A532" s="7"/>
      <c r="B532" s="7"/>
      <c r="C532" s="7"/>
      <c r="D532" s="29"/>
      <c r="E532" s="7"/>
      <c r="F532" s="7"/>
      <c r="G532" s="7"/>
      <c r="H532" s="16"/>
      <c r="I532" s="16"/>
      <c r="J532" s="16"/>
      <c r="K532" s="16"/>
      <c r="L532" s="16"/>
      <c r="M532" s="16"/>
      <c r="N532" s="16"/>
      <c r="O532" s="16"/>
      <c r="P532" s="16"/>
      <c r="Q532" s="4"/>
      <c r="R532" s="4"/>
      <c r="S532" s="4"/>
      <c r="T532" s="4"/>
      <c r="U532" s="4"/>
      <c r="V532" s="4"/>
      <c r="W532" s="4"/>
      <c r="X532" s="4"/>
      <c r="Y532" s="4"/>
      <c r="Z532" s="4"/>
      <c r="AA532" s="4"/>
      <c r="AB532" s="4"/>
      <c r="AC532" s="4"/>
      <c r="AD532" s="4"/>
      <c r="AE532" s="4"/>
    </row>
    <row r="533" spans="1:31" ht="13.2">
      <c r="A533" s="7"/>
      <c r="B533" s="7"/>
      <c r="C533" s="7"/>
      <c r="D533" s="29"/>
      <c r="E533" s="7"/>
      <c r="F533" s="7"/>
      <c r="G533" s="7"/>
      <c r="H533" s="16"/>
      <c r="I533" s="16"/>
      <c r="J533" s="16"/>
      <c r="K533" s="16"/>
      <c r="L533" s="16"/>
      <c r="M533" s="16"/>
      <c r="N533" s="16"/>
      <c r="O533" s="16"/>
      <c r="P533" s="16"/>
      <c r="Q533" s="4"/>
      <c r="R533" s="4"/>
      <c r="S533" s="4"/>
      <c r="T533" s="4"/>
      <c r="U533" s="4"/>
      <c r="V533" s="4"/>
      <c r="W533" s="4"/>
      <c r="X533" s="4"/>
      <c r="Y533" s="4"/>
      <c r="Z533" s="4"/>
      <c r="AA533" s="4"/>
      <c r="AB533" s="4"/>
      <c r="AC533" s="4"/>
      <c r="AD533" s="4"/>
      <c r="AE533" s="4"/>
    </row>
    <row r="534" spans="1:31" ht="13.2">
      <c r="A534" s="7"/>
      <c r="B534" s="7"/>
      <c r="C534" s="7"/>
      <c r="D534" s="29"/>
      <c r="E534" s="7"/>
      <c r="F534" s="7"/>
      <c r="G534" s="7"/>
      <c r="H534" s="16"/>
      <c r="I534" s="16"/>
      <c r="J534" s="16"/>
      <c r="K534" s="16"/>
      <c r="L534" s="16"/>
      <c r="M534" s="16"/>
      <c r="N534" s="16"/>
      <c r="O534" s="16"/>
      <c r="P534" s="16"/>
      <c r="Q534" s="4"/>
      <c r="R534" s="4"/>
      <c r="S534" s="4"/>
      <c r="T534" s="4"/>
      <c r="U534" s="4"/>
      <c r="V534" s="4"/>
      <c r="W534" s="4"/>
      <c r="X534" s="4"/>
      <c r="Y534" s="4"/>
      <c r="Z534" s="4"/>
      <c r="AA534" s="4"/>
      <c r="AB534" s="4"/>
      <c r="AC534" s="4"/>
      <c r="AD534" s="4"/>
      <c r="AE534" s="4"/>
    </row>
    <row r="535" spans="1:31" ht="13.2">
      <c r="A535" s="7"/>
      <c r="B535" s="7"/>
      <c r="C535" s="7"/>
      <c r="D535" s="29"/>
      <c r="E535" s="7"/>
      <c r="F535" s="7"/>
      <c r="G535" s="7"/>
      <c r="H535" s="16"/>
      <c r="I535" s="16"/>
      <c r="J535" s="16"/>
      <c r="K535" s="16"/>
      <c r="L535" s="16"/>
      <c r="M535" s="16"/>
      <c r="N535" s="16"/>
      <c r="O535" s="16"/>
      <c r="P535" s="16"/>
      <c r="Q535" s="4"/>
      <c r="R535" s="4"/>
      <c r="S535" s="4"/>
      <c r="T535" s="4"/>
      <c r="U535" s="4"/>
      <c r="V535" s="4"/>
      <c r="W535" s="4"/>
      <c r="X535" s="4"/>
      <c r="Y535" s="4"/>
      <c r="Z535" s="4"/>
      <c r="AA535" s="4"/>
      <c r="AB535" s="4"/>
      <c r="AC535" s="4"/>
      <c r="AD535" s="4"/>
      <c r="AE535" s="4"/>
    </row>
    <row r="536" spans="1:31" ht="13.2">
      <c r="A536" s="7"/>
      <c r="B536" s="7"/>
      <c r="C536" s="7"/>
      <c r="D536" s="29"/>
      <c r="E536" s="7"/>
      <c r="F536" s="7"/>
      <c r="G536" s="7"/>
      <c r="H536" s="16"/>
      <c r="I536" s="16"/>
      <c r="J536" s="16"/>
      <c r="K536" s="16"/>
      <c r="L536" s="16"/>
      <c r="M536" s="16"/>
      <c r="N536" s="16"/>
      <c r="O536" s="16"/>
      <c r="P536" s="16"/>
      <c r="Q536" s="4"/>
      <c r="R536" s="4"/>
      <c r="S536" s="4"/>
      <c r="T536" s="4"/>
      <c r="U536" s="4"/>
      <c r="V536" s="4"/>
      <c r="W536" s="4"/>
      <c r="X536" s="4"/>
      <c r="Y536" s="4"/>
      <c r="Z536" s="4"/>
      <c r="AA536" s="4"/>
      <c r="AB536" s="4"/>
      <c r="AC536" s="4"/>
      <c r="AD536" s="4"/>
      <c r="AE536" s="4"/>
    </row>
    <row r="537" spans="1:31" ht="13.2">
      <c r="A537" s="7"/>
      <c r="B537" s="7"/>
      <c r="C537" s="7"/>
      <c r="D537" s="29"/>
      <c r="E537" s="7"/>
      <c r="F537" s="7"/>
      <c r="G537" s="7"/>
      <c r="H537" s="16"/>
      <c r="I537" s="16"/>
      <c r="J537" s="16"/>
      <c r="K537" s="16"/>
      <c r="L537" s="16"/>
      <c r="M537" s="16"/>
      <c r="N537" s="16"/>
      <c r="O537" s="16"/>
      <c r="P537" s="16"/>
      <c r="Q537" s="4"/>
      <c r="R537" s="4"/>
      <c r="S537" s="4"/>
      <c r="T537" s="4"/>
      <c r="U537" s="4"/>
      <c r="V537" s="4"/>
      <c r="W537" s="4"/>
      <c r="X537" s="4"/>
      <c r="Y537" s="4"/>
      <c r="Z537" s="4"/>
      <c r="AA537" s="4"/>
      <c r="AB537" s="4"/>
      <c r="AC537" s="4"/>
      <c r="AD537" s="4"/>
      <c r="AE537" s="4"/>
    </row>
    <row r="538" spans="1:31" ht="13.2">
      <c r="A538" s="7"/>
      <c r="B538" s="7"/>
      <c r="C538" s="7"/>
      <c r="D538" s="29"/>
      <c r="E538" s="7"/>
      <c r="F538" s="7"/>
      <c r="G538" s="7"/>
      <c r="H538" s="16"/>
      <c r="I538" s="16"/>
      <c r="J538" s="16"/>
      <c r="K538" s="16"/>
      <c r="L538" s="16"/>
      <c r="M538" s="16"/>
      <c r="N538" s="16"/>
      <c r="O538" s="16"/>
      <c r="P538" s="16"/>
      <c r="Q538" s="4"/>
      <c r="R538" s="4"/>
      <c r="S538" s="4"/>
      <c r="T538" s="4"/>
      <c r="U538" s="4"/>
      <c r="V538" s="4"/>
      <c r="W538" s="4"/>
      <c r="X538" s="4"/>
      <c r="Y538" s="4"/>
      <c r="Z538" s="4"/>
      <c r="AA538" s="4"/>
      <c r="AB538" s="4"/>
      <c r="AC538" s="4"/>
      <c r="AD538" s="4"/>
      <c r="AE538" s="4"/>
    </row>
    <row r="539" spans="1:31" ht="13.2">
      <c r="A539" s="7"/>
      <c r="B539" s="7"/>
      <c r="C539" s="7"/>
      <c r="D539" s="29"/>
      <c r="E539" s="7"/>
      <c r="F539" s="7"/>
      <c r="G539" s="7"/>
      <c r="H539" s="16"/>
      <c r="I539" s="16"/>
      <c r="J539" s="16"/>
      <c r="K539" s="16"/>
      <c r="L539" s="16"/>
      <c r="M539" s="16"/>
      <c r="N539" s="16"/>
      <c r="O539" s="16"/>
      <c r="P539" s="16"/>
      <c r="Q539" s="4"/>
      <c r="R539" s="4"/>
      <c r="S539" s="4"/>
      <c r="T539" s="4"/>
      <c r="U539" s="4"/>
      <c r="V539" s="4"/>
      <c r="W539" s="4"/>
      <c r="X539" s="4"/>
      <c r="Y539" s="4"/>
      <c r="Z539" s="4"/>
      <c r="AA539" s="4"/>
      <c r="AB539" s="4"/>
      <c r="AC539" s="4"/>
      <c r="AD539" s="4"/>
      <c r="AE539" s="4"/>
    </row>
    <row r="540" spans="1:31" ht="13.2">
      <c r="A540" s="7"/>
      <c r="B540" s="7"/>
      <c r="C540" s="7"/>
      <c r="D540" s="29"/>
      <c r="E540" s="7"/>
      <c r="F540" s="7"/>
      <c r="G540" s="7"/>
      <c r="H540" s="16"/>
      <c r="I540" s="16"/>
      <c r="J540" s="16"/>
      <c r="K540" s="16"/>
      <c r="L540" s="16"/>
      <c r="M540" s="16"/>
      <c r="N540" s="16"/>
      <c r="O540" s="16"/>
      <c r="P540" s="16"/>
      <c r="Q540" s="4"/>
      <c r="R540" s="4"/>
      <c r="S540" s="4"/>
      <c r="T540" s="4"/>
      <c r="U540" s="4"/>
      <c r="V540" s="4"/>
      <c r="W540" s="4"/>
      <c r="X540" s="4"/>
      <c r="Y540" s="4"/>
      <c r="Z540" s="4"/>
      <c r="AA540" s="4"/>
      <c r="AB540" s="4"/>
      <c r="AC540" s="4"/>
      <c r="AD540" s="4"/>
      <c r="AE540" s="4"/>
    </row>
    <row r="541" spans="1:31" ht="13.2">
      <c r="A541" s="7"/>
      <c r="B541" s="7"/>
      <c r="C541" s="7"/>
      <c r="D541" s="29"/>
      <c r="E541" s="7"/>
      <c r="F541" s="7"/>
      <c r="G541" s="7"/>
      <c r="H541" s="16"/>
      <c r="I541" s="16"/>
      <c r="J541" s="16"/>
      <c r="K541" s="16"/>
      <c r="L541" s="16"/>
      <c r="M541" s="16"/>
      <c r="N541" s="16"/>
      <c r="O541" s="16"/>
      <c r="P541" s="16"/>
      <c r="Q541" s="4"/>
      <c r="R541" s="4"/>
      <c r="S541" s="4"/>
      <c r="T541" s="4"/>
      <c r="U541" s="4"/>
      <c r="V541" s="4"/>
      <c r="W541" s="4"/>
      <c r="X541" s="4"/>
      <c r="Y541" s="4"/>
      <c r="Z541" s="4"/>
      <c r="AA541" s="4"/>
      <c r="AB541" s="4"/>
      <c r="AC541" s="4"/>
      <c r="AD541" s="4"/>
      <c r="AE541" s="4"/>
    </row>
    <row r="542" spans="1:31" ht="13.2">
      <c r="A542" s="7"/>
      <c r="B542" s="7"/>
      <c r="C542" s="7"/>
      <c r="D542" s="29"/>
      <c r="E542" s="7"/>
      <c r="F542" s="7"/>
      <c r="G542" s="7"/>
      <c r="H542" s="16"/>
      <c r="I542" s="16"/>
      <c r="J542" s="16"/>
      <c r="K542" s="16"/>
      <c r="L542" s="16"/>
      <c r="M542" s="16"/>
      <c r="N542" s="16"/>
      <c r="O542" s="16"/>
      <c r="P542" s="16"/>
      <c r="Q542" s="4"/>
      <c r="R542" s="4"/>
      <c r="S542" s="4"/>
      <c r="T542" s="4"/>
      <c r="U542" s="4"/>
      <c r="V542" s="4"/>
      <c r="W542" s="4"/>
      <c r="X542" s="4"/>
      <c r="Y542" s="4"/>
      <c r="Z542" s="4"/>
      <c r="AA542" s="4"/>
      <c r="AB542" s="4"/>
      <c r="AC542" s="4"/>
      <c r="AD542" s="4"/>
      <c r="AE542" s="4"/>
    </row>
    <row r="543" spans="1:31" ht="13.2">
      <c r="A543" s="7"/>
      <c r="B543" s="7"/>
      <c r="C543" s="7"/>
      <c r="D543" s="29"/>
      <c r="E543" s="7"/>
      <c r="F543" s="7"/>
      <c r="G543" s="7"/>
      <c r="H543" s="16"/>
      <c r="I543" s="16"/>
      <c r="J543" s="16"/>
      <c r="K543" s="16"/>
      <c r="L543" s="16"/>
      <c r="M543" s="16"/>
      <c r="N543" s="16"/>
      <c r="O543" s="16"/>
      <c r="P543" s="16"/>
      <c r="Q543" s="4"/>
      <c r="R543" s="4"/>
      <c r="S543" s="4"/>
      <c r="T543" s="4"/>
      <c r="U543" s="4"/>
      <c r="V543" s="4"/>
      <c r="W543" s="4"/>
      <c r="X543" s="4"/>
      <c r="Y543" s="4"/>
      <c r="Z543" s="4"/>
      <c r="AA543" s="4"/>
      <c r="AB543" s="4"/>
      <c r="AC543" s="4"/>
      <c r="AD543" s="4"/>
      <c r="AE543" s="4"/>
    </row>
    <row r="544" spans="1:31" ht="13.2">
      <c r="A544" s="7"/>
      <c r="B544" s="7"/>
      <c r="C544" s="7"/>
      <c r="D544" s="29"/>
      <c r="E544" s="7"/>
      <c r="F544" s="7"/>
      <c r="G544" s="7"/>
      <c r="H544" s="16"/>
      <c r="I544" s="16"/>
      <c r="J544" s="16"/>
      <c r="K544" s="16"/>
      <c r="L544" s="16"/>
      <c r="M544" s="16"/>
      <c r="N544" s="16"/>
      <c r="O544" s="16"/>
      <c r="P544" s="16"/>
      <c r="Q544" s="4"/>
      <c r="R544" s="4"/>
      <c r="S544" s="4"/>
      <c r="T544" s="4"/>
      <c r="U544" s="4"/>
      <c r="V544" s="4"/>
      <c r="W544" s="4"/>
      <c r="X544" s="4"/>
      <c r="Y544" s="4"/>
      <c r="Z544" s="4"/>
      <c r="AA544" s="4"/>
      <c r="AB544" s="4"/>
      <c r="AC544" s="4"/>
      <c r="AD544" s="4"/>
      <c r="AE544" s="4"/>
    </row>
    <row r="545" spans="1:31" ht="13.2">
      <c r="A545" s="7"/>
      <c r="B545" s="7"/>
      <c r="C545" s="7"/>
      <c r="D545" s="29"/>
      <c r="E545" s="7"/>
      <c r="F545" s="7"/>
      <c r="G545" s="7"/>
      <c r="H545" s="16"/>
      <c r="I545" s="16"/>
      <c r="J545" s="16"/>
      <c r="K545" s="16"/>
      <c r="L545" s="16"/>
      <c r="M545" s="16"/>
      <c r="N545" s="16"/>
      <c r="O545" s="16"/>
      <c r="P545" s="16"/>
      <c r="Q545" s="4"/>
      <c r="R545" s="4"/>
      <c r="S545" s="4"/>
      <c r="T545" s="4"/>
      <c r="U545" s="4"/>
      <c r="V545" s="4"/>
      <c r="W545" s="4"/>
      <c r="X545" s="4"/>
      <c r="Y545" s="4"/>
      <c r="Z545" s="4"/>
      <c r="AA545" s="4"/>
      <c r="AB545" s="4"/>
      <c r="AC545" s="4"/>
      <c r="AD545" s="4"/>
      <c r="AE545" s="4"/>
    </row>
    <row r="546" spans="1:31" ht="13.2">
      <c r="A546" s="7"/>
      <c r="B546" s="7"/>
      <c r="C546" s="7"/>
      <c r="D546" s="29"/>
      <c r="E546" s="7"/>
      <c r="F546" s="7"/>
      <c r="G546" s="7"/>
      <c r="H546" s="16"/>
      <c r="I546" s="16"/>
      <c r="J546" s="16"/>
      <c r="K546" s="16"/>
      <c r="L546" s="16"/>
      <c r="M546" s="16"/>
      <c r="N546" s="16"/>
      <c r="O546" s="16"/>
      <c r="P546" s="16"/>
      <c r="Q546" s="4"/>
      <c r="R546" s="4"/>
      <c r="S546" s="4"/>
      <c r="T546" s="4"/>
      <c r="U546" s="4"/>
      <c r="V546" s="4"/>
      <c r="W546" s="4"/>
      <c r="X546" s="4"/>
      <c r="Y546" s="4"/>
      <c r="Z546" s="4"/>
      <c r="AA546" s="4"/>
      <c r="AB546" s="4"/>
      <c r="AC546" s="4"/>
      <c r="AD546" s="4"/>
      <c r="AE546" s="4"/>
    </row>
    <row r="547" spans="1:31" ht="13.2">
      <c r="A547" s="7"/>
      <c r="B547" s="7"/>
      <c r="C547" s="7"/>
      <c r="D547" s="29"/>
      <c r="E547" s="7"/>
      <c r="F547" s="7"/>
      <c r="G547" s="7"/>
      <c r="H547" s="16"/>
      <c r="I547" s="16"/>
      <c r="J547" s="16"/>
      <c r="K547" s="16"/>
      <c r="L547" s="16"/>
      <c r="M547" s="16"/>
      <c r="N547" s="16"/>
      <c r="O547" s="16"/>
      <c r="P547" s="16"/>
      <c r="Q547" s="4"/>
      <c r="R547" s="4"/>
      <c r="S547" s="4"/>
      <c r="T547" s="4"/>
      <c r="U547" s="4"/>
      <c r="V547" s="4"/>
      <c r="W547" s="4"/>
      <c r="X547" s="4"/>
      <c r="Y547" s="4"/>
      <c r="Z547" s="4"/>
      <c r="AA547" s="4"/>
      <c r="AB547" s="4"/>
      <c r="AC547" s="4"/>
      <c r="AD547" s="4"/>
      <c r="AE547" s="4"/>
    </row>
    <row r="548" spans="1:31" ht="13.2">
      <c r="A548" s="7"/>
      <c r="B548" s="7"/>
      <c r="C548" s="7"/>
      <c r="D548" s="29"/>
      <c r="E548" s="7"/>
      <c r="F548" s="7"/>
      <c r="G548" s="7"/>
      <c r="H548" s="16"/>
      <c r="I548" s="16"/>
      <c r="J548" s="16"/>
      <c r="K548" s="16"/>
      <c r="L548" s="16"/>
      <c r="M548" s="16"/>
      <c r="N548" s="16"/>
      <c r="O548" s="16"/>
      <c r="P548" s="16"/>
      <c r="Q548" s="4"/>
      <c r="R548" s="4"/>
      <c r="S548" s="4"/>
      <c r="T548" s="4"/>
      <c r="U548" s="4"/>
      <c r="V548" s="4"/>
      <c r="W548" s="4"/>
      <c r="X548" s="4"/>
      <c r="Y548" s="4"/>
      <c r="Z548" s="4"/>
      <c r="AA548" s="4"/>
      <c r="AB548" s="4"/>
      <c r="AC548" s="4"/>
      <c r="AD548" s="4"/>
      <c r="AE548" s="4"/>
    </row>
    <row r="549" spans="1:31" ht="13.2">
      <c r="A549" s="7"/>
      <c r="B549" s="7"/>
      <c r="C549" s="7"/>
      <c r="D549" s="29"/>
      <c r="E549" s="7"/>
      <c r="F549" s="7"/>
      <c r="G549" s="7"/>
      <c r="H549" s="16"/>
      <c r="I549" s="16"/>
      <c r="J549" s="16"/>
      <c r="K549" s="16"/>
      <c r="L549" s="16"/>
      <c r="M549" s="16"/>
      <c r="N549" s="16"/>
      <c r="O549" s="16"/>
      <c r="P549" s="16"/>
      <c r="Q549" s="4"/>
      <c r="R549" s="4"/>
      <c r="S549" s="4"/>
      <c r="T549" s="4"/>
      <c r="U549" s="4"/>
      <c r="V549" s="4"/>
      <c r="W549" s="4"/>
      <c r="X549" s="4"/>
      <c r="Y549" s="4"/>
      <c r="Z549" s="4"/>
      <c r="AA549" s="4"/>
      <c r="AB549" s="4"/>
      <c r="AC549" s="4"/>
      <c r="AD549" s="4"/>
      <c r="AE549" s="4"/>
    </row>
    <row r="550" spans="1:31" ht="13.2">
      <c r="A550" s="7"/>
      <c r="B550" s="7"/>
      <c r="C550" s="7"/>
      <c r="D550" s="29"/>
      <c r="E550" s="7"/>
      <c r="F550" s="7"/>
      <c r="G550" s="7"/>
      <c r="H550" s="16"/>
      <c r="I550" s="16"/>
      <c r="J550" s="16"/>
      <c r="K550" s="16"/>
      <c r="L550" s="16"/>
      <c r="M550" s="16"/>
      <c r="N550" s="16"/>
      <c r="O550" s="16"/>
      <c r="P550" s="16"/>
      <c r="Q550" s="4"/>
      <c r="R550" s="4"/>
      <c r="S550" s="4"/>
      <c r="T550" s="4"/>
      <c r="U550" s="4"/>
      <c r="V550" s="4"/>
      <c r="W550" s="4"/>
      <c r="X550" s="4"/>
      <c r="Y550" s="4"/>
      <c r="Z550" s="4"/>
      <c r="AA550" s="4"/>
      <c r="AB550" s="4"/>
      <c r="AC550" s="4"/>
      <c r="AD550" s="4"/>
      <c r="AE550" s="4"/>
    </row>
    <row r="551" spans="1:31" ht="13.2">
      <c r="A551" s="7"/>
      <c r="B551" s="7"/>
      <c r="C551" s="7"/>
      <c r="D551" s="29"/>
      <c r="E551" s="7"/>
      <c r="F551" s="7"/>
      <c r="G551" s="7"/>
      <c r="H551" s="16"/>
      <c r="I551" s="16"/>
      <c r="J551" s="16"/>
      <c r="K551" s="16"/>
      <c r="L551" s="16"/>
      <c r="M551" s="16"/>
      <c r="N551" s="16"/>
      <c r="O551" s="16"/>
      <c r="P551" s="16"/>
      <c r="Q551" s="4"/>
      <c r="R551" s="4"/>
      <c r="S551" s="4"/>
      <c r="T551" s="4"/>
      <c r="U551" s="4"/>
      <c r="V551" s="4"/>
      <c r="W551" s="4"/>
      <c r="X551" s="4"/>
      <c r="Y551" s="4"/>
      <c r="Z551" s="4"/>
      <c r="AA551" s="4"/>
      <c r="AB551" s="4"/>
      <c r="AC551" s="4"/>
      <c r="AD551" s="4"/>
      <c r="AE551" s="4"/>
    </row>
    <row r="552" spans="1:31" ht="13.2">
      <c r="A552" s="7"/>
      <c r="B552" s="7"/>
      <c r="C552" s="7"/>
      <c r="D552" s="29"/>
      <c r="E552" s="7"/>
      <c r="F552" s="7"/>
      <c r="G552" s="7"/>
      <c r="H552" s="16"/>
      <c r="I552" s="16"/>
      <c r="J552" s="16"/>
      <c r="K552" s="16"/>
      <c r="L552" s="16"/>
      <c r="M552" s="16"/>
      <c r="N552" s="16"/>
      <c r="O552" s="16"/>
      <c r="P552" s="16"/>
      <c r="Q552" s="4"/>
      <c r="R552" s="4"/>
      <c r="S552" s="4"/>
      <c r="T552" s="4"/>
      <c r="U552" s="4"/>
      <c r="V552" s="4"/>
      <c r="W552" s="4"/>
      <c r="X552" s="4"/>
      <c r="Y552" s="4"/>
      <c r="Z552" s="4"/>
      <c r="AA552" s="4"/>
      <c r="AB552" s="4"/>
      <c r="AC552" s="4"/>
      <c r="AD552" s="4"/>
      <c r="AE552" s="4"/>
    </row>
    <row r="553" spans="1:31" ht="13.2">
      <c r="A553" s="7"/>
      <c r="B553" s="7"/>
      <c r="C553" s="7"/>
      <c r="D553" s="29"/>
      <c r="E553" s="7"/>
      <c r="F553" s="7"/>
      <c r="G553" s="7"/>
      <c r="H553" s="16"/>
      <c r="I553" s="16"/>
      <c r="J553" s="16"/>
      <c r="K553" s="16"/>
      <c r="L553" s="16"/>
      <c r="M553" s="16"/>
      <c r="N553" s="16"/>
      <c r="O553" s="16"/>
      <c r="P553" s="16"/>
      <c r="Q553" s="4"/>
      <c r="R553" s="4"/>
      <c r="S553" s="4"/>
      <c r="T553" s="4"/>
      <c r="U553" s="4"/>
      <c r="V553" s="4"/>
      <c r="W553" s="4"/>
      <c r="X553" s="4"/>
      <c r="Y553" s="4"/>
      <c r="Z553" s="4"/>
      <c r="AA553" s="4"/>
      <c r="AB553" s="4"/>
      <c r="AC553" s="4"/>
      <c r="AD553" s="4"/>
      <c r="AE553" s="4"/>
    </row>
    <row r="554" spans="1:31" ht="13.2">
      <c r="A554" s="7"/>
      <c r="B554" s="7"/>
      <c r="C554" s="7"/>
      <c r="D554" s="29"/>
      <c r="E554" s="7"/>
      <c r="F554" s="7"/>
      <c r="G554" s="7"/>
      <c r="H554" s="16"/>
      <c r="I554" s="16"/>
      <c r="J554" s="16"/>
      <c r="K554" s="16"/>
      <c r="L554" s="16"/>
      <c r="M554" s="16"/>
      <c r="N554" s="16"/>
      <c r="O554" s="16"/>
      <c r="P554" s="16"/>
      <c r="Q554" s="4"/>
      <c r="R554" s="4"/>
      <c r="S554" s="4"/>
      <c r="T554" s="4"/>
      <c r="U554" s="4"/>
      <c r="V554" s="4"/>
      <c r="W554" s="4"/>
      <c r="X554" s="4"/>
      <c r="Y554" s="4"/>
      <c r="Z554" s="4"/>
      <c r="AA554" s="4"/>
      <c r="AB554" s="4"/>
      <c r="AC554" s="4"/>
      <c r="AD554" s="4"/>
      <c r="AE554" s="4"/>
    </row>
    <row r="555" spans="1:31" ht="13.2">
      <c r="A555" s="7"/>
      <c r="B555" s="7"/>
      <c r="C555" s="7"/>
      <c r="D555" s="29"/>
      <c r="E555" s="7"/>
      <c r="F555" s="7"/>
      <c r="G555" s="7"/>
      <c r="H555" s="16"/>
      <c r="I555" s="16"/>
      <c r="J555" s="16"/>
      <c r="K555" s="16"/>
      <c r="L555" s="16"/>
      <c r="M555" s="16"/>
      <c r="N555" s="16"/>
      <c r="O555" s="16"/>
      <c r="P555" s="16"/>
      <c r="Q555" s="4"/>
      <c r="R555" s="4"/>
      <c r="S555" s="4"/>
      <c r="T555" s="4"/>
      <c r="U555" s="4"/>
      <c r="V555" s="4"/>
      <c r="W555" s="4"/>
      <c r="X555" s="4"/>
      <c r="Y555" s="4"/>
      <c r="Z555" s="4"/>
      <c r="AA555" s="4"/>
      <c r="AB555" s="4"/>
      <c r="AC555" s="4"/>
      <c r="AD555" s="4"/>
      <c r="AE555" s="4"/>
    </row>
    <row r="556" spans="1:31" ht="13.2">
      <c r="A556" s="7"/>
      <c r="B556" s="7"/>
      <c r="C556" s="7"/>
      <c r="D556" s="29"/>
      <c r="E556" s="7"/>
      <c r="F556" s="7"/>
      <c r="G556" s="7"/>
      <c r="H556" s="16"/>
      <c r="I556" s="16"/>
      <c r="J556" s="16"/>
      <c r="K556" s="16"/>
      <c r="L556" s="16"/>
      <c r="M556" s="16"/>
      <c r="N556" s="16"/>
      <c r="O556" s="16"/>
      <c r="P556" s="16"/>
      <c r="Q556" s="4"/>
      <c r="R556" s="4"/>
      <c r="S556" s="4"/>
      <c r="T556" s="4"/>
      <c r="U556" s="4"/>
      <c r="V556" s="4"/>
      <c r="W556" s="4"/>
      <c r="X556" s="4"/>
      <c r="Y556" s="4"/>
      <c r="Z556" s="4"/>
      <c r="AA556" s="4"/>
      <c r="AB556" s="4"/>
      <c r="AC556" s="4"/>
      <c r="AD556" s="4"/>
      <c r="AE556" s="4"/>
    </row>
    <row r="557" spans="1:31" ht="13.2">
      <c r="A557" s="7"/>
      <c r="B557" s="7"/>
      <c r="C557" s="7"/>
      <c r="D557" s="29"/>
      <c r="E557" s="7"/>
      <c r="F557" s="7"/>
      <c r="G557" s="7"/>
      <c r="H557" s="16"/>
      <c r="I557" s="16"/>
      <c r="J557" s="16"/>
      <c r="K557" s="16"/>
      <c r="L557" s="16"/>
      <c r="M557" s="16"/>
      <c r="N557" s="16"/>
      <c r="O557" s="16"/>
      <c r="P557" s="16"/>
      <c r="Q557" s="4"/>
      <c r="R557" s="4"/>
      <c r="S557" s="4"/>
      <c r="T557" s="4"/>
      <c r="U557" s="4"/>
      <c r="V557" s="4"/>
      <c r="W557" s="4"/>
      <c r="X557" s="4"/>
      <c r="Y557" s="4"/>
      <c r="Z557" s="4"/>
      <c r="AA557" s="4"/>
      <c r="AB557" s="4"/>
      <c r="AC557" s="4"/>
      <c r="AD557" s="4"/>
      <c r="AE557" s="4"/>
    </row>
    <row r="558" spans="1:31" ht="13.2">
      <c r="A558" s="7"/>
      <c r="B558" s="7"/>
      <c r="C558" s="7"/>
      <c r="D558" s="29"/>
      <c r="E558" s="7"/>
      <c r="F558" s="7"/>
      <c r="G558" s="7"/>
      <c r="H558" s="16"/>
      <c r="I558" s="16"/>
      <c r="J558" s="16"/>
      <c r="K558" s="16"/>
      <c r="L558" s="16"/>
      <c r="M558" s="16"/>
      <c r="N558" s="16"/>
      <c r="O558" s="16"/>
      <c r="P558" s="16"/>
      <c r="Q558" s="4"/>
      <c r="R558" s="4"/>
      <c r="S558" s="4"/>
      <c r="T558" s="4"/>
      <c r="U558" s="4"/>
      <c r="V558" s="4"/>
      <c r="W558" s="4"/>
      <c r="X558" s="4"/>
      <c r="Y558" s="4"/>
      <c r="Z558" s="4"/>
      <c r="AA558" s="4"/>
      <c r="AB558" s="4"/>
      <c r="AC558" s="4"/>
      <c r="AD558" s="4"/>
      <c r="AE558" s="4"/>
    </row>
    <row r="559" spans="1:31" ht="13.2">
      <c r="A559" s="7"/>
      <c r="B559" s="7"/>
      <c r="C559" s="7"/>
      <c r="D559" s="29"/>
      <c r="E559" s="7"/>
      <c r="F559" s="7"/>
      <c r="G559" s="7"/>
      <c r="H559" s="16"/>
      <c r="I559" s="16"/>
      <c r="J559" s="16"/>
      <c r="K559" s="16"/>
      <c r="L559" s="16"/>
      <c r="M559" s="16"/>
      <c r="N559" s="16"/>
      <c r="O559" s="16"/>
      <c r="P559" s="16"/>
      <c r="Q559" s="4"/>
      <c r="R559" s="4"/>
      <c r="S559" s="4"/>
      <c r="T559" s="4"/>
      <c r="U559" s="4"/>
      <c r="V559" s="4"/>
      <c r="W559" s="4"/>
      <c r="X559" s="4"/>
      <c r="Y559" s="4"/>
      <c r="Z559" s="4"/>
      <c r="AA559" s="4"/>
      <c r="AB559" s="4"/>
      <c r="AC559" s="4"/>
      <c r="AD559" s="4"/>
      <c r="AE559" s="4"/>
    </row>
    <row r="560" spans="1:31" ht="13.2">
      <c r="A560" s="7"/>
      <c r="B560" s="7"/>
      <c r="C560" s="7"/>
      <c r="D560" s="29"/>
      <c r="E560" s="7"/>
      <c r="F560" s="7"/>
      <c r="G560" s="7"/>
      <c r="H560" s="16"/>
      <c r="I560" s="16"/>
      <c r="J560" s="16"/>
      <c r="K560" s="16"/>
      <c r="L560" s="16"/>
      <c r="M560" s="16"/>
      <c r="N560" s="16"/>
      <c r="O560" s="16"/>
      <c r="P560" s="16"/>
      <c r="Q560" s="4"/>
      <c r="R560" s="4"/>
      <c r="S560" s="4"/>
      <c r="T560" s="4"/>
      <c r="U560" s="4"/>
      <c r="V560" s="4"/>
      <c r="W560" s="4"/>
      <c r="X560" s="4"/>
      <c r="Y560" s="4"/>
      <c r="Z560" s="4"/>
      <c r="AA560" s="4"/>
      <c r="AB560" s="4"/>
      <c r="AC560" s="4"/>
      <c r="AD560" s="4"/>
      <c r="AE560" s="4"/>
    </row>
    <row r="561" spans="1:31" ht="13.2">
      <c r="A561" s="7"/>
      <c r="B561" s="7"/>
      <c r="C561" s="7"/>
      <c r="D561" s="29"/>
      <c r="E561" s="7"/>
      <c r="F561" s="7"/>
      <c r="G561" s="7"/>
      <c r="H561" s="16"/>
      <c r="I561" s="16"/>
      <c r="J561" s="16"/>
      <c r="K561" s="16"/>
      <c r="L561" s="16"/>
      <c r="M561" s="16"/>
      <c r="N561" s="16"/>
      <c r="O561" s="16"/>
      <c r="P561" s="16"/>
      <c r="Q561" s="4"/>
      <c r="R561" s="4"/>
      <c r="S561" s="4"/>
      <c r="T561" s="4"/>
      <c r="U561" s="4"/>
      <c r="V561" s="4"/>
      <c r="W561" s="4"/>
      <c r="X561" s="4"/>
      <c r="Y561" s="4"/>
      <c r="Z561" s="4"/>
      <c r="AA561" s="4"/>
      <c r="AB561" s="4"/>
      <c r="AC561" s="4"/>
      <c r="AD561" s="4"/>
      <c r="AE561" s="4"/>
    </row>
    <row r="562" spans="1:31" ht="13.2">
      <c r="A562" s="7"/>
      <c r="B562" s="7"/>
      <c r="C562" s="7"/>
      <c r="D562" s="29"/>
      <c r="E562" s="7"/>
      <c r="F562" s="7"/>
      <c r="G562" s="7"/>
      <c r="H562" s="16"/>
      <c r="I562" s="16"/>
      <c r="J562" s="16"/>
      <c r="K562" s="16"/>
      <c r="L562" s="16"/>
      <c r="M562" s="16"/>
      <c r="N562" s="16"/>
      <c r="O562" s="16"/>
      <c r="P562" s="16"/>
      <c r="Q562" s="4"/>
      <c r="R562" s="4"/>
      <c r="S562" s="4"/>
      <c r="T562" s="4"/>
      <c r="U562" s="4"/>
      <c r="V562" s="4"/>
      <c r="W562" s="4"/>
      <c r="X562" s="4"/>
      <c r="Y562" s="4"/>
      <c r="Z562" s="4"/>
      <c r="AA562" s="4"/>
      <c r="AB562" s="4"/>
      <c r="AC562" s="4"/>
      <c r="AD562" s="4"/>
      <c r="AE562" s="4"/>
    </row>
    <row r="563" spans="1:31" ht="13.2">
      <c r="A563" s="7"/>
      <c r="B563" s="7"/>
      <c r="C563" s="7"/>
      <c r="D563" s="29"/>
      <c r="E563" s="7"/>
      <c r="F563" s="7"/>
      <c r="G563" s="7"/>
      <c r="H563" s="16"/>
      <c r="I563" s="16"/>
      <c r="J563" s="16"/>
      <c r="K563" s="16"/>
      <c r="L563" s="16"/>
      <c r="M563" s="16"/>
      <c r="N563" s="16"/>
      <c r="O563" s="16"/>
      <c r="P563" s="16"/>
      <c r="Q563" s="4"/>
      <c r="R563" s="4"/>
      <c r="S563" s="4"/>
      <c r="T563" s="4"/>
      <c r="U563" s="4"/>
      <c r="V563" s="4"/>
      <c r="W563" s="4"/>
      <c r="X563" s="4"/>
      <c r="Y563" s="4"/>
      <c r="Z563" s="4"/>
      <c r="AA563" s="4"/>
      <c r="AB563" s="4"/>
      <c r="AC563" s="4"/>
      <c r="AD563" s="4"/>
      <c r="AE563" s="4"/>
    </row>
    <row r="564" spans="1:31" ht="13.2">
      <c r="A564" s="7"/>
      <c r="B564" s="7"/>
      <c r="C564" s="7"/>
      <c r="D564" s="29"/>
      <c r="E564" s="7"/>
      <c r="F564" s="7"/>
      <c r="G564" s="7"/>
      <c r="H564" s="16"/>
      <c r="I564" s="16"/>
      <c r="J564" s="16"/>
      <c r="K564" s="16"/>
      <c r="L564" s="16"/>
      <c r="M564" s="16"/>
      <c r="N564" s="16"/>
      <c r="O564" s="16"/>
      <c r="P564" s="16"/>
      <c r="Q564" s="4"/>
      <c r="R564" s="4"/>
      <c r="S564" s="4"/>
      <c r="T564" s="4"/>
      <c r="U564" s="4"/>
      <c r="V564" s="4"/>
      <c r="W564" s="4"/>
      <c r="X564" s="4"/>
      <c r="Y564" s="4"/>
      <c r="Z564" s="4"/>
      <c r="AA564" s="4"/>
      <c r="AB564" s="4"/>
      <c r="AC564" s="4"/>
      <c r="AD564" s="4"/>
      <c r="AE564" s="4"/>
    </row>
    <row r="565" spans="1:31" ht="13.2">
      <c r="A565" s="7"/>
      <c r="B565" s="7"/>
      <c r="C565" s="7"/>
      <c r="D565" s="29"/>
      <c r="E565" s="7"/>
      <c r="F565" s="7"/>
      <c r="G565" s="7"/>
      <c r="H565" s="16"/>
      <c r="I565" s="16"/>
      <c r="J565" s="16"/>
      <c r="K565" s="16"/>
      <c r="L565" s="16"/>
      <c r="M565" s="16"/>
      <c r="N565" s="16"/>
      <c r="O565" s="16"/>
      <c r="P565" s="16"/>
      <c r="Q565" s="4"/>
      <c r="R565" s="4"/>
      <c r="S565" s="4"/>
      <c r="T565" s="4"/>
      <c r="U565" s="4"/>
      <c r="V565" s="4"/>
      <c r="W565" s="4"/>
      <c r="X565" s="4"/>
      <c r="Y565" s="4"/>
      <c r="Z565" s="4"/>
      <c r="AA565" s="4"/>
      <c r="AB565" s="4"/>
      <c r="AC565" s="4"/>
      <c r="AD565" s="4"/>
      <c r="AE565" s="4"/>
    </row>
    <row r="566" spans="1:31" ht="13.2">
      <c r="A566" s="7"/>
      <c r="B566" s="7"/>
      <c r="C566" s="7"/>
      <c r="D566" s="29"/>
      <c r="E566" s="7"/>
      <c r="F566" s="7"/>
      <c r="G566" s="7"/>
      <c r="H566" s="16"/>
      <c r="I566" s="16"/>
      <c r="J566" s="16"/>
      <c r="K566" s="16"/>
      <c r="L566" s="16"/>
      <c r="M566" s="16"/>
      <c r="N566" s="16"/>
      <c r="O566" s="16"/>
      <c r="P566" s="16"/>
      <c r="Q566" s="4"/>
      <c r="R566" s="4"/>
      <c r="S566" s="4"/>
      <c r="T566" s="4"/>
      <c r="U566" s="4"/>
      <c r="V566" s="4"/>
      <c r="W566" s="4"/>
      <c r="X566" s="4"/>
      <c r="Y566" s="4"/>
      <c r="Z566" s="4"/>
      <c r="AA566" s="4"/>
      <c r="AB566" s="4"/>
      <c r="AC566" s="4"/>
      <c r="AD566" s="4"/>
      <c r="AE566" s="4"/>
    </row>
    <row r="567" spans="1:31" ht="13.2">
      <c r="A567" s="7"/>
      <c r="B567" s="7"/>
      <c r="C567" s="7"/>
      <c r="D567" s="29"/>
      <c r="E567" s="7"/>
      <c r="F567" s="7"/>
      <c r="G567" s="7"/>
      <c r="H567" s="16"/>
      <c r="I567" s="16"/>
      <c r="J567" s="16"/>
      <c r="K567" s="16"/>
      <c r="L567" s="16"/>
      <c r="M567" s="16"/>
      <c r="N567" s="16"/>
      <c r="O567" s="16"/>
      <c r="P567" s="16"/>
      <c r="Q567" s="4"/>
      <c r="R567" s="4"/>
      <c r="S567" s="4"/>
      <c r="T567" s="4"/>
      <c r="U567" s="4"/>
      <c r="V567" s="4"/>
      <c r="W567" s="4"/>
      <c r="X567" s="4"/>
      <c r="Y567" s="4"/>
      <c r="Z567" s="4"/>
      <c r="AA567" s="4"/>
      <c r="AB567" s="4"/>
      <c r="AC567" s="4"/>
      <c r="AD567" s="4"/>
      <c r="AE567" s="4"/>
    </row>
    <row r="568" spans="1:31" ht="13.2">
      <c r="A568" s="7"/>
      <c r="B568" s="7"/>
      <c r="C568" s="7"/>
      <c r="D568" s="29"/>
      <c r="E568" s="7"/>
      <c r="F568" s="7"/>
      <c r="G568" s="7"/>
      <c r="H568" s="16"/>
      <c r="I568" s="16"/>
      <c r="J568" s="16"/>
      <c r="K568" s="16"/>
      <c r="L568" s="16"/>
      <c r="M568" s="16"/>
      <c r="N568" s="16"/>
      <c r="O568" s="16"/>
      <c r="P568" s="16"/>
      <c r="Q568" s="4"/>
      <c r="R568" s="4"/>
      <c r="S568" s="4"/>
      <c r="T568" s="4"/>
      <c r="U568" s="4"/>
      <c r="V568" s="4"/>
      <c r="W568" s="4"/>
      <c r="X568" s="4"/>
      <c r="Y568" s="4"/>
      <c r="Z568" s="4"/>
      <c r="AA568" s="4"/>
      <c r="AB568" s="4"/>
      <c r="AC568" s="4"/>
      <c r="AD568" s="4"/>
      <c r="AE568" s="4"/>
    </row>
    <row r="569" spans="1:31" ht="13.2">
      <c r="A569" s="7"/>
      <c r="B569" s="7"/>
      <c r="C569" s="7"/>
      <c r="D569" s="29"/>
      <c r="E569" s="7"/>
      <c r="F569" s="7"/>
      <c r="G569" s="7"/>
      <c r="H569" s="16"/>
      <c r="I569" s="16"/>
      <c r="J569" s="16"/>
      <c r="K569" s="16"/>
      <c r="L569" s="16"/>
      <c r="M569" s="16"/>
      <c r="N569" s="16"/>
      <c r="O569" s="16"/>
      <c r="P569" s="16"/>
      <c r="Q569" s="4"/>
      <c r="R569" s="4"/>
      <c r="S569" s="4"/>
      <c r="T569" s="4"/>
      <c r="U569" s="4"/>
      <c r="V569" s="4"/>
      <c r="W569" s="4"/>
      <c r="X569" s="4"/>
      <c r="Y569" s="4"/>
      <c r="Z569" s="4"/>
      <c r="AA569" s="4"/>
      <c r="AB569" s="4"/>
      <c r="AC569" s="4"/>
      <c r="AD569" s="4"/>
      <c r="AE569" s="4"/>
    </row>
    <row r="570" spans="1:31" ht="13.2">
      <c r="A570" s="7"/>
      <c r="B570" s="7"/>
      <c r="C570" s="7"/>
      <c r="D570" s="29"/>
      <c r="E570" s="7"/>
      <c r="F570" s="7"/>
      <c r="G570" s="7"/>
      <c r="H570" s="16"/>
      <c r="I570" s="16"/>
      <c r="J570" s="16"/>
      <c r="K570" s="16"/>
      <c r="L570" s="16"/>
      <c r="M570" s="16"/>
      <c r="N570" s="16"/>
      <c r="O570" s="16"/>
      <c r="P570" s="16"/>
      <c r="Q570" s="4"/>
      <c r="R570" s="4"/>
      <c r="S570" s="4"/>
      <c r="T570" s="4"/>
      <c r="U570" s="4"/>
      <c r="V570" s="4"/>
      <c r="W570" s="4"/>
      <c r="X570" s="4"/>
      <c r="Y570" s="4"/>
      <c r="Z570" s="4"/>
      <c r="AA570" s="4"/>
      <c r="AB570" s="4"/>
      <c r="AC570" s="4"/>
      <c r="AD570" s="4"/>
      <c r="AE570" s="4"/>
    </row>
    <row r="571" spans="1:31" ht="13.2">
      <c r="A571" s="7"/>
      <c r="B571" s="7"/>
      <c r="C571" s="7"/>
      <c r="D571" s="29"/>
      <c r="E571" s="7"/>
      <c r="F571" s="7"/>
      <c r="G571" s="7"/>
      <c r="H571" s="16"/>
      <c r="I571" s="16"/>
      <c r="J571" s="16"/>
      <c r="K571" s="16"/>
      <c r="L571" s="16"/>
      <c r="M571" s="16"/>
      <c r="N571" s="16"/>
      <c r="O571" s="16"/>
      <c r="P571" s="16"/>
      <c r="Q571" s="4"/>
      <c r="R571" s="4"/>
      <c r="S571" s="4"/>
      <c r="T571" s="4"/>
      <c r="U571" s="4"/>
      <c r="V571" s="4"/>
      <c r="W571" s="4"/>
      <c r="X571" s="4"/>
      <c r="Y571" s="4"/>
      <c r="Z571" s="4"/>
      <c r="AA571" s="4"/>
      <c r="AB571" s="4"/>
      <c r="AC571" s="4"/>
      <c r="AD571" s="4"/>
      <c r="AE571" s="4"/>
    </row>
    <row r="572" spans="1:31" ht="13.2">
      <c r="A572" s="7"/>
      <c r="B572" s="7"/>
      <c r="C572" s="7"/>
      <c r="D572" s="29"/>
      <c r="E572" s="7"/>
      <c r="F572" s="7"/>
      <c r="G572" s="7"/>
      <c r="H572" s="16"/>
      <c r="I572" s="16"/>
      <c r="J572" s="16"/>
      <c r="K572" s="16"/>
      <c r="L572" s="16"/>
      <c r="M572" s="16"/>
      <c r="N572" s="16"/>
      <c r="O572" s="16"/>
      <c r="P572" s="16"/>
      <c r="Q572" s="4"/>
      <c r="R572" s="4"/>
      <c r="S572" s="4"/>
      <c r="T572" s="4"/>
      <c r="U572" s="4"/>
      <c r="V572" s="4"/>
      <c r="W572" s="4"/>
      <c r="X572" s="4"/>
      <c r="Y572" s="4"/>
      <c r="Z572" s="4"/>
      <c r="AA572" s="4"/>
      <c r="AB572" s="4"/>
      <c r="AC572" s="4"/>
      <c r="AD572" s="4"/>
      <c r="AE572" s="4"/>
    </row>
    <row r="573" spans="1:31" ht="13.2">
      <c r="A573" s="7"/>
      <c r="B573" s="7"/>
      <c r="C573" s="7"/>
      <c r="D573" s="29"/>
      <c r="E573" s="7"/>
      <c r="F573" s="7"/>
      <c r="G573" s="7"/>
      <c r="H573" s="16"/>
      <c r="I573" s="16"/>
      <c r="J573" s="16"/>
      <c r="K573" s="16"/>
      <c r="L573" s="16"/>
      <c r="M573" s="16"/>
      <c r="N573" s="16"/>
      <c r="O573" s="16"/>
      <c r="P573" s="16"/>
      <c r="Q573" s="4"/>
      <c r="R573" s="4"/>
      <c r="S573" s="4"/>
      <c r="T573" s="4"/>
      <c r="U573" s="4"/>
      <c r="V573" s="4"/>
      <c r="W573" s="4"/>
      <c r="X573" s="4"/>
      <c r="Y573" s="4"/>
      <c r="Z573" s="4"/>
      <c r="AA573" s="4"/>
      <c r="AB573" s="4"/>
      <c r="AC573" s="4"/>
      <c r="AD573" s="4"/>
      <c r="AE573" s="4"/>
    </row>
    <row r="574" spans="1:31" ht="13.2">
      <c r="A574" s="7"/>
      <c r="B574" s="7"/>
      <c r="C574" s="7"/>
      <c r="D574" s="29"/>
      <c r="E574" s="7"/>
      <c r="F574" s="7"/>
      <c r="G574" s="7"/>
      <c r="H574" s="16"/>
      <c r="I574" s="16"/>
      <c r="J574" s="16"/>
      <c r="K574" s="16"/>
      <c r="L574" s="16"/>
      <c r="M574" s="16"/>
      <c r="N574" s="16"/>
      <c r="O574" s="16"/>
      <c r="P574" s="16"/>
      <c r="Q574" s="4"/>
      <c r="R574" s="4"/>
      <c r="S574" s="4"/>
      <c r="T574" s="4"/>
      <c r="U574" s="4"/>
      <c r="V574" s="4"/>
      <c r="W574" s="4"/>
      <c r="X574" s="4"/>
      <c r="Y574" s="4"/>
      <c r="Z574" s="4"/>
      <c r="AA574" s="4"/>
      <c r="AB574" s="4"/>
      <c r="AC574" s="4"/>
      <c r="AD574" s="4"/>
      <c r="AE574" s="4"/>
    </row>
    <row r="575" spans="1:31" ht="13.2">
      <c r="A575" s="7"/>
      <c r="B575" s="7"/>
      <c r="C575" s="7"/>
      <c r="D575" s="29"/>
      <c r="E575" s="7"/>
      <c r="F575" s="7"/>
      <c r="G575" s="7"/>
      <c r="H575" s="16"/>
      <c r="I575" s="16"/>
      <c r="J575" s="16"/>
      <c r="K575" s="16"/>
      <c r="L575" s="16"/>
      <c r="M575" s="16"/>
      <c r="N575" s="16"/>
      <c r="O575" s="16"/>
      <c r="P575" s="16"/>
      <c r="Q575" s="4"/>
      <c r="R575" s="4"/>
      <c r="S575" s="4"/>
      <c r="T575" s="4"/>
      <c r="U575" s="4"/>
      <c r="V575" s="4"/>
      <c r="W575" s="4"/>
      <c r="X575" s="4"/>
      <c r="Y575" s="4"/>
      <c r="Z575" s="4"/>
      <c r="AA575" s="4"/>
      <c r="AB575" s="4"/>
      <c r="AC575" s="4"/>
      <c r="AD575" s="4"/>
      <c r="AE575" s="4"/>
    </row>
    <row r="576" spans="1:31" ht="13.2">
      <c r="A576" s="7"/>
      <c r="B576" s="7"/>
      <c r="C576" s="7"/>
      <c r="D576" s="29"/>
      <c r="E576" s="7"/>
      <c r="F576" s="7"/>
      <c r="G576" s="7"/>
      <c r="H576" s="16"/>
      <c r="I576" s="16"/>
      <c r="J576" s="16"/>
      <c r="K576" s="16"/>
      <c r="L576" s="16"/>
      <c r="M576" s="16"/>
      <c r="N576" s="16"/>
      <c r="O576" s="16"/>
      <c r="P576" s="16"/>
      <c r="Q576" s="4"/>
      <c r="R576" s="4"/>
      <c r="S576" s="4"/>
      <c r="T576" s="4"/>
      <c r="U576" s="4"/>
      <c r="V576" s="4"/>
      <c r="W576" s="4"/>
      <c r="X576" s="4"/>
      <c r="Y576" s="4"/>
      <c r="Z576" s="4"/>
      <c r="AA576" s="4"/>
      <c r="AB576" s="4"/>
      <c r="AC576" s="4"/>
      <c r="AD576" s="4"/>
      <c r="AE576" s="4"/>
    </row>
    <row r="577" spans="1:31" ht="13.2">
      <c r="A577" s="7"/>
      <c r="B577" s="7"/>
      <c r="C577" s="7"/>
      <c r="D577" s="29"/>
      <c r="E577" s="7"/>
      <c r="F577" s="7"/>
      <c r="G577" s="7"/>
      <c r="H577" s="16"/>
      <c r="I577" s="16"/>
      <c r="J577" s="16"/>
      <c r="K577" s="16"/>
      <c r="L577" s="16"/>
      <c r="M577" s="16"/>
      <c r="N577" s="16"/>
      <c r="O577" s="16"/>
      <c r="P577" s="16"/>
      <c r="Q577" s="4"/>
      <c r="R577" s="4"/>
      <c r="S577" s="4"/>
      <c r="T577" s="4"/>
      <c r="U577" s="4"/>
      <c r="V577" s="4"/>
      <c r="W577" s="4"/>
      <c r="X577" s="4"/>
      <c r="Y577" s="4"/>
      <c r="Z577" s="4"/>
      <c r="AA577" s="4"/>
      <c r="AB577" s="4"/>
      <c r="AC577" s="4"/>
      <c r="AD577" s="4"/>
      <c r="AE577" s="4"/>
    </row>
    <row r="578" spans="1:31" ht="13.2">
      <c r="A578" s="7"/>
      <c r="B578" s="7"/>
      <c r="C578" s="7"/>
      <c r="D578" s="29"/>
      <c r="E578" s="7"/>
      <c r="F578" s="7"/>
      <c r="G578" s="7"/>
      <c r="H578" s="16"/>
      <c r="I578" s="16"/>
      <c r="J578" s="16"/>
      <c r="K578" s="16"/>
      <c r="L578" s="16"/>
      <c r="M578" s="16"/>
      <c r="N578" s="16"/>
      <c r="O578" s="16"/>
      <c r="P578" s="16"/>
      <c r="Q578" s="4"/>
      <c r="R578" s="4"/>
      <c r="S578" s="4"/>
      <c r="T578" s="4"/>
      <c r="U578" s="4"/>
      <c r="V578" s="4"/>
      <c r="W578" s="4"/>
      <c r="X578" s="4"/>
      <c r="Y578" s="4"/>
      <c r="Z578" s="4"/>
      <c r="AA578" s="4"/>
      <c r="AB578" s="4"/>
      <c r="AC578" s="4"/>
      <c r="AD578" s="4"/>
      <c r="AE578" s="4"/>
    </row>
    <row r="579" spans="1:31" ht="13.2">
      <c r="A579" s="7"/>
      <c r="B579" s="7"/>
      <c r="C579" s="7"/>
      <c r="D579" s="29"/>
      <c r="E579" s="7"/>
      <c r="F579" s="7"/>
      <c r="G579" s="7"/>
      <c r="H579" s="16"/>
      <c r="I579" s="16"/>
      <c r="J579" s="16"/>
      <c r="K579" s="16"/>
      <c r="L579" s="16"/>
      <c r="M579" s="16"/>
      <c r="N579" s="16"/>
      <c r="O579" s="16"/>
      <c r="P579" s="16"/>
      <c r="Q579" s="4"/>
      <c r="R579" s="4"/>
      <c r="S579" s="4"/>
      <c r="T579" s="4"/>
      <c r="U579" s="4"/>
      <c r="V579" s="4"/>
      <c r="W579" s="4"/>
      <c r="X579" s="4"/>
      <c r="Y579" s="4"/>
      <c r="Z579" s="4"/>
      <c r="AA579" s="4"/>
      <c r="AB579" s="4"/>
      <c r="AC579" s="4"/>
      <c r="AD579" s="4"/>
      <c r="AE579" s="4"/>
    </row>
    <row r="580" spans="1:31" ht="13.2">
      <c r="A580" s="7"/>
      <c r="B580" s="7"/>
      <c r="C580" s="7"/>
      <c r="D580" s="29"/>
      <c r="E580" s="7"/>
      <c r="F580" s="7"/>
      <c r="G580" s="7"/>
      <c r="H580" s="16"/>
      <c r="I580" s="16"/>
      <c r="J580" s="16"/>
      <c r="K580" s="16"/>
      <c r="L580" s="16"/>
      <c r="M580" s="16"/>
      <c r="N580" s="16"/>
      <c r="O580" s="16"/>
      <c r="P580" s="16"/>
      <c r="Q580" s="4"/>
      <c r="R580" s="4"/>
      <c r="S580" s="4"/>
      <c r="T580" s="4"/>
      <c r="U580" s="4"/>
      <c r="V580" s="4"/>
      <c r="W580" s="4"/>
      <c r="X580" s="4"/>
      <c r="Y580" s="4"/>
      <c r="Z580" s="4"/>
      <c r="AA580" s="4"/>
      <c r="AB580" s="4"/>
      <c r="AC580" s="4"/>
      <c r="AD580" s="4"/>
      <c r="AE580" s="4"/>
    </row>
    <row r="581" spans="1:31" ht="13.2">
      <c r="A581" s="7"/>
      <c r="B581" s="7"/>
      <c r="C581" s="7"/>
      <c r="D581" s="29"/>
      <c r="E581" s="7"/>
      <c r="F581" s="7"/>
      <c r="G581" s="7"/>
      <c r="H581" s="16"/>
      <c r="I581" s="16"/>
      <c r="J581" s="16"/>
      <c r="K581" s="16"/>
      <c r="L581" s="16"/>
      <c r="M581" s="16"/>
      <c r="N581" s="16"/>
      <c r="O581" s="16"/>
      <c r="P581" s="16"/>
      <c r="Q581" s="4"/>
      <c r="R581" s="4"/>
      <c r="S581" s="4"/>
      <c r="T581" s="4"/>
      <c r="U581" s="4"/>
      <c r="V581" s="4"/>
      <c r="W581" s="4"/>
      <c r="X581" s="4"/>
      <c r="Y581" s="4"/>
      <c r="Z581" s="4"/>
      <c r="AA581" s="4"/>
      <c r="AB581" s="4"/>
      <c r="AC581" s="4"/>
      <c r="AD581" s="4"/>
      <c r="AE581" s="4"/>
    </row>
    <row r="582" spans="1:31" ht="13.2">
      <c r="A582" s="7"/>
      <c r="B582" s="7"/>
      <c r="C582" s="7"/>
      <c r="D582" s="29"/>
      <c r="E582" s="7"/>
      <c r="F582" s="7"/>
      <c r="G582" s="7"/>
      <c r="H582" s="16"/>
      <c r="I582" s="16"/>
      <c r="J582" s="16"/>
      <c r="K582" s="16"/>
      <c r="L582" s="16"/>
      <c r="M582" s="16"/>
      <c r="N582" s="16"/>
      <c r="O582" s="16"/>
      <c r="P582" s="16"/>
      <c r="Q582" s="4"/>
      <c r="R582" s="4"/>
      <c r="S582" s="4"/>
      <c r="T582" s="4"/>
      <c r="U582" s="4"/>
      <c r="V582" s="4"/>
      <c r="W582" s="4"/>
      <c r="X582" s="4"/>
      <c r="Y582" s="4"/>
      <c r="Z582" s="4"/>
      <c r="AA582" s="4"/>
      <c r="AB582" s="4"/>
      <c r="AC582" s="4"/>
      <c r="AD582" s="4"/>
      <c r="AE582" s="4"/>
    </row>
    <row r="583" spans="1:31" ht="13.2">
      <c r="A583" s="7"/>
      <c r="B583" s="7"/>
      <c r="C583" s="7"/>
      <c r="D583" s="29"/>
      <c r="E583" s="7"/>
      <c r="F583" s="7"/>
      <c r="G583" s="7"/>
      <c r="H583" s="16"/>
      <c r="I583" s="16"/>
      <c r="J583" s="16"/>
      <c r="K583" s="16"/>
      <c r="L583" s="16"/>
      <c r="M583" s="16"/>
      <c r="N583" s="16"/>
      <c r="O583" s="16"/>
      <c r="P583" s="16"/>
      <c r="Q583" s="4"/>
      <c r="R583" s="4"/>
      <c r="S583" s="4"/>
      <c r="T583" s="4"/>
      <c r="U583" s="4"/>
      <c r="V583" s="4"/>
      <c r="W583" s="4"/>
      <c r="X583" s="4"/>
      <c r="Y583" s="4"/>
      <c r="Z583" s="4"/>
      <c r="AA583" s="4"/>
      <c r="AB583" s="4"/>
      <c r="AC583" s="4"/>
      <c r="AD583" s="4"/>
      <c r="AE583" s="4"/>
    </row>
    <row r="584" spans="1:31" ht="13.2">
      <c r="A584" s="7"/>
      <c r="B584" s="7"/>
      <c r="C584" s="7"/>
      <c r="D584" s="29"/>
      <c r="E584" s="7"/>
      <c r="F584" s="7"/>
      <c r="G584" s="7"/>
      <c r="H584" s="16"/>
      <c r="I584" s="16"/>
      <c r="J584" s="16"/>
      <c r="K584" s="16"/>
      <c r="L584" s="16"/>
      <c r="M584" s="16"/>
      <c r="N584" s="16"/>
      <c r="O584" s="16"/>
      <c r="P584" s="16"/>
      <c r="Q584" s="4"/>
      <c r="R584" s="4"/>
      <c r="S584" s="4"/>
      <c r="T584" s="4"/>
      <c r="U584" s="4"/>
      <c r="V584" s="4"/>
      <c r="W584" s="4"/>
      <c r="X584" s="4"/>
      <c r="Y584" s="4"/>
      <c r="Z584" s="4"/>
      <c r="AA584" s="4"/>
      <c r="AB584" s="4"/>
      <c r="AC584" s="4"/>
      <c r="AD584" s="4"/>
      <c r="AE584" s="4"/>
    </row>
    <row r="585" spans="1:31" ht="13.2">
      <c r="A585" s="7"/>
      <c r="B585" s="7"/>
      <c r="C585" s="7"/>
      <c r="D585" s="29"/>
      <c r="E585" s="7"/>
      <c r="F585" s="7"/>
      <c r="G585" s="7"/>
      <c r="H585" s="16"/>
      <c r="I585" s="16"/>
      <c r="J585" s="16"/>
      <c r="K585" s="16"/>
      <c r="L585" s="16"/>
      <c r="M585" s="16"/>
      <c r="N585" s="16"/>
      <c r="O585" s="16"/>
      <c r="P585" s="16"/>
      <c r="Q585" s="4"/>
      <c r="R585" s="4"/>
      <c r="S585" s="4"/>
      <c r="T585" s="4"/>
      <c r="U585" s="4"/>
      <c r="V585" s="4"/>
      <c r="W585" s="4"/>
      <c r="X585" s="4"/>
      <c r="Y585" s="4"/>
      <c r="Z585" s="4"/>
      <c r="AA585" s="4"/>
      <c r="AB585" s="4"/>
      <c r="AC585" s="4"/>
      <c r="AD585" s="4"/>
      <c r="AE585" s="4"/>
    </row>
    <row r="586" spans="1:31" ht="13.2">
      <c r="A586" s="7"/>
      <c r="B586" s="7"/>
      <c r="C586" s="7"/>
      <c r="D586" s="29"/>
      <c r="E586" s="7"/>
      <c r="F586" s="7"/>
      <c r="G586" s="7"/>
      <c r="H586" s="16"/>
      <c r="I586" s="16"/>
      <c r="J586" s="16"/>
      <c r="K586" s="16"/>
      <c r="L586" s="16"/>
      <c r="M586" s="16"/>
      <c r="N586" s="16"/>
      <c r="O586" s="16"/>
      <c r="P586" s="16"/>
      <c r="Q586" s="4"/>
      <c r="R586" s="4"/>
      <c r="S586" s="4"/>
      <c r="T586" s="4"/>
      <c r="U586" s="4"/>
      <c r="V586" s="4"/>
      <c r="W586" s="4"/>
      <c r="X586" s="4"/>
      <c r="Y586" s="4"/>
      <c r="Z586" s="4"/>
      <c r="AA586" s="4"/>
      <c r="AB586" s="4"/>
      <c r="AC586" s="4"/>
      <c r="AD586" s="4"/>
      <c r="AE586" s="4"/>
    </row>
    <row r="587" spans="1:31" ht="13.2">
      <c r="A587" s="7"/>
      <c r="B587" s="7"/>
      <c r="C587" s="7"/>
      <c r="D587" s="29"/>
      <c r="E587" s="7"/>
      <c r="F587" s="7"/>
      <c r="G587" s="7"/>
      <c r="H587" s="16"/>
      <c r="I587" s="16"/>
      <c r="J587" s="16"/>
      <c r="K587" s="16"/>
      <c r="L587" s="16"/>
      <c r="M587" s="16"/>
      <c r="N587" s="16"/>
      <c r="O587" s="16"/>
      <c r="P587" s="16"/>
      <c r="Q587" s="4"/>
      <c r="R587" s="4"/>
      <c r="S587" s="4"/>
      <c r="T587" s="4"/>
      <c r="U587" s="4"/>
      <c r="V587" s="4"/>
      <c r="W587" s="4"/>
      <c r="X587" s="4"/>
      <c r="Y587" s="4"/>
      <c r="Z587" s="4"/>
      <c r="AA587" s="4"/>
      <c r="AB587" s="4"/>
      <c r="AC587" s="4"/>
      <c r="AD587" s="4"/>
      <c r="AE587" s="4"/>
    </row>
    <row r="588" spans="1:31" ht="13.2">
      <c r="A588" s="7"/>
      <c r="B588" s="7"/>
      <c r="C588" s="7"/>
      <c r="D588" s="29"/>
      <c r="E588" s="7"/>
      <c r="F588" s="7"/>
      <c r="G588" s="7"/>
      <c r="H588" s="16"/>
      <c r="I588" s="16"/>
      <c r="J588" s="16"/>
      <c r="K588" s="16"/>
      <c r="L588" s="16"/>
      <c r="M588" s="16"/>
      <c r="N588" s="16"/>
      <c r="O588" s="16"/>
      <c r="P588" s="16"/>
      <c r="Q588" s="4"/>
      <c r="R588" s="4"/>
      <c r="S588" s="4"/>
      <c r="T588" s="4"/>
      <c r="U588" s="4"/>
      <c r="V588" s="4"/>
      <c r="W588" s="4"/>
      <c r="X588" s="4"/>
      <c r="Y588" s="4"/>
      <c r="Z588" s="4"/>
      <c r="AA588" s="4"/>
      <c r="AB588" s="4"/>
      <c r="AC588" s="4"/>
      <c r="AD588" s="4"/>
      <c r="AE588" s="4"/>
    </row>
    <row r="589" spans="1:31" ht="13.2">
      <c r="A589" s="7"/>
      <c r="B589" s="7"/>
      <c r="C589" s="7"/>
      <c r="D589" s="29"/>
      <c r="E589" s="7"/>
      <c r="F589" s="7"/>
      <c r="G589" s="7"/>
      <c r="H589" s="16"/>
      <c r="I589" s="16"/>
      <c r="J589" s="16"/>
      <c r="K589" s="16"/>
      <c r="L589" s="16"/>
      <c r="M589" s="16"/>
      <c r="N589" s="16"/>
      <c r="O589" s="16"/>
      <c r="P589" s="16"/>
      <c r="Q589" s="4"/>
      <c r="R589" s="4"/>
      <c r="S589" s="4"/>
      <c r="T589" s="4"/>
      <c r="U589" s="4"/>
      <c r="V589" s="4"/>
      <c r="W589" s="4"/>
      <c r="X589" s="4"/>
      <c r="Y589" s="4"/>
      <c r="Z589" s="4"/>
      <c r="AA589" s="4"/>
      <c r="AB589" s="4"/>
      <c r="AC589" s="4"/>
      <c r="AD589" s="4"/>
      <c r="AE589" s="4"/>
    </row>
    <row r="590" spans="1:31" ht="13.2">
      <c r="A590" s="7"/>
      <c r="B590" s="7"/>
      <c r="C590" s="7"/>
      <c r="D590" s="29"/>
      <c r="E590" s="7"/>
      <c r="F590" s="7"/>
      <c r="G590" s="7"/>
      <c r="H590" s="16"/>
      <c r="I590" s="16"/>
      <c r="J590" s="16"/>
      <c r="K590" s="16"/>
      <c r="L590" s="16"/>
      <c r="M590" s="16"/>
      <c r="N590" s="16"/>
      <c r="O590" s="16"/>
      <c r="P590" s="16"/>
      <c r="Q590" s="4"/>
      <c r="R590" s="4"/>
      <c r="S590" s="4"/>
      <c r="T590" s="4"/>
      <c r="U590" s="4"/>
      <c r="V590" s="4"/>
      <c r="W590" s="4"/>
      <c r="X590" s="4"/>
      <c r="Y590" s="4"/>
      <c r="Z590" s="4"/>
      <c r="AA590" s="4"/>
      <c r="AB590" s="4"/>
      <c r="AC590" s="4"/>
      <c r="AD590" s="4"/>
      <c r="AE590" s="4"/>
    </row>
    <row r="591" spans="1:31" ht="13.2">
      <c r="A591" s="7"/>
      <c r="B591" s="7"/>
      <c r="C591" s="7"/>
      <c r="D591" s="29"/>
      <c r="E591" s="7"/>
      <c r="F591" s="7"/>
      <c r="G591" s="7"/>
      <c r="H591" s="16"/>
      <c r="I591" s="16"/>
      <c r="J591" s="16"/>
      <c r="K591" s="16"/>
      <c r="L591" s="16"/>
      <c r="M591" s="16"/>
      <c r="N591" s="16"/>
      <c r="O591" s="16"/>
      <c r="P591" s="16"/>
      <c r="Q591" s="4"/>
      <c r="R591" s="4"/>
      <c r="S591" s="4"/>
      <c r="T591" s="4"/>
      <c r="U591" s="4"/>
      <c r="V591" s="4"/>
      <c r="W591" s="4"/>
      <c r="X591" s="4"/>
      <c r="Y591" s="4"/>
      <c r="Z591" s="4"/>
      <c r="AA591" s="4"/>
      <c r="AB591" s="4"/>
      <c r="AC591" s="4"/>
      <c r="AD591" s="4"/>
      <c r="AE591" s="4"/>
    </row>
    <row r="592" spans="1:31" ht="13.2">
      <c r="A592" s="7"/>
      <c r="B592" s="7"/>
      <c r="C592" s="7"/>
      <c r="D592" s="29"/>
      <c r="E592" s="7"/>
      <c r="F592" s="7"/>
      <c r="G592" s="7"/>
      <c r="H592" s="16"/>
      <c r="I592" s="16"/>
      <c r="J592" s="16"/>
      <c r="K592" s="16"/>
      <c r="L592" s="16"/>
      <c r="M592" s="16"/>
      <c r="N592" s="16"/>
      <c r="O592" s="16"/>
      <c r="P592" s="16"/>
      <c r="Q592" s="4"/>
      <c r="R592" s="4"/>
      <c r="S592" s="4"/>
      <c r="T592" s="4"/>
      <c r="U592" s="4"/>
      <c r="V592" s="4"/>
      <c r="W592" s="4"/>
      <c r="X592" s="4"/>
      <c r="Y592" s="4"/>
      <c r="Z592" s="4"/>
      <c r="AA592" s="4"/>
      <c r="AB592" s="4"/>
      <c r="AC592" s="4"/>
      <c r="AD592" s="4"/>
      <c r="AE592" s="4"/>
    </row>
    <row r="593" spans="1:31" ht="13.2">
      <c r="A593" s="7"/>
      <c r="B593" s="7"/>
      <c r="C593" s="7"/>
      <c r="D593" s="29"/>
      <c r="E593" s="7"/>
      <c r="F593" s="7"/>
      <c r="G593" s="7"/>
      <c r="H593" s="16"/>
      <c r="I593" s="16"/>
      <c r="J593" s="16"/>
      <c r="K593" s="16"/>
      <c r="L593" s="16"/>
      <c r="M593" s="16"/>
      <c r="N593" s="16"/>
      <c r="O593" s="16"/>
      <c r="P593" s="16"/>
      <c r="Q593" s="4"/>
      <c r="R593" s="4"/>
      <c r="S593" s="4"/>
      <c r="T593" s="4"/>
      <c r="U593" s="4"/>
      <c r="V593" s="4"/>
      <c r="W593" s="4"/>
      <c r="X593" s="4"/>
      <c r="Y593" s="4"/>
      <c r="Z593" s="4"/>
      <c r="AA593" s="4"/>
      <c r="AB593" s="4"/>
      <c r="AC593" s="4"/>
      <c r="AD593" s="4"/>
      <c r="AE593" s="4"/>
    </row>
    <row r="594" spans="1:31" ht="13.2">
      <c r="A594" s="7"/>
      <c r="B594" s="7"/>
      <c r="C594" s="7"/>
      <c r="D594" s="29"/>
      <c r="E594" s="7"/>
      <c r="F594" s="7"/>
      <c r="G594" s="7"/>
      <c r="H594" s="16"/>
      <c r="I594" s="16"/>
      <c r="J594" s="16"/>
      <c r="K594" s="16"/>
      <c r="L594" s="16"/>
      <c r="M594" s="16"/>
      <c r="N594" s="16"/>
      <c r="O594" s="16"/>
      <c r="P594" s="16"/>
      <c r="Q594" s="4"/>
      <c r="R594" s="4"/>
      <c r="S594" s="4"/>
      <c r="T594" s="4"/>
      <c r="U594" s="4"/>
      <c r="V594" s="4"/>
      <c r="W594" s="4"/>
      <c r="X594" s="4"/>
      <c r="Y594" s="4"/>
      <c r="Z594" s="4"/>
      <c r="AA594" s="4"/>
      <c r="AB594" s="4"/>
      <c r="AC594" s="4"/>
      <c r="AD594" s="4"/>
      <c r="AE594" s="4"/>
    </row>
    <row r="595" spans="1:31" ht="13.2">
      <c r="A595" s="7"/>
      <c r="B595" s="7"/>
      <c r="C595" s="7"/>
      <c r="D595" s="29"/>
      <c r="E595" s="7"/>
      <c r="F595" s="7"/>
      <c r="G595" s="7"/>
      <c r="H595" s="16"/>
      <c r="I595" s="16"/>
      <c r="J595" s="16"/>
      <c r="K595" s="16"/>
      <c r="L595" s="16"/>
      <c r="M595" s="16"/>
      <c r="N595" s="16"/>
      <c r="O595" s="16"/>
      <c r="P595" s="16"/>
      <c r="Q595" s="4"/>
      <c r="R595" s="4"/>
      <c r="S595" s="4"/>
      <c r="T595" s="4"/>
      <c r="U595" s="4"/>
      <c r="V595" s="4"/>
      <c r="W595" s="4"/>
      <c r="X595" s="4"/>
      <c r="Y595" s="4"/>
      <c r="Z595" s="4"/>
      <c r="AA595" s="4"/>
      <c r="AB595" s="4"/>
      <c r="AC595" s="4"/>
      <c r="AD595" s="4"/>
      <c r="AE595" s="4"/>
    </row>
    <row r="596" spans="1:31" ht="13.2">
      <c r="A596" s="7"/>
      <c r="B596" s="7"/>
      <c r="C596" s="7"/>
      <c r="D596" s="29"/>
      <c r="E596" s="7"/>
      <c r="F596" s="7"/>
      <c r="G596" s="7"/>
      <c r="H596" s="16"/>
      <c r="I596" s="16"/>
      <c r="J596" s="16"/>
      <c r="K596" s="16"/>
      <c r="L596" s="16"/>
      <c r="M596" s="16"/>
      <c r="N596" s="16"/>
      <c r="O596" s="16"/>
      <c r="P596" s="16"/>
      <c r="Q596" s="4"/>
      <c r="R596" s="4"/>
      <c r="S596" s="4"/>
      <c r="T596" s="4"/>
      <c r="U596" s="4"/>
      <c r="V596" s="4"/>
      <c r="W596" s="4"/>
      <c r="X596" s="4"/>
      <c r="Y596" s="4"/>
      <c r="Z596" s="4"/>
      <c r="AA596" s="4"/>
      <c r="AB596" s="4"/>
      <c r="AC596" s="4"/>
      <c r="AD596" s="4"/>
      <c r="AE596" s="4"/>
    </row>
    <row r="597" spans="1:31" ht="13.2">
      <c r="A597" s="7"/>
      <c r="B597" s="7"/>
      <c r="C597" s="7"/>
      <c r="D597" s="29"/>
      <c r="E597" s="7"/>
      <c r="F597" s="7"/>
      <c r="G597" s="7"/>
      <c r="H597" s="16"/>
      <c r="I597" s="16"/>
      <c r="J597" s="16"/>
      <c r="K597" s="16"/>
      <c r="L597" s="16"/>
      <c r="M597" s="16"/>
      <c r="N597" s="16"/>
      <c r="O597" s="16"/>
      <c r="P597" s="16"/>
      <c r="Q597" s="4"/>
      <c r="R597" s="4"/>
      <c r="S597" s="4"/>
      <c r="T597" s="4"/>
      <c r="U597" s="4"/>
      <c r="V597" s="4"/>
      <c r="W597" s="4"/>
      <c r="X597" s="4"/>
      <c r="Y597" s="4"/>
      <c r="Z597" s="4"/>
      <c r="AA597" s="4"/>
      <c r="AB597" s="4"/>
      <c r="AC597" s="4"/>
      <c r="AD597" s="4"/>
      <c r="AE597" s="4"/>
    </row>
    <row r="598" spans="1:31" ht="13.2">
      <c r="A598" s="7"/>
      <c r="B598" s="7"/>
      <c r="C598" s="7"/>
      <c r="D598" s="29"/>
      <c r="E598" s="7"/>
      <c r="F598" s="7"/>
      <c r="G598" s="7"/>
      <c r="H598" s="16"/>
      <c r="I598" s="16"/>
      <c r="J598" s="16"/>
      <c r="K598" s="16"/>
      <c r="L598" s="16"/>
      <c r="M598" s="16"/>
      <c r="N598" s="16"/>
      <c r="O598" s="16"/>
      <c r="P598" s="16"/>
      <c r="Q598" s="4"/>
      <c r="R598" s="4"/>
      <c r="S598" s="4"/>
      <c r="T598" s="4"/>
      <c r="U598" s="4"/>
      <c r="V598" s="4"/>
      <c r="W598" s="4"/>
      <c r="X598" s="4"/>
      <c r="Y598" s="4"/>
      <c r="Z598" s="4"/>
      <c r="AA598" s="4"/>
      <c r="AB598" s="4"/>
      <c r="AC598" s="4"/>
      <c r="AD598" s="4"/>
      <c r="AE598" s="4"/>
    </row>
    <row r="599" spans="1:31" ht="13.2">
      <c r="A599" s="7"/>
      <c r="B599" s="7"/>
      <c r="C599" s="7"/>
      <c r="D599" s="29"/>
      <c r="E599" s="7"/>
      <c r="F599" s="7"/>
      <c r="G599" s="7"/>
      <c r="H599" s="16"/>
      <c r="I599" s="16"/>
      <c r="J599" s="16"/>
      <c r="K599" s="16"/>
      <c r="L599" s="16"/>
      <c r="M599" s="16"/>
      <c r="N599" s="16"/>
      <c r="O599" s="16"/>
      <c r="P599" s="16"/>
      <c r="Q599" s="4"/>
      <c r="R599" s="4"/>
      <c r="S599" s="4"/>
      <c r="T599" s="4"/>
      <c r="U599" s="4"/>
      <c r="V599" s="4"/>
      <c r="W599" s="4"/>
      <c r="X599" s="4"/>
      <c r="Y599" s="4"/>
      <c r="Z599" s="4"/>
      <c r="AA599" s="4"/>
      <c r="AB599" s="4"/>
      <c r="AC599" s="4"/>
      <c r="AD599" s="4"/>
      <c r="AE599" s="4"/>
    </row>
    <row r="600" spans="1:31" ht="13.2">
      <c r="A600" s="7"/>
      <c r="B600" s="7"/>
      <c r="C600" s="7"/>
      <c r="D600" s="29"/>
      <c r="E600" s="7"/>
      <c r="F600" s="7"/>
      <c r="G600" s="7"/>
      <c r="H600" s="16"/>
      <c r="I600" s="16"/>
      <c r="J600" s="16"/>
      <c r="K600" s="16"/>
      <c r="L600" s="16"/>
      <c r="M600" s="16"/>
      <c r="N600" s="16"/>
      <c r="O600" s="16"/>
      <c r="P600" s="16"/>
      <c r="Q600" s="4"/>
      <c r="R600" s="4"/>
      <c r="S600" s="4"/>
      <c r="T600" s="4"/>
      <c r="U600" s="4"/>
      <c r="V600" s="4"/>
      <c r="W600" s="4"/>
      <c r="X600" s="4"/>
      <c r="Y600" s="4"/>
      <c r="Z600" s="4"/>
      <c r="AA600" s="4"/>
      <c r="AB600" s="4"/>
      <c r="AC600" s="4"/>
      <c r="AD600" s="4"/>
      <c r="AE600" s="4"/>
    </row>
    <row r="601" spans="1:31" ht="13.2">
      <c r="A601" s="7"/>
      <c r="B601" s="7"/>
      <c r="C601" s="7"/>
      <c r="D601" s="29"/>
      <c r="E601" s="7"/>
      <c r="F601" s="7"/>
      <c r="G601" s="7"/>
      <c r="H601" s="16"/>
      <c r="I601" s="16"/>
      <c r="J601" s="16"/>
      <c r="K601" s="16"/>
      <c r="L601" s="16"/>
      <c r="M601" s="16"/>
      <c r="N601" s="16"/>
      <c r="O601" s="16"/>
      <c r="P601" s="16"/>
      <c r="Q601" s="4"/>
      <c r="R601" s="4"/>
      <c r="S601" s="4"/>
      <c r="T601" s="4"/>
      <c r="U601" s="4"/>
      <c r="V601" s="4"/>
      <c r="W601" s="4"/>
      <c r="X601" s="4"/>
      <c r="Y601" s="4"/>
      <c r="Z601" s="4"/>
      <c r="AA601" s="4"/>
      <c r="AB601" s="4"/>
      <c r="AC601" s="4"/>
      <c r="AD601" s="4"/>
      <c r="AE601" s="4"/>
    </row>
    <row r="602" spans="1:31" ht="13.2">
      <c r="A602" s="7"/>
      <c r="B602" s="7"/>
      <c r="C602" s="7"/>
      <c r="D602" s="29"/>
      <c r="E602" s="7"/>
      <c r="F602" s="7"/>
      <c r="G602" s="7"/>
      <c r="H602" s="16"/>
      <c r="I602" s="16"/>
      <c r="J602" s="16"/>
      <c r="K602" s="16"/>
      <c r="L602" s="16"/>
      <c r="M602" s="16"/>
      <c r="N602" s="16"/>
      <c r="O602" s="16"/>
      <c r="P602" s="16"/>
      <c r="Q602" s="4"/>
      <c r="R602" s="4"/>
      <c r="S602" s="4"/>
      <c r="T602" s="4"/>
      <c r="U602" s="4"/>
      <c r="V602" s="4"/>
      <c r="W602" s="4"/>
      <c r="X602" s="4"/>
      <c r="Y602" s="4"/>
      <c r="Z602" s="4"/>
      <c r="AA602" s="4"/>
      <c r="AB602" s="4"/>
      <c r="AC602" s="4"/>
      <c r="AD602" s="4"/>
      <c r="AE602" s="4"/>
    </row>
    <row r="603" spans="1:31" ht="13.2">
      <c r="A603" s="7"/>
      <c r="B603" s="7"/>
      <c r="C603" s="7"/>
      <c r="D603" s="29"/>
      <c r="E603" s="7"/>
      <c r="F603" s="7"/>
      <c r="G603" s="7"/>
      <c r="H603" s="16"/>
      <c r="I603" s="16"/>
      <c r="J603" s="16"/>
      <c r="K603" s="16"/>
      <c r="L603" s="16"/>
      <c r="M603" s="16"/>
      <c r="N603" s="16"/>
      <c r="O603" s="16"/>
      <c r="P603" s="16"/>
      <c r="Q603" s="4"/>
      <c r="R603" s="4"/>
      <c r="S603" s="4"/>
      <c r="T603" s="4"/>
      <c r="U603" s="4"/>
      <c r="V603" s="4"/>
      <c r="W603" s="4"/>
      <c r="X603" s="4"/>
      <c r="Y603" s="4"/>
      <c r="Z603" s="4"/>
      <c r="AA603" s="4"/>
      <c r="AB603" s="4"/>
      <c r="AC603" s="4"/>
      <c r="AD603" s="4"/>
      <c r="AE603" s="4"/>
    </row>
    <row r="604" spans="1:31" ht="13.2">
      <c r="A604" s="7"/>
      <c r="B604" s="7"/>
      <c r="C604" s="7"/>
      <c r="D604" s="29"/>
      <c r="E604" s="7"/>
      <c r="F604" s="7"/>
      <c r="G604" s="7"/>
      <c r="H604" s="16"/>
      <c r="I604" s="16"/>
      <c r="J604" s="16"/>
      <c r="K604" s="16"/>
      <c r="L604" s="16"/>
      <c r="M604" s="16"/>
      <c r="N604" s="16"/>
      <c r="O604" s="16"/>
      <c r="P604" s="16"/>
      <c r="Q604" s="4"/>
      <c r="R604" s="4"/>
      <c r="S604" s="4"/>
      <c r="T604" s="4"/>
      <c r="U604" s="4"/>
      <c r="V604" s="4"/>
      <c r="W604" s="4"/>
      <c r="X604" s="4"/>
      <c r="Y604" s="4"/>
      <c r="Z604" s="4"/>
      <c r="AA604" s="4"/>
      <c r="AB604" s="4"/>
      <c r="AC604" s="4"/>
      <c r="AD604" s="4"/>
      <c r="AE604" s="4"/>
    </row>
    <row r="605" spans="1:31" ht="13.2">
      <c r="A605" s="7"/>
      <c r="B605" s="7"/>
      <c r="C605" s="7"/>
      <c r="D605" s="29"/>
      <c r="E605" s="7"/>
      <c r="F605" s="7"/>
      <c r="G605" s="7"/>
      <c r="H605" s="16"/>
      <c r="I605" s="16"/>
      <c r="J605" s="16"/>
      <c r="K605" s="16"/>
      <c r="L605" s="16"/>
      <c r="M605" s="16"/>
      <c r="N605" s="16"/>
      <c r="O605" s="16"/>
      <c r="P605" s="16"/>
      <c r="Q605" s="4"/>
      <c r="R605" s="4"/>
      <c r="S605" s="4"/>
      <c r="T605" s="4"/>
      <c r="U605" s="4"/>
      <c r="V605" s="4"/>
      <c r="W605" s="4"/>
      <c r="X605" s="4"/>
      <c r="Y605" s="4"/>
      <c r="Z605" s="4"/>
      <c r="AA605" s="4"/>
      <c r="AB605" s="4"/>
      <c r="AC605" s="4"/>
      <c r="AD605" s="4"/>
      <c r="AE605" s="4"/>
    </row>
    <row r="606" spans="1:31" ht="13.2">
      <c r="A606" s="7"/>
      <c r="B606" s="7"/>
      <c r="C606" s="7"/>
      <c r="D606" s="29"/>
      <c r="E606" s="7"/>
      <c r="F606" s="7"/>
      <c r="G606" s="7"/>
      <c r="H606" s="16"/>
      <c r="I606" s="16"/>
      <c r="J606" s="16"/>
      <c r="K606" s="16"/>
      <c r="L606" s="16"/>
      <c r="M606" s="16"/>
      <c r="N606" s="16"/>
      <c r="O606" s="16"/>
      <c r="P606" s="16"/>
      <c r="Q606" s="4"/>
      <c r="R606" s="4"/>
      <c r="S606" s="4"/>
      <c r="T606" s="4"/>
      <c r="U606" s="4"/>
      <c r="V606" s="4"/>
      <c r="W606" s="4"/>
      <c r="X606" s="4"/>
      <c r="Y606" s="4"/>
      <c r="Z606" s="4"/>
      <c r="AA606" s="4"/>
      <c r="AB606" s="4"/>
      <c r="AC606" s="4"/>
      <c r="AD606" s="4"/>
      <c r="AE606" s="4"/>
    </row>
    <row r="607" spans="1:31" ht="13.2">
      <c r="A607" s="7"/>
      <c r="B607" s="7"/>
      <c r="C607" s="7"/>
      <c r="D607" s="29"/>
      <c r="E607" s="7"/>
      <c r="F607" s="7"/>
      <c r="G607" s="7"/>
      <c r="H607" s="16"/>
      <c r="I607" s="16"/>
      <c r="J607" s="16"/>
      <c r="K607" s="16"/>
      <c r="L607" s="16"/>
      <c r="M607" s="16"/>
      <c r="N607" s="16"/>
      <c r="O607" s="16"/>
      <c r="P607" s="16"/>
      <c r="Q607" s="4"/>
      <c r="R607" s="4"/>
      <c r="S607" s="4"/>
      <c r="T607" s="4"/>
      <c r="U607" s="4"/>
      <c r="V607" s="4"/>
      <c r="W607" s="4"/>
      <c r="X607" s="4"/>
      <c r="Y607" s="4"/>
      <c r="Z607" s="4"/>
      <c r="AA607" s="4"/>
      <c r="AB607" s="4"/>
      <c r="AC607" s="4"/>
      <c r="AD607" s="4"/>
      <c r="AE607" s="4"/>
    </row>
    <row r="608" spans="1:31" ht="13.2">
      <c r="A608" s="7"/>
      <c r="B608" s="7"/>
      <c r="C608" s="7"/>
      <c r="D608" s="29"/>
      <c r="E608" s="7"/>
      <c r="F608" s="7"/>
      <c r="G608" s="7"/>
      <c r="H608" s="16"/>
      <c r="I608" s="16"/>
      <c r="J608" s="16"/>
      <c r="K608" s="16"/>
      <c r="L608" s="16"/>
      <c r="M608" s="16"/>
      <c r="N608" s="16"/>
      <c r="O608" s="16"/>
      <c r="P608" s="16"/>
      <c r="Q608" s="4"/>
      <c r="R608" s="4"/>
      <c r="S608" s="4"/>
      <c r="T608" s="4"/>
      <c r="U608" s="4"/>
      <c r="V608" s="4"/>
      <c r="W608" s="4"/>
      <c r="X608" s="4"/>
      <c r="Y608" s="4"/>
      <c r="Z608" s="4"/>
      <c r="AA608" s="4"/>
      <c r="AB608" s="4"/>
      <c r="AC608" s="4"/>
      <c r="AD608" s="4"/>
      <c r="AE608" s="4"/>
    </row>
    <row r="609" spans="1:31" ht="13.2">
      <c r="A609" s="7"/>
      <c r="B609" s="7"/>
      <c r="C609" s="7"/>
      <c r="D609" s="29"/>
      <c r="E609" s="7"/>
      <c r="F609" s="7"/>
      <c r="G609" s="7"/>
      <c r="H609" s="16"/>
      <c r="I609" s="16"/>
      <c r="J609" s="16"/>
      <c r="K609" s="16"/>
      <c r="L609" s="16"/>
      <c r="M609" s="16"/>
      <c r="N609" s="16"/>
      <c r="O609" s="16"/>
      <c r="P609" s="16"/>
      <c r="Q609" s="4"/>
      <c r="R609" s="4"/>
      <c r="S609" s="4"/>
      <c r="T609" s="4"/>
      <c r="U609" s="4"/>
      <c r="V609" s="4"/>
      <c r="W609" s="4"/>
      <c r="X609" s="4"/>
      <c r="Y609" s="4"/>
      <c r="Z609" s="4"/>
      <c r="AA609" s="4"/>
      <c r="AB609" s="4"/>
      <c r="AC609" s="4"/>
      <c r="AD609" s="4"/>
      <c r="AE609" s="4"/>
    </row>
    <row r="610" spans="1:31" ht="13.2">
      <c r="A610" s="7"/>
      <c r="B610" s="7"/>
      <c r="C610" s="7"/>
      <c r="D610" s="29"/>
      <c r="E610" s="7"/>
      <c r="F610" s="7"/>
      <c r="G610" s="7"/>
      <c r="H610" s="16"/>
      <c r="I610" s="16"/>
      <c r="J610" s="16"/>
      <c r="K610" s="16"/>
      <c r="L610" s="16"/>
      <c r="M610" s="16"/>
      <c r="N610" s="16"/>
      <c r="O610" s="16"/>
      <c r="P610" s="16"/>
      <c r="Q610" s="4"/>
      <c r="R610" s="4"/>
      <c r="S610" s="4"/>
      <c r="T610" s="4"/>
      <c r="U610" s="4"/>
      <c r="V610" s="4"/>
      <c r="W610" s="4"/>
      <c r="X610" s="4"/>
      <c r="Y610" s="4"/>
      <c r="Z610" s="4"/>
      <c r="AA610" s="4"/>
      <c r="AB610" s="4"/>
      <c r="AC610" s="4"/>
      <c r="AD610" s="4"/>
      <c r="AE610" s="4"/>
    </row>
    <row r="611" spans="1:31" ht="13.2">
      <c r="A611" s="7"/>
      <c r="B611" s="7"/>
      <c r="C611" s="7"/>
      <c r="D611" s="29"/>
      <c r="E611" s="7"/>
      <c r="F611" s="7"/>
      <c r="G611" s="7"/>
      <c r="H611" s="16"/>
      <c r="I611" s="16"/>
      <c r="J611" s="16"/>
      <c r="K611" s="16"/>
      <c r="L611" s="16"/>
      <c r="M611" s="16"/>
      <c r="N611" s="16"/>
      <c r="O611" s="16"/>
      <c r="P611" s="16"/>
      <c r="Q611" s="4"/>
      <c r="R611" s="4"/>
      <c r="S611" s="4"/>
      <c r="T611" s="4"/>
      <c r="U611" s="4"/>
      <c r="V611" s="4"/>
      <c r="W611" s="4"/>
      <c r="X611" s="4"/>
      <c r="Y611" s="4"/>
      <c r="Z611" s="4"/>
      <c r="AA611" s="4"/>
      <c r="AB611" s="4"/>
      <c r="AC611" s="4"/>
      <c r="AD611" s="4"/>
      <c r="AE611" s="4"/>
    </row>
    <row r="612" spans="1:31" ht="13.2">
      <c r="A612" s="7"/>
      <c r="B612" s="7"/>
      <c r="C612" s="7"/>
      <c r="D612" s="29"/>
      <c r="E612" s="7"/>
      <c r="F612" s="7"/>
      <c r="G612" s="7"/>
      <c r="H612" s="16"/>
      <c r="I612" s="16"/>
      <c r="J612" s="16"/>
      <c r="K612" s="16"/>
      <c r="L612" s="16"/>
      <c r="M612" s="16"/>
      <c r="N612" s="16"/>
      <c r="O612" s="16"/>
      <c r="P612" s="16"/>
      <c r="Q612" s="4"/>
      <c r="R612" s="4"/>
      <c r="S612" s="4"/>
      <c r="T612" s="4"/>
      <c r="U612" s="4"/>
      <c r="V612" s="4"/>
      <c r="W612" s="4"/>
      <c r="X612" s="4"/>
      <c r="Y612" s="4"/>
      <c r="Z612" s="4"/>
      <c r="AA612" s="4"/>
      <c r="AB612" s="4"/>
      <c r="AC612" s="4"/>
      <c r="AD612" s="4"/>
      <c r="AE612" s="4"/>
    </row>
    <row r="613" spans="1:31" ht="13.2">
      <c r="A613" s="7"/>
      <c r="B613" s="7"/>
      <c r="C613" s="7"/>
      <c r="D613" s="29"/>
      <c r="E613" s="7"/>
      <c r="F613" s="7"/>
      <c r="G613" s="7"/>
      <c r="H613" s="16"/>
      <c r="I613" s="16"/>
      <c r="J613" s="16"/>
      <c r="K613" s="16"/>
      <c r="L613" s="16"/>
      <c r="M613" s="16"/>
      <c r="N613" s="16"/>
      <c r="O613" s="16"/>
      <c r="P613" s="16"/>
      <c r="Q613" s="4"/>
      <c r="R613" s="4"/>
      <c r="S613" s="4"/>
      <c r="T613" s="4"/>
      <c r="U613" s="4"/>
      <c r="V613" s="4"/>
      <c r="W613" s="4"/>
      <c r="X613" s="4"/>
      <c r="Y613" s="4"/>
      <c r="Z613" s="4"/>
      <c r="AA613" s="4"/>
      <c r="AB613" s="4"/>
      <c r="AC613" s="4"/>
      <c r="AD613" s="4"/>
      <c r="AE613" s="4"/>
    </row>
    <row r="614" spans="1:31" ht="13.2">
      <c r="A614" s="7"/>
      <c r="B614" s="7"/>
      <c r="C614" s="7"/>
      <c r="D614" s="29"/>
      <c r="E614" s="7"/>
      <c r="F614" s="7"/>
      <c r="G614" s="7"/>
      <c r="H614" s="16"/>
      <c r="I614" s="16"/>
      <c r="J614" s="16"/>
      <c r="K614" s="16"/>
      <c r="L614" s="16"/>
      <c r="M614" s="16"/>
      <c r="N614" s="16"/>
      <c r="O614" s="16"/>
      <c r="P614" s="16"/>
      <c r="Q614" s="4"/>
      <c r="R614" s="4"/>
      <c r="S614" s="4"/>
      <c r="T614" s="4"/>
      <c r="U614" s="4"/>
      <c r="V614" s="4"/>
      <c r="W614" s="4"/>
      <c r="X614" s="4"/>
      <c r="Y614" s="4"/>
      <c r="Z614" s="4"/>
      <c r="AA614" s="4"/>
      <c r="AB614" s="4"/>
      <c r="AC614" s="4"/>
      <c r="AD614" s="4"/>
      <c r="AE614" s="4"/>
    </row>
    <row r="615" spans="1:31" ht="13.2">
      <c r="A615" s="7"/>
      <c r="B615" s="7"/>
      <c r="C615" s="7"/>
      <c r="D615" s="29"/>
      <c r="E615" s="7"/>
      <c r="F615" s="7"/>
      <c r="G615" s="7"/>
      <c r="H615" s="16"/>
      <c r="I615" s="16"/>
      <c r="J615" s="16"/>
      <c r="K615" s="16"/>
      <c r="L615" s="16"/>
      <c r="M615" s="16"/>
      <c r="N615" s="16"/>
      <c r="O615" s="16"/>
      <c r="P615" s="16"/>
      <c r="Q615" s="4"/>
      <c r="R615" s="4"/>
      <c r="S615" s="4"/>
      <c r="T615" s="4"/>
      <c r="U615" s="4"/>
      <c r="V615" s="4"/>
      <c r="W615" s="4"/>
      <c r="X615" s="4"/>
      <c r="Y615" s="4"/>
      <c r="Z615" s="4"/>
      <c r="AA615" s="4"/>
      <c r="AB615" s="4"/>
      <c r="AC615" s="4"/>
      <c r="AD615" s="4"/>
      <c r="AE615" s="4"/>
    </row>
    <row r="616" spans="1:31" ht="13.2">
      <c r="A616" s="7"/>
      <c r="B616" s="7"/>
      <c r="C616" s="7"/>
      <c r="D616" s="29"/>
      <c r="E616" s="7"/>
      <c r="F616" s="7"/>
      <c r="G616" s="7"/>
      <c r="H616" s="16"/>
      <c r="I616" s="16"/>
      <c r="J616" s="16"/>
      <c r="K616" s="16"/>
      <c r="L616" s="16"/>
      <c r="M616" s="16"/>
      <c r="N616" s="16"/>
      <c r="O616" s="16"/>
      <c r="P616" s="16"/>
      <c r="Q616" s="4"/>
      <c r="R616" s="4"/>
      <c r="S616" s="4"/>
      <c r="T616" s="4"/>
      <c r="U616" s="4"/>
      <c r="V616" s="4"/>
      <c r="W616" s="4"/>
      <c r="X616" s="4"/>
      <c r="Y616" s="4"/>
      <c r="Z616" s="4"/>
      <c r="AA616" s="4"/>
      <c r="AB616" s="4"/>
      <c r="AC616" s="4"/>
      <c r="AD616" s="4"/>
      <c r="AE616" s="4"/>
    </row>
    <row r="617" spans="1:31" ht="13.2">
      <c r="A617" s="7"/>
      <c r="B617" s="7"/>
      <c r="C617" s="7"/>
      <c r="D617" s="29"/>
      <c r="E617" s="7"/>
      <c r="F617" s="7"/>
      <c r="G617" s="7"/>
      <c r="H617" s="16"/>
      <c r="I617" s="16"/>
      <c r="J617" s="16"/>
      <c r="K617" s="16"/>
      <c r="L617" s="16"/>
      <c r="M617" s="16"/>
      <c r="N617" s="16"/>
      <c r="O617" s="16"/>
      <c r="P617" s="16"/>
      <c r="Q617" s="4"/>
      <c r="R617" s="4"/>
      <c r="S617" s="4"/>
      <c r="T617" s="4"/>
      <c r="U617" s="4"/>
      <c r="V617" s="4"/>
      <c r="W617" s="4"/>
      <c r="X617" s="4"/>
      <c r="Y617" s="4"/>
      <c r="Z617" s="4"/>
      <c r="AA617" s="4"/>
      <c r="AB617" s="4"/>
      <c r="AC617" s="4"/>
      <c r="AD617" s="4"/>
      <c r="AE617" s="4"/>
    </row>
    <row r="618" spans="1:31" ht="13.2">
      <c r="A618" s="7"/>
      <c r="B618" s="7"/>
      <c r="C618" s="7"/>
      <c r="D618" s="29"/>
      <c r="E618" s="7"/>
      <c r="F618" s="7"/>
      <c r="G618" s="7"/>
      <c r="H618" s="16"/>
      <c r="I618" s="16"/>
      <c r="J618" s="16"/>
      <c r="K618" s="16"/>
      <c r="L618" s="16"/>
      <c r="M618" s="16"/>
      <c r="N618" s="16"/>
      <c r="O618" s="16"/>
      <c r="P618" s="16"/>
      <c r="Q618" s="4"/>
      <c r="R618" s="4"/>
      <c r="S618" s="4"/>
      <c r="T618" s="4"/>
      <c r="U618" s="4"/>
      <c r="V618" s="4"/>
      <c r="W618" s="4"/>
      <c r="X618" s="4"/>
      <c r="Y618" s="4"/>
      <c r="Z618" s="4"/>
      <c r="AA618" s="4"/>
      <c r="AB618" s="4"/>
      <c r="AC618" s="4"/>
      <c r="AD618" s="4"/>
      <c r="AE618" s="4"/>
    </row>
    <row r="619" spans="1:31" ht="13.2">
      <c r="A619" s="7"/>
      <c r="B619" s="7"/>
      <c r="C619" s="7"/>
      <c r="D619" s="29"/>
      <c r="E619" s="7"/>
      <c r="F619" s="7"/>
      <c r="G619" s="7"/>
      <c r="H619" s="16"/>
      <c r="I619" s="16"/>
      <c r="J619" s="16"/>
      <c r="K619" s="16"/>
      <c r="L619" s="16"/>
      <c r="M619" s="16"/>
      <c r="N619" s="16"/>
      <c r="O619" s="16"/>
      <c r="P619" s="16"/>
      <c r="Q619" s="4"/>
      <c r="R619" s="4"/>
      <c r="S619" s="4"/>
      <c r="T619" s="4"/>
      <c r="U619" s="4"/>
      <c r="V619" s="4"/>
      <c r="W619" s="4"/>
      <c r="X619" s="4"/>
      <c r="Y619" s="4"/>
      <c r="Z619" s="4"/>
      <c r="AA619" s="4"/>
      <c r="AB619" s="4"/>
      <c r="AC619" s="4"/>
      <c r="AD619" s="4"/>
      <c r="AE619" s="4"/>
    </row>
    <row r="620" spans="1:31" ht="13.2">
      <c r="A620" s="7"/>
      <c r="B620" s="7"/>
      <c r="C620" s="7"/>
      <c r="D620" s="29"/>
      <c r="E620" s="7"/>
      <c r="F620" s="7"/>
      <c r="G620" s="7"/>
      <c r="H620" s="16"/>
      <c r="I620" s="16"/>
      <c r="J620" s="16"/>
      <c r="K620" s="16"/>
      <c r="L620" s="16"/>
      <c r="M620" s="16"/>
      <c r="N620" s="16"/>
      <c r="O620" s="16"/>
      <c r="P620" s="16"/>
      <c r="Q620" s="4"/>
      <c r="R620" s="4"/>
      <c r="S620" s="4"/>
      <c r="T620" s="4"/>
      <c r="U620" s="4"/>
      <c r="V620" s="4"/>
      <c r="W620" s="4"/>
      <c r="X620" s="4"/>
      <c r="Y620" s="4"/>
      <c r="Z620" s="4"/>
      <c r="AA620" s="4"/>
      <c r="AB620" s="4"/>
      <c r="AC620" s="4"/>
      <c r="AD620" s="4"/>
      <c r="AE620" s="4"/>
    </row>
    <row r="621" spans="1:31" ht="13.2">
      <c r="A621" s="7"/>
      <c r="B621" s="7"/>
      <c r="C621" s="7"/>
      <c r="D621" s="29"/>
      <c r="E621" s="7"/>
      <c r="F621" s="7"/>
      <c r="G621" s="7"/>
      <c r="H621" s="16"/>
      <c r="I621" s="16"/>
      <c r="J621" s="16"/>
      <c r="K621" s="16"/>
      <c r="L621" s="16"/>
      <c r="M621" s="16"/>
      <c r="N621" s="16"/>
      <c r="O621" s="16"/>
      <c r="P621" s="16"/>
      <c r="Q621" s="4"/>
      <c r="R621" s="4"/>
      <c r="S621" s="4"/>
      <c r="T621" s="4"/>
      <c r="U621" s="4"/>
      <c r="V621" s="4"/>
      <c r="W621" s="4"/>
      <c r="X621" s="4"/>
      <c r="Y621" s="4"/>
      <c r="Z621" s="4"/>
      <c r="AA621" s="4"/>
      <c r="AB621" s="4"/>
      <c r="AC621" s="4"/>
      <c r="AD621" s="4"/>
      <c r="AE621" s="4"/>
    </row>
    <row r="622" spans="1:31" ht="13.2">
      <c r="A622" s="7"/>
      <c r="B622" s="7"/>
      <c r="C622" s="7"/>
      <c r="D622" s="29"/>
      <c r="E622" s="7"/>
      <c r="F622" s="7"/>
      <c r="G622" s="7"/>
      <c r="H622" s="16"/>
      <c r="I622" s="16"/>
      <c r="J622" s="16"/>
      <c r="K622" s="16"/>
      <c r="L622" s="16"/>
      <c r="M622" s="16"/>
      <c r="N622" s="16"/>
      <c r="O622" s="16"/>
      <c r="P622" s="16"/>
      <c r="Q622" s="4"/>
      <c r="R622" s="4"/>
      <c r="S622" s="4"/>
      <c r="T622" s="4"/>
      <c r="U622" s="4"/>
      <c r="V622" s="4"/>
      <c r="W622" s="4"/>
      <c r="X622" s="4"/>
      <c r="Y622" s="4"/>
      <c r="Z622" s="4"/>
      <c r="AA622" s="4"/>
      <c r="AB622" s="4"/>
      <c r="AC622" s="4"/>
      <c r="AD622" s="4"/>
      <c r="AE622" s="4"/>
    </row>
    <row r="623" spans="1:31" ht="13.2">
      <c r="A623" s="7"/>
      <c r="B623" s="7"/>
      <c r="C623" s="7"/>
      <c r="D623" s="29"/>
      <c r="E623" s="7"/>
      <c r="F623" s="7"/>
      <c r="G623" s="7"/>
      <c r="H623" s="16"/>
      <c r="I623" s="16"/>
      <c r="J623" s="16"/>
      <c r="K623" s="16"/>
      <c r="L623" s="16"/>
      <c r="M623" s="16"/>
      <c r="N623" s="16"/>
      <c r="O623" s="16"/>
      <c r="P623" s="16"/>
      <c r="Q623" s="4"/>
      <c r="R623" s="4"/>
      <c r="S623" s="4"/>
      <c r="T623" s="4"/>
      <c r="U623" s="4"/>
      <c r="V623" s="4"/>
      <c r="W623" s="4"/>
      <c r="X623" s="4"/>
      <c r="Y623" s="4"/>
      <c r="Z623" s="4"/>
      <c r="AA623" s="4"/>
      <c r="AB623" s="4"/>
      <c r="AC623" s="4"/>
      <c r="AD623" s="4"/>
      <c r="AE623" s="4"/>
    </row>
    <row r="624" spans="1:31" ht="13.2">
      <c r="A624" s="7"/>
      <c r="B624" s="7"/>
      <c r="C624" s="7"/>
      <c r="D624" s="29"/>
      <c r="E624" s="7"/>
      <c r="F624" s="7"/>
      <c r="G624" s="7"/>
      <c r="H624" s="16"/>
      <c r="I624" s="16"/>
      <c r="J624" s="16"/>
      <c r="K624" s="16"/>
      <c r="L624" s="16"/>
      <c r="M624" s="16"/>
      <c r="N624" s="16"/>
      <c r="O624" s="16"/>
      <c r="P624" s="16"/>
      <c r="Q624" s="4"/>
      <c r="R624" s="4"/>
      <c r="S624" s="4"/>
      <c r="T624" s="4"/>
      <c r="U624" s="4"/>
      <c r="V624" s="4"/>
      <c r="W624" s="4"/>
      <c r="X624" s="4"/>
      <c r="Y624" s="4"/>
      <c r="Z624" s="4"/>
      <c r="AA624" s="4"/>
      <c r="AB624" s="4"/>
      <c r="AC624" s="4"/>
      <c r="AD624" s="4"/>
      <c r="AE624" s="4"/>
    </row>
    <row r="625" spans="1:31" ht="13.2">
      <c r="A625" s="7"/>
      <c r="B625" s="7"/>
      <c r="C625" s="7"/>
      <c r="D625" s="29"/>
      <c r="E625" s="7"/>
      <c r="F625" s="7"/>
      <c r="G625" s="7"/>
      <c r="H625" s="16"/>
      <c r="I625" s="16"/>
      <c r="J625" s="16"/>
      <c r="K625" s="16"/>
      <c r="L625" s="16"/>
      <c r="M625" s="16"/>
      <c r="N625" s="16"/>
      <c r="O625" s="16"/>
      <c r="P625" s="16"/>
      <c r="Q625" s="4"/>
      <c r="R625" s="4"/>
      <c r="S625" s="4"/>
      <c r="T625" s="4"/>
      <c r="U625" s="4"/>
      <c r="V625" s="4"/>
      <c r="W625" s="4"/>
      <c r="X625" s="4"/>
      <c r="Y625" s="4"/>
      <c r="Z625" s="4"/>
      <c r="AA625" s="4"/>
      <c r="AB625" s="4"/>
      <c r="AC625" s="4"/>
      <c r="AD625" s="4"/>
      <c r="AE625" s="4"/>
    </row>
    <row r="626" spans="1:31" ht="13.2">
      <c r="A626" s="7"/>
      <c r="B626" s="7"/>
      <c r="C626" s="7"/>
      <c r="D626" s="29"/>
      <c r="E626" s="7"/>
      <c r="F626" s="7"/>
      <c r="G626" s="7"/>
      <c r="H626" s="16"/>
      <c r="I626" s="16"/>
      <c r="J626" s="16"/>
      <c r="K626" s="16"/>
      <c r="L626" s="16"/>
      <c r="M626" s="16"/>
      <c r="N626" s="16"/>
      <c r="O626" s="16"/>
      <c r="P626" s="16"/>
      <c r="Q626" s="4"/>
      <c r="R626" s="4"/>
      <c r="S626" s="4"/>
      <c r="T626" s="4"/>
      <c r="U626" s="4"/>
      <c r="V626" s="4"/>
      <c r="W626" s="4"/>
      <c r="X626" s="4"/>
      <c r="Y626" s="4"/>
      <c r="Z626" s="4"/>
      <c r="AA626" s="4"/>
      <c r="AB626" s="4"/>
      <c r="AC626" s="4"/>
      <c r="AD626" s="4"/>
      <c r="AE626" s="4"/>
    </row>
    <row r="627" spans="1:31" ht="13.2">
      <c r="A627" s="7"/>
      <c r="B627" s="7"/>
      <c r="C627" s="7"/>
      <c r="D627" s="29"/>
      <c r="E627" s="7"/>
      <c r="F627" s="7"/>
      <c r="G627" s="7"/>
      <c r="H627" s="16"/>
      <c r="I627" s="16"/>
      <c r="J627" s="16"/>
      <c r="K627" s="16"/>
      <c r="L627" s="16"/>
      <c r="M627" s="16"/>
      <c r="N627" s="16"/>
      <c r="O627" s="16"/>
      <c r="P627" s="16"/>
      <c r="Q627" s="4"/>
      <c r="R627" s="4"/>
      <c r="S627" s="4"/>
      <c r="T627" s="4"/>
      <c r="U627" s="4"/>
      <c r="V627" s="4"/>
      <c r="W627" s="4"/>
      <c r="X627" s="4"/>
      <c r="Y627" s="4"/>
      <c r="Z627" s="4"/>
      <c r="AA627" s="4"/>
      <c r="AB627" s="4"/>
      <c r="AC627" s="4"/>
      <c r="AD627" s="4"/>
      <c r="AE627" s="4"/>
    </row>
    <row r="628" spans="1:31" ht="13.2">
      <c r="A628" s="7"/>
      <c r="B628" s="7"/>
      <c r="C628" s="7"/>
      <c r="D628" s="29"/>
      <c r="E628" s="7"/>
      <c r="F628" s="7"/>
      <c r="G628" s="7"/>
      <c r="H628" s="16"/>
      <c r="I628" s="16"/>
      <c r="J628" s="16"/>
      <c r="K628" s="16"/>
      <c r="L628" s="16"/>
      <c r="M628" s="16"/>
      <c r="N628" s="16"/>
      <c r="O628" s="16"/>
      <c r="P628" s="16"/>
      <c r="Q628" s="4"/>
      <c r="R628" s="4"/>
      <c r="S628" s="4"/>
      <c r="T628" s="4"/>
      <c r="U628" s="4"/>
      <c r="V628" s="4"/>
      <c r="W628" s="4"/>
      <c r="X628" s="4"/>
      <c r="Y628" s="4"/>
      <c r="Z628" s="4"/>
      <c r="AA628" s="4"/>
      <c r="AB628" s="4"/>
      <c r="AC628" s="4"/>
      <c r="AD628" s="4"/>
      <c r="AE628" s="4"/>
    </row>
    <row r="629" spans="1:31" ht="13.2">
      <c r="A629" s="7"/>
      <c r="B629" s="7"/>
      <c r="C629" s="7"/>
      <c r="D629" s="29"/>
      <c r="E629" s="7"/>
      <c r="F629" s="7"/>
      <c r="G629" s="7"/>
      <c r="H629" s="16"/>
      <c r="I629" s="16"/>
      <c r="J629" s="16"/>
      <c r="K629" s="16"/>
      <c r="L629" s="16"/>
      <c r="M629" s="16"/>
      <c r="N629" s="16"/>
      <c r="O629" s="16"/>
      <c r="P629" s="16"/>
      <c r="Q629" s="4"/>
      <c r="R629" s="4"/>
      <c r="S629" s="4"/>
      <c r="T629" s="4"/>
      <c r="U629" s="4"/>
      <c r="V629" s="4"/>
      <c r="W629" s="4"/>
      <c r="X629" s="4"/>
      <c r="Y629" s="4"/>
      <c r="Z629" s="4"/>
      <c r="AA629" s="4"/>
      <c r="AB629" s="4"/>
      <c r="AC629" s="4"/>
      <c r="AD629" s="4"/>
      <c r="AE629" s="4"/>
    </row>
    <row r="630" spans="1:31" ht="13.2">
      <c r="A630" s="7"/>
      <c r="B630" s="7"/>
      <c r="C630" s="7"/>
      <c r="D630" s="29"/>
      <c r="E630" s="7"/>
      <c r="F630" s="7"/>
      <c r="G630" s="7"/>
      <c r="H630" s="16"/>
      <c r="I630" s="16"/>
      <c r="J630" s="16"/>
      <c r="K630" s="16"/>
      <c r="L630" s="16"/>
      <c r="M630" s="16"/>
      <c r="N630" s="16"/>
      <c r="O630" s="16"/>
      <c r="P630" s="16"/>
      <c r="Q630" s="4"/>
      <c r="R630" s="4"/>
      <c r="S630" s="4"/>
      <c r="T630" s="4"/>
      <c r="U630" s="4"/>
      <c r="V630" s="4"/>
      <c r="W630" s="4"/>
      <c r="X630" s="4"/>
      <c r="Y630" s="4"/>
      <c r="Z630" s="4"/>
      <c r="AA630" s="4"/>
      <c r="AB630" s="4"/>
      <c r="AC630" s="4"/>
      <c r="AD630" s="4"/>
      <c r="AE630" s="4"/>
    </row>
    <row r="631" spans="1:31" ht="13.2">
      <c r="A631" s="7"/>
      <c r="B631" s="7"/>
      <c r="C631" s="7"/>
      <c r="D631" s="29"/>
      <c r="E631" s="7"/>
      <c r="F631" s="7"/>
      <c r="G631" s="7"/>
      <c r="H631" s="16"/>
      <c r="I631" s="16"/>
      <c r="J631" s="16"/>
      <c r="K631" s="16"/>
      <c r="L631" s="16"/>
      <c r="M631" s="16"/>
      <c r="N631" s="16"/>
      <c r="O631" s="16"/>
      <c r="P631" s="16"/>
      <c r="Q631" s="4"/>
      <c r="R631" s="4"/>
      <c r="S631" s="4"/>
      <c r="T631" s="4"/>
      <c r="U631" s="4"/>
      <c r="V631" s="4"/>
      <c r="W631" s="4"/>
      <c r="X631" s="4"/>
      <c r="Y631" s="4"/>
      <c r="Z631" s="4"/>
      <c r="AA631" s="4"/>
      <c r="AB631" s="4"/>
      <c r="AC631" s="4"/>
      <c r="AD631" s="4"/>
      <c r="AE631" s="4"/>
    </row>
    <row r="632" spans="1:31" ht="13.2">
      <c r="A632" s="7"/>
      <c r="B632" s="7"/>
      <c r="C632" s="7"/>
      <c r="D632" s="29"/>
      <c r="E632" s="7"/>
      <c r="F632" s="7"/>
      <c r="G632" s="7"/>
      <c r="H632" s="16"/>
      <c r="I632" s="16"/>
      <c r="J632" s="16"/>
      <c r="K632" s="16"/>
      <c r="L632" s="16"/>
      <c r="M632" s="16"/>
      <c r="N632" s="16"/>
      <c r="O632" s="16"/>
      <c r="P632" s="16"/>
      <c r="Q632" s="4"/>
      <c r="R632" s="4"/>
      <c r="S632" s="4"/>
      <c r="T632" s="4"/>
      <c r="U632" s="4"/>
      <c r="V632" s="4"/>
      <c r="W632" s="4"/>
      <c r="X632" s="4"/>
      <c r="Y632" s="4"/>
      <c r="Z632" s="4"/>
      <c r="AA632" s="4"/>
      <c r="AB632" s="4"/>
      <c r="AC632" s="4"/>
      <c r="AD632" s="4"/>
      <c r="AE632" s="4"/>
    </row>
    <row r="633" spans="1:31" ht="13.2">
      <c r="A633" s="7"/>
      <c r="B633" s="7"/>
      <c r="C633" s="7"/>
      <c r="D633" s="29"/>
      <c r="E633" s="7"/>
      <c r="F633" s="7"/>
      <c r="G633" s="7"/>
      <c r="H633" s="16"/>
      <c r="I633" s="16"/>
      <c r="J633" s="16"/>
      <c r="K633" s="16"/>
      <c r="L633" s="16"/>
      <c r="M633" s="16"/>
      <c r="N633" s="16"/>
      <c r="O633" s="16"/>
      <c r="P633" s="16"/>
      <c r="Q633" s="4"/>
      <c r="R633" s="4"/>
      <c r="S633" s="4"/>
      <c r="T633" s="4"/>
      <c r="U633" s="4"/>
      <c r="V633" s="4"/>
      <c r="W633" s="4"/>
      <c r="X633" s="4"/>
      <c r="Y633" s="4"/>
      <c r="Z633" s="4"/>
      <c r="AA633" s="4"/>
      <c r="AB633" s="4"/>
      <c r="AC633" s="4"/>
      <c r="AD633" s="4"/>
      <c r="AE633" s="4"/>
    </row>
    <row r="634" spans="1:31" ht="13.2">
      <c r="A634" s="7"/>
      <c r="B634" s="7"/>
      <c r="C634" s="7"/>
      <c r="D634" s="29"/>
      <c r="E634" s="7"/>
      <c r="F634" s="7"/>
      <c r="G634" s="7"/>
      <c r="H634" s="16"/>
      <c r="I634" s="16"/>
      <c r="J634" s="16"/>
      <c r="K634" s="16"/>
      <c r="L634" s="16"/>
      <c r="M634" s="16"/>
      <c r="N634" s="16"/>
      <c r="O634" s="16"/>
      <c r="P634" s="16"/>
      <c r="Q634" s="4"/>
      <c r="R634" s="4"/>
      <c r="S634" s="4"/>
      <c r="T634" s="4"/>
      <c r="U634" s="4"/>
      <c r="V634" s="4"/>
      <c r="W634" s="4"/>
      <c r="X634" s="4"/>
      <c r="Y634" s="4"/>
      <c r="Z634" s="4"/>
      <c r="AA634" s="4"/>
      <c r="AB634" s="4"/>
      <c r="AC634" s="4"/>
      <c r="AD634" s="4"/>
      <c r="AE634" s="4"/>
    </row>
    <row r="635" spans="1:31" ht="13.2">
      <c r="A635" s="7"/>
      <c r="B635" s="7"/>
      <c r="C635" s="7"/>
      <c r="D635" s="29"/>
      <c r="E635" s="7"/>
      <c r="F635" s="7"/>
      <c r="G635" s="7"/>
      <c r="H635" s="16"/>
      <c r="I635" s="16"/>
      <c r="J635" s="16"/>
      <c r="K635" s="16"/>
      <c r="L635" s="16"/>
      <c r="M635" s="16"/>
      <c r="N635" s="16"/>
      <c r="O635" s="16"/>
      <c r="P635" s="16"/>
      <c r="Q635" s="4"/>
      <c r="R635" s="4"/>
      <c r="S635" s="4"/>
      <c r="T635" s="4"/>
      <c r="U635" s="4"/>
      <c r="V635" s="4"/>
      <c r="W635" s="4"/>
      <c r="X635" s="4"/>
      <c r="Y635" s="4"/>
      <c r="Z635" s="4"/>
      <c r="AA635" s="4"/>
      <c r="AB635" s="4"/>
      <c r="AC635" s="4"/>
      <c r="AD635" s="4"/>
      <c r="AE635" s="4"/>
    </row>
    <row r="636" spans="1:31" ht="13.2">
      <c r="A636" s="7"/>
      <c r="B636" s="7"/>
      <c r="C636" s="7"/>
      <c r="D636" s="29"/>
      <c r="E636" s="7"/>
      <c r="F636" s="7"/>
      <c r="G636" s="7"/>
      <c r="H636" s="16"/>
      <c r="I636" s="16"/>
      <c r="J636" s="16"/>
      <c r="K636" s="16"/>
      <c r="L636" s="16"/>
      <c r="M636" s="16"/>
      <c r="N636" s="16"/>
      <c r="O636" s="16"/>
      <c r="P636" s="16"/>
      <c r="Q636" s="4"/>
      <c r="R636" s="4"/>
      <c r="S636" s="4"/>
      <c r="T636" s="4"/>
      <c r="U636" s="4"/>
      <c r="V636" s="4"/>
      <c r="W636" s="4"/>
      <c r="X636" s="4"/>
      <c r="Y636" s="4"/>
      <c r="Z636" s="4"/>
      <c r="AA636" s="4"/>
      <c r="AB636" s="4"/>
      <c r="AC636" s="4"/>
      <c r="AD636" s="4"/>
      <c r="AE636" s="4"/>
    </row>
    <row r="637" spans="1:31" ht="13.2">
      <c r="A637" s="7"/>
      <c r="B637" s="7"/>
      <c r="C637" s="7"/>
      <c r="D637" s="29"/>
      <c r="E637" s="7"/>
      <c r="F637" s="7"/>
      <c r="G637" s="7"/>
      <c r="H637" s="16"/>
      <c r="I637" s="16"/>
      <c r="J637" s="16"/>
      <c r="K637" s="16"/>
      <c r="L637" s="16"/>
      <c r="M637" s="16"/>
      <c r="N637" s="16"/>
      <c r="O637" s="16"/>
      <c r="P637" s="16"/>
      <c r="Q637" s="4"/>
      <c r="R637" s="4"/>
      <c r="S637" s="4"/>
      <c r="T637" s="4"/>
      <c r="U637" s="4"/>
      <c r="V637" s="4"/>
      <c r="W637" s="4"/>
      <c r="X637" s="4"/>
      <c r="Y637" s="4"/>
      <c r="Z637" s="4"/>
      <c r="AA637" s="4"/>
      <c r="AB637" s="4"/>
      <c r="AC637" s="4"/>
      <c r="AD637" s="4"/>
      <c r="AE637" s="4"/>
    </row>
    <row r="638" spans="1:31" ht="13.2">
      <c r="A638" s="7"/>
      <c r="B638" s="7"/>
      <c r="C638" s="7"/>
      <c r="D638" s="29"/>
      <c r="E638" s="7"/>
      <c r="F638" s="7"/>
      <c r="G638" s="7"/>
      <c r="H638" s="16"/>
      <c r="I638" s="16"/>
      <c r="J638" s="16"/>
      <c r="K638" s="16"/>
      <c r="L638" s="16"/>
      <c r="M638" s="16"/>
      <c r="N638" s="16"/>
      <c r="O638" s="16"/>
      <c r="P638" s="16"/>
      <c r="Q638" s="4"/>
      <c r="R638" s="4"/>
      <c r="S638" s="4"/>
      <c r="T638" s="4"/>
      <c r="U638" s="4"/>
      <c r="V638" s="4"/>
      <c r="W638" s="4"/>
      <c r="X638" s="4"/>
      <c r="Y638" s="4"/>
      <c r="Z638" s="4"/>
      <c r="AA638" s="4"/>
      <c r="AB638" s="4"/>
      <c r="AC638" s="4"/>
      <c r="AD638" s="4"/>
      <c r="AE638" s="4"/>
    </row>
    <row r="639" spans="1:31" ht="13.2">
      <c r="A639" s="7"/>
      <c r="B639" s="7"/>
      <c r="C639" s="7"/>
      <c r="D639" s="29"/>
      <c r="E639" s="7"/>
      <c r="F639" s="7"/>
      <c r="G639" s="7"/>
      <c r="H639" s="16"/>
      <c r="I639" s="16"/>
      <c r="J639" s="16"/>
      <c r="K639" s="16"/>
      <c r="L639" s="16"/>
      <c r="M639" s="16"/>
      <c r="N639" s="16"/>
      <c r="O639" s="16"/>
      <c r="P639" s="16"/>
      <c r="Q639" s="4"/>
      <c r="R639" s="4"/>
      <c r="S639" s="4"/>
      <c r="T639" s="4"/>
      <c r="U639" s="4"/>
      <c r="V639" s="4"/>
      <c r="W639" s="4"/>
      <c r="X639" s="4"/>
      <c r="Y639" s="4"/>
      <c r="Z639" s="4"/>
      <c r="AA639" s="4"/>
      <c r="AB639" s="4"/>
      <c r="AC639" s="4"/>
      <c r="AD639" s="4"/>
      <c r="AE639" s="4"/>
    </row>
    <row r="640" spans="1:31" ht="13.2">
      <c r="A640" s="7"/>
      <c r="B640" s="7"/>
      <c r="C640" s="7"/>
      <c r="D640" s="29"/>
      <c r="E640" s="7"/>
      <c r="F640" s="7"/>
      <c r="G640" s="7"/>
      <c r="H640" s="16"/>
      <c r="I640" s="16"/>
      <c r="J640" s="16"/>
      <c r="K640" s="16"/>
      <c r="L640" s="16"/>
      <c r="M640" s="16"/>
      <c r="N640" s="16"/>
      <c r="O640" s="16"/>
      <c r="P640" s="16"/>
      <c r="Q640" s="4"/>
      <c r="R640" s="4"/>
      <c r="S640" s="4"/>
      <c r="T640" s="4"/>
      <c r="U640" s="4"/>
      <c r="V640" s="4"/>
      <c r="W640" s="4"/>
      <c r="X640" s="4"/>
      <c r="Y640" s="4"/>
      <c r="Z640" s="4"/>
      <c r="AA640" s="4"/>
      <c r="AB640" s="4"/>
      <c r="AC640" s="4"/>
      <c r="AD640" s="4"/>
      <c r="AE640" s="4"/>
    </row>
    <row r="641" spans="1:31" ht="13.2">
      <c r="A641" s="7"/>
      <c r="B641" s="7"/>
      <c r="C641" s="7"/>
      <c r="D641" s="29"/>
      <c r="E641" s="7"/>
      <c r="F641" s="7"/>
      <c r="G641" s="7"/>
      <c r="H641" s="16"/>
      <c r="I641" s="16"/>
      <c r="J641" s="16"/>
      <c r="K641" s="16"/>
      <c r="L641" s="16"/>
      <c r="M641" s="16"/>
      <c r="N641" s="16"/>
      <c r="O641" s="16"/>
      <c r="P641" s="16"/>
      <c r="Q641" s="4"/>
      <c r="R641" s="4"/>
      <c r="S641" s="4"/>
      <c r="T641" s="4"/>
      <c r="U641" s="4"/>
      <c r="V641" s="4"/>
      <c r="W641" s="4"/>
      <c r="X641" s="4"/>
      <c r="Y641" s="4"/>
      <c r="Z641" s="4"/>
      <c r="AA641" s="4"/>
      <c r="AB641" s="4"/>
      <c r="AC641" s="4"/>
      <c r="AD641" s="4"/>
      <c r="AE641" s="4"/>
    </row>
    <row r="642" spans="1:31" ht="13.2">
      <c r="A642" s="7"/>
      <c r="B642" s="7"/>
      <c r="C642" s="7"/>
      <c r="D642" s="29"/>
      <c r="E642" s="7"/>
      <c r="F642" s="7"/>
      <c r="G642" s="7"/>
      <c r="H642" s="16"/>
      <c r="I642" s="16"/>
      <c r="J642" s="16"/>
      <c r="K642" s="16"/>
      <c r="L642" s="16"/>
      <c r="M642" s="16"/>
      <c r="N642" s="16"/>
      <c r="O642" s="16"/>
      <c r="P642" s="16"/>
      <c r="Q642" s="4"/>
      <c r="R642" s="4"/>
      <c r="S642" s="4"/>
      <c r="T642" s="4"/>
      <c r="U642" s="4"/>
      <c r="V642" s="4"/>
      <c r="W642" s="4"/>
      <c r="X642" s="4"/>
      <c r="Y642" s="4"/>
      <c r="Z642" s="4"/>
      <c r="AA642" s="4"/>
      <c r="AB642" s="4"/>
      <c r="AC642" s="4"/>
      <c r="AD642" s="4"/>
      <c r="AE642" s="4"/>
    </row>
    <row r="643" spans="1:31" ht="13.2">
      <c r="A643" s="7"/>
      <c r="B643" s="7"/>
      <c r="C643" s="7"/>
      <c r="D643" s="29"/>
      <c r="E643" s="7"/>
      <c r="F643" s="7"/>
      <c r="G643" s="7"/>
      <c r="H643" s="16"/>
      <c r="I643" s="16"/>
      <c r="J643" s="16"/>
      <c r="K643" s="16"/>
      <c r="L643" s="16"/>
      <c r="M643" s="16"/>
      <c r="N643" s="16"/>
      <c r="O643" s="16"/>
      <c r="P643" s="16"/>
      <c r="Q643" s="4"/>
      <c r="R643" s="4"/>
      <c r="S643" s="4"/>
      <c r="T643" s="4"/>
      <c r="U643" s="4"/>
      <c r="V643" s="4"/>
      <c r="W643" s="4"/>
      <c r="X643" s="4"/>
      <c r="Y643" s="4"/>
      <c r="Z643" s="4"/>
      <c r="AA643" s="4"/>
      <c r="AB643" s="4"/>
      <c r="AC643" s="4"/>
      <c r="AD643" s="4"/>
      <c r="AE643" s="4"/>
    </row>
    <row r="644" spans="1:31" ht="13.2">
      <c r="A644" s="7"/>
      <c r="B644" s="7"/>
      <c r="C644" s="7"/>
      <c r="D644" s="29"/>
      <c r="E644" s="7"/>
      <c r="F644" s="7"/>
      <c r="G644" s="7"/>
      <c r="H644" s="16"/>
      <c r="I644" s="16"/>
      <c r="J644" s="16"/>
      <c r="K644" s="16"/>
      <c r="L644" s="16"/>
      <c r="M644" s="16"/>
      <c r="N644" s="16"/>
      <c r="O644" s="16"/>
      <c r="P644" s="16"/>
      <c r="Q644" s="4"/>
      <c r="R644" s="4"/>
      <c r="S644" s="4"/>
      <c r="T644" s="4"/>
      <c r="U644" s="4"/>
      <c r="V644" s="4"/>
      <c r="W644" s="4"/>
      <c r="X644" s="4"/>
      <c r="Y644" s="4"/>
      <c r="Z644" s="4"/>
      <c r="AA644" s="4"/>
      <c r="AB644" s="4"/>
      <c r="AC644" s="4"/>
      <c r="AD644" s="4"/>
      <c r="AE644" s="4"/>
    </row>
    <row r="645" spans="1:31" ht="13.2">
      <c r="A645" s="7"/>
      <c r="B645" s="7"/>
      <c r="C645" s="7"/>
      <c r="D645" s="29"/>
      <c r="E645" s="7"/>
      <c r="F645" s="7"/>
      <c r="G645" s="7"/>
      <c r="H645" s="16"/>
      <c r="I645" s="16"/>
      <c r="J645" s="16"/>
      <c r="K645" s="16"/>
      <c r="L645" s="16"/>
      <c r="M645" s="16"/>
      <c r="N645" s="16"/>
      <c r="O645" s="16"/>
      <c r="P645" s="16"/>
      <c r="Q645" s="4"/>
      <c r="R645" s="4"/>
      <c r="S645" s="4"/>
      <c r="T645" s="4"/>
      <c r="U645" s="4"/>
      <c r="V645" s="4"/>
      <c r="W645" s="4"/>
      <c r="X645" s="4"/>
      <c r="Y645" s="4"/>
      <c r="Z645" s="4"/>
      <c r="AA645" s="4"/>
      <c r="AB645" s="4"/>
      <c r="AC645" s="4"/>
      <c r="AD645" s="4"/>
      <c r="AE645" s="4"/>
    </row>
    <row r="646" spans="1:31" ht="13.2">
      <c r="A646" s="7"/>
      <c r="B646" s="7"/>
      <c r="C646" s="7"/>
      <c r="D646" s="29"/>
      <c r="E646" s="7"/>
      <c r="F646" s="7"/>
      <c r="G646" s="7"/>
      <c r="H646" s="16"/>
      <c r="I646" s="16"/>
      <c r="J646" s="16"/>
      <c r="K646" s="16"/>
      <c r="L646" s="16"/>
      <c r="M646" s="16"/>
      <c r="N646" s="16"/>
      <c r="O646" s="16"/>
      <c r="P646" s="16"/>
      <c r="Q646" s="4"/>
      <c r="R646" s="4"/>
      <c r="S646" s="4"/>
      <c r="T646" s="4"/>
      <c r="U646" s="4"/>
      <c r="V646" s="4"/>
      <c r="W646" s="4"/>
      <c r="X646" s="4"/>
      <c r="Y646" s="4"/>
      <c r="Z646" s="4"/>
      <c r="AA646" s="4"/>
      <c r="AB646" s="4"/>
      <c r="AC646" s="4"/>
      <c r="AD646" s="4"/>
      <c r="AE646" s="4"/>
    </row>
    <row r="647" spans="1:31" ht="13.2">
      <c r="A647" s="7"/>
      <c r="B647" s="7"/>
      <c r="C647" s="7"/>
      <c r="D647" s="29"/>
      <c r="E647" s="7"/>
      <c r="F647" s="7"/>
      <c r="G647" s="7"/>
      <c r="H647" s="16"/>
      <c r="I647" s="16"/>
      <c r="J647" s="16"/>
      <c r="K647" s="16"/>
      <c r="L647" s="16"/>
      <c r="M647" s="16"/>
      <c r="N647" s="16"/>
      <c r="O647" s="16"/>
      <c r="P647" s="16"/>
      <c r="Q647" s="4"/>
      <c r="R647" s="4"/>
      <c r="S647" s="4"/>
      <c r="T647" s="4"/>
      <c r="U647" s="4"/>
      <c r="V647" s="4"/>
      <c r="W647" s="4"/>
      <c r="X647" s="4"/>
      <c r="Y647" s="4"/>
      <c r="Z647" s="4"/>
      <c r="AA647" s="4"/>
      <c r="AB647" s="4"/>
      <c r="AC647" s="4"/>
      <c r="AD647" s="4"/>
      <c r="AE647" s="4"/>
    </row>
    <row r="648" spans="1:31" ht="13.2">
      <c r="A648" s="7"/>
      <c r="B648" s="7"/>
      <c r="C648" s="7"/>
      <c r="D648" s="29"/>
      <c r="E648" s="7"/>
      <c r="F648" s="7"/>
      <c r="G648" s="7"/>
      <c r="H648" s="16"/>
      <c r="I648" s="16"/>
      <c r="J648" s="16"/>
      <c r="K648" s="16"/>
      <c r="L648" s="16"/>
      <c r="M648" s="16"/>
      <c r="N648" s="16"/>
      <c r="O648" s="16"/>
      <c r="P648" s="16"/>
      <c r="Q648" s="4"/>
      <c r="R648" s="4"/>
      <c r="S648" s="4"/>
      <c r="T648" s="4"/>
      <c r="U648" s="4"/>
      <c r="V648" s="4"/>
      <c r="W648" s="4"/>
      <c r="X648" s="4"/>
      <c r="Y648" s="4"/>
      <c r="Z648" s="4"/>
      <c r="AA648" s="4"/>
      <c r="AB648" s="4"/>
      <c r="AC648" s="4"/>
      <c r="AD648" s="4"/>
      <c r="AE648" s="4"/>
    </row>
    <row r="649" spans="1:31" ht="13.2">
      <c r="A649" s="7"/>
      <c r="B649" s="7"/>
      <c r="C649" s="7"/>
      <c r="D649" s="29"/>
      <c r="E649" s="7"/>
      <c r="F649" s="7"/>
      <c r="G649" s="7"/>
      <c r="H649" s="16"/>
      <c r="I649" s="16"/>
      <c r="J649" s="16"/>
      <c r="K649" s="16"/>
      <c r="L649" s="16"/>
      <c r="M649" s="16"/>
      <c r="N649" s="16"/>
      <c r="O649" s="16"/>
      <c r="P649" s="16"/>
      <c r="Q649" s="4"/>
      <c r="R649" s="4"/>
      <c r="S649" s="4"/>
      <c r="T649" s="4"/>
      <c r="U649" s="4"/>
      <c r="V649" s="4"/>
      <c r="W649" s="4"/>
      <c r="X649" s="4"/>
      <c r="Y649" s="4"/>
      <c r="Z649" s="4"/>
      <c r="AA649" s="4"/>
      <c r="AB649" s="4"/>
      <c r="AC649" s="4"/>
      <c r="AD649" s="4"/>
      <c r="AE649" s="4"/>
    </row>
    <row r="650" spans="1:31" ht="13.2">
      <c r="A650" s="7"/>
      <c r="B650" s="7"/>
      <c r="C650" s="7"/>
      <c r="D650" s="29"/>
      <c r="E650" s="7"/>
      <c r="F650" s="7"/>
      <c r="G650" s="7"/>
      <c r="H650" s="16"/>
      <c r="I650" s="16"/>
      <c r="J650" s="16"/>
      <c r="K650" s="16"/>
      <c r="L650" s="16"/>
      <c r="M650" s="16"/>
      <c r="N650" s="16"/>
      <c r="O650" s="16"/>
      <c r="P650" s="16"/>
      <c r="Q650" s="4"/>
      <c r="R650" s="4"/>
      <c r="S650" s="4"/>
      <c r="T650" s="4"/>
      <c r="U650" s="4"/>
      <c r="V650" s="4"/>
      <c r="W650" s="4"/>
      <c r="X650" s="4"/>
      <c r="Y650" s="4"/>
      <c r="Z650" s="4"/>
      <c r="AA650" s="4"/>
      <c r="AB650" s="4"/>
      <c r="AC650" s="4"/>
      <c r="AD650" s="4"/>
      <c r="AE650" s="4"/>
    </row>
    <row r="651" spans="1:31" ht="13.2">
      <c r="A651" s="7"/>
      <c r="B651" s="7"/>
      <c r="C651" s="7"/>
      <c r="D651" s="29"/>
      <c r="E651" s="7"/>
      <c r="F651" s="7"/>
      <c r="G651" s="7"/>
      <c r="H651" s="16"/>
      <c r="I651" s="16"/>
      <c r="J651" s="16"/>
      <c r="K651" s="16"/>
      <c r="L651" s="16"/>
      <c r="M651" s="16"/>
      <c r="N651" s="16"/>
      <c r="O651" s="16"/>
      <c r="P651" s="16"/>
      <c r="Q651" s="4"/>
      <c r="R651" s="4"/>
      <c r="S651" s="4"/>
      <c r="T651" s="4"/>
      <c r="U651" s="4"/>
      <c r="V651" s="4"/>
      <c r="W651" s="4"/>
      <c r="X651" s="4"/>
      <c r="Y651" s="4"/>
      <c r="Z651" s="4"/>
      <c r="AA651" s="4"/>
      <c r="AB651" s="4"/>
      <c r="AC651" s="4"/>
      <c r="AD651" s="4"/>
      <c r="AE651" s="4"/>
    </row>
    <row r="652" spans="1:31" ht="13.2">
      <c r="A652" s="7"/>
      <c r="B652" s="7"/>
      <c r="C652" s="7"/>
      <c r="D652" s="29"/>
      <c r="E652" s="7"/>
      <c r="F652" s="7"/>
      <c r="G652" s="7"/>
      <c r="H652" s="16"/>
      <c r="I652" s="16"/>
      <c r="J652" s="16"/>
      <c r="K652" s="16"/>
      <c r="L652" s="16"/>
      <c r="M652" s="16"/>
      <c r="N652" s="16"/>
      <c r="O652" s="16"/>
      <c r="P652" s="16"/>
      <c r="Q652" s="4"/>
      <c r="R652" s="4"/>
      <c r="S652" s="4"/>
      <c r="T652" s="4"/>
      <c r="U652" s="4"/>
      <c r="V652" s="4"/>
      <c r="W652" s="4"/>
      <c r="X652" s="4"/>
      <c r="Y652" s="4"/>
      <c r="Z652" s="4"/>
      <c r="AA652" s="4"/>
      <c r="AB652" s="4"/>
      <c r="AC652" s="4"/>
      <c r="AD652" s="4"/>
      <c r="AE652" s="4"/>
    </row>
    <row r="653" spans="1:31" ht="13.2">
      <c r="A653" s="7"/>
      <c r="B653" s="7"/>
      <c r="C653" s="7"/>
      <c r="D653" s="29"/>
      <c r="E653" s="7"/>
      <c r="F653" s="7"/>
      <c r="G653" s="7"/>
      <c r="H653" s="16"/>
      <c r="I653" s="16"/>
      <c r="J653" s="16"/>
      <c r="K653" s="16"/>
      <c r="L653" s="16"/>
      <c r="M653" s="16"/>
      <c r="N653" s="16"/>
      <c r="O653" s="16"/>
      <c r="P653" s="16"/>
      <c r="Q653" s="4"/>
      <c r="R653" s="4"/>
      <c r="S653" s="4"/>
      <c r="T653" s="4"/>
      <c r="U653" s="4"/>
      <c r="V653" s="4"/>
      <c r="W653" s="4"/>
      <c r="X653" s="4"/>
      <c r="Y653" s="4"/>
      <c r="Z653" s="4"/>
      <c r="AA653" s="4"/>
      <c r="AB653" s="4"/>
      <c r="AC653" s="4"/>
      <c r="AD653" s="4"/>
      <c r="AE653" s="4"/>
    </row>
    <row r="654" spans="1:31" ht="13.2">
      <c r="A654" s="7"/>
      <c r="B654" s="7"/>
      <c r="C654" s="7"/>
      <c r="D654" s="29"/>
      <c r="E654" s="7"/>
      <c r="F654" s="7"/>
      <c r="G654" s="7"/>
      <c r="H654" s="16"/>
      <c r="I654" s="16"/>
      <c r="J654" s="16"/>
      <c r="K654" s="16"/>
      <c r="L654" s="16"/>
      <c r="M654" s="16"/>
      <c r="N654" s="16"/>
      <c r="O654" s="16"/>
      <c r="P654" s="16"/>
      <c r="Q654" s="4"/>
      <c r="R654" s="4"/>
      <c r="S654" s="4"/>
      <c r="T654" s="4"/>
      <c r="U654" s="4"/>
      <c r="V654" s="4"/>
      <c r="W654" s="4"/>
      <c r="X654" s="4"/>
      <c r="Y654" s="4"/>
      <c r="Z654" s="4"/>
      <c r="AA654" s="4"/>
      <c r="AB654" s="4"/>
      <c r="AC654" s="4"/>
      <c r="AD654" s="4"/>
      <c r="AE654" s="4"/>
    </row>
    <row r="655" spans="1:31" ht="13.2">
      <c r="A655" s="7"/>
      <c r="B655" s="7"/>
      <c r="C655" s="7"/>
      <c r="D655" s="29"/>
      <c r="E655" s="7"/>
      <c r="F655" s="7"/>
      <c r="G655" s="7"/>
      <c r="H655" s="16"/>
      <c r="I655" s="16"/>
      <c r="J655" s="16"/>
      <c r="K655" s="16"/>
      <c r="L655" s="16"/>
      <c r="M655" s="16"/>
      <c r="N655" s="16"/>
      <c r="O655" s="16"/>
      <c r="P655" s="16"/>
      <c r="Q655" s="4"/>
      <c r="R655" s="4"/>
      <c r="S655" s="4"/>
      <c r="T655" s="4"/>
      <c r="U655" s="4"/>
      <c r="V655" s="4"/>
      <c r="W655" s="4"/>
      <c r="X655" s="4"/>
      <c r="Y655" s="4"/>
      <c r="Z655" s="4"/>
      <c r="AA655" s="4"/>
      <c r="AB655" s="4"/>
      <c r="AC655" s="4"/>
      <c r="AD655" s="4"/>
      <c r="AE655" s="4"/>
    </row>
    <row r="656" spans="1:31" ht="13.2">
      <c r="A656" s="7"/>
      <c r="B656" s="7"/>
      <c r="C656" s="7"/>
      <c r="D656" s="29"/>
      <c r="E656" s="7"/>
      <c r="F656" s="7"/>
      <c r="G656" s="7"/>
      <c r="H656" s="16"/>
      <c r="I656" s="16"/>
      <c r="J656" s="16"/>
      <c r="K656" s="16"/>
      <c r="L656" s="16"/>
      <c r="M656" s="16"/>
      <c r="N656" s="16"/>
      <c r="O656" s="16"/>
      <c r="P656" s="16"/>
      <c r="Q656" s="4"/>
      <c r="R656" s="4"/>
      <c r="S656" s="4"/>
      <c r="T656" s="4"/>
      <c r="U656" s="4"/>
      <c r="V656" s="4"/>
      <c r="W656" s="4"/>
      <c r="X656" s="4"/>
      <c r="Y656" s="4"/>
      <c r="Z656" s="4"/>
      <c r="AA656" s="4"/>
      <c r="AB656" s="4"/>
      <c r="AC656" s="4"/>
      <c r="AD656" s="4"/>
      <c r="AE656" s="4"/>
    </row>
    <row r="657" spans="1:31" ht="13.2">
      <c r="A657" s="7"/>
      <c r="B657" s="7"/>
      <c r="C657" s="7"/>
      <c r="D657" s="29"/>
      <c r="E657" s="7"/>
      <c r="F657" s="7"/>
      <c r="G657" s="7"/>
      <c r="H657" s="16"/>
      <c r="I657" s="16"/>
      <c r="J657" s="16"/>
      <c r="K657" s="16"/>
      <c r="L657" s="16"/>
      <c r="M657" s="16"/>
      <c r="N657" s="16"/>
      <c r="O657" s="16"/>
      <c r="P657" s="16"/>
      <c r="Q657" s="4"/>
      <c r="R657" s="4"/>
      <c r="S657" s="4"/>
      <c r="T657" s="4"/>
      <c r="U657" s="4"/>
      <c r="V657" s="4"/>
      <c r="W657" s="4"/>
      <c r="X657" s="4"/>
      <c r="Y657" s="4"/>
      <c r="Z657" s="4"/>
      <c r="AA657" s="4"/>
      <c r="AB657" s="4"/>
      <c r="AC657" s="4"/>
      <c r="AD657" s="4"/>
      <c r="AE657" s="4"/>
    </row>
    <row r="658" spans="1:31" ht="13.2">
      <c r="A658" s="7"/>
      <c r="B658" s="7"/>
      <c r="C658" s="7"/>
      <c r="D658" s="29"/>
      <c r="E658" s="7"/>
      <c r="F658" s="7"/>
      <c r="G658" s="7"/>
      <c r="H658" s="16"/>
      <c r="I658" s="16"/>
      <c r="J658" s="16"/>
      <c r="K658" s="16"/>
      <c r="L658" s="16"/>
      <c r="M658" s="16"/>
      <c r="N658" s="16"/>
      <c r="O658" s="16"/>
      <c r="P658" s="16"/>
      <c r="Q658" s="4"/>
      <c r="R658" s="4"/>
      <c r="S658" s="4"/>
      <c r="T658" s="4"/>
      <c r="U658" s="4"/>
      <c r="V658" s="4"/>
      <c r="W658" s="4"/>
      <c r="X658" s="4"/>
      <c r="Y658" s="4"/>
      <c r="Z658" s="4"/>
      <c r="AA658" s="4"/>
      <c r="AB658" s="4"/>
      <c r="AC658" s="4"/>
      <c r="AD658" s="4"/>
      <c r="AE658" s="4"/>
    </row>
    <row r="659" spans="1:31" ht="13.2">
      <c r="A659" s="7"/>
      <c r="B659" s="7"/>
      <c r="C659" s="7"/>
      <c r="D659" s="29"/>
      <c r="E659" s="7"/>
      <c r="F659" s="7"/>
      <c r="G659" s="7"/>
      <c r="H659" s="16"/>
      <c r="I659" s="16"/>
      <c r="J659" s="16"/>
      <c r="K659" s="16"/>
      <c r="L659" s="16"/>
      <c r="M659" s="16"/>
      <c r="N659" s="16"/>
      <c r="O659" s="16"/>
      <c r="P659" s="16"/>
      <c r="Q659" s="4"/>
      <c r="R659" s="4"/>
      <c r="S659" s="4"/>
      <c r="T659" s="4"/>
      <c r="U659" s="4"/>
      <c r="V659" s="4"/>
      <c r="W659" s="4"/>
      <c r="X659" s="4"/>
      <c r="Y659" s="4"/>
      <c r="Z659" s="4"/>
      <c r="AA659" s="4"/>
      <c r="AB659" s="4"/>
      <c r="AC659" s="4"/>
      <c r="AD659" s="4"/>
      <c r="AE659" s="4"/>
    </row>
    <row r="660" spans="1:31" ht="13.2">
      <c r="A660" s="7"/>
      <c r="B660" s="7"/>
      <c r="C660" s="7"/>
      <c r="D660" s="29"/>
      <c r="E660" s="7"/>
      <c r="F660" s="7"/>
      <c r="G660" s="7"/>
      <c r="H660" s="16"/>
      <c r="I660" s="16"/>
      <c r="J660" s="16"/>
      <c r="K660" s="16"/>
      <c r="L660" s="16"/>
      <c r="M660" s="16"/>
      <c r="N660" s="16"/>
      <c r="O660" s="16"/>
      <c r="P660" s="16"/>
      <c r="Q660" s="4"/>
      <c r="R660" s="4"/>
      <c r="S660" s="4"/>
      <c r="T660" s="4"/>
      <c r="U660" s="4"/>
      <c r="V660" s="4"/>
      <c r="W660" s="4"/>
      <c r="X660" s="4"/>
      <c r="Y660" s="4"/>
      <c r="Z660" s="4"/>
      <c r="AA660" s="4"/>
      <c r="AB660" s="4"/>
      <c r="AC660" s="4"/>
      <c r="AD660" s="4"/>
      <c r="AE660" s="4"/>
    </row>
    <row r="661" spans="1:31" ht="13.2">
      <c r="A661" s="7"/>
      <c r="B661" s="7"/>
      <c r="C661" s="7"/>
      <c r="D661" s="29"/>
      <c r="E661" s="7"/>
      <c r="F661" s="7"/>
      <c r="G661" s="7"/>
      <c r="H661" s="16"/>
      <c r="I661" s="16"/>
      <c r="J661" s="16"/>
      <c r="K661" s="16"/>
      <c r="L661" s="16"/>
      <c r="M661" s="16"/>
      <c r="N661" s="16"/>
      <c r="O661" s="16"/>
      <c r="P661" s="16"/>
      <c r="Q661" s="4"/>
      <c r="R661" s="4"/>
      <c r="S661" s="4"/>
      <c r="T661" s="4"/>
      <c r="U661" s="4"/>
      <c r="V661" s="4"/>
      <c r="W661" s="4"/>
      <c r="X661" s="4"/>
      <c r="Y661" s="4"/>
      <c r="Z661" s="4"/>
      <c r="AA661" s="4"/>
      <c r="AB661" s="4"/>
      <c r="AC661" s="4"/>
      <c r="AD661" s="4"/>
      <c r="AE661" s="4"/>
    </row>
    <row r="662" spans="1:31" ht="13.2">
      <c r="A662" s="7"/>
      <c r="B662" s="7"/>
      <c r="C662" s="7"/>
      <c r="D662" s="29"/>
      <c r="E662" s="7"/>
      <c r="F662" s="7"/>
      <c r="G662" s="7"/>
      <c r="H662" s="16"/>
      <c r="I662" s="16"/>
      <c r="J662" s="16"/>
      <c r="K662" s="16"/>
      <c r="L662" s="16"/>
      <c r="M662" s="16"/>
      <c r="N662" s="16"/>
      <c r="O662" s="16"/>
      <c r="P662" s="16"/>
      <c r="Q662" s="4"/>
      <c r="R662" s="4"/>
      <c r="S662" s="4"/>
      <c r="T662" s="4"/>
      <c r="U662" s="4"/>
      <c r="V662" s="4"/>
      <c r="W662" s="4"/>
      <c r="X662" s="4"/>
      <c r="Y662" s="4"/>
      <c r="Z662" s="4"/>
      <c r="AA662" s="4"/>
      <c r="AB662" s="4"/>
      <c r="AC662" s="4"/>
      <c r="AD662" s="4"/>
      <c r="AE662" s="4"/>
    </row>
    <row r="663" spans="1:31" ht="13.2">
      <c r="A663" s="7"/>
      <c r="B663" s="7"/>
      <c r="C663" s="7"/>
      <c r="D663" s="29"/>
      <c r="E663" s="7"/>
      <c r="F663" s="7"/>
      <c r="G663" s="7"/>
      <c r="H663" s="16"/>
      <c r="I663" s="16"/>
      <c r="J663" s="16"/>
      <c r="K663" s="16"/>
      <c r="L663" s="16"/>
      <c r="M663" s="16"/>
      <c r="N663" s="16"/>
      <c r="O663" s="16"/>
      <c r="P663" s="16"/>
      <c r="Q663" s="4"/>
      <c r="R663" s="4"/>
      <c r="S663" s="4"/>
      <c r="T663" s="4"/>
      <c r="U663" s="4"/>
      <c r="V663" s="4"/>
      <c r="W663" s="4"/>
      <c r="X663" s="4"/>
      <c r="Y663" s="4"/>
      <c r="Z663" s="4"/>
      <c r="AA663" s="4"/>
      <c r="AB663" s="4"/>
      <c r="AC663" s="4"/>
      <c r="AD663" s="4"/>
      <c r="AE663" s="4"/>
    </row>
    <row r="664" spans="1:31" ht="13.2">
      <c r="A664" s="7"/>
      <c r="B664" s="7"/>
      <c r="C664" s="7"/>
      <c r="D664" s="29"/>
      <c r="E664" s="7"/>
      <c r="F664" s="7"/>
      <c r="G664" s="7"/>
      <c r="H664" s="16"/>
      <c r="I664" s="16"/>
      <c r="J664" s="16"/>
      <c r="K664" s="16"/>
      <c r="L664" s="16"/>
      <c r="M664" s="16"/>
      <c r="N664" s="16"/>
      <c r="O664" s="16"/>
      <c r="P664" s="16"/>
      <c r="Q664" s="4"/>
      <c r="R664" s="4"/>
      <c r="S664" s="4"/>
      <c r="T664" s="4"/>
      <c r="U664" s="4"/>
      <c r="V664" s="4"/>
      <c r="W664" s="4"/>
      <c r="X664" s="4"/>
      <c r="Y664" s="4"/>
      <c r="Z664" s="4"/>
      <c r="AA664" s="4"/>
      <c r="AB664" s="4"/>
      <c r="AC664" s="4"/>
      <c r="AD664" s="4"/>
      <c r="AE664" s="4"/>
    </row>
    <row r="665" spans="1:31" ht="13.2">
      <c r="A665" s="7"/>
      <c r="B665" s="7"/>
      <c r="C665" s="7"/>
      <c r="D665" s="29"/>
      <c r="E665" s="7"/>
      <c r="F665" s="7"/>
      <c r="G665" s="7"/>
      <c r="H665" s="16"/>
      <c r="I665" s="16"/>
      <c r="J665" s="16"/>
      <c r="K665" s="16"/>
      <c r="L665" s="16"/>
      <c r="M665" s="16"/>
      <c r="N665" s="16"/>
      <c r="O665" s="16"/>
      <c r="P665" s="16"/>
      <c r="Q665" s="4"/>
      <c r="R665" s="4"/>
      <c r="S665" s="4"/>
      <c r="T665" s="4"/>
      <c r="U665" s="4"/>
      <c r="V665" s="4"/>
      <c r="W665" s="4"/>
      <c r="X665" s="4"/>
      <c r="Y665" s="4"/>
      <c r="Z665" s="4"/>
      <c r="AA665" s="4"/>
      <c r="AB665" s="4"/>
      <c r="AC665" s="4"/>
      <c r="AD665" s="4"/>
      <c r="AE665" s="4"/>
    </row>
    <row r="666" spans="1:31" ht="13.2">
      <c r="A666" s="7"/>
      <c r="B666" s="7"/>
      <c r="C666" s="7"/>
      <c r="D666" s="29"/>
      <c r="E666" s="7"/>
      <c r="F666" s="7"/>
      <c r="G666" s="7"/>
      <c r="H666" s="16"/>
      <c r="I666" s="16"/>
      <c r="J666" s="16"/>
      <c r="K666" s="16"/>
      <c r="L666" s="16"/>
      <c r="M666" s="16"/>
      <c r="N666" s="16"/>
      <c r="O666" s="16"/>
      <c r="P666" s="16"/>
      <c r="Q666" s="4"/>
      <c r="R666" s="4"/>
      <c r="S666" s="4"/>
      <c r="T666" s="4"/>
      <c r="U666" s="4"/>
      <c r="V666" s="4"/>
      <c r="W666" s="4"/>
      <c r="X666" s="4"/>
      <c r="Y666" s="4"/>
      <c r="Z666" s="4"/>
      <c r="AA666" s="4"/>
      <c r="AB666" s="4"/>
      <c r="AC666" s="4"/>
      <c r="AD666" s="4"/>
      <c r="AE666" s="4"/>
    </row>
    <row r="667" spans="1:31" ht="13.2">
      <c r="A667" s="7"/>
      <c r="B667" s="7"/>
      <c r="C667" s="7"/>
      <c r="D667" s="29"/>
      <c r="E667" s="7"/>
      <c r="F667" s="7"/>
      <c r="G667" s="7"/>
      <c r="H667" s="16"/>
      <c r="I667" s="16"/>
      <c r="J667" s="16"/>
      <c r="K667" s="16"/>
      <c r="L667" s="16"/>
      <c r="M667" s="16"/>
      <c r="N667" s="16"/>
      <c r="O667" s="16"/>
      <c r="P667" s="16"/>
      <c r="Q667" s="4"/>
      <c r="R667" s="4"/>
      <c r="S667" s="4"/>
      <c r="T667" s="4"/>
      <c r="U667" s="4"/>
      <c r="V667" s="4"/>
      <c r="W667" s="4"/>
      <c r="X667" s="4"/>
      <c r="Y667" s="4"/>
      <c r="Z667" s="4"/>
      <c r="AA667" s="4"/>
      <c r="AB667" s="4"/>
      <c r="AC667" s="4"/>
      <c r="AD667" s="4"/>
      <c r="AE667" s="4"/>
    </row>
    <row r="668" spans="1:31" ht="13.2">
      <c r="A668" s="7"/>
      <c r="B668" s="7"/>
      <c r="C668" s="7"/>
      <c r="D668" s="29"/>
      <c r="E668" s="7"/>
      <c r="F668" s="7"/>
      <c r="G668" s="7"/>
      <c r="H668" s="16"/>
      <c r="I668" s="16"/>
      <c r="J668" s="16"/>
      <c r="K668" s="16"/>
      <c r="L668" s="16"/>
      <c r="M668" s="16"/>
      <c r="N668" s="16"/>
      <c r="O668" s="16"/>
      <c r="P668" s="16"/>
      <c r="Q668" s="4"/>
      <c r="R668" s="4"/>
      <c r="S668" s="4"/>
      <c r="T668" s="4"/>
      <c r="U668" s="4"/>
      <c r="V668" s="4"/>
      <c r="W668" s="4"/>
      <c r="X668" s="4"/>
      <c r="Y668" s="4"/>
      <c r="Z668" s="4"/>
      <c r="AA668" s="4"/>
      <c r="AB668" s="4"/>
      <c r="AC668" s="4"/>
      <c r="AD668" s="4"/>
      <c r="AE668" s="4"/>
    </row>
    <row r="669" spans="1:31" ht="13.2">
      <c r="A669" s="7"/>
      <c r="B669" s="7"/>
      <c r="C669" s="7"/>
      <c r="D669" s="29"/>
      <c r="E669" s="7"/>
      <c r="F669" s="7"/>
      <c r="G669" s="7"/>
      <c r="H669" s="16"/>
      <c r="I669" s="16"/>
      <c r="J669" s="16"/>
      <c r="K669" s="16"/>
      <c r="L669" s="16"/>
      <c r="M669" s="16"/>
      <c r="N669" s="16"/>
      <c r="O669" s="16"/>
      <c r="P669" s="16"/>
      <c r="Q669" s="4"/>
      <c r="R669" s="4"/>
      <c r="S669" s="4"/>
      <c r="T669" s="4"/>
      <c r="U669" s="4"/>
      <c r="V669" s="4"/>
      <c r="W669" s="4"/>
      <c r="X669" s="4"/>
      <c r="Y669" s="4"/>
      <c r="Z669" s="4"/>
      <c r="AA669" s="4"/>
      <c r="AB669" s="4"/>
      <c r="AC669" s="4"/>
      <c r="AD669" s="4"/>
      <c r="AE669" s="4"/>
    </row>
    <row r="670" spans="1:31" ht="13.2">
      <c r="A670" s="7"/>
      <c r="B670" s="7"/>
      <c r="C670" s="7"/>
      <c r="D670" s="29"/>
      <c r="E670" s="7"/>
      <c r="F670" s="7"/>
      <c r="G670" s="7"/>
      <c r="H670" s="16"/>
      <c r="I670" s="16"/>
      <c r="J670" s="16"/>
      <c r="K670" s="16"/>
      <c r="L670" s="16"/>
      <c r="M670" s="16"/>
      <c r="N670" s="16"/>
      <c r="O670" s="16"/>
      <c r="P670" s="16"/>
      <c r="Q670" s="4"/>
      <c r="R670" s="4"/>
      <c r="S670" s="4"/>
      <c r="T670" s="4"/>
      <c r="U670" s="4"/>
      <c r="V670" s="4"/>
      <c r="W670" s="4"/>
      <c r="X670" s="4"/>
      <c r="Y670" s="4"/>
      <c r="Z670" s="4"/>
      <c r="AA670" s="4"/>
      <c r="AB670" s="4"/>
      <c r="AC670" s="4"/>
      <c r="AD670" s="4"/>
      <c r="AE670" s="4"/>
    </row>
    <row r="671" spans="1:31" ht="13.2">
      <c r="A671" s="7"/>
      <c r="B671" s="7"/>
      <c r="C671" s="7"/>
      <c r="D671" s="29"/>
      <c r="E671" s="7"/>
      <c r="F671" s="7"/>
      <c r="G671" s="7"/>
      <c r="H671" s="16"/>
      <c r="I671" s="16"/>
      <c r="J671" s="16"/>
      <c r="K671" s="16"/>
      <c r="L671" s="16"/>
      <c r="M671" s="16"/>
      <c r="N671" s="16"/>
      <c r="O671" s="16"/>
      <c r="P671" s="16"/>
      <c r="Q671" s="4"/>
      <c r="R671" s="4"/>
      <c r="S671" s="4"/>
      <c r="T671" s="4"/>
      <c r="U671" s="4"/>
      <c r="V671" s="4"/>
      <c r="W671" s="4"/>
      <c r="X671" s="4"/>
      <c r="Y671" s="4"/>
      <c r="Z671" s="4"/>
      <c r="AA671" s="4"/>
      <c r="AB671" s="4"/>
      <c r="AC671" s="4"/>
      <c r="AD671" s="4"/>
      <c r="AE671" s="4"/>
    </row>
    <row r="672" spans="1:31" ht="13.2">
      <c r="A672" s="7"/>
      <c r="B672" s="7"/>
      <c r="C672" s="7"/>
      <c r="D672" s="29"/>
      <c r="E672" s="7"/>
      <c r="F672" s="7"/>
      <c r="G672" s="7"/>
      <c r="H672" s="16"/>
      <c r="I672" s="16"/>
      <c r="J672" s="16"/>
      <c r="K672" s="16"/>
      <c r="L672" s="16"/>
      <c r="M672" s="16"/>
      <c r="N672" s="16"/>
      <c r="O672" s="16"/>
      <c r="P672" s="16"/>
      <c r="Q672" s="4"/>
      <c r="R672" s="4"/>
      <c r="S672" s="4"/>
      <c r="T672" s="4"/>
      <c r="U672" s="4"/>
      <c r="V672" s="4"/>
      <c r="W672" s="4"/>
      <c r="X672" s="4"/>
      <c r="Y672" s="4"/>
      <c r="Z672" s="4"/>
      <c r="AA672" s="4"/>
      <c r="AB672" s="4"/>
      <c r="AC672" s="4"/>
      <c r="AD672" s="4"/>
      <c r="AE672" s="4"/>
    </row>
    <row r="673" spans="1:31" ht="13.2">
      <c r="A673" s="7"/>
      <c r="B673" s="7"/>
      <c r="C673" s="7"/>
      <c r="D673" s="29"/>
      <c r="E673" s="7"/>
      <c r="F673" s="7"/>
      <c r="G673" s="7"/>
      <c r="H673" s="16"/>
      <c r="I673" s="16"/>
      <c r="J673" s="16"/>
      <c r="K673" s="16"/>
      <c r="L673" s="16"/>
      <c r="M673" s="16"/>
      <c r="N673" s="16"/>
      <c r="O673" s="16"/>
      <c r="P673" s="16"/>
      <c r="Q673" s="4"/>
      <c r="R673" s="4"/>
      <c r="S673" s="4"/>
      <c r="T673" s="4"/>
      <c r="U673" s="4"/>
      <c r="V673" s="4"/>
      <c r="W673" s="4"/>
      <c r="X673" s="4"/>
      <c r="Y673" s="4"/>
      <c r="Z673" s="4"/>
      <c r="AA673" s="4"/>
      <c r="AB673" s="4"/>
      <c r="AC673" s="4"/>
      <c r="AD673" s="4"/>
      <c r="AE673" s="4"/>
    </row>
    <row r="674" spans="1:31" ht="13.2">
      <c r="A674" s="7"/>
      <c r="B674" s="7"/>
      <c r="C674" s="7"/>
      <c r="D674" s="29"/>
      <c r="E674" s="7"/>
      <c r="F674" s="7"/>
      <c r="G674" s="7"/>
      <c r="H674" s="16"/>
      <c r="I674" s="16"/>
      <c r="J674" s="16"/>
      <c r="K674" s="16"/>
      <c r="L674" s="16"/>
      <c r="M674" s="16"/>
      <c r="N674" s="16"/>
      <c r="O674" s="16"/>
      <c r="P674" s="16"/>
      <c r="Q674" s="4"/>
      <c r="R674" s="4"/>
      <c r="S674" s="4"/>
      <c r="T674" s="4"/>
      <c r="U674" s="4"/>
      <c r="V674" s="4"/>
      <c r="W674" s="4"/>
      <c r="X674" s="4"/>
      <c r="Y674" s="4"/>
      <c r="Z674" s="4"/>
      <c r="AA674" s="4"/>
      <c r="AB674" s="4"/>
      <c r="AC674" s="4"/>
      <c r="AD674" s="4"/>
      <c r="AE674" s="4"/>
    </row>
    <row r="675" spans="1:31" ht="13.2">
      <c r="A675" s="7"/>
      <c r="B675" s="7"/>
      <c r="C675" s="7"/>
      <c r="D675" s="29"/>
      <c r="E675" s="7"/>
      <c r="F675" s="7"/>
      <c r="G675" s="7"/>
      <c r="H675" s="16"/>
      <c r="I675" s="16"/>
      <c r="J675" s="16"/>
      <c r="K675" s="16"/>
      <c r="L675" s="16"/>
      <c r="M675" s="16"/>
      <c r="N675" s="16"/>
      <c r="O675" s="16"/>
      <c r="P675" s="16"/>
      <c r="Q675" s="4"/>
      <c r="R675" s="4"/>
      <c r="S675" s="4"/>
      <c r="T675" s="4"/>
      <c r="U675" s="4"/>
      <c r="V675" s="4"/>
      <c r="W675" s="4"/>
      <c r="X675" s="4"/>
      <c r="Y675" s="4"/>
      <c r="Z675" s="4"/>
      <c r="AA675" s="4"/>
      <c r="AB675" s="4"/>
      <c r="AC675" s="4"/>
      <c r="AD675" s="4"/>
      <c r="AE675" s="4"/>
    </row>
    <row r="676" spans="1:31" ht="13.2">
      <c r="A676" s="7"/>
      <c r="B676" s="7"/>
      <c r="C676" s="7"/>
      <c r="D676" s="29"/>
      <c r="E676" s="7"/>
      <c r="F676" s="7"/>
      <c r="G676" s="7"/>
      <c r="H676" s="16"/>
      <c r="I676" s="16"/>
      <c r="J676" s="16"/>
      <c r="K676" s="16"/>
      <c r="L676" s="16"/>
      <c r="M676" s="16"/>
      <c r="N676" s="16"/>
      <c r="O676" s="16"/>
      <c r="P676" s="16"/>
      <c r="Q676" s="4"/>
      <c r="R676" s="4"/>
      <c r="S676" s="4"/>
      <c r="T676" s="4"/>
      <c r="U676" s="4"/>
      <c r="V676" s="4"/>
      <c r="W676" s="4"/>
      <c r="X676" s="4"/>
      <c r="Y676" s="4"/>
      <c r="Z676" s="4"/>
      <c r="AA676" s="4"/>
      <c r="AB676" s="4"/>
      <c r="AC676" s="4"/>
      <c r="AD676" s="4"/>
      <c r="AE676" s="4"/>
    </row>
    <row r="677" spans="1:31" ht="13.2">
      <c r="A677" s="7"/>
      <c r="B677" s="7"/>
      <c r="C677" s="7"/>
      <c r="D677" s="29"/>
      <c r="E677" s="7"/>
      <c r="F677" s="7"/>
      <c r="G677" s="7"/>
      <c r="H677" s="16"/>
      <c r="I677" s="16"/>
      <c r="J677" s="16"/>
      <c r="K677" s="16"/>
      <c r="L677" s="16"/>
      <c r="M677" s="16"/>
      <c r="N677" s="16"/>
      <c r="O677" s="16"/>
      <c r="P677" s="16"/>
      <c r="Q677" s="4"/>
      <c r="R677" s="4"/>
      <c r="S677" s="4"/>
      <c r="T677" s="4"/>
      <c r="U677" s="4"/>
      <c r="V677" s="4"/>
      <c r="W677" s="4"/>
      <c r="X677" s="4"/>
      <c r="Y677" s="4"/>
      <c r="Z677" s="4"/>
      <c r="AA677" s="4"/>
      <c r="AB677" s="4"/>
      <c r="AC677" s="4"/>
      <c r="AD677" s="4"/>
      <c r="AE677" s="4"/>
    </row>
    <row r="678" spans="1:31" ht="13.2">
      <c r="A678" s="7"/>
      <c r="B678" s="7"/>
      <c r="C678" s="7"/>
      <c r="D678" s="29"/>
      <c r="E678" s="7"/>
      <c r="F678" s="7"/>
      <c r="G678" s="7"/>
      <c r="H678" s="16"/>
      <c r="I678" s="16"/>
      <c r="J678" s="16"/>
      <c r="K678" s="16"/>
      <c r="L678" s="16"/>
      <c r="M678" s="16"/>
      <c r="N678" s="16"/>
      <c r="O678" s="16"/>
      <c r="P678" s="16"/>
      <c r="Q678" s="4"/>
      <c r="R678" s="4"/>
      <c r="S678" s="4"/>
      <c r="T678" s="4"/>
      <c r="U678" s="4"/>
      <c r="V678" s="4"/>
      <c r="W678" s="4"/>
      <c r="X678" s="4"/>
      <c r="Y678" s="4"/>
      <c r="Z678" s="4"/>
      <c r="AA678" s="4"/>
      <c r="AB678" s="4"/>
      <c r="AC678" s="4"/>
      <c r="AD678" s="4"/>
      <c r="AE678" s="4"/>
    </row>
    <row r="679" spans="1:31" ht="13.2">
      <c r="A679" s="7"/>
      <c r="B679" s="7"/>
      <c r="C679" s="7"/>
      <c r="D679" s="29"/>
      <c r="E679" s="7"/>
      <c r="F679" s="7"/>
      <c r="G679" s="7"/>
      <c r="H679" s="16"/>
      <c r="I679" s="16"/>
      <c r="J679" s="16"/>
      <c r="K679" s="16"/>
      <c r="L679" s="16"/>
      <c r="M679" s="16"/>
      <c r="N679" s="16"/>
      <c r="O679" s="16"/>
      <c r="P679" s="16"/>
      <c r="Q679" s="4"/>
      <c r="R679" s="4"/>
      <c r="S679" s="4"/>
      <c r="T679" s="4"/>
      <c r="U679" s="4"/>
      <c r="V679" s="4"/>
      <c r="W679" s="4"/>
      <c r="X679" s="4"/>
      <c r="Y679" s="4"/>
      <c r="Z679" s="4"/>
      <c r="AA679" s="4"/>
      <c r="AB679" s="4"/>
      <c r="AC679" s="4"/>
      <c r="AD679" s="4"/>
      <c r="AE679" s="4"/>
    </row>
    <row r="680" spans="1:31" ht="13.2">
      <c r="A680" s="7"/>
      <c r="B680" s="7"/>
      <c r="C680" s="7"/>
      <c r="D680" s="29"/>
      <c r="E680" s="7"/>
      <c r="F680" s="7"/>
      <c r="G680" s="7"/>
      <c r="H680" s="16"/>
      <c r="I680" s="16"/>
      <c r="J680" s="16"/>
      <c r="K680" s="16"/>
      <c r="L680" s="16"/>
      <c r="M680" s="16"/>
      <c r="N680" s="16"/>
      <c r="O680" s="16"/>
      <c r="P680" s="16"/>
      <c r="Q680" s="4"/>
      <c r="R680" s="4"/>
      <c r="S680" s="4"/>
      <c r="T680" s="4"/>
      <c r="U680" s="4"/>
      <c r="V680" s="4"/>
      <c r="W680" s="4"/>
      <c r="X680" s="4"/>
      <c r="Y680" s="4"/>
      <c r="Z680" s="4"/>
      <c r="AA680" s="4"/>
      <c r="AB680" s="4"/>
      <c r="AC680" s="4"/>
      <c r="AD680" s="4"/>
      <c r="AE680" s="4"/>
    </row>
    <row r="681" spans="1:31" ht="13.2">
      <c r="A681" s="7"/>
      <c r="B681" s="7"/>
      <c r="C681" s="7"/>
      <c r="D681" s="29"/>
      <c r="E681" s="7"/>
      <c r="F681" s="7"/>
      <c r="G681" s="7"/>
      <c r="H681" s="16"/>
      <c r="I681" s="16"/>
      <c r="J681" s="16"/>
      <c r="K681" s="16"/>
      <c r="L681" s="16"/>
      <c r="M681" s="16"/>
      <c r="N681" s="16"/>
      <c r="O681" s="16"/>
      <c r="P681" s="16"/>
      <c r="Q681" s="4"/>
      <c r="R681" s="4"/>
      <c r="S681" s="4"/>
      <c r="T681" s="4"/>
      <c r="U681" s="4"/>
      <c r="V681" s="4"/>
      <c r="W681" s="4"/>
      <c r="X681" s="4"/>
      <c r="Y681" s="4"/>
      <c r="Z681" s="4"/>
      <c r="AA681" s="4"/>
      <c r="AB681" s="4"/>
      <c r="AC681" s="4"/>
      <c r="AD681" s="4"/>
      <c r="AE681" s="4"/>
    </row>
    <row r="682" spans="1:31" ht="13.2">
      <c r="A682" s="7"/>
      <c r="B682" s="7"/>
      <c r="C682" s="7"/>
      <c r="D682" s="29"/>
      <c r="E682" s="7"/>
      <c r="F682" s="7"/>
      <c r="G682" s="7"/>
      <c r="H682" s="16"/>
      <c r="I682" s="16"/>
      <c r="J682" s="16"/>
      <c r="K682" s="16"/>
      <c r="L682" s="16"/>
      <c r="M682" s="16"/>
      <c r="N682" s="16"/>
      <c r="O682" s="16"/>
      <c r="P682" s="16"/>
      <c r="Q682" s="4"/>
      <c r="R682" s="4"/>
      <c r="S682" s="4"/>
      <c r="T682" s="4"/>
      <c r="U682" s="4"/>
      <c r="V682" s="4"/>
      <c r="W682" s="4"/>
      <c r="X682" s="4"/>
      <c r="Y682" s="4"/>
      <c r="Z682" s="4"/>
      <c r="AA682" s="4"/>
      <c r="AB682" s="4"/>
      <c r="AC682" s="4"/>
      <c r="AD682" s="4"/>
      <c r="AE682" s="4"/>
    </row>
    <row r="683" spans="1:31" ht="13.2">
      <c r="A683" s="7"/>
      <c r="B683" s="7"/>
      <c r="C683" s="7"/>
      <c r="D683" s="29"/>
      <c r="E683" s="7"/>
      <c r="F683" s="7"/>
      <c r="G683" s="7"/>
      <c r="H683" s="16"/>
      <c r="I683" s="16"/>
      <c r="J683" s="16"/>
      <c r="K683" s="16"/>
      <c r="L683" s="16"/>
      <c r="M683" s="16"/>
      <c r="N683" s="16"/>
      <c r="O683" s="16"/>
      <c r="P683" s="16"/>
      <c r="Q683" s="4"/>
      <c r="R683" s="4"/>
      <c r="S683" s="4"/>
      <c r="T683" s="4"/>
      <c r="U683" s="4"/>
      <c r="V683" s="4"/>
      <c r="W683" s="4"/>
      <c r="X683" s="4"/>
      <c r="Y683" s="4"/>
      <c r="Z683" s="4"/>
      <c r="AA683" s="4"/>
      <c r="AB683" s="4"/>
      <c r="AC683" s="4"/>
      <c r="AD683" s="4"/>
      <c r="AE683" s="4"/>
    </row>
    <row r="684" spans="1:31" ht="13.2">
      <c r="A684" s="7"/>
      <c r="B684" s="7"/>
      <c r="C684" s="7"/>
      <c r="D684" s="29"/>
      <c r="E684" s="7"/>
      <c r="F684" s="7"/>
      <c r="G684" s="7"/>
      <c r="H684" s="16"/>
      <c r="I684" s="16"/>
      <c r="J684" s="16"/>
      <c r="K684" s="16"/>
      <c r="L684" s="16"/>
      <c r="M684" s="16"/>
      <c r="N684" s="16"/>
      <c r="O684" s="16"/>
      <c r="P684" s="16"/>
      <c r="Q684" s="4"/>
      <c r="R684" s="4"/>
      <c r="S684" s="4"/>
      <c r="T684" s="4"/>
      <c r="U684" s="4"/>
      <c r="V684" s="4"/>
      <c r="W684" s="4"/>
      <c r="X684" s="4"/>
      <c r="Y684" s="4"/>
      <c r="Z684" s="4"/>
      <c r="AA684" s="4"/>
      <c r="AB684" s="4"/>
      <c r="AC684" s="4"/>
      <c r="AD684" s="4"/>
      <c r="AE684" s="4"/>
    </row>
    <row r="685" spans="1:31" ht="13.2">
      <c r="A685" s="7"/>
      <c r="B685" s="7"/>
      <c r="C685" s="7"/>
      <c r="D685" s="29"/>
      <c r="E685" s="7"/>
      <c r="F685" s="7"/>
      <c r="G685" s="7"/>
      <c r="H685" s="16"/>
      <c r="I685" s="16"/>
      <c r="J685" s="16"/>
      <c r="K685" s="16"/>
      <c r="L685" s="16"/>
      <c r="M685" s="16"/>
      <c r="N685" s="16"/>
      <c r="O685" s="16"/>
      <c r="P685" s="16"/>
      <c r="Q685" s="4"/>
      <c r="R685" s="4"/>
      <c r="S685" s="4"/>
      <c r="T685" s="4"/>
      <c r="U685" s="4"/>
      <c r="V685" s="4"/>
      <c r="W685" s="4"/>
      <c r="X685" s="4"/>
      <c r="Y685" s="4"/>
      <c r="Z685" s="4"/>
      <c r="AA685" s="4"/>
      <c r="AB685" s="4"/>
      <c r="AC685" s="4"/>
      <c r="AD685" s="4"/>
      <c r="AE685" s="4"/>
    </row>
    <row r="686" spans="1:31" ht="13.2">
      <c r="A686" s="7"/>
      <c r="B686" s="7"/>
      <c r="C686" s="7"/>
      <c r="D686" s="29"/>
      <c r="E686" s="7"/>
      <c r="F686" s="7"/>
      <c r="G686" s="7"/>
      <c r="H686" s="16"/>
      <c r="I686" s="16"/>
      <c r="J686" s="16"/>
      <c r="K686" s="16"/>
      <c r="L686" s="16"/>
      <c r="M686" s="16"/>
      <c r="N686" s="16"/>
      <c r="O686" s="16"/>
      <c r="P686" s="16"/>
      <c r="Q686" s="4"/>
      <c r="R686" s="4"/>
      <c r="S686" s="4"/>
      <c r="T686" s="4"/>
      <c r="U686" s="4"/>
      <c r="V686" s="4"/>
      <c r="W686" s="4"/>
      <c r="X686" s="4"/>
      <c r="Y686" s="4"/>
      <c r="Z686" s="4"/>
      <c r="AA686" s="4"/>
      <c r="AB686" s="4"/>
      <c r="AC686" s="4"/>
      <c r="AD686" s="4"/>
      <c r="AE686" s="4"/>
    </row>
    <row r="687" spans="1:31" ht="13.2">
      <c r="A687" s="7"/>
      <c r="B687" s="7"/>
      <c r="C687" s="7"/>
      <c r="D687" s="29"/>
      <c r="E687" s="7"/>
      <c r="F687" s="7"/>
      <c r="G687" s="7"/>
      <c r="H687" s="16"/>
      <c r="I687" s="16"/>
      <c r="J687" s="16"/>
      <c r="K687" s="16"/>
      <c r="L687" s="16"/>
      <c r="M687" s="16"/>
      <c r="N687" s="16"/>
      <c r="O687" s="16"/>
      <c r="P687" s="16"/>
      <c r="Q687" s="4"/>
      <c r="R687" s="4"/>
      <c r="S687" s="4"/>
      <c r="T687" s="4"/>
      <c r="U687" s="4"/>
      <c r="V687" s="4"/>
      <c r="W687" s="4"/>
      <c r="X687" s="4"/>
      <c r="Y687" s="4"/>
      <c r="Z687" s="4"/>
      <c r="AA687" s="4"/>
      <c r="AB687" s="4"/>
      <c r="AC687" s="4"/>
      <c r="AD687" s="4"/>
      <c r="AE687" s="4"/>
    </row>
    <row r="688" spans="1:31" ht="13.2">
      <c r="A688" s="7"/>
      <c r="B688" s="7"/>
      <c r="C688" s="7"/>
      <c r="D688" s="29"/>
      <c r="E688" s="7"/>
      <c r="F688" s="7"/>
      <c r="G688" s="7"/>
      <c r="H688" s="16"/>
      <c r="I688" s="16"/>
      <c r="J688" s="16"/>
      <c r="K688" s="16"/>
      <c r="L688" s="16"/>
      <c r="M688" s="16"/>
      <c r="N688" s="16"/>
      <c r="O688" s="16"/>
      <c r="P688" s="16"/>
      <c r="Q688" s="4"/>
      <c r="R688" s="4"/>
      <c r="S688" s="4"/>
      <c r="T688" s="4"/>
      <c r="U688" s="4"/>
      <c r="V688" s="4"/>
      <c r="W688" s="4"/>
      <c r="X688" s="4"/>
      <c r="Y688" s="4"/>
      <c r="Z688" s="4"/>
      <c r="AA688" s="4"/>
      <c r="AB688" s="4"/>
      <c r="AC688" s="4"/>
      <c r="AD688" s="4"/>
      <c r="AE688" s="4"/>
    </row>
    <row r="689" spans="1:31" ht="13.2">
      <c r="A689" s="7"/>
      <c r="B689" s="7"/>
      <c r="C689" s="7"/>
      <c r="D689" s="29"/>
      <c r="E689" s="7"/>
      <c r="F689" s="7"/>
      <c r="G689" s="7"/>
      <c r="H689" s="16"/>
      <c r="I689" s="16"/>
      <c r="J689" s="16"/>
      <c r="K689" s="16"/>
      <c r="L689" s="16"/>
      <c r="M689" s="16"/>
      <c r="N689" s="16"/>
      <c r="O689" s="16"/>
      <c r="P689" s="16"/>
      <c r="Q689" s="4"/>
      <c r="R689" s="4"/>
      <c r="S689" s="4"/>
      <c r="T689" s="4"/>
      <c r="U689" s="4"/>
      <c r="V689" s="4"/>
      <c r="W689" s="4"/>
      <c r="X689" s="4"/>
      <c r="Y689" s="4"/>
      <c r="Z689" s="4"/>
      <c r="AA689" s="4"/>
      <c r="AB689" s="4"/>
      <c r="AC689" s="4"/>
      <c r="AD689" s="4"/>
      <c r="AE689" s="4"/>
    </row>
    <row r="690" spans="1:31" ht="13.2">
      <c r="A690" s="7"/>
      <c r="B690" s="7"/>
      <c r="C690" s="7"/>
      <c r="D690" s="29"/>
      <c r="E690" s="7"/>
      <c r="F690" s="7"/>
      <c r="G690" s="7"/>
      <c r="H690" s="16"/>
      <c r="I690" s="16"/>
      <c r="J690" s="16"/>
      <c r="K690" s="16"/>
      <c r="L690" s="16"/>
      <c r="M690" s="16"/>
      <c r="N690" s="16"/>
      <c r="O690" s="16"/>
      <c r="P690" s="16"/>
      <c r="Q690" s="4"/>
      <c r="R690" s="4"/>
      <c r="S690" s="4"/>
      <c r="T690" s="4"/>
      <c r="U690" s="4"/>
      <c r="V690" s="4"/>
      <c r="W690" s="4"/>
      <c r="X690" s="4"/>
      <c r="Y690" s="4"/>
      <c r="Z690" s="4"/>
      <c r="AA690" s="4"/>
      <c r="AB690" s="4"/>
      <c r="AC690" s="4"/>
      <c r="AD690" s="4"/>
      <c r="AE690" s="4"/>
    </row>
    <row r="691" spans="1:31" ht="13.2">
      <c r="A691" s="7"/>
      <c r="B691" s="7"/>
      <c r="C691" s="7"/>
      <c r="D691" s="29"/>
      <c r="E691" s="7"/>
      <c r="F691" s="7"/>
      <c r="G691" s="7"/>
      <c r="H691" s="16"/>
      <c r="I691" s="16"/>
      <c r="J691" s="16"/>
      <c r="K691" s="16"/>
      <c r="L691" s="16"/>
      <c r="M691" s="16"/>
      <c r="N691" s="16"/>
      <c r="O691" s="16"/>
      <c r="P691" s="16"/>
      <c r="Q691" s="4"/>
      <c r="R691" s="4"/>
      <c r="S691" s="4"/>
      <c r="T691" s="4"/>
      <c r="U691" s="4"/>
      <c r="V691" s="4"/>
      <c r="W691" s="4"/>
      <c r="X691" s="4"/>
      <c r="Y691" s="4"/>
      <c r="Z691" s="4"/>
      <c r="AA691" s="4"/>
      <c r="AB691" s="4"/>
      <c r="AC691" s="4"/>
      <c r="AD691" s="4"/>
      <c r="AE691" s="4"/>
    </row>
    <row r="692" spans="1:31" ht="13.2">
      <c r="A692" s="7"/>
      <c r="B692" s="7"/>
      <c r="C692" s="7"/>
      <c r="D692" s="29"/>
      <c r="E692" s="7"/>
      <c r="F692" s="7"/>
      <c r="G692" s="7"/>
      <c r="H692" s="16"/>
      <c r="I692" s="16"/>
      <c r="J692" s="16"/>
      <c r="K692" s="16"/>
      <c r="L692" s="16"/>
      <c r="M692" s="16"/>
      <c r="N692" s="16"/>
      <c r="O692" s="16"/>
      <c r="P692" s="16"/>
      <c r="Q692" s="4"/>
      <c r="R692" s="4"/>
      <c r="S692" s="4"/>
      <c r="T692" s="4"/>
      <c r="U692" s="4"/>
      <c r="V692" s="4"/>
      <c r="W692" s="4"/>
      <c r="X692" s="4"/>
      <c r="Y692" s="4"/>
      <c r="Z692" s="4"/>
      <c r="AA692" s="4"/>
      <c r="AB692" s="4"/>
      <c r="AC692" s="4"/>
      <c r="AD692" s="4"/>
      <c r="AE692" s="4"/>
    </row>
    <row r="693" spans="1:31" ht="13.2">
      <c r="A693" s="7"/>
      <c r="B693" s="7"/>
      <c r="C693" s="7"/>
      <c r="D693" s="29"/>
      <c r="E693" s="7"/>
      <c r="F693" s="7"/>
      <c r="G693" s="7"/>
      <c r="H693" s="16"/>
      <c r="I693" s="16"/>
      <c r="J693" s="16"/>
      <c r="K693" s="16"/>
      <c r="L693" s="16"/>
      <c r="M693" s="16"/>
      <c r="N693" s="16"/>
      <c r="O693" s="16"/>
      <c r="P693" s="16"/>
      <c r="Q693" s="4"/>
      <c r="R693" s="4"/>
      <c r="S693" s="4"/>
      <c r="T693" s="4"/>
      <c r="U693" s="4"/>
      <c r="V693" s="4"/>
      <c r="W693" s="4"/>
      <c r="X693" s="4"/>
      <c r="Y693" s="4"/>
      <c r="Z693" s="4"/>
      <c r="AA693" s="4"/>
      <c r="AB693" s="4"/>
      <c r="AC693" s="4"/>
      <c r="AD693" s="4"/>
      <c r="AE693" s="4"/>
    </row>
    <row r="694" spans="1:31" ht="13.2">
      <c r="A694" s="7"/>
      <c r="B694" s="7"/>
      <c r="C694" s="7"/>
      <c r="D694" s="29"/>
      <c r="E694" s="7"/>
      <c r="F694" s="7"/>
      <c r="G694" s="7"/>
      <c r="H694" s="16"/>
      <c r="I694" s="16"/>
      <c r="J694" s="16"/>
      <c r="K694" s="16"/>
      <c r="L694" s="16"/>
      <c r="M694" s="16"/>
      <c r="N694" s="16"/>
      <c r="O694" s="16"/>
      <c r="P694" s="16"/>
      <c r="Q694" s="4"/>
      <c r="R694" s="4"/>
      <c r="S694" s="4"/>
      <c r="T694" s="4"/>
      <c r="U694" s="4"/>
      <c r="V694" s="4"/>
      <c r="W694" s="4"/>
      <c r="X694" s="4"/>
      <c r="Y694" s="4"/>
      <c r="Z694" s="4"/>
      <c r="AA694" s="4"/>
      <c r="AB694" s="4"/>
      <c r="AC694" s="4"/>
      <c r="AD694" s="4"/>
      <c r="AE694" s="4"/>
    </row>
    <row r="695" spans="1:31" ht="13.2">
      <c r="A695" s="7"/>
      <c r="B695" s="7"/>
      <c r="C695" s="7"/>
      <c r="D695" s="29"/>
      <c r="E695" s="7"/>
      <c r="F695" s="7"/>
      <c r="G695" s="7"/>
      <c r="H695" s="16"/>
      <c r="I695" s="16"/>
      <c r="J695" s="16"/>
      <c r="K695" s="16"/>
      <c r="L695" s="16"/>
      <c r="M695" s="16"/>
      <c r="N695" s="16"/>
      <c r="O695" s="16"/>
      <c r="P695" s="16"/>
      <c r="Q695" s="4"/>
      <c r="R695" s="4"/>
      <c r="S695" s="4"/>
      <c r="T695" s="4"/>
      <c r="U695" s="4"/>
      <c r="V695" s="4"/>
      <c r="W695" s="4"/>
      <c r="X695" s="4"/>
      <c r="Y695" s="4"/>
      <c r="Z695" s="4"/>
      <c r="AA695" s="4"/>
      <c r="AB695" s="4"/>
      <c r="AC695" s="4"/>
      <c r="AD695" s="4"/>
      <c r="AE695" s="4"/>
    </row>
    <row r="696" spans="1:31" ht="13.2">
      <c r="A696" s="7"/>
      <c r="B696" s="7"/>
      <c r="C696" s="7"/>
      <c r="D696" s="29"/>
      <c r="E696" s="7"/>
      <c r="F696" s="7"/>
      <c r="G696" s="7"/>
      <c r="H696" s="16"/>
      <c r="I696" s="16"/>
      <c r="J696" s="16"/>
      <c r="K696" s="16"/>
      <c r="L696" s="16"/>
      <c r="M696" s="16"/>
      <c r="N696" s="16"/>
      <c r="O696" s="16"/>
      <c r="P696" s="16"/>
      <c r="Q696" s="4"/>
      <c r="R696" s="4"/>
      <c r="S696" s="4"/>
      <c r="T696" s="4"/>
      <c r="U696" s="4"/>
      <c r="V696" s="4"/>
      <c r="W696" s="4"/>
      <c r="X696" s="4"/>
      <c r="Y696" s="4"/>
      <c r="Z696" s="4"/>
      <c r="AA696" s="4"/>
      <c r="AB696" s="4"/>
      <c r="AC696" s="4"/>
      <c r="AD696" s="4"/>
      <c r="AE696" s="4"/>
    </row>
    <row r="697" spans="1:31" ht="13.2">
      <c r="A697" s="7"/>
      <c r="B697" s="7"/>
      <c r="C697" s="7"/>
      <c r="D697" s="29"/>
      <c r="E697" s="7"/>
      <c r="F697" s="7"/>
      <c r="G697" s="7"/>
      <c r="H697" s="16"/>
      <c r="I697" s="16"/>
      <c r="J697" s="16"/>
      <c r="K697" s="16"/>
      <c r="L697" s="16"/>
      <c r="M697" s="16"/>
      <c r="N697" s="16"/>
      <c r="O697" s="16"/>
      <c r="P697" s="16"/>
      <c r="Q697" s="4"/>
      <c r="R697" s="4"/>
      <c r="S697" s="4"/>
      <c r="T697" s="4"/>
      <c r="U697" s="4"/>
      <c r="V697" s="4"/>
      <c r="W697" s="4"/>
      <c r="X697" s="4"/>
      <c r="Y697" s="4"/>
      <c r="Z697" s="4"/>
      <c r="AA697" s="4"/>
      <c r="AB697" s="4"/>
      <c r="AC697" s="4"/>
      <c r="AD697" s="4"/>
      <c r="AE697" s="4"/>
    </row>
    <row r="698" spans="1:31" ht="13.2">
      <c r="A698" s="7"/>
      <c r="B698" s="7"/>
      <c r="C698" s="7"/>
      <c r="D698" s="29"/>
      <c r="E698" s="7"/>
      <c r="F698" s="7"/>
      <c r="G698" s="7"/>
      <c r="H698" s="16"/>
      <c r="I698" s="16"/>
      <c r="J698" s="16"/>
      <c r="K698" s="16"/>
      <c r="L698" s="16"/>
      <c r="M698" s="16"/>
      <c r="N698" s="16"/>
      <c r="O698" s="16"/>
      <c r="P698" s="16"/>
      <c r="Q698" s="4"/>
      <c r="R698" s="4"/>
      <c r="S698" s="4"/>
      <c r="T698" s="4"/>
      <c r="U698" s="4"/>
      <c r="V698" s="4"/>
      <c r="W698" s="4"/>
      <c r="X698" s="4"/>
      <c r="Y698" s="4"/>
      <c r="Z698" s="4"/>
      <c r="AA698" s="4"/>
      <c r="AB698" s="4"/>
      <c r="AC698" s="4"/>
      <c r="AD698" s="4"/>
      <c r="AE698" s="4"/>
    </row>
    <row r="699" spans="1:31" ht="13.2">
      <c r="A699" s="7"/>
      <c r="B699" s="7"/>
      <c r="C699" s="7"/>
      <c r="D699" s="29"/>
      <c r="E699" s="7"/>
      <c r="F699" s="7"/>
      <c r="G699" s="7"/>
      <c r="H699" s="16"/>
      <c r="I699" s="16"/>
      <c r="J699" s="16"/>
      <c r="K699" s="16"/>
      <c r="L699" s="16"/>
      <c r="M699" s="16"/>
      <c r="N699" s="16"/>
      <c r="O699" s="16"/>
      <c r="P699" s="16"/>
      <c r="Q699" s="4"/>
      <c r="R699" s="4"/>
      <c r="S699" s="4"/>
      <c r="T699" s="4"/>
      <c r="U699" s="4"/>
      <c r="V699" s="4"/>
      <c r="W699" s="4"/>
      <c r="X699" s="4"/>
      <c r="Y699" s="4"/>
      <c r="Z699" s="4"/>
      <c r="AA699" s="4"/>
      <c r="AB699" s="4"/>
      <c r="AC699" s="4"/>
      <c r="AD699" s="4"/>
      <c r="AE699" s="4"/>
    </row>
    <row r="700" spans="1:31" ht="13.2">
      <c r="A700" s="7"/>
      <c r="B700" s="7"/>
      <c r="C700" s="7"/>
      <c r="D700" s="29"/>
      <c r="E700" s="7"/>
      <c r="F700" s="7"/>
      <c r="G700" s="7"/>
      <c r="H700" s="16"/>
      <c r="I700" s="16"/>
      <c r="J700" s="16"/>
      <c r="K700" s="16"/>
      <c r="L700" s="16"/>
      <c r="M700" s="16"/>
      <c r="N700" s="16"/>
      <c r="O700" s="16"/>
      <c r="P700" s="16"/>
      <c r="Q700" s="4"/>
      <c r="R700" s="4"/>
      <c r="S700" s="4"/>
      <c r="T700" s="4"/>
      <c r="U700" s="4"/>
      <c r="V700" s="4"/>
      <c r="W700" s="4"/>
      <c r="X700" s="4"/>
      <c r="Y700" s="4"/>
      <c r="Z700" s="4"/>
      <c r="AA700" s="4"/>
      <c r="AB700" s="4"/>
      <c r="AC700" s="4"/>
      <c r="AD700" s="4"/>
      <c r="AE700" s="4"/>
    </row>
    <row r="701" spans="1:31" ht="13.2">
      <c r="A701" s="7"/>
      <c r="B701" s="7"/>
      <c r="C701" s="7"/>
      <c r="D701" s="29"/>
      <c r="E701" s="7"/>
      <c r="F701" s="7"/>
      <c r="G701" s="7"/>
      <c r="H701" s="16"/>
      <c r="I701" s="16"/>
      <c r="J701" s="16"/>
      <c r="K701" s="16"/>
      <c r="L701" s="16"/>
      <c r="M701" s="16"/>
      <c r="N701" s="16"/>
      <c r="O701" s="16"/>
      <c r="P701" s="16"/>
      <c r="Q701" s="4"/>
      <c r="R701" s="4"/>
      <c r="S701" s="4"/>
      <c r="T701" s="4"/>
      <c r="U701" s="4"/>
      <c r="V701" s="4"/>
      <c r="W701" s="4"/>
      <c r="X701" s="4"/>
      <c r="Y701" s="4"/>
      <c r="Z701" s="4"/>
      <c r="AA701" s="4"/>
      <c r="AB701" s="4"/>
      <c r="AC701" s="4"/>
      <c r="AD701" s="4"/>
      <c r="AE701" s="4"/>
    </row>
    <row r="702" spans="1:31" ht="13.2">
      <c r="A702" s="7"/>
      <c r="B702" s="7"/>
      <c r="C702" s="7"/>
      <c r="D702" s="29"/>
      <c r="E702" s="7"/>
      <c r="F702" s="7"/>
      <c r="G702" s="7"/>
      <c r="H702" s="16"/>
      <c r="I702" s="16"/>
      <c r="J702" s="16"/>
      <c r="K702" s="16"/>
      <c r="L702" s="16"/>
      <c r="M702" s="16"/>
      <c r="N702" s="16"/>
      <c r="O702" s="16"/>
      <c r="P702" s="16"/>
      <c r="Q702" s="4"/>
      <c r="R702" s="4"/>
      <c r="S702" s="4"/>
      <c r="T702" s="4"/>
      <c r="U702" s="4"/>
      <c r="V702" s="4"/>
      <c r="W702" s="4"/>
      <c r="X702" s="4"/>
      <c r="Y702" s="4"/>
      <c r="Z702" s="4"/>
      <c r="AA702" s="4"/>
      <c r="AB702" s="4"/>
      <c r="AC702" s="4"/>
      <c r="AD702" s="4"/>
      <c r="AE702" s="4"/>
    </row>
    <row r="703" spans="1:31" ht="13.2">
      <c r="A703" s="7"/>
      <c r="B703" s="7"/>
      <c r="C703" s="7"/>
      <c r="D703" s="29"/>
      <c r="E703" s="7"/>
      <c r="F703" s="7"/>
      <c r="G703" s="7"/>
      <c r="H703" s="16"/>
      <c r="I703" s="16"/>
      <c r="J703" s="16"/>
      <c r="K703" s="16"/>
      <c r="L703" s="16"/>
      <c r="M703" s="16"/>
      <c r="N703" s="16"/>
      <c r="O703" s="16"/>
      <c r="P703" s="16"/>
      <c r="Q703" s="4"/>
      <c r="R703" s="4"/>
      <c r="S703" s="4"/>
      <c r="T703" s="4"/>
      <c r="U703" s="4"/>
      <c r="V703" s="4"/>
      <c r="W703" s="4"/>
      <c r="X703" s="4"/>
      <c r="Y703" s="4"/>
      <c r="Z703" s="4"/>
      <c r="AA703" s="4"/>
      <c r="AB703" s="4"/>
      <c r="AC703" s="4"/>
      <c r="AD703" s="4"/>
      <c r="AE703" s="4"/>
    </row>
    <row r="704" spans="1:31" ht="13.2">
      <c r="A704" s="7"/>
      <c r="B704" s="7"/>
      <c r="C704" s="7"/>
      <c r="D704" s="29"/>
      <c r="E704" s="7"/>
      <c r="F704" s="7"/>
      <c r="G704" s="7"/>
      <c r="H704" s="16"/>
      <c r="I704" s="16"/>
      <c r="J704" s="16"/>
      <c r="K704" s="16"/>
      <c r="L704" s="16"/>
      <c r="M704" s="16"/>
      <c r="N704" s="16"/>
      <c r="O704" s="16"/>
      <c r="P704" s="16"/>
      <c r="Q704" s="4"/>
      <c r="R704" s="4"/>
      <c r="S704" s="4"/>
      <c r="T704" s="4"/>
      <c r="U704" s="4"/>
      <c r="V704" s="4"/>
      <c r="W704" s="4"/>
      <c r="X704" s="4"/>
      <c r="Y704" s="4"/>
      <c r="Z704" s="4"/>
      <c r="AA704" s="4"/>
      <c r="AB704" s="4"/>
      <c r="AC704" s="4"/>
      <c r="AD704" s="4"/>
      <c r="AE704" s="4"/>
    </row>
    <row r="705" spans="1:31" ht="13.2">
      <c r="A705" s="7"/>
      <c r="B705" s="7"/>
      <c r="C705" s="7"/>
      <c r="D705" s="29"/>
      <c r="E705" s="7"/>
      <c r="F705" s="7"/>
      <c r="G705" s="7"/>
      <c r="H705" s="16"/>
      <c r="I705" s="16"/>
      <c r="J705" s="16"/>
      <c r="K705" s="16"/>
      <c r="L705" s="16"/>
      <c r="M705" s="16"/>
      <c r="N705" s="16"/>
      <c r="O705" s="16"/>
      <c r="P705" s="16"/>
      <c r="Q705" s="4"/>
      <c r="R705" s="4"/>
      <c r="S705" s="4"/>
      <c r="T705" s="4"/>
      <c r="U705" s="4"/>
      <c r="V705" s="4"/>
      <c r="W705" s="4"/>
      <c r="X705" s="4"/>
      <c r="Y705" s="4"/>
      <c r="Z705" s="4"/>
      <c r="AA705" s="4"/>
      <c r="AB705" s="4"/>
      <c r="AC705" s="4"/>
      <c r="AD705" s="4"/>
      <c r="AE705" s="4"/>
    </row>
    <row r="706" spans="1:31" ht="13.2">
      <c r="A706" s="7"/>
      <c r="B706" s="7"/>
      <c r="C706" s="7"/>
      <c r="D706" s="29"/>
      <c r="E706" s="7"/>
      <c r="F706" s="7"/>
      <c r="G706" s="7"/>
      <c r="H706" s="16"/>
      <c r="I706" s="16"/>
      <c r="J706" s="16"/>
      <c r="K706" s="16"/>
      <c r="L706" s="16"/>
      <c r="M706" s="16"/>
      <c r="N706" s="16"/>
      <c r="O706" s="16"/>
      <c r="P706" s="16"/>
      <c r="Q706" s="4"/>
      <c r="R706" s="4"/>
      <c r="S706" s="4"/>
      <c r="T706" s="4"/>
      <c r="U706" s="4"/>
      <c r="V706" s="4"/>
      <c r="W706" s="4"/>
      <c r="X706" s="4"/>
      <c r="Y706" s="4"/>
      <c r="Z706" s="4"/>
      <c r="AA706" s="4"/>
      <c r="AB706" s="4"/>
      <c r="AC706" s="4"/>
      <c r="AD706" s="4"/>
      <c r="AE706" s="4"/>
    </row>
    <row r="707" spans="1:31" ht="13.2">
      <c r="A707" s="7"/>
      <c r="B707" s="7"/>
      <c r="C707" s="7"/>
      <c r="D707" s="29"/>
      <c r="E707" s="7"/>
      <c r="F707" s="7"/>
      <c r="G707" s="7"/>
      <c r="H707" s="16"/>
      <c r="I707" s="16"/>
      <c r="J707" s="16"/>
      <c r="K707" s="16"/>
      <c r="L707" s="16"/>
      <c r="M707" s="16"/>
      <c r="N707" s="16"/>
      <c r="O707" s="16"/>
      <c r="P707" s="16"/>
      <c r="Q707" s="4"/>
      <c r="R707" s="4"/>
      <c r="S707" s="4"/>
      <c r="T707" s="4"/>
      <c r="U707" s="4"/>
      <c r="V707" s="4"/>
      <c r="W707" s="4"/>
      <c r="X707" s="4"/>
      <c r="Y707" s="4"/>
      <c r="Z707" s="4"/>
      <c r="AA707" s="4"/>
      <c r="AB707" s="4"/>
      <c r="AC707" s="4"/>
      <c r="AD707" s="4"/>
      <c r="AE707" s="4"/>
    </row>
    <row r="708" spans="1:31" ht="13.2">
      <c r="A708" s="7"/>
      <c r="B708" s="7"/>
      <c r="C708" s="7"/>
      <c r="D708" s="29"/>
      <c r="E708" s="7"/>
      <c r="F708" s="7"/>
      <c r="G708" s="7"/>
      <c r="H708" s="16"/>
      <c r="I708" s="16"/>
      <c r="J708" s="16"/>
      <c r="K708" s="16"/>
      <c r="L708" s="16"/>
      <c r="M708" s="16"/>
      <c r="N708" s="16"/>
      <c r="O708" s="16"/>
      <c r="P708" s="16"/>
      <c r="Q708" s="4"/>
      <c r="R708" s="4"/>
      <c r="S708" s="4"/>
      <c r="T708" s="4"/>
      <c r="U708" s="4"/>
      <c r="V708" s="4"/>
      <c r="W708" s="4"/>
      <c r="X708" s="4"/>
      <c r="Y708" s="4"/>
      <c r="Z708" s="4"/>
      <c r="AA708" s="4"/>
      <c r="AB708" s="4"/>
      <c r="AC708" s="4"/>
      <c r="AD708" s="4"/>
      <c r="AE708" s="4"/>
    </row>
    <row r="709" spans="1:31" ht="13.2">
      <c r="A709" s="7"/>
      <c r="B709" s="7"/>
      <c r="C709" s="7"/>
      <c r="D709" s="29"/>
      <c r="E709" s="7"/>
      <c r="F709" s="7"/>
      <c r="G709" s="7"/>
      <c r="H709" s="16"/>
      <c r="I709" s="16"/>
      <c r="J709" s="16"/>
      <c r="K709" s="16"/>
      <c r="L709" s="16"/>
      <c r="M709" s="16"/>
      <c r="N709" s="16"/>
      <c r="O709" s="16"/>
      <c r="P709" s="16"/>
      <c r="Q709" s="4"/>
      <c r="R709" s="4"/>
      <c r="S709" s="4"/>
      <c r="T709" s="4"/>
      <c r="U709" s="4"/>
      <c r="V709" s="4"/>
      <c r="W709" s="4"/>
      <c r="X709" s="4"/>
      <c r="Y709" s="4"/>
      <c r="Z709" s="4"/>
      <c r="AA709" s="4"/>
      <c r="AB709" s="4"/>
      <c r="AC709" s="4"/>
      <c r="AD709" s="4"/>
      <c r="AE709" s="4"/>
    </row>
    <row r="710" spans="1:31" ht="13.2">
      <c r="A710" s="7"/>
      <c r="B710" s="7"/>
      <c r="C710" s="7"/>
      <c r="D710" s="29"/>
      <c r="E710" s="7"/>
      <c r="F710" s="7"/>
      <c r="G710" s="7"/>
      <c r="H710" s="16"/>
      <c r="I710" s="16"/>
      <c r="J710" s="16"/>
      <c r="K710" s="16"/>
      <c r="L710" s="16"/>
      <c r="M710" s="16"/>
      <c r="N710" s="16"/>
      <c r="O710" s="16"/>
      <c r="P710" s="16"/>
      <c r="Q710" s="4"/>
      <c r="R710" s="4"/>
      <c r="S710" s="4"/>
      <c r="T710" s="4"/>
      <c r="U710" s="4"/>
      <c r="V710" s="4"/>
      <c r="W710" s="4"/>
      <c r="X710" s="4"/>
      <c r="Y710" s="4"/>
      <c r="Z710" s="4"/>
      <c r="AA710" s="4"/>
      <c r="AB710" s="4"/>
      <c r="AC710" s="4"/>
      <c r="AD710" s="4"/>
      <c r="AE710" s="4"/>
    </row>
    <row r="711" spans="1:31" ht="13.2">
      <c r="A711" s="7"/>
      <c r="B711" s="7"/>
      <c r="C711" s="7"/>
      <c r="D711" s="29"/>
      <c r="E711" s="7"/>
      <c r="F711" s="7"/>
      <c r="G711" s="7"/>
      <c r="H711" s="16"/>
      <c r="I711" s="16"/>
      <c r="J711" s="16"/>
      <c r="K711" s="16"/>
      <c r="L711" s="16"/>
      <c r="M711" s="16"/>
      <c r="N711" s="16"/>
      <c r="O711" s="16"/>
      <c r="P711" s="16"/>
      <c r="Q711" s="4"/>
      <c r="R711" s="4"/>
      <c r="S711" s="4"/>
      <c r="T711" s="4"/>
      <c r="U711" s="4"/>
      <c r="V711" s="4"/>
      <c r="W711" s="4"/>
      <c r="X711" s="4"/>
      <c r="Y711" s="4"/>
      <c r="Z711" s="4"/>
      <c r="AA711" s="4"/>
      <c r="AB711" s="4"/>
      <c r="AC711" s="4"/>
      <c r="AD711" s="4"/>
      <c r="AE711" s="4"/>
    </row>
    <row r="712" spans="1:31" ht="13.2">
      <c r="A712" s="7"/>
      <c r="B712" s="7"/>
      <c r="C712" s="7"/>
      <c r="D712" s="29"/>
      <c r="E712" s="7"/>
      <c r="F712" s="7"/>
      <c r="G712" s="7"/>
      <c r="H712" s="16"/>
      <c r="I712" s="16"/>
      <c r="J712" s="16"/>
      <c r="K712" s="16"/>
      <c r="L712" s="16"/>
      <c r="M712" s="16"/>
      <c r="N712" s="16"/>
      <c r="O712" s="16"/>
      <c r="P712" s="16"/>
      <c r="Q712" s="4"/>
      <c r="R712" s="4"/>
      <c r="S712" s="4"/>
      <c r="T712" s="4"/>
      <c r="U712" s="4"/>
      <c r="V712" s="4"/>
      <c r="W712" s="4"/>
      <c r="X712" s="4"/>
      <c r="Y712" s="4"/>
      <c r="Z712" s="4"/>
      <c r="AA712" s="4"/>
      <c r="AB712" s="4"/>
      <c r="AC712" s="4"/>
      <c r="AD712" s="4"/>
      <c r="AE712" s="4"/>
    </row>
    <row r="713" spans="1:31" ht="13.2">
      <c r="A713" s="7"/>
      <c r="B713" s="7"/>
      <c r="C713" s="7"/>
      <c r="D713" s="29"/>
      <c r="E713" s="7"/>
      <c r="F713" s="7"/>
      <c r="G713" s="7"/>
      <c r="H713" s="16"/>
      <c r="I713" s="16"/>
      <c r="J713" s="16"/>
      <c r="K713" s="16"/>
      <c r="L713" s="16"/>
      <c r="M713" s="16"/>
      <c r="N713" s="16"/>
      <c r="O713" s="16"/>
      <c r="P713" s="16"/>
      <c r="Q713" s="4"/>
      <c r="R713" s="4"/>
      <c r="S713" s="4"/>
      <c r="T713" s="4"/>
      <c r="U713" s="4"/>
      <c r="V713" s="4"/>
      <c r="W713" s="4"/>
      <c r="X713" s="4"/>
      <c r="Y713" s="4"/>
      <c r="Z713" s="4"/>
      <c r="AA713" s="4"/>
      <c r="AB713" s="4"/>
      <c r="AC713" s="4"/>
      <c r="AD713" s="4"/>
      <c r="AE713" s="4"/>
    </row>
    <row r="714" spans="1:31" ht="13.2">
      <c r="A714" s="7"/>
      <c r="B714" s="7"/>
      <c r="C714" s="7"/>
      <c r="D714" s="29"/>
      <c r="E714" s="7"/>
      <c r="F714" s="7"/>
      <c r="G714" s="7"/>
      <c r="H714" s="16"/>
      <c r="I714" s="16"/>
      <c r="J714" s="16"/>
      <c r="K714" s="16"/>
      <c r="L714" s="16"/>
      <c r="M714" s="16"/>
      <c r="N714" s="16"/>
      <c r="O714" s="16"/>
      <c r="P714" s="16"/>
      <c r="Q714" s="4"/>
      <c r="R714" s="4"/>
      <c r="S714" s="4"/>
      <c r="T714" s="4"/>
      <c r="U714" s="4"/>
      <c r="V714" s="4"/>
      <c r="W714" s="4"/>
      <c r="X714" s="4"/>
      <c r="Y714" s="4"/>
      <c r="Z714" s="4"/>
      <c r="AA714" s="4"/>
      <c r="AB714" s="4"/>
      <c r="AC714" s="4"/>
      <c r="AD714" s="4"/>
      <c r="AE714" s="4"/>
    </row>
    <row r="715" spans="1:31" ht="13.2">
      <c r="A715" s="7"/>
      <c r="B715" s="7"/>
      <c r="C715" s="7"/>
      <c r="D715" s="29"/>
      <c r="E715" s="7"/>
      <c r="F715" s="7"/>
      <c r="G715" s="7"/>
      <c r="H715" s="16"/>
      <c r="I715" s="16"/>
      <c r="J715" s="16"/>
      <c r="K715" s="16"/>
      <c r="L715" s="16"/>
      <c r="M715" s="16"/>
      <c r="N715" s="16"/>
      <c r="O715" s="16"/>
      <c r="P715" s="16"/>
      <c r="Q715" s="4"/>
      <c r="R715" s="4"/>
      <c r="S715" s="4"/>
      <c r="T715" s="4"/>
      <c r="U715" s="4"/>
      <c r="V715" s="4"/>
      <c r="W715" s="4"/>
      <c r="X715" s="4"/>
      <c r="Y715" s="4"/>
      <c r="Z715" s="4"/>
      <c r="AA715" s="4"/>
      <c r="AB715" s="4"/>
      <c r="AC715" s="4"/>
      <c r="AD715" s="4"/>
      <c r="AE715" s="4"/>
    </row>
    <row r="716" spans="1:31" ht="13.2">
      <c r="A716" s="7"/>
      <c r="B716" s="7"/>
      <c r="C716" s="7"/>
      <c r="D716" s="29"/>
      <c r="E716" s="7"/>
      <c r="F716" s="7"/>
      <c r="G716" s="7"/>
      <c r="H716" s="16"/>
      <c r="I716" s="16"/>
      <c r="J716" s="16"/>
      <c r="K716" s="16"/>
      <c r="L716" s="16"/>
      <c r="M716" s="16"/>
      <c r="N716" s="16"/>
      <c r="O716" s="16"/>
      <c r="P716" s="16"/>
      <c r="Q716" s="4"/>
      <c r="R716" s="4"/>
      <c r="S716" s="4"/>
      <c r="T716" s="4"/>
      <c r="U716" s="4"/>
      <c r="V716" s="4"/>
      <c r="W716" s="4"/>
      <c r="X716" s="4"/>
      <c r="Y716" s="4"/>
      <c r="Z716" s="4"/>
      <c r="AA716" s="4"/>
      <c r="AB716" s="4"/>
      <c r="AC716" s="4"/>
      <c r="AD716" s="4"/>
      <c r="AE716" s="4"/>
    </row>
    <row r="717" spans="1:31" ht="13.2">
      <c r="A717" s="7"/>
      <c r="B717" s="7"/>
      <c r="C717" s="7"/>
      <c r="D717" s="29"/>
      <c r="E717" s="7"/>
      <c r="F717" s="7"/>
      <c r="G717" s="7"/>
      <c r="H717" s="16"/>
      <c r="I717" s="16"/>
      <c r="J717" s="16"/>
      <c r="K717" s="16"/>
      <c r="L717" s="16"/>
      <c r="M717" s="16"/>
      <c r="N717" s="16"/>
      <c r="O717" s="16"/>
      <c r="P717" s="16"/>
      <c r="Q717" s="4"/>
      <c r="R717" s="4"/>
      <c r="S717" s="4"/>
      <c r="T717" s="4"/>
      <c r="U717" s="4"/>
      <c r="V717" s="4"/>
      <c r="W717" s="4"/>
      <c r="X717" s="4"/>
      <c r="Y717" s="4"/>
      <c r="Z717" s="4"/>
      <c r="AA717" s="4"/>
      <c r="AB717" s="4"/>
      <c r="AC717" s="4"/>
      <c r="AD717" s="4"/>
      <c r="AE717" s="4"/>
    </row>
    <row r="718" spans="1:31" ht="13.2">
      <c r="A718" s="7"/>
      <c r="B718" s="7"/>
      <c r="C718" s="7"/>
      <c r="D718" s="29"/>
      <c r="E718" s="7"/>
      <c r="F718" s="7"/>
      <c r="G718" s="7"/>
      <c r="H718" s="16"/>
      <c r="I718" s="16"/>
      <c r="J718" s="16"/>
      <c r="K718" s="16"/>
      <c r="L718" s="16"/>
      <c r="M718" s="16"/>
      <c r="N718" s="16"/>
      <c r="O718" s="16"/>
      <c r="P718" s="16"/>
      <c r="Q718" s="4"/>
      <c r="R718" s="4"/>
      <c r="S718" s="4"/>
      <c r="T718" s="4"/>
      <c r="U718" s="4"/>
      <c r="V718" s="4"/>
      <c r="W718" s="4"/>
      <c r="X718" s="4"/>
      <c r="Y718" s="4"/>
      <c r="Z718" s="4"/>
      <c r="AA718" s="4"/>
      <c r="AB718" s="4"/>
      <c r="AC718" s="4"/>
      <c r="AD718" s="4"/>
      <c r="AE718" s="4"/>
    </row>
    <row r="719" spans="1:31" ht="13.2">
      <c r="A719" s="7"/>
      <c r="B719" s="7"/>
      <c r="C719" s="7"/>
      <c r="D719" s="29"/>
      <c r="E719" s="7"/>
      <c r="F719" s="7"/>
      <c r="G719" s="7"/>
      <c r="H719" s="16"/>
      <c r="I719" s="16"/>
      <c r="J719" s="16"/>
      <c r="K719" s="16"/>
      <c r="L719" s="16"/>
      <c r="M719" s="16"/>
      <c r="N719" s="16"/>
      <c r="O719" s="16"/>
      <c r="P719" s="16"/>
      <c r="Q719" s="4"/>
      <c r="R719" s="4"/>
      <c r="S719" s="4"/>
      <c r="T719" s="4"/>
      <c r="U719" s="4"/>
      <c r="V719" s="4"/>
      <c r="W719" s="4"/>
      <c r="X719" s="4"/>
      <c r="Y719" s="4"/>
      <c r="Z719" s="4"/>
      <c r="AA719" s="4"/>
      <c r="AB719" s="4"/>
      <c r="AC719" s="4"/>
      <c r="AD719" s="4"/>
      <c r="AE719" s="4"/>
    </row>
    <row r="720" spans="1:31" ht="13.2">
      <c r="A720" s="7"/>
      <c r="B720" s="7"/>
      <c r="C720" s="7"/>
      <c r="D720" s="29"/>
      <c r="E720" s="7"/>
      <c r="F720" s="7"/>
      <c r="G720" s="7"/>
      <c r="H720" s="16"/>
      <c r="I720" s="16"/>
      <c r="J720" s="16"/>
      <c r="K720" s="16"/>
      <c r="L720" s="16"/>
      <c r="M720" s="16"/>
      <c r="N720" s="16"/>
      <c r="O720" s="16"/>
      <c r="P720" s="16"/>
      <c r="Q720" s="4"/>
      <c r="R720" s="4"/>
      <c r="S720" s="4"/>
      <c r="T720" s="4"/>
      <c r="U720" s="4"/>
      <c r="V720" s="4"/>
      <c r="W720" s="4"/>
      <c r="X720" s="4"/>
      <c r="Y720" s="4"/>
      <c r="Z720" s="4"/>
      <c r="AA720" s="4"/>
      <c r="AB720" s="4"/>
      <c r="AC720" s="4"/>
      <c r="AD720" s="4"/>
      <c r="AE720" s="4"/>
    </row>
    <row r="721" spans="1:31" ht="13.2">
      <c r="A721" s="7"/>
      <c r="B721" s="7"/>
      <c r="C721" s="7"/>
      <c r="D721" s="29"/>
      <c r="E721" s="7"/>
      <c r="F721" s="7"/>
      <c r="G721" s="7"/>
      <c r="H721" s="16"/>
      <c r="I721" s="16"/>
      <c r="J721" s="16"/>
      <c r="K721" s="16"/>
      <c r="L721" s="16"/>
      <c r="M721" s="16"/>
      <c r="N721" s="16"/>
      <c r="O721" s="16"/>
      <c r="P721" s="16"/>
      <c r="Q721" s="4"/>
      <c r="R721" s="4"/>
      <c r="S721" s="4"/>
      <c r="T721" s="4"/>
      <c r="U721" s="4"/>
      <c r="V721" s="4"/>
      <c r="W721" s="4"/>
      <c r="X721" s="4"/>
      <c r="Y721" s="4"/>
      <c r="Z721" s="4"/>
      <c r="AA721" s="4"/>
      <c r="AB721" s="4"/>
      <c r="AC721" s="4"/>
      <c r="AD721" s="4"/>
      <c r="AE721" s="4"/>
    </row>
    <row r="722" spans="1:31" ht="13.2">
      <c r="A722" s="7"/>
      <c r="B722" s="7"/>
      <c r="C722" s="7"/>
      <c r="D722" s="29"/>
      <c r="E722" s="7"/>
      <c r="F722" s="7"/>
      <c r="G722" s="7"/>
      <c r="H722" s="16"/>
      <c r="I722" s="16"/>
      <c r="J722" s="16"/>
      <c r="K722" s="16"/>
      <c r="L722" s="16"/>
      <c r="M722" s="16"/>
      <c r="N722" s="16"/>
      <c r="O722" s="16"/>
      <c r="P722" s="16"/>
      <c r="Q722" s="4"/>
      <c r="R722" s="4"/>
      <c r="S722" s="4"/>
      <c r="T722" s="4"/>
      <c r="U722" s="4"/>
      <c r="V722" s="4"/>
      <c r="W722" s="4"/>
      <c r="X722" s="4"/>
      <c r="Y722" s="4"/>
      <c r="Z722" s="4"/>
      <c r="AA722" s="4"/>
      <c r="AB722" s="4"/>
      <c r="AC722" s="4"/>
      <c r="AD722" s="4"/>
      <c r="AE722" s="4"/>
    </row>
    <row r="723" spans="1:31" ht="13.2">
      <c r="A723" s="7"/>
      <c r="B723" s="7"/>
      <c r="C723" s="7"/>
      <c r="D723" s="29"/>
      <c r="E723" s="7"/>
      <c r="F723" s="7"/>
      <c r="G723" s="7"/>
      <c r="H723" s="16"/>
      <c r="I723" s="16"/>
      <c r="J723" s="16"/>
      <c r="K723" s="16"/>
      <c r="L723" s="16"/>
      <c r="M723" s="16"/>
      <c r="N723" s="16"/>
      <c r="O723" s="16"/>
      <c r="P723" s="16"/>
      <c r="Q723" s="4"/>
      <c r="R723" s="4"/>
      <c r="S723" s="4"/>
      <c r="T723" s="4"/>
      <c r="U723" s="4"/>
      <c r="V723" s="4"/>
      <c r="W723" s="4"/>
      <c r="X723" s="4"/>
      <c r="Y723" s="4"/>
      <c r="Z723" s="4"/>
      <c r="AA723" s="4"/>
      <c r="AB723" s="4"/>
      <c r="AC723" s="4"/>
      <c r="AD723" s="4"/>
      <c r="AE723" s="4"/>
    </row>
    <row r="724" spans="1:31" ht="13.2">
      <c r="A724" s="7"/>
      <c r="B724" s="7"/>
      <c r="C724" s="7"/>
      <c r="D724" s="29"/>
      <c r="E724" s="7"/>
      <c r="F724" s="7"/>
      <c r="G724" s="7"/>
      <c r="H724" s="16"/>
      <c r="I724" s="16"/>
      <c r="J724" s="16"/>
      <c r="K724" s="16"/>
      <c r="L724" s="16"/>
      <c r="M724" s="16"/>
      <c r="N724" s="16"/>
      <c r="O724" s="16"/>
      <c r="P724" s="16"/>
      <c r="Q724" s="4"/>
      <c r="R724" s="4"/>
      <c r="S724" s="4"/>
      <c r="T724" s="4"/>
      <c r="U724" s="4"/>
      <c r="V724" s="4"/>
      <c r="W724" s="4"/>
      <c r="X724" s="4"/>
      <c r="Y724" s="4"/>
      <c r="Z724" s="4"/>
      <c r="AA724" s="4"/>
      <c r="AB724" s="4"/>
      <c r="AC724" s="4"/>
      <c r="AD724" s="4"/>
      <c r="AE724" s="4"/>
    </row>
    <row r="725" spans="1:31" ht="13.2">
      <c r="A725" s="7"/>
      <c r="B725" s="7"/>
      <c r="C725" s="7"/>
      <c r="D725" s="29"/>
      <c r="E725" s="7"/>
      <c r="F725" s="7"/>
      <c r="G725" s="7"/>
      <c r="H725" s="16"/>
      <c r="I725" s="16"/>
      <c r="J725" s="16"/>
      <c r="K725" s="16"/>
      <c r="L725" s="16"/>
      <c r="M725" s="16"/>
      <c r="N725" s="16"/>
      <c r="O725" s="16"/>
      <c r="P725" s="16"/>
      <c r="Q725" s="4"/>
      <c r="R725" s="4"/>
      <c r="S725" s="4"/>
      <c r="T725" s="4"/>
      <c r="U725" s="4"/>
      <c r="V725" s="4"/>
      <c r="W725" s="4"/>
      <c r="X725" s="4"/>
      <c r="Y725" s="4"/>
      <c r="Z725" s="4"/>
      <c r="AA725" s="4"/>
      <c r="AB725" s="4"/>
      <c r="AC725" s="4"/>
      <c r="AD725" s="4"/>
      <c r="AE725" s="4"/>
    </row>
    <row r="726" spans="1:31" ht="13.2">
      <c r="A726" s="7"/>
      <c r="B726" s="7"/>
      <c r="C726" s="7"/>
      <c r="D726" s="29"/>
      <c r="E726" s="7"/>
      <c r="F726" s="7"/>
      <c r="G726" s="7"/>
      <c r="H726" s="16"/>
      <c r="I726" s="16"/>
      <c r="J726" s="16"/>
      <c r="K726" s="16"/>
      <c r="L726" s="16"/>
      <c r="M726" s="16"/>
      <c r="N726" s="16"/>
      <c r="O726" s="16"/>
      <c r="P726" s="16"/>
      <c r="Q726" s="4"/>
      <c r="R726" s="4"/>
      <c r="S726" s="4"/>
      <c r="T726" s="4"/>
      <c r="U726" s="4"/>
      <c r="V726" s="4"/>
      <c r="W726" s="4"/>
      <c r="X726" s="4"/>
      <c r="Y726" s="4"/>
      <c r="Z726" s="4"/>
      <c r="AA726" s="4"/>
      <c r="AB726" s="4"/>
      <c r="AC726" s="4"/>
      <c r="AD726" s="4"/>
      <c r="AE726" s="4"/>
    </row>
    <row r="727" spans="1:31" ht="13.2">
      <c r="A727" s="7"/>
      <c r="B727" s="7"/>
      <c r="C727" s="7"/>
      <c r="D727" s="29"/>
      <c r="E727" s="7"/>
      <c r="F727" s="7"/>
      <c r="G727" s="7"/>
      <c r="H727" s="16"/>
      <c r="I727" s="16"/>
      <c r="J727" s="16"/>
      <c r="K727" s="16"/>
      <c r="L727" s="16"/>
      <c r="M727" s="16"/>
      <c r="N727" s="16"/>
      <c r="O727" s="16"/>
      <c r="P727" s="16"/>
      <c r="Q727" s="4"/>
      <c r="R727" s="4"/>
      <c r="S727" s="4"/>
      <c r="T727" s="4"/>
      <c r="U727" s="4"/>
      <c r="V727" s="4"/>
      <c r="W727" s="4"/>
      <c r="X727" s="4"/>
      <c r="Y727" s="4"/>
      <c r="Z727" s="4"/>
      <c r="AA727" s="4"/>
      <c r="AB727" s="4"/>
      <c r="AC727" s="4"/>
      <c r="AD727" s="4"/>
      <c r="AE727" s="4"/>
    </row>
    <row r="728" spans="1:31" ht="13.2">
      <c r="A728" s="7"/>
      <c r="B728" s="7"/>
      <c r="C728" s="7"/>
      <c r="D728" s="29"/>
      <c r="E728" s="7"/>
      <c r="F728" s="7"/>
      <c r="G728" s="7"/>
      <c r="H728" s="16"/>
      <c r="I728" s="16"/>
      <c r="J728" s="16"/>
      <c r="K728" s="16"/>
      <c r="L728" s="16"/>
      <c r="M728" s="16"/>
      <c r="N728" s="16"/>
      <c r="O728" s="16"/>
      <c r="P728" s="16"/>
      <c r="Q728" s="4"/>
      <c r="R728" s="4"/>
      <c r="S728" s="4"/>
      <c r="T728" s="4"/>
      <c r="U728" s="4"/>
      <c r="V728" s="4"/>
      <c r="W728" s="4"/>
      <c r="X728" s="4"/>
      <c r="Y728" s="4"/>
      <c r="Z728" s="4"/>
      <c r="AA728" s="4"/>
      <c r="AB728" s="4"/>
      <c r="AC728" s="4"/>
      <c r="AD728" s="4"/>
      <c r="AE728" s="4"/>
    </row>
    <row r="729" spans="1:31" ht="13.2">
      <c r="A729" s="7"/>
      <c r="B729" s="7"/>
      <c r="C729" s="7"/>
      <c r="D729" s="29"/>
      <c r="E729" s="7"/>
      <c r="F729" s="7"/>
      <c r="G729" s="7"/>
      <c r="H729" s="16"/>
      <c r="I729" s="16"/>
      <c r="J729" s="16"/>
      <c r="K729" s="16"/>
      <c r="L729" s="16"/>
      <c r="M729" s="16"/>
      <c r="N729" s="16"/>
      <c r="O729" s="16"/>
      <c r="P729" s="16"/>
      <c r="Q729" s="4"/>
      <c r="R729" s="4"/>
      <c r="S729" s="4"/>
      <c r="T729" s="4"/>
      <c r="U729" s="4"/>
      <c r="V729" s="4"/>
      <c r="W729" s="4"/>
      <c r="X729" s="4"/>
      <c r="Y729" s="4"/>
      <c r="Z729" s="4"/>
      <c r="AA729" s="4"/>
      <c r="AB729" s="4"/>
      <c r="AC729" s="4"/>
      <c r="AD729" s="4"/>
      <c r="AE729" s="4"/>
    </row>
    <row r="730" spans="1:31" ht="13.2">
      <c r="A730" s="7"/>
      <c r="B730" s="7"/>
      <c r="C730" s="7"/>
      <c r="D730" s="29"/>
      <c r="E730" s="7"/>
      <c r="F730" s="7"/>
      <c r="G730" s="7"/>
      <c r="H730" s="16"/>
      <c r="I730" s="16"/>
      <c r="J730" s="16"/>
      <c r="K730" s="16"/>
      <c r="L730" s="16"/>
      <c r="M730" s="16"/>
      <c r="N730" s="16"/>
      <c r="O730" s="16"/>
      <c r="P730" s="16"/>
      <c r="Q730" s="4"/>
      <c r="R730" s="4"/>
      <c r="S730" s="4"/>
      <c r="T730" s="4"/>
      <c r="U730" s="4"/>
      <c r="V730" s="4"/>
      <c r="W730" s="4"/>
      <c r="X730" s="4"/>
      <c r="Y730" s="4"/>
      <c r="Z730" s="4"/>
      <c r="AA730" s="4"/>
      <c r="AB730" s="4"/>
      <c r="AC730" s="4"/>
      <c r="AD730" s="4"/>
      <c r="AE730" s="4"/>
    </row>
    <row r="731" spans="1:31" ht="13.2">
      <c r="A731" s="7"/>
      <c r="B731" s="7"/>
      <c r="C731" s="7"/>
      <c r="D731" s="29"/>
      <c r="E731" s="7"/>
      <c r="F731" s="7"/>
      <c r="G731" s="7"/>
      <c r="H731" s="16"/>
      <c r="I731" s="16"/>
      <c r="J731" s="16"/>
      <c r="K731" s="16"/>
      <c r="L731" s="16"/>
      <c r="M731" s="16"/>
      <c r="N731" s="16"/>
      <c r="O731" s="16"/>
      <c r="P731" s="16"/>
      <c r="Q731" s="4"/>
      <c r="R731" s="4"/>
      <c r="S731" s="4"/>
      <c r="T731" s="4"/>
      <c r="U731" s="4"/>
      <c r="V731" s="4"/>
      <c r="W731" s="4"/>
      <c r="X731" s="4"/>
      <c r="Y731" s="4"/>
      <c r="Z731" s="4"/>
      <c r="AA731" s="4"/>
      <c r="AB731" s="4"/>
      <c r="AC731" s="4"/>
      <c r="AD731" s="4"/>
      <c r="AE731" s="4"/>
    </row>
    <row r="732" spans="1:31" ht="13.2">
      <c r="A732" s="7"/>
      <c r="B732" s="7"/>
      <c r="C732" s="7"/>
      <c r="D732" s="29"/>
      <c r="E732" s="7"/>
      <c r="F732" s="7"/>
      <c r="G732" s="7"/>
      <c r="H732" s="16"/>
      <c r="I732" s="16"/>
      <c r="J732" s="16"/>
      <c r="K732" s="16"/>
      <c r="L732" s="16"/>
      <c r="M732" s="16"/>
      <c r="N732" s="16"/>
      <c r="O732" s="16"/>
      <c r="P732" s="16"/>
      <c r="Q732" s="4"/>
      <c r="R732" s="4"/>
      <c r="S732" s="4"/>
      <c r="T732" s="4"/>
      <c r="U732" s="4"/>
      <c r="V732" s="4"/>
      <c r="W732" s="4"/>
      <c r="X732" s="4"/>
      <c r="Y732" s="4"/>
      <c r="Z732" s="4"/>
      <c r="AA732" s="4"/>
      <c r="AB732" s="4"/>
      <c r="AC732" s="4"/>
      <c r="AD732" s="4"/>
      <c r="AE732" s="4"/>
    </row>
    <row r="733" spans="1:31" ht="13.2">
      <c r="A733" s="7"/>
      <c r="B733" s="7"/>
      <c r="C733" s="7"/>
      <c r="D733" s="29"/>
      <c r="E733" s="7"/>
      <c r="F733" s="7"/>
      <c r="G733" s="7"/>
      <c r="H733" s="16"/>
      <c r="I733" s="16"/>
      <c r="J733" s="16"/>
      <c r="K733" s="16"/>
      <c r="L733" s="16"/>
      <c r="M733" s="16"/>
      <c r="N733" s="16"/>
      <c r="O733" s="16"/>
      <c r="P733" s="16"/>
      <c r="Q733" s="4"/>
      <c r="R733" s="4"/>
      <c r="S733" s="4"/>
      <c r="T733" s="4"/>
      <c r="U733" s="4"/>
      <c r="V733" s="4"/>
      <c r="W733" s="4"/>
      <c r="X733" s="4"/>
      <c r="Y733" s="4"/>
      <c r="Z733" s="4"/>
      <c r="AA733" s="4"/>
      <c r="AB733" s="4"/>
      <c r="AC733" s="4"/>
      <c r="AD733" s="4"/>
      <c r="AE733" s="4"/>
    </row>
    <row r="734" spans="1:31" ht="13.2">
      <c r="A734" s="7"/>
      <c r="B734" s="7"/>
      <c r="C734" s="7"/>
      <c r="D734" s="29"/>
      <c r="E734" s="7"/>
      <c r="F734" s="7"/>
      <c r="G734" s="7"/>
      <c r="H734" s="16"/>
      <c r="I734" s="16"/>
      <c r="J734" s="16"/>
      <c r="K734" s="16"/>
      <c r="L734" s="16"/>
      <c r="M734" s="16"/>
      <c r="N734" s="16"/>
      <c r="O734" s="16"/>
      <c r="P734" s="16"/>
      <c r="Q734" s="4"/>
      <c r="R734" s="4"/>
      <c r="S734" s="4"/>
      <c r="T734" s="4"/>
      <c r="U734" s="4"/>
      <c r="V734" s="4"/>
      <c r="W734" s="4"/>
      <c r="X734" s="4"/>
      <c r="Y734" s="4"/>
      <c r="Z734" s="4"/>
      <c r="AA734" s="4"/>
      <c r="AB734" s="4"/>
      <c r="AC734" s="4"/>
      <c r="AD734" s="4"/>
      <c r="AE734" s="4"/>
    </row>
    <row r="735" spans="1:31" ht="13.2">
      <c r="A735" s="7"/>
      <c r="B735" s="7"/>
      <c r="C735" s="7"/>
      <c r="D735" s="29"/>
      <c r="E735" s="7"/>
      <c r="F735" s="7"/>
      <c r="G735" s="7"/>
      <c r="H735" s="16"/>
      <c r="I735" s="16"/>
      <c r="J735" s="16"/>
      <c r="K735" s="16"/>
      <c r="L735" s="16"/>
      <c r="M735" s="16"/>
      <c r="N735" s="16"/>
      <c r="O735" s="16"/>
      <c r="P735" s="16"/>
      <c r="Q735" s="4"/>
      <c r="R735" s="4"/>
      <c r="S735" s="4"/>
      <c r="T735" s="4"/>
      <c r="U735" s="4"/>
      <c r="V735" s="4"/>
      <c r="W735" s="4"/>
      <c r="X735" s="4"/>
      <c r="Y735" s="4"/>
      <c r="Z735" s="4"/>
      <c r="AA735" s="4"/>
      <c r="AB735" s="4"/>
      <c r="AC735" s="4"/>
      <c r="AD735" s="4"/>
      <c r="AE735" s="4"/>
    </row>
    <row r="736" spans="1:31" ht="13.2">
      <c r="A736" s="7"/>
      <c r="B736" s="7"/>
      <c r="C736" s="7"/>
      <c r="D736" s="29"/>
      <c r="E736" s="7"/>
      <c r="F736" s="7"/>
      <c r="G736" s="7"/>
      <c r="H736" s="16"/>
      <c r="I736" s="16"/>
      <c r="J736" s="16"/>
      <c r="K736" s="16"/>
      <c r="L736" s="16"/>
      <c r="M736" s="16"/>
      <c r="N736" s="16"/>
      <c r="O736" s="16"/>
      <c r="P736" s="16"/>
      <c r="Q736" s="4"/>
      <c r="R736" s="4"/>
      <c r="S736" s="4"/>
      <c r="T736" s="4"/>
      <c r="U736" s="4"/>
      <c r="V736" s="4"/>
      <c r="W736" s="4"/>
      <c r="X736" s="4"/>
      <c r="Y736" s="4"/>
      <c r="Z736" s="4"/>
      <c r="AA736" s="4"/>
      <c r="AB736" s="4"/>
      <c r="AC736" s="4"/>
      <c r="AD736" s="4"/>
      <c r="AE736" s="4"/>
    </row>
    <row r="737" spans="1:31" ht="13.2">
      <c r="A737" s="7"/>
      <c r="B737" s="7"/>
      <c r="C737" s="7"/>
      <c r="D737" s="29"/>
      <c r="E737" s="7"/>
      <c r="F737" s="7"/>
      <c r="G737" s="7"/>
      <c r="H737" s="16"/>
      <c r="I737" s="16"/>
      <c r="J737" s="16"/>
      <c r="K737" s="16"/>
      <c r="L737" s="16"/>
      <c r="M737" s="16"/>
      <c r="N737" s="16"/>
      <c r="O737" s="16"/>
      <c r="P737" s="16"/>
      <c r="Q737" s="4"/>
      <c r="R737" s="4"/>
      <c r="S737" s="4"/>
      <c r="T737" s="4"/>
      <c r="U737" s="4"/>
      <c r="V737" s="4"/>
      <c r="W737" s="4"/>
      <c r="X737" s="4"/>
      <c r="Y737" s="4"/>
      <c r="Z737" s="4"/>
      <c r="AA737" s="4"/>
      <c r="AB737" s="4"/>
      <c r="AC737" s="4"/>
      <c r="AD737" s="4"/>
      <c r="AE737" s="4"/>
    </row>
    <row r="738" spans="1:31" ht="13.2">
      <c r="A738" s="7"/>
      <c r="B738" s="7"/>
      <c r="C738" s="7"/>
      <c r="D738" s="29"/>
      <c r="E738" s="7"/>
      <c r="F738" s="7"/>
      <c r="G738" s="7"/>
      <c r="H738" s="16"/>
      <c r="I738" s="16"/>
      <c r="J738" s="16"/>
      <c r="K738" s="16"/>
      <c r="L738" s="16"/>
      <c r="M738" s="16"/>
      <c r="N738" s="16"/>
      <c r="O738" s="16"/>
      <c r="P738" s="16"/>
      <c r="Q738" s="4"/>
      <c r="R738" s="4"/>
      <c r="S738" s="4"/>
      <c r="T738" s="4"/>
      <c r="U738" s="4"/>
      <c r="V738" s="4"/>
      <c r="W738" s="4"/>
      <c r="X738" s="4"/>
      <c r="Y738" s="4"/>
      <c r="Z738" s="4"/>
      <c r="AA738" s="4"/>
      <c r="AB738" s="4"/>
      <c r="AC738" s="4"/>
      <c r="AD738" s="4"/>
      <c r="AE738" s="4"/>
    </row>
    <row r="739" spans="1:31" ht="13.2">
      <c r="A739" s="7"/>
      <c r="B739" s="7"/>
      <c r="C739" s="7"/>
      <c r="D739" s="29"/>
      <c r="E739" s="7"/>
      <c r="F739" s="7"/>
      <c r="G739" s="7"/>
      <c r="H739" s="16"/>
      <c r="I739" s="16"/>
      <c r="J739" s="16"/>
      <c r="K739" s="16"/>
      <c r="L739" s="16"/>
      <c r="M739" s="16"/>
      <c r="N739" s="16"/>
      <c r="O739" s="16"/>
      <c r="P739" s="16"/>
      <c r="Q739" s="4"/>
      <c r="R739" s="4"/>
      <c r="S739" s="4"/>
      <c r="T739" s="4"/>
      <c r="U739" s="4"/>
      <c r="V739" s="4"/>
      <c r="W739" s="4"/>
      <c r="X739" s="4"/>
      <c r="Y739" s="4"/>
      <c r="Z739" s="4"/>
      <c r="AA739" s="4"/>
      <c r="AB739" s="4"/>
      <c r="AC739" s="4"/>
      <c r="AD739" s="4"/>
      <c r="AE739" s="4"/>
    </row>
    <row r="740" spans="1:31" ht="13.2">
      <c r="A740" s="7"/>
      <c r="B740" s="7"/>
      <c r="C740" s="7"/>
      <c r="D740" s="29"/>
      <c r="E740" s="7"/>
      <c r="F740" s="7"/>
      <c r="G740" s="7"/>
      <c r="H740" s="16"/>
      <c r="I740" s="16"/>
      <c r="J740" s="16"/>
      <c r="K740" s="16"/>
      <c r="L740" s="16"/>
      <c r="M740" s="16"/>
      <c r="N740" s="16"/>
      <c r="O740" s="16"/>
      <c r="P740" s="16"/>
      <c r="Q740" s="4"/>
      <c r="R740" s="4"/>
      <c r="S740" s="4"/>
      <c r="T740" s="4"/>
      <c r="U740" s="4"/>
      <c r="V740" s="4"/>
      <c r="W740" s="4"/>
      <c r="X740" s="4"/>
      <c r="Y740" s="4"/>
      <c r="Z740" s="4"/>
      <c r="AA740" s="4"/>
      <c r="AB740" s="4"/>
      <c r="AC740" s="4"/>
      <c r="AD740" s="4"/>
      <c r="AE740" s="4"/>
    </row>
    <row r="741" spans="1:31" ht="13.2">
      <c r="A741" s="7"/>
      <c r="B741" s="7"/>
      <c r="C741" s="7"/>
      <c r="D741" s="29"/>
      <c r="E741" s="7"/>
      <c r="F741" s="7"/>
      <c r="G741" s="7"/>
      <c r="H741" s="16"/>
      <c r="I741" s="16"/>
      <c r="J741" s="16"/>
      <c r="K741" s="16"/>
      <c r="L741" s="16"/>
      <c r="M741" s="16"/>
      <c r="N741" s="16"/>
      <c r="O741" s="16"/>
      <c r="P741" s="16"/>
      <c r="Q741" s="4"/>
      <c r="R741" s="4"/>
      <c r="S741" s="4"/>
      <c r="T741" s="4"/>
      <c r="U741" s="4"/>
      <c r="V741" s="4"/>
      <c r="W741" s="4"/>
      <c r="X741" s="4"/>
      <c r="Y741" s="4"/>
      <c r="Z741" s="4"/>
      <c r="AA741" s="4"/>
      <c r="AB741" s="4"/>
      <c r="AC741" s="4"/>
      <c r="AD741" s="4"/>
      <c r="AE741" s="4"/>
    </row>
    <row r="742" spans="1:31" ht="13.2">
      <c r="A742" s="7"/>
      <c r="B742" s="7"/>
      <c r="C742" s="7"/>
      <c r="D742" s="29"/>
      <c r="E742" s="7"/>
      <c r="F742" s="7"/>
      <c r="G742" s="7"/>
      <c r="H742" s="16"/>
      <c r="I742" s="16"/>
      <c r="J742" s="16"/>
      <c r="K742" s="16"/>
      <c r="L742" s="16"/>
      <c r="M742" s="16"/>
      <c r="N742" s="16"/>
      <c r="O742" s="16"/>
      <c r="P742" s="16"/>
      <c r="Q742" s="4"/>
      <c r="R742" s="4"/>
      <c r="S742" s="4"/>
      <c r="T742" s="4"/>
      <c r="U742" s="4"/>
      <c r="V742" s="4"/>
      <c r="W742" s="4"/>
      <c r="X742" s="4"/>
      <c r="Y742" s="4"/>
      <c r="Z742" s="4"/>
      <c r="AA742" s="4"/>
      <c r="AB742" s="4"/>
      <c r="AC742" s="4"/>
      <c r="AD742" s="4"/>
      <c r="AE742" s="4"/>
    </row>
    <row r="743" spans="1:31" ht="13.2">
      <c r="A743" s="7"/>
      <c r="B743" s="7"/>
      <c r="C743" s="7"/>
      <c r="D743" s="29"/>
      <c r="E743" s="7"/>
      <c r="F743" s="7"/>
      <c r="G743" s="7"/>
      <c r="H743" s="16"/>
      <c r="I743" s="16"/>
      <c r="J743" s="16"/>
      <c r="K743" s="16"/>
      <c r="L743" s="16"/>
      <c r="M743" s="16"/>
      <c r="N743" s="16"/>
      <c r="O743" s="16"/>
      <c r="P743" s="16"/>
      <c r="Q743" s="4"/>
      <c r="R743" s="4"/>
      <c r="S743" s="4"/>
      <c r="T743" s="4"/>
      <c r="U743" s="4"/>
      <c r="V743" s="4"/>
      <c r="W743" s="4"/>
      <c r="X743" s="4"/>
      <c r="Y743" s="4"/>
      <c r="Z743" s="4"/>
      <c r="AA743" s="4"/>
      <c r="AB743" s="4"/>
      <c r="AC743" s="4"/>
      <c r="AD743" s="4"/>
      <c r="AE743" s="4"/>
    </row>
    <row r="744" spans="1:31" ht="13.2">
      <c r="A744" s="7"/>
      <c r="B744" s="7"/>
      <c r="C744" s="7"/>
      <c r="D744" s="29"/>
      <c r="E744" s="7"/>
      <c r="F744" s="7"/>
      <c r="G744" s="7"/>
      <c r="H744" s="16"/>
      <c r="I744" s="16"/>
      <c r="J744" s="16"/>
      <c r="K744" s="16"/>
      <c r="L744" s="16"/>
      <c r="M744" s="16"/>
      <c r="N744" s="16"/>
      <c r="O744" s="16"/>
      <c r="P744" s="16"/>
      <c r="Q744" s="4"/>
      <c r="R744" s="4"/>
      <c r="S744" s="4"/>
      <c r="T744" s="4"/>
      <c r="U744" s="4"/>
      <c r="V744" s="4"/>
      <c r="W744" s="4"/>
      <c r="X744" s="4"/>
      <c r="Y744" s="4"/>
      <c r="Z744" s="4"/>
      <c r="AA744" s="4"/>
      <c r="AB744" s="4"/>
      <c r="AC744" s="4"/>
      <c r="AD744" s="4"/>
      <c r="AE744" s="4"/>
    </row>
    <row r="745" spans="1:31" ht="13.2">
      <c r="A745" s="7"/>
      <c r="B745" s="7"/>
      <c r="C745" s="7"/>
      <c r="D745" s="29"/>
      <c r="E745" s="7"/>
      <c r="F745" s="7"/>
      <c r="G745" s="7"/>
      <c r="H745" s="16"/>
      <c r="I745" s="16"/>
      <c r="J745" s="16"/>
      <c r="K745" s="16"/>
      <c r="L745" s="16"/>
      <c r="M745" s="16"/>
      <c r="N745" s="16"/>
      <c r="O745" s="16"/>
      <c r="P745" s="16"/>
      <c r="Q745" s="4"/>
      <c r="R745" s="4"/>
      <c r="S745" s="4"/>
      <c r="T745" s="4"/>
      <c r="U745" s="4"/>
      <c r="V745" s="4"/>
      <c r="W745" s="4"/>
      <c r="X745" s="4"/>
      <c r="Y745" s="4"/>
      <c r="Z745" s="4"/>
      <c r="AA745" s="4"/>
      <c r="AB745" s="4"/>
      <c r="AC745" s="4"/>
      <c r="AD745" s="4"/>
      <c r="AE745" s="4"/>
    </row>
    <row r="746" spans="1:31" ht="13.2">
      <c r="A746" s="7"/>
      <c r="B746" s="7"/>
      <c r="C746" s="7"/>
      <c r="D746" s="29"/>
      <c r="E746" s="7"/>
      <c r="F746" s="7"/>
      <c r="G746" s="7"/>
      <c r="H746" s="16"/>
      <c r="I746" s="16"/>
      <c r="J746" s="16"/>
      <c r="K746" s="16"/>
      <c r="L746" s="16"/>
      <c r="M746" s="16"/>
      <c r="N746" s="16"/>
      <c r="O746" s="16"/>
      <c r="P746" s="16"/>
      <c r="Q746" s="4"/>
      <c r="R746" s="4"/>
      <c r="S746" s="4"/>
      <c r="T746" s="4"/>
      <c r="U746" s="4"/>
      <c r="V746" s="4"/>
      <c r="W746" s="4"/>
      <c r="X746" s="4"/>
      <c r="Y746" s="4"/>
      <c r="Z746" s="4"/>
      <c r="AA746" s="4"/>
      <c r="AB746" s="4"/>
      <c r="AC746" s="4"/>
      <c r="AD746" s="4"/>
      <c r="AE746" s="4"/>
    </row>
    <row r="747" spans="1:31" ht="13.2">
      <c r="A747" s="7"/>
      <c r="B747" s="7"/>
      <c r="C747" s="7"/>
      <c r="D747" s="29"/>
      <c r="E747" s="7"/>
      <c r="F747" s="7"/>
      <c r="G747" s="7"/>
      <c r="H747" s="16"/>
      <c r="I747" s="16"/>
      <c r="J747" s="16"/>
      <c r="K747" s="16"/>
      <c r="L747" s="16"/>
      <c r="M747" s="16"/>
      <c r="N747" s="16"/>
      <c r="O747" s="16"/>
      <c r="P747" s="16"/>
      <c r="Q747" s="4"/>
      <c r="R747" s="4"/>
      <c r="S747" s="4"/>
      <c r="T747" s="4"/>
      <c r="U747" s="4"/>
      <c r="V747" s="4"/>
      <c r="W747" s="4"/>
      <c r="X747" s="4"/>
      <c r="Y747" s="4"/>
      <c r="Z747" s="4"/>
      <c r="AA747" s="4"/>
      <c r="AB747" s="4"/>
      <c r="AC747" s="4"/>
      <c r="AD747" s="4"/>
      <c r="AE747" s="4"/>
    </row>
    <row r="748" spans="1:31" ht="13.2">
      <c r="A748" s="7"/>
      <c r="B748" s="7"/>
      <c r="C748" s="7"/>
      <c r="D748" s="29"/>
      <c r="E748" s="7"/>
      <c r="F748" s="7"/>
      <c r="G748" s="7"/>
      <c r="H748" s="16"/>
      <c r="I748" s="16"/>
      <c r="J748" s="16"/>
      <c r="K748" s="16"/>
      <c r="L748" s="16"/>
      <c r="M748" s="16"/>
      <c r="N748" s="16"/>
      <c r="O748" s="16"/>
      <c r="P748" s="16"/>
      <c r="Q748" s="4"/>
      <c r="R748" s="4"/>
      <c r="S748" s="4"/>
      <c r="T748" s="4"/>
      <c r="U748" s="4"/>
      <c r="V748" s="4"/>
      <c r="W748" s="4"/>
      <c r="X748" s="4"/>
      <c r="Y748" s="4"/>
      <c r="Z748" s="4"/>
      <c r="AA748" s="4"/>
      <c r="AB748" s="4"/>
      <c r="AC748" s="4"/>
      <c r="AD748" s="4"/>
      <c r="AE748" s="4"/>
    </row>
    <row r="749" spans="1:31" ht="13.2">
      <c r="A749" s="7"/>
      <c r="B749" s="7"/>
      <c r="C749" s="7"/>
      <c r="D749" s="29"/>
      <c r="E749" s="7"/>
      <c r="F749" s="7"/>
      <c r="G749" s="7"/>
      <c r="H749" s="16"/>
      <c r="I749" s="16"/>
      <c r="J749" s="16"/>
      <c r="K749" s="16"/>
      <c r="L749" s="16"/>
      <c r="M749" s="16"/>
      <c r="N749" s="16"/>
      <c r="O749" s="16"/>
      <c r="P749" s="16"/>
      <c r="Q749" s="4"/>
      <c r="R749" s="4"/>
      <c r="S749" s="4"/>
      <c r="T749" s="4"/>
      <c r="U749" s="4"/>
      <c r="V749" s="4"/>
      <c r="W749" s="4"/>
      <c r="X749" s="4"/>
      <c r="Y749" s="4"/>
      <c r="Z749" s="4"/>
      <c r="AA749" s="4"/>
      <c r="AB749" s="4"/>
      <c r="AC749" s="4"/>
      <c r="AD749" s="4"/>
      <c r="AE749" s="4"/>
    </row>
    <row r="750" spans="1:31" ht="13.2">
      <c r="A750" s="7"/>
      <c r="B750" s="7"/>
      <c r="C750" s="7"/>
      <c r="D750" s="29"/>
      <c r="E750" s="7"/>
      <c r="F750" s="7"/>
      <c r="G750" s="7"/>
      <c r="H750" s="16"/>
      <c r="I750" s="16"/>
      <c r="J750" s="16"/>
      <c r="K750" s="16"/>
      <c r="L750" s="16"/>
      <c r="M750" s="16"/>
      <c r="N750" s="16"/>
      <c r="O750" s="16"/>
      <c r="P750" s="16"/>
      <c r="Q750" s="4"/>
      <c r="R750" s="4"/>
      <c r="S750" s="4"/>
      <c r="T750" s="4"/>
      <c r="U750" s="4"/>
      <c r="V750" s="4"/>
      <c r="W750" s="4"/>
      <c r="X750" s="4"/>
      <c r="Y750" s="4"/>
      <c r="Z750" s="4"/>
      <c r="AA750" s="4"/>
      <c r="AB750" s="4"/>
      <c r="AC750" s="4"/>
      <c r="AD750" s="4"/>
      <c r="AE750" s="4"/>
    </row>
    <row r="751" spans="1:31" ht="13.2">
      <c r="A751" s="7"/>
      <c r="B751" s="7"/>
      <c r="C751" s="7"/>
      <c r="D751" s="29"/>
      <c r="E751" s="7"/>
      <c r="F751" s="7"/>
      <c r="G751" s="7"/>
      <c r="H751" s="16"/>
      <c r="I751" s="16"/>
      <c r="J751" s="16"/>
      <c r="K751" s="16"/>
      <c r="L751" s="16"/>
      <c r="M751" s="16"/>
      <c r="N751" s="16"/>
      <c r="O751" s="16"/>
      <c r="P751" s="16"/>
      <c r="Q751" s="4"/>
      <c r="R751" s="4"/>
      <c r="S751" s="4"/>
      <c r="T751" s="4"/>
      <c r="U751" s="4"/>
      <c r="V751" s="4"/>
      <c r="W751" s="4"/>
      <c r="X751" s="4"/>
      <c r="Y751" s="4"/>
      <c r="Z751" s="4"/>
      <c r="AA751" s="4"/>
      <c r="AB751" s="4"/>
      <c r="AC751" s="4"/>
      <c r="AD751" s="4"/>
      <c r="AE751" s="4"/>
    </row>
    <row r="752" spans="1:31" ht="13.2">
      <c r="A752" s="7"/>
      <c r="B752" s="7"/>
      <c r="C752" s="7"/>
      <c r="D752" s="29"/>
      <c r="E752" s="7"/>
      <c r="F752" s="7"/>
      <c r="G752" s="7"/>
      <c r="H752" s="16"/>
      <c r="I752" s="16"/>
      <c r="J752" s="16"/>
      <c r="K752" s="16"/>
      <c r="L752" s="16"/>
      <c r="M752" s="16"/>
      <c r="N752" s="16"/>
      <c r="O752" s="16"/>
      <c r="P752" s="16"/>
      <c r="Q752" s="4"/>
      <c r="R752" s="4"/>
      <c r="S752" s="4"/>
      <c r="T752" s="4"/>
      <c r="U752" s="4"/>
      <c r="V752" s="4"/>
      <c r="W752" s="4"/>
      <c r="X752" s="4"/>
      <c r="Y752" s="4"/>
      <c r="Z752" s="4"/>
      <c r="AA752" s="4"/>
      <c r="AB752" s="4"/>
      <c r="AC752" s="4"/>
      <c r="AD752" s="4"/>
      <c r="AE752" s="4"/>
    </row>
    <row r="753" spans="1:31" ht="13.2">
      <c r="A753" s="7"/>
      <c r="B753" s="7"/>
      <c r="C753" s="7"/>
      <c r="D753" s="29"/>
      <c r="E753" s="7"/>
      <c r="F753" s="7"/>
      <c r="G753" s="7"/>
      <c r="H753" s="16"/>
      <c r="I753" s="16"/>
      <c r="J753" s="16"/>
      <c r="K753" s="16"/>
      <c r="L753" s="16"/>
      <c r="M753" s="16"/>
      <c r="N753" s="16"/>
      <c r="O753" s="16"/>
      <c r="P753" s="16"/>
      <c r="Q753" s="4"/>
      <c r="R753" s="4"/>
      <c r="S753" s="4"/>
      <c r="T753" s="4"/>
      <c r="U753" s="4"/>
      <c r="V753" s="4"/>
      <c r="W753" s="4"/>
      <c r="X753" s="4"/>
      <c r="Y753" s="4"/>
      <c r="Z753" s="4"/>
      <c r="AA753" s="4"/>
      <c r="AB753" s="4"/>
      <c r="AC753" s="4"/>
      <c r="AD753" s="4"/>
      <c r="AE753" s="4"/>
    </row>
    <row r="754" spans="1:31" ht="13.2">
      <c r="A754" s="7"/>
      <c r="B754" s="7"/>
      <c r="C754" s="7"/>
      <c r="D754" s="29"/>
      <c r="E754" s="7"/>
      <c r="F754" s="7"/>
      <c r="G754" s="7"/>
      <c r="H754" s="16"/>
      <c r="I754" s="16"/>
      <c r="J754" s="16"/>
      <c r="K754" s="16"/>
      <c r="L754" s="16"/>
      <c r="M754" s="16"/>
      <c r="N754" s="16"/>
      <c r="O754" s="16"/>
      <c r="P754" s="16"/>
      <c r="Q754" s="4"/>
      <c r="R754" s="4"/>
      <c r="S754" s="4"/>
      <c r="T754" s="4"/>
      <c r="U754" s="4"/>
      <c r="V754" s="4"/>
      <c r="W754" s="4"/>
      <c r="X754" s="4"/>
      <c r="Y754" s="4"/>
      <c r="Z754" s="4"/>
      <c r="AA754" s="4"/>
      <c r="AB754" s="4"/>
      <c r="AC754" s="4"/>
      <c r="AD754" s="4"/>
      <c r="AE754" s="4"/>
    </row>
    <row r="755" spans="1:31" ht="13.2">
      <c r="A755" s="7"/>
      <c r="B755" s="7"/>
      <c r="C755" s="7"/>
      <c r="D755" s="29"/>
      <c r="E755" s="7"/>
      <c r="F755" s="7"/>
      <c r="G755" s="7"/>
      <c r="H755" s="16"/>
      <c r="I755" s="16"/>
      <c r="J755" s="16"/>
      <c r="K755" s="16"/>
      <c r="L755" s="16"/>
      <c r="M755" s="16"/>
      <c r="N755" s="16"/>
      <c r="O755" s="16"/>
      <c r="P755" s="16"/>
      <c r="Q755" s="4"/>
      <c r="R755" s="4"/>
      <c r="S755" s="4"/>
      <c r="T755" s="4"/>
      <c r="U755" s="4"/>
      <c r="V755" s="4"/>
      <c r="W755" s="4"/>
      <c r="X755" s="4"/>
      <c r="Y755" s="4"/>
      <c r="Z755" s="4"/>
      <c r="AA755" s="4"/>
      <c r="AB755" s="4"/>
      <c r="AC755" s="4"/>
      <c r="AD755" s="4"/>
      <c r="AE755" s="4"/>
    </row>
    <row r="756" spans="1:31" ht="13.2">
      <c r="A756" s="7"/>
      <c r="B756" s="7"/>
      <c r="C756" s="7"/>
      <c r="D756" s="29"/>
      <c r="E756" s="7"/>
      <c r="F756" s="7"/>
      <c r="G756" s="7"/>
      <c r="H756" s="16"/>
      <c r="I756" s="16"/>
      <c r="J756" s="16"/>
      <c r="K756" s="16"/>
      <c r="L756" s="16"/>
      <c r="M756" s="16"/>
      <c r="N756" s="16"/>
      <c r="O756" s="16"/>
      <c r="P756" s="16"/>
      <c r="Q756" s="4"/>
      <c r="R756" s="4"/>
      <c r="S756" s="4"/>
      <c r="T756" s="4"/>
      <c r="U756" s="4"/>
      <c r="V756" s="4"/>
      <c r="W756" s="4"/>
      <c r="X756" s="4"/>
      <c r="Y756" s="4"/>
      <c r="Z756" s="4"/>
      <c r="AA756" s="4"/>
      <c r="AB756" s="4"/>
      <c r="AC756" s="4"/>
      <c r="AD756" s="4"/>
      <c r="AE756" s="4"/>
    </row>
    <row r="757" spans="1:31" ht="13.2">
      <c r="A757" s="7"/>
      <c r="B757" s="7"/>
      <c r="C757" s="7"/>
      <c r="D757" s="29"/>
      <c r="E757" s="7"/>
      <c r="F757" s="7"/>
      <c r="G757" s="7"/>
      <c r="H757" s="16"/>
      <c r="I757" s="16"/>
      <c r="J757" s="16"/>
      <c r="K757" s="16"/>
      <c r="L757" s="16"/>
      <c r="M757" s="16"/>
      <c r="N757" s="16"/>
      <c r="O757" s="16"/>
      <c r="P757" s="16"/>
      <c r="Q757" s="4"/>
      <c r="R757" s="4"/>
      <c r="S757" s="4"/>
      <c r="T757" s="4"/>
      <c r="U757" s="4"/>
      <c r="V757" s="4"/>
      <c r="W757" s="4"/>
      <c r="X757" s="4"/>
      <c r="Y757" s="4"/>
      <c r="Z757" s="4"/>
      <c r="AA757" s="4"/>
      <c r="AB757" s="4"/>
      <c r="AC757" s="4"/>
      <c r="AD757" s="4"/>
      <c r="AE757" s="4"/>
    </row>
    <row r="758" spans="1:31" ht="13.2">
      <c r="A758" s="7"/>
      <c r="B758" s="7"/>
      <c r="C758" s="7"/>
      <c r="D758" s="29"/>
      <c r="E758" s="7"/>
      <c r="F758" s="7"/>
      <c r="G758" s="7"/>
      <c r="H758" s="16"/>
      <c r="I758" s="16"/>
      <c r="J758" s="16"/>
      <c r="K758" s="16"/>
      <c r="L758" s="16"/>
      <c r="M758" s="16"/>
      <c r="N758" s="16"/>
      <c r="O758" s="16"/>
      <c r="P758" s="16"/>
      <c r="Q758" s="4"/>
      <c r="R758" s="4"/>
      <c r="S758" s="4"/>
      <c r="T758" s="4"/>
      <c r="U758" s="4"/>
      <c r="V758" s="4"/>
      <c r="W758" s="4"/>
      <c r="X758" s="4"/>
      <c r="Y758" s="4"/>
      <c r="Z758" s="4"/>
      <c r="AA758" s="4"/>
      <c r="AB758" s="4"/>
      <c r="AC758" s="4"/>
      <c r="AD758" s="4"/>
      <c r="AE758" s="4"/>
    </row>
    <row r="759" spans="1:31" ht="13.2">
      <c r="A759" s="7"/>
      <c r="B759" s="7"/>
      <c r="C759" s="7"/>
      <c r="D759" s="29"/>
      <c r="E759" s="7"/>
      <c r="F759" s="7"/>
      <c r="G759" s="7"/>
      <c r="H759" s="16"/>
      <c r="I759" s="16"/>
      <c r="J759" s="16"/>
      <c r="K759" s="16"/>
      <c r="L759" s="16"/>
      <c r="M759" s="16"/>
      <c r="N759" s="16"/>
      <c r="O759" s="16"/>
      <c r="P759" s="16"/>
      <c r="Q759" s="4"/>
      <c r="R759" s="4"/>
      <c r="S759" s="4"/>
      <c r="T759" s="4"/>
      <c r="U759" s="4"/>
      <c r="V759" s="4"/>
      <c r="W759" s="4"/>
      <c r="X759" s="4"/>
      <c r="Y759" s="4"/>
      <c r="Z759" s="4"/>
      <c r="AA759" s="4"/>
      <c r="AB759" s="4"/>
      <c r="AC759" s="4"/>
      <c r="AD759" s="4"/>
      <c r="AE759" s="4"/>
    </row>
    <row r="760" spans="1:31" ht="13.2">
      <c r="A760" s="7"/>
      <c r="B760" s="7"/>
      <c r="C760" s="7"/>
      <c r="D760" s="29"/>
      <c r="E760" s="7"/>
      <c r="F760" s="7"/>
      <c r="G760" s="7"/>
      <c r="H760" s="16"/>
      <c r="I760" s="16"/>
      <c r="J760" s="16"/>
      <c r="K760" s="16"/>
      <c r="L760" s="16"/>
      <c r="M760" s="16"/>
      <c r="N760" s="16"/>
      <c r="O760" s="16"/>
      <c r="P760" s="16"/>
      <c r="Q760" s="4"/>
      <c r="R760" s="4"/>
      <c r="S760" s="4"/>
      <c r="T760" s="4"/>
      <c r="U760" s="4"/>
      <c r="V760" s="4"/>
      <c r="W760" s="4"/>
      <c r="X760" s="4"/>
      <c r="Y760" s="4"/>
      <c r="Z760" s="4"/>
      <c r="AA760" s="4"/>
      <c r="AB760" s="4"/>
      <c r="AC760" s="4"/>
      <c r="AD760" s="4"/>
      <c r="AE760" s="4"/>
    </row>
    <row r="761" spans="1:31" ht="13.2">
      <c r="A761" s="7"/>
      <c r="B761" s="7"/>
      <c r="C761" s="7"/>
      <c r="D761" s="29"/>
      <c r="E761" s="7"/>
      <c r="F761" s="7"/>
      <c r="G761" s="7"/>
      <c r="H761" s="16"/>
      <c r="I761" s="16"/>
      <c r="J761" s="16"/>
      <c r="K761" s="16"/>
      <c r="L761" s="16"/>
      <c r="M761" s="16"/>
      <c r="N761" s="16"/>
      <c r="O761" s="16"/>
      <c r="P761" s="16"/>
      <c r="Q761" s="4"/>
      <c r="R761" s="4"/>
      <c r="S761" s="4"/>
      <c r="T761" s="4"/>
      <c r="U761" s="4"/>
      <c r="V761" s="4"/>
      <c r="W761" s="4"/>
      <c r="X761" s="4"/>
      <c r="Y761" s="4"/>
      <c r="Z761" s="4"/>
      <c r="AA761" s="4"/>
      <c r="AB761" s="4"/>
      <c r="AC761" s="4"/>
      <c r="AD761" s="4"/>
      <c r="AE761" s="4"/>
    </row>
    <row r="762" spans="1:31" ht="13.2">
      <c r="A762" s="7"/>
      <c r="B762" s="7"/>
      <c r="C762" s="7"/>
      <c r="D762" s="29"/>
      <c r="E762" s="7"/>
      <c r="F762" s="7"/>
      <c r="G762" s="7"/>
      <c r="H762" s="16"/>
      <c r="I762" s="16"/>
      <c r="J762" s="16"/>
      <c r="K762" s="16"/>
      <c r="L762" s="16"/>
      <c r="M762" s="16"/>
      <c r="N762" s="16"/>
      <c r="O762" s="16"/>
      <c r="P762" s="16"/>
      <c r="Q762" s="4"/>
      <c r="R762" s="4"/>
      <c r="S762" s="4"/>
      <c r="T762" s="4"/>
      <c r="U762" s="4"/>
      <c r="V762" s="4"/>
      <c r="W762" s="4"/>
      <c r="X762" s="4"/>
      <c r="Y762" s="4"/>
      <c r="Z762" s="4"/>
      <c r="AA762" s="4"/>
      <c r="AB762" s="4"/>
      <c r="AC762" s="4"/>
      <c r="AD762" s="4"/>
      <c r="AE762" s="4"/>
    </row>
    <row r="763" spans="1:31" ht="13.2">
      <c r="A763" s="7"/>
      <c r="B763" s="7"/>
      <c r="C763" s="7"/>
      <c r="D763" s="29"/>
      <c r="E763" s="7"/>
      <c r="F763" s="7"/>
      <c r="G763" s="7"/>
      <c r="H763" s="16"/>
      <c r="I763" s="16"/>
      <c r="J763" s="16"/>
      <c r="K763" s="16"/>
      <c r="L763" s="16"/>
      <c r="M763" s="16"/>
      <c r="N763" s="16"/>
      <c r="O763" s="16"/>
      <c r="P763" s="16"/>
      <c r="Q763" s="4"/>
      <c r="R763" s="4"/>
      <c r="S763" s="4"/>
      <c r="T763" s="4"/>
      <c r="U763" s="4"/>
      <c r="V763" s="4"/>
      <c r="W763" s="4"/>
      <c r="X763" s="4"/>
      <c r="Y763" s="4"/>
      <c r="Z763" s="4"/>
      <c r="AA763" s="4"/>
      <c r="AB763" s="4"/>
      <c r="AC763" s="4"/>
      <c r="AD763" s="4"/>
      <c r="AE763" s="4"/>
    </row>
    <row r="764" spans="1:31" ht="13.2">
      <c r="A764" s="7"/>
      <c r="B764" s="7"/>
      <c r="C764" s="7"/>
      <c r="D764" s="29"/>
      <c r="E764" s="7"/>
      <c r="F764" s="7"/>
      <c r="G764" s="7"/>
      <c r="H764" s="16"/>
      <c r="I764" s="16"/>
      <c r="J764" s="16"/>
      <c r="K764" s="16"/>
      <c r="L764" s="16"/>
      <c r="M764" s="16"/>
      <c r="N764" s="16"/>
      <c r="O764" s="16"/>
      <c r="P764" s="16"/>
      <c r="Q764" s="4"/>
      <c r="R764" s="4"/>
      <c r="S764" s="4"/>
      <c r="T764" s="4"/>
      <c r="U764" s="4"/>
      <c r="V764" s="4"/>
      <c r="W764" s="4"/>
      <c r="X764" s="4"/>
      <c r="Y764" s="4"/>
      <c r="Z764" s="4"/>
      <c r="AA764" s="4"/>
      <c r="AB764" s="4"/>
      <c r="AC764" s="4"/>
      <c r="AD764" s="4"/>
      <c r="AE764" s="4"/>
    </row>
    <row r="765" spans="1:31" ht="13.2">
      <c r="A765" s="7"/>
      <c r="B765" s="7"/>
      <c r="C765" s="7"/>
      <c r="D765" s="29"/>
      <c r="E765" s="7"/>
      <c r="F765" s="7"/>
      <c r="G765" s="7"/>
      <c r="H765" s="16"/>
      <c r="I765" s="16"/>
      <c r="J765" s="16"/>
      <c r="K765" s="16"/>
      <c r="L765" s="16"/>
      <c r="M765" s="16"/>
      <c r="N765" s="16"/>
      <c r="O765" s="16"/>
      <c r="P765" s="16"/>
      <c r="Q765" s="4"/>
      <c r="R765" s="4"/>
      <c r="S765" s="4"/>
      <c r="T765" s="4"/>
      <c r="U765" s="4"/>
      <c r="V765" s="4"/>
      <c r="W765" s="4"/>
      <c r="X765" s="4"/>
      <c r="Y765" s="4"/>
      <c r="Z765" s="4"/>
      <c r="AA765" s="4"/>
      <c r="AB765" s="4"/>
      <c r="AC765" s="4"/>
      <c r="AD765" s="4"/>
      <c r="AE765" s="4"/>
    </row>
    <row r="766" spans="1:31" ht="13.2">
      <c r="A766" s="7"/>
      <c r="B766" s="7"/>
      <c r="C766" s="7"/>
      <c r="D766" s="29"/>
      <c r="E766" s="7"/>
      <c r="F766" s="7"/>
      <c r="G766" s="7"/>
      <c r="H766" s="16"/>
      <c r="I766" s="16"/>
      <c r="J766" s="16"/>
      <c r="K766" s="16"/>
      <c r="L766" s="16"/>
      <c r="M766" s="16"/>
      <c r="N766" s="16"/>
      <c r="O766" s="16"/>
      <c r="P766" s="16"/>
      <c r="Q766" s="4"/>
      <c r="R766" s="4"/>
      <c r="S766" s="4"/>
      <c r="T766" s="4"/>
      <c r="U766" s="4"/>
      <c r="V766" s="4"/>
      <c r="W766" s="4"/>
      <c r="X766" s="4"/>
      <c r="Y766" s="4"/>
      <c r="Z766" s="4"/>
      <c r="AA766" s="4"/>
      <c r="AB766" s="4"/>
      <c r="AC766" s="4"/>
      <c r="AD766" s="4"/>
      <c r="AE766" s="4"/>
    </row>
    <row r="767" spans="1:31" ht="13.2">
      <c r="A767" s="7"/>
      <c r="B767" s="7"/>
      <c r="C767" s="7"/>
      <c r="D767" s="29"/>
      <c r="E767" s="7"/>
      <c r="F767" s="7"/>
      <c r="G767" s="7"/>
      <c r="H767" s="16"/>
      <c r="I767" s="16"/>
      <c r="J767" s="16"/>
      <c r="K767" s="16"/>
      <c r="L767" s="16"/>
      <c r="M767" s="16"/>
      <c r="N767" s="16"/>
      <c r="O767" s="16"/>
      <c r="P767" s="16"/>
      <c r="Q767" s="4"/>
      <c r="R767" s="4"/>
      <c r="S767" s="4"/>
      <c r="T767" s="4"/>
      <c r="U767" s="4"/>
      <c r="V767" s="4"/>
      <c r="W767" s="4"/>
      <c r="X767" s="4"/>
      <c r="Y767" s="4"/>
      <c r="Z767" s="4"/>
      <c r="AA767" s="4"/>
      <c r="AB767" s="4"/>
      <c r="AC767" s="4"/>
      <c r="AD767" s="4"/>
      <c r="AE767" s="4"/>
    </row>
    <row r="768" spans="1:31" ht="13.2">
      <c r="A768" s="7"/>
      <c r="B768" s="7"/>
      <c r="C768" s="7"/>
      <c r="D768" s="29"/>
      <c r="E768" s="7"/>
      <c r="F768" s="7"/>
      <c r="G768" s="7"/>
      <c r="H768" s="16"/>
      <c r="I768" s="16"/>
      <c r="J768" s="16"/>
      <c r="K768" s="16"/>
      <c r="L768" s="16"/>
      <c r="M768" s="16"/>
      <c r="N768" s="16"/>
      <c r="O768" s="16"/>
      <c r="P768" s="16"/>
      <c r="Q768" s="4"/>
      <c r="R768" s="4"/>
      <c r="S768" s="4"/>
      <c r="T768" s="4"/>
      <c r="U768" s="4"/>
      <c r="V768" s="4"/>
      <c r="W768" s="4"/>
      <c r="X768" s="4"/>
      <c r="Y768" s="4"/>
      <c r="Z768" s="4"/>
      <c r="AA768" s="4"/>
      <c r="AB768" s="4"/>
      <c r="AC768" s="4"/>
      <c r="AD768" s="4"/>
      <c r="AE768" s="4"/>
    </row>
    <row r="769" spans="1:31" ht="13.2">
      <c r="A769" s="7"/>
      <c r="B769" s="7"/>
      <c r="C769" s="7"/>
      <c r="D769" s="29"/>
      <c r="E769" s="7"/>
      <c r="F769" s="7"/>
      <c r="G769" s="7"/>
      <c r="H769" s="16"/>
      <c r="I769" s="16"/>
      <c r="J769" s="16"/>
      <c r="K769" s="16"/>
      <c r="L769" s="16"/>
      <c r="M769" s="16"/>
      <c r="N769" s="16"/>
      <c r="O769" s="16"/>
      <c r="P769" s="16"/>
      <c r="Q769" s="4"/>
      <c r="R769" s="4"/>
      <c r="S769" s="4"/>
      <c r="T769" s="4"/>
      <c r="U769" s="4"/>
      <c r="V769" s="4"/>
      <c r="W769" s="4"/>
      <c r="X769" s="4"/>
      <c r="Y769" s="4"/>
      <c r="Z769" s="4"/>
      <c r="AA769" s="4"/>
      <c r="AB769" s="4"/>
      <c r="AC769" s="4"/>
      <c r="AD769" s="4"/>
      <c r="AE769" s="4"/>
    </row>
    <row r="770" spans="1:31" ht="13.2">
      <c r="A770" s="7"/>
      <c r="B770" s="7"/>
      <c r="C770" s="7"/>
      <c r="D770" s="29"/>
      <c r="E770" s="7"/>
      <c r="F770" s="7"/>
      <c r="G770" s="7"/>
      <c r="H770" s="16"/>
      <c r="I770" s="16"/>
      <c r="J770" s="16"/>
      <c r="K770" s="16"/>
      <c r="L770" s="16"/>
      <c r="M770" s="16"/>
      <c r="N770" s="16"/>
      <c r="O770" s="16"/>
      <c r="P770" s="16"/>
      <c r="Q770" s="4"/>
      <c r="R770" s="4"/>
      <c r="S770" s="4"/>
      <c r="T770" s="4"/>
      <c r="U770" s="4"/>
      <c r="V770" s="4"/>
      <c r="W770" s="4"/>
      <c r="X770" s="4"/>
      <c r="Y770" s="4"/>
      <c r="Z770" s="4"/>
      <c r="AA770" s="4"/>
      <c r="AB770" s="4"/>
      <c r="AC770" s="4"/>
      <c r="AD770" s="4"/>
      <c r="AE770" s="4"/>
    </row>
    <row r="771" spans="1:31" ht="13.2">
      <c r="A771" s="7"/>
      <c r="B771" s="7"/>
      <c r="C771" s="7"/>
      <c r="D771" s="29"/>
      <c r="E771" s="7"/>
      <c r="F771" s="7"/>
      <c r="G771" s="7"/>
      <c r="H771" s="16"/>
      <c r="I771" s="16"/>
      <c r="J771" s="16"/>
      <c r="K771" s="16"/>
      <c r="L771" s="16"/>
      <c r="M771" s="16"/>
      <c r="N771" s="16"/>
      <c r="O771" s="16"/>
      <c r="P771" s="16"/>
      <c r="Q771" s="4"/>
      <c r="R771" s="4"/>
      <c r="S771" s="4"/>
      <c r="T771" s="4"/>
      <c r="U771" s="4"/>
      <c r="V771" s="4"/>
      <c r="W771" s="4"/>
      <c r="X771" s="4"/>
      <c r="Y771" s="4"/>
      <c r="Z771" s="4"/>
      <c r="AA771" s="4"/>
      <c r="AB771" s="4"/>
      <c r="AC771" s="4"/>
      <c r="AD771" s="4"/>
      <c r="AE771" s="4"/>
    </row>
    <row r="772" spans="1:31" ht="13.2">
      <c r="A772" s="7"/>
      <c r="B772" s="7"/>
      <c r="C772" s="7"/>
      <c r="D772" s="29"/>
      <c r="E772" s="7"/>
      <c r="F772" s="7"/>
      <c r="G772" s="7"/>
      <c r="H772" s="16"/>
      <c r="I772" s="16"/>
      <c r="J772" s="16"/>
      <c r="K772" s="16"/>
      <c r="L772" s="16"/>
      <c r="M772" s="16"/>
      <c r="N772" s="16"/>
      <c r="O772" s="16"/>
      <c r="P772" s="16"/>
      <c r="Q772" s="4"/>
      <c r="R772" s="4"/>
      <c r="S772" s="4"/>
      <c r="T772" s="4"/>
      <c r="U772" s="4"/>
      <c r="V772" s="4"/>
      <c r="W772" s="4"/>
      <c r="X772" s="4"/>
      <c r="Y772" s="4"/>
      <c r="Z772" s="4"/>
      <c r="AA772" s="4"/>
      <c r="AB772" s="4"/>
      <c r="AC772" s="4"/>
      <c r="AD772" s="4"/>
      <c r="AE772" s="4"/>
    </row>
    <row r="773" spans="1:31" ht="13.2">
      <c r="A773" s="7"/>
      <c r="B773" s="7"/>
      <c r="C773" s="7"/>
      <c r="D773" s="29"/>
      <c r="E773" s="7"/>
      <c r="F773" s="7"/>
      <c r="G773" s="7"/>
      <c r="H773" s="16"/>
      <c r="I773" s="16"/>
      <c r="J773" s="16"/>
      <c r="K773" s="16"/>
      <c r="L773" s="16"/>
      <c r="M773" s="16"/>
      <c r="N773" s="16"/>
      <c r="O773" s="16"/>
      <c r="P773" s="16"/>
      <c r="Q773" s="4"/>
      <c r="R773" s="4"/>
      <c r="S773" s="4"/>
      <c r="T773" s="4"/>
      <c r="U773" s="4"/>
      <c r="V773" s="4"/>
      <c r="W773" s="4"/>
      <c r="X773" s="4"/>
      <c r="Y773" s="4"/>
      <c r="Z773" s="4"/>
      <c r="AA773" s="4"/>
      <c r="AB773" s="4"/>
      <c r="AC773" s="4"/>
      <c r="AD773" s="4"/>
      <c r="AE773" s="4"/>
    </row>
    <row r="774" spans="1:31" ht="13.2">
      <c r="A774" s="7"/>
      <c r="B774" s="7"/>
      <c r="C774" s="7"/>
      <c r="D774" s="29"/>
      <c r="E774" s="7"/>
      <c r="F774" s="7"/>
      <c r="G774" s="7"/>
      <c r="H774" s="16"/>
      <c r="I774" s="16"/>
      <c r="J774" s="16"/>
      <c r="K774" s="16"/>
      <c r="L774" s="16"/>
      <c r="M774" s="16"/>
      <c r="N774" s="16"/>
      <c r="O774" s="16"/>
      <c r="P774" s="16"/>
      <c r="Q774" s="4"/>
      <c r="R774" s="4"/>
      <c r="S774" s="4"/>
      <c r="T774" s="4"/>
      <c r="U774" s="4"/>
      <c r="V774" s="4"/>
      <c r="W774" s="4"/>
      <c r="X774" s="4"/>
      <c r="Y774" s="4"/>
      <c r="Z774" s="4"/>
      <c r="AA774" s="4"/>
      <c r="AB774" s="4"/>
      <c r="AC774" s="4"/>
      <c r="AD774" s="4"/>
      <c r="AE774" s="4"/>
    </row>
    <row r="775" spans="1:31" ht="13.2">
      <c r="A775" s="7"/>
      <c r="B775" s="7"/>
      <c r="C775" s="7"/>
      <c r="D775" s="29"/>
      <c r="E775" s="7"/>
      <c r="F775" s="7"/>
      <c r="G775" s="7"/>
      <c r="H775" s="16"/>
      <c r="I775" s="16"/>
      <c r="J775" s="16"/>
      <c r="K775" s="16"/>
      <c r="L775" s="16"/>
      <c r="M775" s="16"/>
      <c r="N775" s="16"/>
      <c r="O775" s="16"/>
      <c r="P775" s="16"/>
      <c r="Q775" s="4"/>
      <c r="R775" s="4"/>
      <c r="S775" s="4"/>
      <c r="T775" s="4"/>
      <c r="U775" s="4"/>
      <c r="V775" s="4"/>
      <c r="W775" s="4"/>
      <c r="X775" s="4"/>
      <c r="Y775" s="4"/>
      <c r="Z775" s="4"/>
      <c r="AA775" s="4"/>
      <c r="AB775" s="4"/>
      <c r="AC775" s="4"/>
      <c r="AD775" s="4"/>
      <c r="AE775" s="4"/>
    </row>
    <row r="776" spans="1:31" ht="13.2">
      <c r="A776" s="7"/>
      <c r="B776" s="7"/>
      <c r="C776" s="7"/>
      <c r="D776" s="29"/>
      <c r="E776" s="7"/>
      <c r="F776" s="7"/>
      <c r="G776" s="7"/>
      <c r="H776" s="16"/>
      <c r="I776" s="16"/>
      <c r="J776" s="16"/>
      <c r="K776" s="16"/>
      <c r="L776" s="16"/>
      <c r="M776" s="16"/>
      <c r="N776" s="16"/>
      <c r="O776" s="16"/>
      <c r="P776" s="16"/>
      <c r="Q776" s="4"/>
      <c r="R776" s="4"/>
      <c r="S776" s="4"/>
      <c r="T776" s="4"/>
      <c r="U776" s="4"/>
      <c r="V776" s="4"/>
      <c r="W776" s="4"/>
      <c r="X776" s="4"/>
      <c r="Y776" s="4"/>
      <c r="Z776" s="4"/>
      <c r="AA776" s="4"/>
      <c r="AB776" s="4"/>
      <c r="AC776" s="4"/>
      <c r="AD776" s="4"/>
      <c r="AE776" s="4"/>
    </row>
    <row r="777" spans="1:31" ht="13.2">
      <c r="A777" s="7"/>
      <c r="B777" s="7"/>
      <c r="C777" s="7"/>
      <c r="D777" s="29"/>
      <c r="E777" s="7"/>
      <c r="F777" s="7"/>
      <c r="G777" s="7"/>
      <c r="H777" s="16"/>
      <c r="I777" s="16"/>
      <c r="J777" s="16"/>
      <c r="K777" s="16"/>
      <c r="L777" s="16"/>
      <c r="M777" s="16"/>
      <c r="N777" s="16"/>
      <c r="O777" s="16"/>
      <c r="P777" s="16"/>
      <c r="Q777" s="4"/>
      <c r="R777" s="4"/>
      <c r="S777" s="4"/>
      <c r="T777" s="4"/>
      <c r="U777" s="4"/>
      <c r="V777" s="4"/>
      <c r="W777" s="4"/>
      <c r="X777" s="4"/>
      <c r="Y777" s="4"/>
      <c r="Z777" s="4"/>
      <c r="AA777" s="4"/>
      <c r="AB777" s="4"/>
      <c r="AC777" s="4"/>
      <c r="AD777" s="4"/>
      <c r="AE777" s="4"/>
    </row>
    <row r="778" spans="1:31" ht="13.2">
      <c r="A778" s="7"/>
      <c r="B778" s="7"/>
      <c r="C778" s="7"/>
      <c r="D778" s="29"/>
      <c r="E778" s="7"/>
      <c r="F778" s="7"/>
      <c r="G778" s="7"/>
      <c r="H778" s="16"/>
      <c r="I778" s="16"/>
      <c r="J778" s="16"/>
      <c r="K778" s="16"/>
      <c r="L778" s="16"/>
      <c r="M778" s="16"/>
      <c r="N778" s="16"/>
      <c r="O778" s="16"/>
      <c r="P778" s="16"/>
      <c r="Q778" s="4"/>
      <c r="R778" s="4"/>
      <c r="S778" s="4"/>
      <c r="T778" s="4"/>
      <c r="U778" s="4"/>
      <c r="V778" s="4"/>
      <c r="W778" s="4"/>
      <c r="X778" s="4"/>
      <c r="Y778" s="4"/>
      <c r="Z778" s="4"/>
      <c r="AA778" s="4"/>
      <c r="AB778" s="4"/>
      <c r="AC778" s="4"/>
      <c r="AD778" s="4"/>
      <c r="AE778" s="4"/>
    </row>
    <row r="779" spans="1:31" ht="13.2">
      <c r="A779" s="7"/>
      <c r="B779" s="7"/>
      <c r="C779" s="7"/>
      <c r="D779" s="29"/>
      <c r="E779" s="7"/>
      <c r="F779" s="7"/>
      <c r="G779" s="7"/>
      <c r="H779" s="16"/>
      <c r="I779" s="16"/>
      <c r="J779" s="16"/>
      <c r="K779" s="16"/>
      <c r="L779" s="16"/>
      <c r="M779" s="16"/>
      <c r="N779" s="16"/>
      <c r="O779" s="16"/>
      <c r="P779" s="16"/>
      <c r="Q779" s="4"/>
      <c r="R779" s="4"/>
      <c r="S779" s="4"/>
      <c r="T779" s="4"/>
      <c r="U779" s="4"/>
      <c r="V779" s="4"/>
      <c r="W779" s="4"/>
      <c r="X779" s="4"/>
      <c r="Y779" s="4"/>
      <c r="Z779" s="4"/>
      <c r="AA779" s="4"/>
      <c r="AB779" s="4"/>
      <c r="AC779" s="4"/>
      <c r="AD779" s="4"/>
      <c r="AE779" s="4"/>
    </row>
    <row r="780" spans="1:31" ht="13.2">
      <c r="A780" s="7"/>
      <c r="B780" s="7"/>
      <c r="C780" s="7"/>
      <c r="D780" s="29"/>
      <c r="E780" s="7"/>
      <c r="F780" s="7"/>
      <c r="G780" s="7"/>
      <c r="H780" s="16"/>
      <c r="I780" s="16"/>
      <c r="J780" s="16"/>
      <c r="K780" s="16"/>
      <c r="L780" s="16"/>
      <c r="M780" s="16"/>
      <c r="N780" s="16"/>
      <c r="O780" s="16"/>
      <c r="P780" s="16"/>
      <c r="Q780" s="4"/>
      <c r="R780" s="4"/>
      <c r="S780" s="4"/>
      <c r="T780" s="4"/>
      <c r="U780" s="4"/>
      <c r="V780" s="4"/>
      <c r="W780" s="4"/>
      <c r="X780" s="4"/>
      <c r="Y780" s="4"/>
      <c r="Z780" s="4"/>
      <c r="AA780" s="4"/>
      <c r="AB780" s="4"/>
      <c r="AC780" s="4"/>
      <c r="AD780" s="4"/>
      <c r="AE780" s="4"/>
    </row>
    <row r="781" spans="1:31" ht="13.2">
      <c r="A781" s="7"/>
      <c r="B781" s="7"/>
      <c r="C781" s="7"/>
      <c r="D781" s="29"/>
      <c r="E781" s="7"/>
      <c r="F781" s="7"/>
      <c r="G781" s="7"/>
      <c r="H781" s="16"/>
      <c r="I781" s="16"/>
      <c r="J781" s="16"/>
      <c r="K781" s="16"/>
      <c r="L781" s="16"/>
      <c r="M781" s="16"/>
      <c r="N781" s="16"/>
      <c r="O781" s="16"/>
      <c r="P781" s="16"/>
      <c r="Q781" s="4"/>
      <c r="R781" s="4"/>
      <c r="S781" s="4"/>
      <c r="T781" s="4"/>
      <c r="U781" s="4"/>
      <c r="V781" s="4"/>
      <c r="W781" s="4"/>
      <c r="X781" s="4"/>
      <c r="Y781" s="4"/>
      <c r="Z781" s="4"/>
      <c r="AA781" s="4"/>
      <c r="AB781" s="4"/>
      <c r="AC781" s="4"/>
      <c r="AD781" s="4"/>
      <c r="AE781" s="4"/>
    </row>
    <row r="782" spans="1:31" ht="13.2">
      <c r="A782" s="7"/>
      <c r="B782" s="7"/>
      <c r="C782" s="7"/>
      <c r="D782" s="29"/>
      <c r="E782" s="7"/>
      <c r="F782" s="7"/>
      <c r="G782" s="7"/>
      <c r="H782" s="16"/>
      <c r="I782" s="16"/>
      <c r="J782" s="16"/>
      <c r="K782" s="16"/>
      <c r="L782" s="16"/>
      <c r="M782" s="16"/>
      <c r="N782" s="16"/>
      <c r="O782" s="16"/>
      <c r="P782" s="16"/>
      <c r="Q782" s="4"/>
      <c r="R782" s="4"/>
      <c r="S782" s="4"/>
      <c r="T782" s="4"/>
      <c r="U782" s="4"/>
      <c r="V782" s="4"/>
      <c r="W782" s="4"/>
      <c r="X782" s="4"/>
      <c r="Y782" s="4"/>
      <c r="Z782" s="4"/>
      <c r="AA782" s="4"/>
      <c r="AB782" s="4"/>
      <c r="AC782" s="4"/>
      <c r="AD782" s="4"/>
      <c r="AE782" s="4"/>
    </row>
    <row r="783" spans="1:31" ht="13.2">
      <c r="A783" s="7"/>
      <c r="B783" s="7"/>
      <c r="C783" s="7"/>
      <c r="D783" s="29"/>
      <c r="E783" s="7"/>
      <c r="F783" s="7"/>
      <c r="G783" s="7"/>
      <c r="H783" s="16"/>
      <c r="I783" s="16"/>
      <c r="J783" s="16"/>
      <c r="K783" s="16"/>
      <c r="L783" s="16"/>
      <c r="M783" s="16"/>
      <c r="N783" s="16"/>
      <c r="O783" s="16"/>
      <c r="P783" s="16"/>
      <c r="Q783" s="4"/>
      <c r="R783" s="4"/>
      <c r="S783" s="4"/>
      <c r="T783" s="4"/>
      <c r="U783" s="4"/>
      <c r="V783" s="4"/>
      <c r="W783" s="4"/>
      <c r="X783" s="4"/>
      <c r="Y783" s="4"/>
      <c r="Z783" s="4"/>
      <c r="AA783" s="4"/>
      <c r="AB783" s="4"/>
      <c r="AC783" s="4"/>
      <c r="AD783" s="4"/>
      <c r="AE783" s="4"/>
    </row>
    <row r="784" spans="1:31" ht="13.2">
      <c r="A784" s="7"/>
      <c r="B784" s="7"/>
      <c r="C784" s="7"/>
      <c r="D784" s="29"/>
      <c r="E784" s="7"/>
      <c r="F784" s="7"/>
      <c r="G784" s="7"/>
      <c r="H784" s="16"/>
      <c r="I784" s="16"/>
      <c r="J784" s="16"/>
      <c r="K784" s="16"/>
      <c r="L784" s="16"/>
      <c r="M784" s="16"/>
      <c r="N784" s="16"/>
      <c r="O784" s="16"/>
      <c r="P784" s="16"/>
      <c r="Q784" s="4"/>
      <c r="R784" s="4"/>
      <c r="S784" s="4"/>
      <c r="T784" s="4"/>
      <c r="U784" s="4"/>
      <c r="V784" s="4"/>
      <c r="W784" s="4"/>
      <c r="X784" s="4"/>
      <c r="Y784" s="4"/>
      <c r="Z784" s="4"/>
      <c r="AA784" s="4"/>
      <c r="AB784" s="4"/>
      <c r="AC784" s="4"/>
      <c r="AD784" s="4"/>
      <c r="AE784" s="4"/>
    </row>
    <row r="785" spans="1:31" ht="13.2">
      <c r="A785" s="7"/>
      <c r="B785" s="7"/>
      <c r="C785" s="7"/>
      <c r="D785" s="29"/>
      <c r="E785" s="7"/>
      <c r="F785" s="7"/>
      <c r="G785" s="7"/>
      <c r="H785" s="16"/>
      <c r="I785" s="16"/>
      <c r="J785" s="16"/>
      <c r="K785" s="16"/>
      <c r="L785" s="16"/>
      <c r="M785" s="16"/>
      <c r="N785" s="16"/>
      <c r="O785" s="16"/>
      <c r="P785" s="16"/>
      <c r="Q785" s="4"/>
      <c r="R785" s="4"/>
      <c r="S785" s="4"/>
      <c r="T785" s="4"/>
      <c r="U785" s="4"/>
      <c r="V785" s="4"/>
      <c r="W785" s="4"/>
      <c r="X785" s="4"/>
      <c r="Y785" s="4"/>
      <c r="Z785" s="4"/>
      <c r="AA785" s="4"/>
      <c r="AB785" s="4"/>
      <c r="AC785" s="4"/>
      <c r="AD785" s="4"/>
      <c r="AE785" s="4"/>
    </row>
    <row r="786" spans="1:31" ht="13.2">
      <c r="A786" s="7"/>
      <c r="B786" s="7"/>
      <c r="C786" s="7"/>
      <c r="D786" s="29"/>
      <c r="E786" s="7"/>
      <c r="F786" s="7"/>
      <c r="G786" s="7"/>
      <c r="H786" s="16"/>
      <c r="I786" s="16"/>
      <c r="J786" s="16"/>
      <c r="K786" s="16"/>
      <c r="L786" s="16"/>
      <c r="M786" s="16"/>
      <c r="N786" s="16"/>
      <c r="O786" s="16"/>
      <c r="P786" s="16"/>
      <c r="Q786" s="4"/>
      <c r="R786" s="4"/>
      <c r="S786" s="4"/>
      <c r="T786" s="4"/>
      <c r="U786" s="4"/>
      <c r="V786" s="4"/>
      <c r="W786" s="4"/>
      <c r="X786" s="4"/>
      <c r="Y786" s="4"/>
      <c r="Z786" s="4"/>
      <c r="AA786" s="4"/>
      <c r="AB786" s="4"/>
      <c r="AC786" s="4"/>
      <c r="AD786" s="4"/>
      <c r="AE786" s="4"/>
    </row>
    <row r="787" spans="1:31" ht="13.2">
      <c r="A787" s="7"/>
      <c r="B787" s="7"/>
      <c r="C787" s="7"/>
      <c r="D787" s="29"/>
      <c r="E787" s="7"/>
      <c r="F787" s="7"/>
      <c r="G787" s="7"/>
      <c r="H787" s="16"/>
      <c r="I787" s="16"/>
      <c r="J787" s="16"/>
      <c r="K787" s="16"/>
      <c r="L787" s="16"/>
      <c r="M787" s="16"/>
      <c r="N787" s="16"/>
      <c r="O787" s="16"/>
      <c r="P787" s="16"/>
      <c r="Q787" s="4"/>
      <c r="R787" s="4"/>
      <c r="S787" s="4"/>
      <c r="T787" s="4"/>
      <c r="U787" s="4"/>
      <c r="V787" s="4"/>
      <c r="W787" s="4"/>
      <c r="X787" s="4"/>
      <c r="Y787" s="4"/>
      <c r="Z787" s="4"/>
      <c r="AA787" s="4"/>
      <c r="AB787" s="4"/>
      <c r="AC787" s="4"/>
      <c r="AD787" s="4"/>
      <c r="AE787" s="4"/>
    </row>
    <row r="788" spans="1:31" ht="13.2">
      <c r="A788" s="7"/>
      <c r="B788" s="7"/>
      <c r="C788" s="7"/>
      <c r="D788" s="29"/>
      <c r="E788" s="7"/>
      <c r="F788" s="7"/>
      <c r="G788" s="7"/>
      <c r="H788" s="16"/>
      <c r="I788" s="16"/>
      <c r="J788" s="16"/>
      <c r="K788" s="16"/>
      <c r="L788" s="16"/>
      <c r="M788" s="16"/>
      <c r="N788" s="16"/>
      <c r="O788" s="16"/>
      <c r="P788" s="16"/>
      <c r="Q788" s="4"/>
      <c r="R788" s="4"/>
      <c r="S788" s="4"/>
      <c r="T788" s="4"/>
      <c r="U788" s="4"/>
      <c r="V788" s="4"/>
      <c r="W788" s="4"/>
      <c r="X788" s="4"/>
      <c r="Y788" s="4"/>
      <c r="Z788" s="4"/>
      <c r="AA788" s="4"/>
      <c r="AB788" s="4"/>
      <c r="AC788" s="4"/>
      <c r="AD788" s="4"/>
      <c r="AE788" s="4"/>
    </row>
    <row r="789" spans="1:31" ht="13.2">
      <c r="A789" s="7"/>
      <c r="B789" s="7"/>
      <c r="C789" s="7"/>
      <c r="D789" s="29"/>
      <c r="E789" s="7"/>
      <c r="F789" s="7"/>
      <c r="G789" s="7"/>
      <c r="H789" s="16"/>
      <c r="I789" s="16"/>
      <c r="J789" s="16"/>
      <c r="K789" s="16"/>
      <c r="L789" s="16"/>
      <c r="M789" s="16"/>
      <c r="N789" s="16"/>
      <c r="O789" s="16"/>
      <c r="P789" s="16"/>
      <c r="Q789" s="4"/>
      <c r="R789" s="4"/>
      <c r="S789" s="4"/>
      <c r="T789" s="4"/>
      <c r="U789" s="4"/>
      <c r="V789" s="4"/>
      <c r="W789" s="4"/>
      <c r="X789" s="4"/>
      <c r="Y789" s="4"/>
      <c r="Z789" s="4"/>
      <c r="AA789" s="4"/>
      <c r="AB789" s="4"/>
      <c r="AC789" s="4"/>
      <c r="AD789" s="4"/>
      <c r="AE789" s="4"/>
    </row>
    <row r="790" spans="1:31" ht="13.2">
      <c r="A790" s="7"/>
      <c r="B790" s="7"/>
      <c r="C790" s="7"/>
      <c r="D790" s="29"/>
      <c r="E790" s="7"/>
      <c r="F790" s="7"/>
      <c r="G790" s="7"/>
      <c r="H790" s="16"/>
      <c r="I790" s="16"/>
      <c r="J790" s="16"/>
      <c r="K790" s="16"/>
      <c r="L790" s="16"/>
      <c r="M790" s="16"/>
      <c r="N790" s="16"/>
      <c r="O790" s="16"/>
      <c r="P790" s="16"/>
      <c r="Q790" s="4"/>
      <c r="R790" s="4"/>
      <c r="S790" s="4"/>
      <c r="T790" s="4"/>
      <c r="U790" s="4"/>
      <c r="V790" s="4"/>
      <c r="W790" s="4"/>
      <c r="X790" s="4"/>
      <c r="Y790" s="4"/>
      <c r="Z790" s="4"/>
      <c r="AA790" s="4"/>
      <c r="AB790" s="4"/>
      <c r="AC790" s="4"/>
      <c r="AD790" s="4"/>
      <c r="AE790" s="4"/>
    </row>
    <row r="791" spans="1:31" ht="13.2">
      <c r="A791" s="7"/>
      <c r="B791" s="7"/>
      <c r="C791" s="7"/>
      <c r="D791" s="29"/>
      <c r="E791" s="7"/>
      <c r="F791" s="7"/>
      <c r="G791" s="7"/>
      <c r="H791" s="16"/>
      <c r="I791" s="16"/>
      <c r="J791" s="16"/>
      <c r="K791" s="16"/>
      <c r="L791" s="16"/>
      <c r="M791" s="16"/>
      <c r="N791" s="16"/>
      <c r="O791" s="16"/>
      <c r="P791" s="16"/>
      <c r="Q791" s="4"/>
      <c r="R791" s="4"/>
      <c r="S791" s="4"/>
      <c r="T791" s="4"/>
      <c r="U791" s="4"/>
      <c r="V791" s="4"/>
      <c r="W791" s="4"/>
      <c r="X791" s="4"/>
      <c r="Y791" s="4"/>
      <c r="Z791" s="4"/>
      <c r="AA791" s="4"/>
      <c r="AB791" s="4"/>
      <c r="AC791" s="4"/>
      <c r="AD791" s="4"/>
      <c r="AE791" s="4"/>
    </row>
    <row r="792" spans="1:31" ht="13.2">
      <c r="A792" s="7"/>
      <c r="B792" s="7"/>
      <c r="C792" s="7"/>
      <c r="D792" s="29"/>
      <c r="E792" s="7"/>
      <c r="F792" s="7"/>
      <c r="G792" s="7"/>
      <c r="H792" s="16"/>
      <c r="I792" s="16"/>
      <c r="J792" s="16"/>
      <c r="K792" s="16"/>
      <c r="L792" s="16"/>
      <c r="M792" s="16"/>
      <c r="N792" s="16"/>
      <c r="O792" s="16"/>
      <c r="P792" s="16"/>
      <c r="Q792" s="4"/>
      <c r="R792" s="4"/>
      <c r="S792" s="4"/>
      <c r="T792" s="4"/>
      <c r="U792" s="4"/>
      <c r="V792" s="4"/>
      <c r="W792" s="4"/>
      <c r="X792" s="4"/>
      <c r="Y792" s="4"/>
      <c r="Z792" s="4"/>
      <c r="AA792" s="4"/>
      <c r="AB792" s="4"/>
      <c r="AC792" s="4"/>
      <c r="AD792" s="4"/>
      <c r="AE792" s="4"/>
    </row>
    <row r="793" spans="1:31" ht="13.2">
      <c r="A793" s="7"/>
      <c r="B793" s="7"/>
      <c r="C793" s="7"/>
      <c r="D793" s="29"/>
      <c r="E793" s="7"/>
      <c r="F793" s="7"/>
      <c r="G793" s="7"/>
      <c r="H793" s="16"/>
      <c r="I793" s="16"/>
      <c r="J793" s="16"/>
      <c r="K793" s="16"/>
      <c r="L793" s="16"/>
      <c r="M793" s="16"/>
      <c r="N793" s="16"/>
      <c r="O793" s="16"/>
      <c r="P793" s="16"/>
      <c r="Q793" s="4"/>
      <c r="R793" s="4"/>
      <c r="S793" s="4"/>
      <c r="T793" s="4"/>
      <c r="U793" s="4"/>
      <c r="V793" s="4"/>
      <c r="W793" s="4"/>
      <c r="X793" s="4"/>
      <c r="Y793" s="4"/>
      <c r="Z793" s="4"/>
      <c r="AA793" s="4"/>
      <c r="AB793" s="4"/>
      <c r="AC793" s="4"/>
      <c r="AD793" s="4"/>
      <c r="AE793" s="4"/>
    </row>
    <row r="794" spans="1:31" ht="13.2">
      <c r="A794" s="7"/>
      <c r="B794" s="7"/>
      <c r="C794" s="7"/>
      <c r="D794" s="29"/>
      <c r="E794" s="7"/>
      <c r="F794" s="7"/>
      <c r="G794" s="7"/>
      <c r="H794" s="16"/>
      <c r="I794" s="16"/>
      <c r="J794" s="16"/>
      <c r="K794" s="16"/>
      <c r="L794" s="16"/>
      <c r="M794" s="16"/>
      <c r="N794" s="16"/>
      <c r="O794" s="16"/>
      <c r="P794" s="16"/>
      <c r="Q794" s="4"/>
      <c r="R794" s="4"/>
      <c r="S794" s="4"/>
      <c r="T794" s="4"/>
      <c r="U794" s="4"/>
      <c r="V794" s="4"/>
      <c r="W794" s="4"/>
      <c r="X794" s="4"/>
      <c r="Y794" s="4"/>
      <c r="Z794" s="4"/>
      <c r="AA794" s="4"/>
      <c r="AB794" s="4"/>
      <c r="AC794" s="4"/>
      <c r="AD794" s="4"/>
      <c r="AE794" s="4"/>
    </row>
    <row r="795" spans="1:31" ht="13.2">
      <c r="A795" s="7"/>
      <c r="B795" s="7"/>
      <c r="C795" s="7"/>
      <c r="D795" s="29"/>
      <c r="E795" s="7"/>
      <c r="F795" s="7"/>
      <c r="G795" s="7"/>
      <c r="H795" s="16"/>
      <c r="I795" s="16"/>
      <c r="J795" s="16"/>
      <c r="K795" s="16"/>
      <c r="L795" s="16"/>
      <c r="M795" s="16"/>
      <c r="N795" s="16"/>
      <c r="O795" s="16"/>
      <c r="P795" s="16"/>
      <c r="Q795" s="4"/>
      <c r="R795" s="4"/>
      <c r="S795" s="4"/>
      <c r="T795" s="4"/>
      <c r="U795" s="4"/>
      <c r="V795" s="4"/>
      <c r="W795" s="4"/>
      <c r="X795" s="4"/>
      <c r="Y795" s="4"/>
      <c r="Z795" s="4"/>
      <c r="AA795" s="4"/>
      <c r="AB795" s="4"/>
      <c r="AC795" s="4"/>
      <c r="AD795" s="4"/>
      <c r="AE795" s="4"/>
    </row>
    <row r="796" spans="1:31" ht="13.2">
      <c r="A796" s="7"/>
      <c r="B796" s="7"/>
      <c r="C796" s="7"/>
      <c r="D796" s="29"/>
      <c r="E796" s="7"/>
      <c r="F796" s="7"/>
      <c r="G796" s="7"/>
      <c r="H796" s="16"/>
      <c r="I796" s="16"/>
      <c r="J796" s="16"/>
      <c r="K796" s="16"/>
      <c r="L796" s="16"/>
      <c r="M796" s="16"/>
      <c r="N796" s="16"/>
      <c r="O796" s="16"/>
      <c r="P796" s="16"/>
      <c r="Q796" s="4"/>
      <c r="R796" s="4"/>
      <c r="S796" s="4"/>
      <c r="T796" s="4"/>
      <c r="U796" s="4"/>
      <c r="V796" s="4"/>
      <c r="W796" s="4"/>
      <c r="X796" s="4"/>
      <c r="Y796" s="4"/>
      <c r="Z796" s="4"/>
      <c r="AA796" s="4"/>
      <c r="AB796" s="4"/>
      <c r="AC796" s="4"/>
      <c r="AD796" s="4"/>
      <c r="AE796" s="4"/>
    </row>
    <row r="797" spans="1:31" ht="13.2">
      <c r="A797" s="7"/>
      <c r="B797" s="7"/>
      <c r="C797" s="7"/>
      <c r="D797" s="29"/>
      <c r="E797" s="7"/>
      <c r="F797" s="7"/>
      <c r="G797" s="7"/>
      <c r="H797" s="16"/>
      <c r="I797" s="16"/>
      <c r="J797" s="16"/>
      <c r="K797" s="16"/>
      <c r="L797" s="16"/>
      <c r="M797" s="16"/>
      <c r="N797" s="16"/>
      <c r="O797" s="16"/>
      <c r="P797" s="16"/>
      <c r="Q797" s="4"/>
      <c r="R797" s="4"/>
      <c r="S797" s="4"/>
      <c r="T797" s="4"/>
      <c r="U797" s="4"/>
      <c r="V797" s="4"/>
      <c r="W797" s="4"/>
      <c r="X797" s="4"/>
      <c r="Y797" s="4"/>
      <c r="Z797" s="4"/>
      <c r="AA797" s="4"/>
      <c r="AB797" s="4"/>
      <c r="AC797" s="4"/>
      <c r="AD797" s="4"/>
      <c r="AE797" s="4"/>
    </row>
    <row r="798" spans="1:31" ht="13.2">
      <c r="A798" s="7"/>
      <c r="B798" s="7"/>
      <c r="C798" s="7"/>
      <c r="D798" s="29"/>
      <c r="E798" s="7"/>
      <c r="F798" s="7"/>
      <c r="G798" s="7"/>
      <c r="H798" s="16"/>
      <c r="I798" s="16"/>
      <c r="J798" s="16"/>
      <c r="K798" s="16"/>
      <c r="L798" s="16"/>
      <c r="M798" s="16"/>
      <c r="N798" s="16"/>
      <c r="O798" s="16"/>
      <c r="P798" s="16"/>
      <c r="Q798" s="4"/>
      <c r="R798" s="4"/>
      <c r="S798" s="4"/>
      <c r="T798" s="4"/>
      <c r="U798" s="4"/>
      <c r="V798" s="4"/>
      <c r="W798" s="4"/>
      <c r="X798" s="4"/>
      <c r="Y798" s="4"/>
      <c r="Z798" s="4"/>
      <c r="AA798" s="4"/>
      <c r="AB798" s="4"/>
      <c r="AC798" s="4"/>
      <c r="AD798" s="4"/>
      <c r="AE798" s="4"/>
    </row>
    <row r="799" spans="1:31" ht="13.2">
      <c r="A799" s="7"/>
      <c r="B799" s="7"/>
      <c r="C799" s="7"/>
      <c r="D799" s="29"/>
      <c r="E799" s="7"/>
      <c r="F799" s="7"/>
      <c r="G799" s="7"/>
      <c r="H799" s="16"/>
      <c r="I799" s="16"/>
      <c r="J799" s="16"/>
      <c r="K799" s="16"/>
      <c r="L799" s="16"/>
      <c r="M799" s="16"/>
      <c r="N799" s="16"/>
      <c r="O799" s="16"/>
      <c r="P799" s="16"/>
      <c r="Q799" s="4"/>
      <c r="R799" s="4"/>
      <c r="S799" s="4"/>
      <c r="T799" s="4"/>
      <c r="U799" s="4"/>
      <c r="V799" s="4"/>
      <c r="W799" s="4"/>
      <c r="X799" s="4"/>
      <c r="Y799" s="4"/>
      <c r="Z799" s="4"/>
      <c r="AA799" s="4"/>
      <c r="AB799" s="4"/>
      <c r="AC799" s="4"/>
      <c r="AD799" s="4"/>
      <c r="AE799" s="4"/>
    </row>
    <row r="800" spans="1:31" ht="13.2">
      <c r="A800" s="7"/>
      <c r="B800" s="7"/>
      <c r="C800" s="7"/>
      <c r="D800" s="29"/>
      <c r="E800" s="7"/>
      <c r="F800" s="7"/>
      <c r="G800" s="7"/>
      <c r="H800" s="16"/>
      <c r="I800" s="16"/>
      <c r="J800" s="16"/>
      <c r="K800" s="16"/>
      <c r="L800" s="16"/>
      <c r="M800" s="16"/>
      <c r="N800" s="16"/>
      <c r="O800" s="16"/>
      <c r="P800" s="16"/>
      <c r="Q800" s="4"/>
      <c r="R800" s="4"/>
      <c r="S800" s="4"/>
      <c r="T800" s="4"/>
      <c r="U800" s="4"/>
      <c r="V800" s="4"/>
      <c r="W800" s="4"/>
      <c r="X800" s="4"/>
      <c r="Y800" s="4"/>
      <c r="Z800" s="4"/>
      <c r="AA800" s="4"/>
      <c r="AB800" s="4"/>
      <c r="AC800" s="4"/>
      <c r="AD800" s="4"/>
      <c r="AE800" s="4"/>
    </row>
    <row r="801" spans="1:31" ht="13.2">
      <c r="A801" s="7"/>
      <c r="B801" s="7"/>
      <c r="C801" s="7"/>
      <c r="D801" s="29"/>
      <c r="E801" s="7"/>
      <c r="F801" s="7"/>
      <c r="G801" s="7"/>
      <c r="H801" s="16"/>
      <c r="I801" s="16"/>
      <c r="J801" s="16"/>
      <c r="K801" s="16"/>
      <c r="L801" s="16"/>
      <c r="M801" s="16"/>
      <c r="N801" s="16"/>
      <c r="O801" s="16"/>
      <c r="P801" s="16"/>
      <c r="Q801" s="4"/>
      <c r="R801" s="4"/>
      <c r="S801" s="4"/>
      <c r="T801" s="4"/>
      <c r="U801" s="4"/>
      <c r="V801" s="4"/>
      <c r="W801" s="4"/>
      <c r="X801" s="4"/>
      <c r="Y801" s="4"/>
      <c r="Z801" s="4"/>
      <c r="AA801" s="4"/>
      <c r="AB801" s="4"/>
      <c r="AC801" s="4"/>
      <c r="AD801" s="4"/>
      <c r="AE801" s="4"/>
    </row>
    <row r="802" spans="1:31" ht="13.2">
      <c r="A802" s="7"/>
      <c r="B802" s="7"/>
      <c r="C802" s="7"/>
      <c r="D802" s="29"/>
      <c r="E802" s="7"/>
      <c r="F802" s="7"/>
      <c r="G802" s="7"/>
      <c r="H802" s="16"/>
      <c r="I802" s="16"/>
      <c r="J802" s="16"/>
      <c r="K802" s="16"/>
      <c r="L802" s="16"/>
      <c r="M802" s="16"/>
      <c r="N802" s="16"/>
      <c r="O802" s="16"/>
      <c r="P802" s="16"/>
      <c r="Q802" s="4"/>
      <c r="R802" s="4"/>
      <c r="S802" s="4"/>
      <c r="T802" s="4"/>
      <c r="U802" s="4"/>
      <c r="V802" s="4"/>
      <c r="W802" s="4"/>
      <c r="X802" s="4"/>
      <c r="Y802" s="4"/>
      <c r="Z802" s="4"/>
      <c r="AA802" s="4"/>
      <c r="AB802" s="4"/>
      <c r="AC802" s="4"/>
      <c r="AD802" s="4"/>
      <c r="AE802" s="4"/>
    </row>
    <row r="803" spans="1:31" ht="13.2">
      <c r="A803" s="7"/>
      <c r="B803" s="7"/>
      <c r="C803" s="7"/>
      <c r="D803" s="29"/>
      <c r="E803" s="7"/>
      <c r="F803" s="7"/>
      <c r="G803" s="7"/>
      <c r="H803" s="16"/>
      <c r="I803" s="16"/>
      <c r="J803" s="16"/>
      <c r="K803" s="16"/>
      <c r="L803" s="16"/>
      <c r="M803" s="16"/>
      <c r="N803" s="16"/>
      <c r="O803" s="16"/>
      <c r="P803" s="16"/>
      <c r="Q803" s="4"/>
      <c r="R803" s="4"/>
      <c r="S803" s="4"/>
      <c r="T803" s="4"/>
      <c r="U803" s="4"/>
      <c r="V803" s="4"/>
      <c r="W803" s="4"/>
      <c r="X803" s="4"/>
      <c r="Y803" s="4"/>
      <c r="Z803" s="4"/>
      <c r="AA803" s="4"/>
      <c r="AB803" s="4"/>
      <c r="AC803" s="4"/>
      <c r="AD803" s="4"/>
      <c r="AE803" s="4"/>
    </row>
    <row r="804" spans="1:31" ht="13.2">
      <c r="A804" s="7"/>
      <c r="B804" s="7"/>
      <c r="C804" s="7"/>
      <c r="D804" s="29"/>
      <c r="E804" s="7"/>
      <c r="F804" s="7"/>
      <c r="G804" s="7"/>
      <c r="H804" s="16"/>
      <c r="I804" s="16"/>
      <c r="J804" s="16"/>
      <c r="K804" s="16"/>
      <c r="L804" s="16"/>
      <c r="M804" s="16"/>
      <c r="N804" s="16"/>
      <c r="O804" s="16"/>
      <c r="P804" s="16"/>
      <c r="Q804" s="4"/>
      <c r="R804" s="4"/>
      <c r="S804" s="4"/>
      <c r="T804" s="4"/>
      <c r="U804" s="4"/>
      <c r="V804" s="4"/>
      <c r="W804" s="4"/>
      <c r="X804" s="4"/>
      <c r="Y804" s="4"/>
      <c r="Z804" s="4"/>
      <c r="AA804" s="4"/>
      <c r="AB804" s="4"/>
      <c r="AC804" s="4"/>
      <c r="AD804" s="4"/>
      <c r="AE804" s="4"/>
    </row>
    <row r="805" spans="1:31" ht="13.2">
      <c r="A805" s="7"/>
      <c r="B805" s="7"/>
      <c r="C805" s="7"/>
      <c r="D805" s="29"/>
      <c r="E805" s="7"/>
      <c r="F805" s="7"/>
      <c r="G805" s="7"/>
      <c r="H805" s="16"/>
      <c r="I805" s="16"/>
      <c r="J805" s="16"/>
      <c r="K805" s="16"/>
      <c r="L805" s="16"/>
      <c r="M805" s="16"/>
      <c r="N805" s="16"/>
      <c r="O805" s="16"/>
      <c r="P805" s="16"/>
      <c r="Q805" s="4"/>
      <c r="R805" s="4"/>
      <c r="S805" s="4"/>
      <c r="T805" s="4"/>
      <c r="U805" s="4"/>
      <c r="V805" s="4"/>
      <c r="W805" s="4"/>
      <c r="X805" s="4"/>
      <c r="Y805" s="4"/>
      <c r="Z805" s="4"/>
      <c r="AA805" s="4"/>
      <c r="AB805" s="4"/>
      <c r="AC805" s="4"/>
      <c r="AD805" s="4"/>
      <c r="AE805" s="4"/>
    </row>
    <row r="806" spans="1:31" ht="13.2">
      <c r="A806" s="7"/>
      <c r="B806" s="7"/>
      <c r="C806" s="7"/>
      <c r="D806" s="29"/>
      <c r="E806" s="7"/>
      <c r="F806" s="7"/>
      <c r="G806" s="7"/>
      <c r="H806" s="16"/>
      <c r="I806" s="16"/>
      <c r="J806" s="16"/>
      <c r="K806" s="16"/>
      <c r="L806" s="16"/>
      <c r="M806" s="16"/>
      <c r="N806" s="16"/>
      <c r="O806" s="16"/>
      <c r="P806" s="16"/>
      <c r="Q806" s="4"/>
      <c r="R806" s="4"/>
      <c r="S806" s="4"/>
      <c r="T806" s="4"/>
      <c r="U806" s="4"/>
      <c r="V806" s="4"/>
      <c r="W806" s="4"/>
      <c r="X806" s="4"/>
      <c r="Y806" s="4"/>
      <c r="Z806" s="4"/>
      <c r="AA806" s="4"/>
      <c r="AB806" s="4"/>
      <c r="AC806" s="4"/>
      <c r="AD806" s="4"/>
      <c r="AE806" s="4"/>
    </row>
    <row r="807" spans="1:31" ht="13.2">
      <c r="A807" s="7"/>
      <c r="B807" s="7"/>
      <c r="C807" s="7"/>
      <c r="D807" s="29"/>
      <c r="E807" s="7"/>
      <c r="F807" s="7"/>
      <c r="G807" s="7"/>
      <c r="H807" s="16"/>
      <c r="I807" s="16"/>
      <c r="J807" s="16"/>
      <c r="K807" s="16"/>
      <c r="L807" s="16"/>
      <c r="M807" s="16"/>
      <c r="N807" s="16"/>
      <c r="O807" s="16"/>
      <c r="P807" s="16"/>
      <c r="Q807" s="4"/>
      <c r="R807" s="4"/>
      <c r="S807" s="4"/>
      <c r="T807" s="4"/>
      <c r="U807" s="4"/>
      <c r="V807" s="4"/>
      <c r="W807" s="4"/>
      <c r="X807" s="4"/>
      <c r="Y807" s="4"/>
      <c r="Z807" s="4"/>
      <c r="AA807" s="4"/>
      <c r="AB807" s="4"/>
      <c r="AC807" s="4"/>
      <c r="AD807" s="4"/>
      <c r="AE807" s="4"/>
    </row>
    <row r="808" spans="1:31" ht="13.2">
      <c r="A808" s="7"/>
      <c r="B808" s="7"/>
      <c r="C808" s="7"/>
      <c r="D808" s="29"/>
      <c r="E808" s="7"/>
      <c r="F808" s="7"/>
      <c r="G808" s="7"/>
      <c r="H808" s="16"/>
      <c r="I808" s="16"/>
      <c r="J808" s="16"/>
      <c r="K808" s="16"/>
      <c r="L808" s="16"/>
      <c r="M808" s="16"/>
      <c r="N808" s="16"/>
      <c r="O808" s="16"/>
      <c r="P808" s="16"/>
      <c r="Q808" s="4"/>
      <c r="R808" s="4"/>
      <c r="S808" s="4"/>
      <c r="T808" s="4"/>
      <c r="U808" s="4"/>
      <c r="V808" s="4"/>
      <c r="W808" s="4"/>
      <c r="X808" s="4"/>
      <c r="Y808" s="4"/>
      <c r="Z808" s="4"/>
      <c r="AA808" s="4"/>
      <c r="AB808" s="4"/>
      <c r="AC808" s="4"/>
      <c r="AD808" s="4"/>
      <c r="AE808" s="4"/>
    </row>
    <row r="809" spans="1:31" ht="13.2">
      <c r="A809" s="7"/>
      <c r="B809" s="7"/>
      <c r="C809" s="7"/>
      <c r="D809" s="29"/>
      <c r="E809" s="7"/>
      <c r="F809" s="7"/>
      <c r="G809" s="7"/>
      <c r="H809" s="16"/>
      <c r="I809" s="16"/>
      <c r="J809" s="16"/>
      <c r="K809" s="16"/>
      <c r="L809" s="16"/>
      <c r="M809" s="16"/>
      <c r="N809" s="16"/>
      <c r="O809" s="16"/>
      <c r="P809" s="16"/>
      <c r="Q809" s="4"/>
      <c r="R809" s="4"/>
      <c r="S809" s="4"/>
      <c r="T809" s="4"/>
      <c r="U809" s="4"/>
      <c r="V809" s="4"/>
      <c r="W809" s="4"/>
      <c r="X809" s="4"/>
      <c r="Y809" s="4"/>
      <c r="Z809" s="4"/>
      <c r="AA809" s="4"/>
      <c r="AB809" s="4"/>
      <c r="AC809" s="4"/>
      <c r="AD809" s="4"/>
      <c r="AE809" s="4"/>
    </row>
    <row r="810" spans="1:31" ht="13.2">
      <c r="A810" s="7"/>
      <c r="B810" s="7"/>
      <c r="C810" s="7"/>
      <c r="D810" s="29"/>
      <c r="E810" s="7"/>
      <c r="F810" s="7"/>
      <c r="G810" s="7"/>
      <c r="H810" s="16"/>
      <c r="I810" s="16"/>
      <c r="J810" s="16"/>
      <c r="K810" s="16"/>
      <c r="L810" s="16"/>
      <c r="M810" s="16"/>
      <c r="N810" s="16"/>
      <c r="O810" s="16"/>
      <c r="P810" s="16"/>
      <c r="Q810" s="4"/>
      <c r="R810" s="4"/>
      <c r="S810" s="4"/>
      <c r="T810" s="4"/>
      <c r="U810" s="4"/>
      <c r="V810" s="4"/>
      <c r="W810" s="4"/>
      <c r="X810" s="4"/>
      <c r="Y810" s="4"/>
      <c r="Z810" s="4"/>
      <c r="AA810" s="4"/>
      <c r="AB810" s="4"/>
      <c r="AC810" s="4"/>
      <c r="AD810" s="4"/>
      <c r="AE810" s="4"/>
    </row>
    <row r="811" spans="1:31" ht="13.2">
      <c r="A811" s="7"/>
      <c r="B811" s="7"/>
      <c r="C811" s="7"/>
      <c r="D811" s="29"/>
      <c r="E811" s="7"/>
      <c r="F811" s="7"/>
      <c r="G811" s="7"/>
      <c r="H811" s="16"/>
      <c r="I811" s="16"/>
      <c r="J811" s="16"/>
      <c r="K811" s="16"/>
      <c r="L811" s="16"/>
      <c r="M811" s="16"/>
      <c r="N811" s="16"/>
      <c r="O811" s="16"/>
      <c r="P811" s="16"/>
      <c r="Q811" s="4"/>
      <c r="R811" s="4"/>
      <c r="S811" s="4"/>
      <c r="T811" s="4"/>
      <c r="U811" s="4"/>
      <c r="V811" s="4"/>
      <c r="W811" s="4"/>
      <c r="X811" s="4"/>
      <c r="Y811" s="4"/>
      <c r="Z811" s="4"/>
      <c r="AA811" s="4"/>
      <c r="AB811" s="4"/>
      <c r="AC811" s="4"/>
      <c r="AD811" s="4"/>
      <c r="AE811" s="4"/>
    </row>
    <row r="812" spans="1:31" ht="13.2">
      <c r="A812" s="7"/>
      <c r="B812" s="7"/>
      <c r="C812" s="7"/>
      <c r="D812" s="29"/>
      <c r="E812" s="7"/>
      <c r="F812" s="7"/>
      <c r="G812" s="7"/>
      <c r="H812" s="16"/>
      <c r="I812" s="16"/>
      <c r="J812" s="16"/>
      <c r="K812" s="16"/>
      <c r="L812" s="16"/>
      <c r="M812" s="16"/>
      <c r="N812" s="16"/>
      <c r="O812" s="16"/>
      <c r="P812" s="16"/>
      <c r="Q812" s="4"/>
      <c r="R812" s="4"/>
      <c r="S812" s="4"/>
      <c r="T812" s="4"/>
      <c r="U812" s="4"/>
      <c r="V812" s="4"/>
      <c r="W812" s="4"/>
      <c r="X812" s="4"/>
      <c r="Y812" s="4"/>
      <c r="Z812" s="4"/>
      <c r="AA812" s="4"/>
      <c r="AB812" s="4"/>
      <c r="AC812" s="4"/>
      <c r="AD812" s="4"/>
      <c r="AE812" s="4"/>
    </row>
    <row r="813" spans="1:31" ht="13.2">
      <c r="A813" s="7"/>
      <c r="B813" s="7"/>
      <c r="C813" s="7"/>
      <c r="D813" s="29"/>
      <c r="E813" s="7"/>
      <c r="F813" s="7"/>
      <c r="G813" s="7"/>
      <c r="H813" s="16"/>
      <c r="I813" s="16"/>
      <c r="J813" s="16"/>
      <c r="K813" s="16"/>
      <c r="L813" s="16"/>
      <c r="M813" s="16"/>
      <c r="N813" s="16"/>
      <c r="O813" s="16"/>
      <c r="P813" s="16"/>
      <c r="Q813" s="4"/>
      <c r="R813" s="4"/>
      <c r="S813" s="4"/>
      <c r="T813" s="4"/>
      <c r="U813" s="4"/>
      <c r="V813" s="4"/>
      <c r="W813" s="4"/>
      <c r="X813" s="4"/>
      <c r="Y813" s="4"/>
      <c r="Z813" s="4"/>
      <c r="AA813" s="4"/>
      <c r="AB813" s="4"/>
      <c r="AC813" s="4"/>
      <c r="AD813" s="4"/>
      <c r="AE813" s="4"/>
    </row>
    <row r="814" spans="1:31" ht="13.2">
      <c r="A814" s="7"/>
      <c r="B814" s="7"/>
      <c r="C814" s="7"/>
      <c r="D814" s="29"/>
      <c r="E814" s="7"/>
      <c r="F814" s="7"/>
      <c r="G814" s="7"/>
      <c r="H814" s="16"/>
      <c r="I814" s="16"/>
      <c r="J814" s="16"/>
      <c r="K814" s="16"/>
      <c r="L814" s="16"/>
      <c r="M814" s="16"/>
      <c r="N814" s="16"/>
      <c r="O814" s="16"/>
      <c r="P814" s="16"/>
      <c r="Q814" s="4"/>
      <c r="R814" s="4"/>
      <c r="S814" s="4"/>
      <c r="T814" s="4"/>
      <c r="U814" s="4"/>
      <c r="V814" s="4"/>
      <c r="W814" s="4"/>
      <c r="X814" s="4"/>
      <c r="Y814" s="4"/>
      <c r="Z814" s="4"/>
      <c r="AA814" s="4"/>
      <c r="AB814" s="4"/>
      <c r="AC814" s="4"/>
      <c r="AD814" s="4"/>
      <c r="AE814" s="4"/>
    </row>
    <row r="815" spans="1:31" ht="13.2">
      <c r="A815" s="7"/>
      <c r="B815" s="7"/>
      <c r="C815" s="7"/>
      <c r="D815" s="29"/>
      <c r="E815" s="7"/>
      <c r="F815" s="7"/>
      <c r="G815" s="7"/>
      <c r="H815" s="16"/>
      <c r="I815" s="16"/>
      <c r="J815" s="16"/>
      <c r="K815" s="16"/>
      <c r="L815" s="16"/>
      <c r="M815" s="16"/>
      <c r="N815" s="16"/>
      <c r="O815" s="16"/>
      <c r="P815" s="16"/>
      <c r="Q815" s="4"/>
      <c r="R815" s="4"/>
      <c r="S815" s="4"/>
      <c r="T815" s="4"/>
      <c r="U815" s="4"/>
      <c r="V815" s="4"/>
      <c r="W815" s="4"/>
      <c r="X815" s="4"/>
      <c r="Y815" s="4"/>
      <c r="Z815" s="4"/>
      <c r="AA815" s="4"/>
      <c r="AB815" s="4"/>
      <c r="AC815" s="4"/>
      <c r="AD815" s="4"/>
      <c r="AE815" s="4"/>
    </row>
    <row r="816" spans="1:31" ht="13.2">
      <c r="A816" s="7"/>
      <c r="B816" s="7"/>
      <c r="C816" s="7"/>
      <c r="D816" s="29"/>
      <c r="E816" s="7"/>
      <c r="F816" s="7"/>
      <c r="G816" s="7"/>
      <c r="H816" s="16"/>
      <c r="I816" s="16"/>
      <c r="J816" s="16"/>
      <c r="K816" s="16"/>
      <c r="L816" s="16"/>
      <c r="M816" s="16"/>
      <c r="N816" s="16"/>
      <c r="O816" s="16"/>
      <c r="P816" s="16"/>
      <c r="Q816" s="4"/>
      <c r="R816" s="4"/>
      <c r="S816" s="4"/>
      <c r="T816" s="4"/>
      <c r="U816" s="4"/>
      <c r="V816" s="4"/>
      <c r="W816" s="4"/>
      <c r="X816" s="4"/>
      <c r="Y816" s="4"/>
      <c r="Z816" s="4"/>
      <c r="AA816" s="4"/>
      <c r="AB816" s="4"/>
      <c r="AC816" s="4"/>
      <c r="AD816" s="4"/>
      <c r="AE816" s="4"/>
    </row>
    <row r="817" spans="1:31" ht="13.2">
      <c r="A817" s="7"/>
      <c r="B817" s="7"/>
      <c r="C817" s="7"/>
      <c r="D817" s="29"/>
      <c r="E817" s="7"/>
      <c r="F817" s="7"/>
      <c r="G817" s="7"/>
      <c r="H817" s="16"/>
      <c r="I817" s="16"/>
      <c r="J817" s="16"/>
      <c r="K817" s="16"/>
      <c r="L817" s="16"/>
      <c r="M817" s="16"/>
      <c r="N817" s="16"/>
      <c r="O817" s="16"/>
      <c r="P817" s="16"/>
      <c r="Q817" s="4"/>
      <c r="R817" s="4"/>
      <c r="S817" s="4"/>
      <c r="T817" s="4"/>
      <c r="U817" s="4"/>
      <c r="V817" s="4"/>
      <c r="W817" s="4"/>
      <c r="X817" s="4"/>
      <c r="Y817" s="4"/>
      <c r="Z817" s="4"/>
      <c r="AA817" s="4"/>
      <c r="AB817" s="4"/>
      <c r="AC817" s="4"/>
      <c r="AD817" s="4"/>
      <c r="AE817" s="4"/>
    </row>
    <row r="818" spans="1:31" ht="13.2">
      <c r="A818" s="7"/>
      <c r="B818" s="7"/>
      <c r="C818" s="7"/>
      <c r="D818" s="29"/>
      <c r="E818" s="7"/>
      <c r="F818" s="7"/>
      <c r="G818" s="7"/>
      <c r="H818" s="16"/>
      <c r="I818" s="16"/>
      <c r="J818" s="16"/>
      <c r="K818" s="16"/>
      <c r="L818" s="16"/>
      <c r="M818" s="16"/>
      <c r="N818" s="16"/>
      <c r="O818" s="16"/>
      <c r="P818" s="16"/>
      <c r="Q818" s="4"/>
      <c r="R818" s="4"/>
      <c r="S818" s="4"/>
      <c r="T818" s="4"/>
      <c r="U818" s="4"/>
      <c r="V818" s="4"/>
      <c r="W818" s="4"/>
      <c r="X818" s="4"/>
      <c r="Y818" s="4"/>
      <c r="Z818" s="4"/>
      <c r="AA818" s="4"/>
      <c r="AB818" s="4"/>
      <c r="AC818" s="4"/>
      <c r="AD818" s="4"/>
      <c r="AE818" s="4"/>
    </row>
    <row r="819" spans="1:31" ht="13.2">
      <c r="A819" s="7"/>
      <c r="B819" s="7"/>
      <c r="C819" s="7"/>
      <c r="D819" s="29"/>
      <c r="E819" s="7"/>
      <c r="F819" s="7"/>
      <c r="G819" s="7"/>
      <c r="H819" s="16"/>
      <c r="I819" s="16"/>
      <c r="J819" s="16"/>
      <c r="K819" s="16"/>
      <c r="L819" s="16"/>
      <c r="M819" s="16"/>
      <c r="N819" s="16"/>
      <c r="O819" s="16"/>
      <c r="P819" s="16"/>
      <c r="Q819" s="4"/>
      <c r="R819" s="4"/>
      <c r="S819" s="4"/>
      <c r="T819" s="4"/>
      <c r="U819" s="4"/>
      <c r="V819" s="4"/>
      <c r="W819" s="4"/>
      <c r="X819" s="4"/>
      <c r="Y819" s="4"/>
      <c r="Z819" s="4"/>
      <c r="AA819" s="4"/>
      <c r="AB819" s="4"/>
      <c r="AC819" s="4"/>
      <c r="AD819" s="4"/>
      <c r="AE819" s="4"/>
    </row>
    <row r="820" spans="1:31" ht="13.2">
      <c r="A820" s="7"/>
      <c r="B820" s="7"/>
      <c r="C820" s="7"/>
      <c r="D820" s="29"/>
      <c r="E820" s="7"/>
      <c r="F820" s="7"/>
      <c r="G820" s="7"/>
      <c r="H820" s="16"/>
      <c r="I820" s="16"/>
      <c r="J820" s="16"/>
      <c r="K820" s="16"/>
      <c r="L820" s="16"/>
      <c r="M820" s="16"/>
      <c r="N820" s="16"/>
      <c r="O820" s="16"/>
      <c r="P820" s="16"/>
      <c r="Q820" s="4"/>
      <c r="R820" s="4"/>
      <c r="S820" s="4"/>
      <c r="T820" s="4"/>
      <c r="U820" s="4"/>
      <c r="V820" s="4"/>
      <c r="W820" s="4"/>
      <c r="X820" s="4"/>
      <c r="Y820" s="4"/>
      <c r="Z820" s="4"/>
      <c r="AA820" s="4"/>
      <c r="AB820" s="4"/>
      <c r="AC820" s="4"/>
      <c r="AD820" s="4"/>
      <c r="AE820" s="4"/>
    </row>
    <row r="821" spans="1:31" ht="13.2">
      <c r="A821" s="7"/>
      <c r="B821" s="7"/>
      <c r="C821" s="7"/>
      <c r="D821" s="29"/>
      <c r="E821" s="7"/>
      <c r="F821" s="7"/>
      <c r="G821" s="7"/>
      <c r="H821" s="16"/>
      <c r="I821" s="16"/>
      <c r="J821" s="16"/>
      <c r="K821" s="16"/>
      <c r="L821" s="16"/>
      <c r="M821" s="16"/>
      <c r="N821" s="16"/>
      <c r="O821" s="16"/>
      <c r="P821" s="16"/>
      <c r="Q821" s="4"/>
      <c r="R821" s="4"/>
      <c r="S821" s="4"/>
      <c r="T821" s="4"/>
      <c r="U821" s="4"/>
      <c r="V821" s="4"/>
      <c r="W821" s="4"/>
      <c r="X821" s="4"/>
      <c r="Y821" s="4"/>
      <c r="Z821" s="4"/>
      <c r="AA821" s="4"/>
      <c r="AB821" s="4"/>
      <c r="AC821" s="4"/>
      <c r="AD821" s="4"/>
      <c r="AE821" s="4"/>
    </row>
    <row r="822" spans="1:31" ht="13.2">
      <c r="A822" s="7"/>
      <c r="B822" s="7"/>
      <c r="C822" s="7"/>
      <c r="D822" s="29"/>
      <c r="E822" s="7"/>
      <c r="F822" s="7"/>
      <c r="G822" s="7"/>
      <c r="H822" s="16"/>
      <c r="I822" s="16"/>
      <c r="J822" s="16"/>
      <c r="K822" s="16"/>
      <c r="L822" s="16"/>
      <c r="M822" s="16"/>
      <c r="N822" s="16"/>
      <c r="O822" s="16"/>
      <c r="P822" s="16"/>
      <c r="Q822" s="4"/>
      <c r="R822" s="4"/>
      <c r="S822" s="4"/>
      <c r="T822" s="4"/>
      <c r="U822" s="4"/>
      <c r="V822" s="4"/>
      <c r="W822" s="4"/>
      <c r="X822" s="4"/>
      <c r="Y822" s="4"/>
      <c r="Z822" s="4"/>
      <c r="AA822" s="4"/>
      <c r="AB822" s="4"/>
      <c r="AC822" s="4"/>
      <c r="AD822" s="4"/>
      <c r="AE822" s="4"/>
    </row>
    <row r="823" spans="1:31" ht="13.2">
      <c r="A823" s="7"/>
      <c r="B823" s="7"/>
      <c r="C823" s="7"/>
      <c r="D823" s="29"/>
      <c r="E823" s="7"/>
      <c r="F823" s="7"/>
      <c r="G823" s="7"/>
      <c r="H823" s="16"/>
      <c r="I823" s="16"/>
      <c r="J823" s="16"/>
      <c r="K823" s="16"/>
      <c r="L823" s="16"/>
      <c r="M823" s="16"/>
      <c r="N823" s="16"/>
      <c r="O823" s="16"/>
      <c r="P823" s="16"/>
      <c r="Q823" s="4"/>
      <c r="R823" s="4"/>
      <c r="S823" s="4"/>
      <c r="T823" s="4"/>
      <c r="U823" s="4"/>
      <c r="V823" s="4"/>
      <c r="W823" s="4"/>
      <c r="X823" s="4"/>
      <c r="Y823" s="4"/>
      <c r="Z823" s="4"/>
      <c r="AA823" s="4"/>
      <c r="AB823" s="4"/>
      <c r="AC823" s="4"/>
      <c r="AD823" s="4"/>
      <c r="AE823" s="4"/>
    </row>
    <row r="824" spans="1:31" ht="13.2">
      <c r="A824" s="7"/>
      <c r="B824" s="7"/>
      <c r="C824" s="7"/>
      <c r="D824" s="29"/>
      <c r="E824" s="7"/>
      <c r="F824" s="7"/>
      <c r="G824" s="7"/>
      <c r="H824" s="16"/>
      <c r="I824" s="16"/>
      <c r="J824" s="16"/>
      <c r="K824" s="16"/>
      <c r="L824" s="16"/>
      <c r="M824" s="16"/>
      <c r="N824" s="16"/>
      <c r="O824" s="16"/>
      <c r="P824" s="16"/>
      <c r="Q824" s="4"/>
      <c r="R824" s="4"/>
      <c r="S824" s="4"/>
      <c r="T824" s="4"/>
      <c r="U824" s="4"/>
      <c r="V824" s="4"/>
      <c r="W824" s="4"/>
      <c r="X824" s="4"/>
      <c r="Y824" s="4"/>
      <c r="Z824" s="4"/>
      <c r="AA824" s="4"/>
      <c r="AB824" s="4"/>
      <c r="AC824" s="4"/>
      <c r="AD824" s="4"/>
      <c r="AE824" s="4"/>
    </row>
    <row r="825" spans="1:31" ht="13.2">
      <c r="A825" s="7"/>
      <c r="B825" s="7"/>
      <c r="C825" s="7"/>
      <c r="D825" s="29"/>
      <c r="E825" s="7"/>
      <c r="F825" s="7"/>
      <c r="G825" s="7"/>
      <c r="H825" s="16"/>
      <c r="I825" s="16"/>
      <c r="J825" s="16"/>
      <c r="K825" s="16"/>
      <c r="L825" s="16"/>
      <c r="M825" s="16"/>
      <c r="N825" s="16"/>
      <c r="O825" s="16"/>
      <c r="P825" s="16"/>
      <c r="Q825" s="4"/>
      <c r="R825" s="4"/>
      <c r="S825" s="4"/>
      <c r="T825" s="4"/>
      <c r="U825" s="4"/>
      <c r="V825" s="4"/>
      <c r="W825" s="4"/>
      <c r="X825" s="4"/>
      <c r="Y825" s="4"/>
      <c r="Z825" s="4"/>
      <c r="AA825" s="4"/>
      <c r="AB825" s="4"/>
      <c r="AC825" s="4"/>
      <c r="AD825" s="4"/>
      <c r="AE825" s="4"/>
    </row>
    <row r="826" spans="1:31" ht="13.2">
      <c r="A826" s="7"/>
      <c r="B826" s="7"/>
      <c r="C826" s="7"/>
      <c r="D826" s="29"/>
      <c r="E826" s="7"/>
      <c r="F826" s="7"/>
      <c r="G826" s="7"/>
      <c r="H826" s="16"/>
      <c r="I826" s="16"/>
      <c r="J826" s="16"/>
      <c r="K826" s="16"/>
      <c r="L826" s="16"/>
      <c r="M826" s="16"/>
      <c r="N826" s="16"/>
      <c r="O826" s="16"/>
      <c r="P826" s="16"/>
      <c r="Q826" s="4"/>
      <c r="R826" s="4"/>
      <c r="S826" s="4"/>
      <c r="T826" s="4"/>
      <c r="U826" s="4"/>
      <c r="V826" s="4"/>
      <c r="W826" s="4"/>
      <c r="X826" s="4"/>
      <c r="Y826" s="4"/>
      <c r="Z826" s="4"/>
      <c r="AA826" s="4"/>
      <c r="AB826" s="4"/>
      <c r="AC826" s="4"/>
      <c r="AD826" s="4"/>
      <c r="AE826" s="4"/>
    </row>
    <row r="827" spans="1:31" ht="13.2">
      <c r="A827" s="7"/>
      <c r="B827" s="7"/>
      <c r="C827" s="7"/>
      <c r="D827" s="29"/>
      <c r="E827" s="7"/>
      <c r="F827" s="7"/>
      <c r="G827" s="7"/>
      <c r="H827" s="16"/>
      <c r="I827" s="16"/>
      <c r="J827" s="16"/>
      <c r="K827" s="16"/>
      <c r="L827" s="16"/>
      <c r="M827" s="16"/>
      <c r="N827" s="16"/>
      <c r="O827" s="16"/>
      <c r="P827" s="16"/>
      <c r="Q827" s="4"/>
      <c r="R827" s="4"/>
      <c r="S827" s="4"/>
      <c r="T827" s="4"/>
      <c r="U827" s="4"/>
      <c r="V827" s="4"/>
      <c r="W827" s="4"/>
      <c r="X827" s="4"/>
      <c r="Y827" s="4"/>
      <c r="Z827" s="4"/>
      <c r="AA827" s="4"/>
      <c r="AB827" s="4"/>
      <c r="AC827" s="4"/>
      <c r="AD827" s="4"/>
      <c r="AE827" s="4"/>
    </row>
    <row r="828" spans="1:31" ht="13.2">
      <c r="A828" s="7"/>
      <c r="B828" s="7"/>
      <c r="C828" s="7"/>
      <c r="D828" s="29"/>
      <c r="E828" s="7"/>
      <c r="F828" s="7"/>
      <c r="G828" s="7"/>
      <c r="H828" s="16"/>
      <c r="I828" s="16"/>
      <c r="J828" s="16"/>
      <c r="K828" s="16"/>
      <c r="L828" s="16"/>
      <c r="M828" s="16"/>
      <c r="N828" s="16"/>
      <c r="O828" s="16"/>
      <c r="P828" s="16"/>
      <c r="Q828" s="4"/>
      <c r="R828" s="4"/>
      <c r="S828" s="4"/>
      <c r="T828" s="4"/>
      <c r="U828" s="4"/>
      <c r="V828" s="4"/>
      <c r="W828" s="4"/>
      <c r="X828" s="4"/>
      <c r="Y828" s="4"/>
      <c r="Z828" s="4"/>
      <c r="AA828" s="4"/>
      <c r="AB828" s="4"/>
      <c r="AC828" s="4"/>
      <c r="AD828" s="4"/>
      <c r="AE828" s="4"/>
    </row>
    <row r="829" spans="1:31" ht="13.2">
      <c r="A829" s="7"/>
      <c r="B829" s="7"/>
      <c r="C829" s="7"/>
      <c r="D829" s="29"/>
      <c r="E829" s="7"/>
      <c r="F829" s="7"/>
      <c r="G829" s="7"/>
      <c r="H829" s="16"/>
      <c r="I829" s="16"/>
      <c r="J829" s="16"/>
      <c r="K829" s="16"/>
      <c r="L829" s="16"/>
      <c r="M829" s="16"/>
      <c r="N829" s="16"/>
      <c r="O829" s="16"/>
      <c r="P829" s="16"/>
      <c r="Q829" s="4"/>
      <c r="R829" s="4"/>
      <c r="S829" s="4"/>
      <c r="T829" s="4"/>
      <c r="U829" s="4"/>
      <c r="V829" s="4"/>
      <c r="W829" s="4"/>
      <c r="X829" s="4"/>
      <c r="Y829" s="4"/>
      <c r="Z829" s="4"/>
      <c r="AA829" s="4"/>
      <c r="AB829" s="4"/>
      <c r="AC829" s="4"/>
      <c r="AD829" s="4"/>
      <c r="AE829" s="4"/>
    </row>
    <row r="830" spans="1:31" ht="13.2">
      <c r="A830" s="7"/>
      <c r="B830" s="7"/>
      <c r="C830" s="7"/>
      <c r="D830" s="29"/>
      <c r="E830" s="7"/>
      <c r="F830" s="7"/>
      <c r="G830" s="7"/>
      <c r="H830" s="16"/>
      <c r="I830" s="16"/>
      <c r="J830" s="16"/>
      <c r="K830" s="16"/>
      <c r="L830" s="16"/>
      <c r="M830" s="16"/>
      <c r="N830" s="16"/>
      <c r="O830" s="16"/>
      <c r="P830" s="16"/>
      <c r="Q830" s="4"/>
      <c r="R830" s="4"/>
      <c r="S830" s="4"/>
      <c r="T830" s="4"/>
      <c r="U830" s="4"/>
      <c r="V830" s="4"/>
      <c r="W830" s="4"/>
      <c r="X830" s="4"/>
      <c r="Y830" s="4"/>
      <c r="Z830" s="4"/>
      <c r="AA830" s="4"/>
      <c r="AB830" s="4"/>
      <c r="AC830" s="4"/>
      <c r="AD830" s="4"/>
      <c r="AE830" s="4"/>
    </row>
    <row r="831" spans="1:31" ht="13.2">
      <c r="A831" s="7"/>
      <c r="B831" s="7"/>
      <c r="C831" s="7"/>
      <c r="D831" s="29"/>
      <c r="E831" s="7"/>
      <c r="F831" s="7"/>
      <c r="G831" s="7"/>
      <c r="H831" s="16"/>
      <c r="I831" s="16"/>
      <c r="J831" s="16"/>
      <c r="K831" s="16"/>
      <c r="L831" s="16"/>
      <c r="M831" s="16"/>
      <c r="N831" s="16"/>
      <c r="O831" s="16"/>
      <c r="P831" s="16"/>
      <c r="Q831" s="4"/>
      <c r="R831" s="4"/>
      <c r="S831" s="4"/>
      <c r="T831" s="4"/>
      <c r="U831" s="4"/>
      <c r="V831" s="4"/>
      <c r="W831" s="4"/>
      <c r="X831" s="4"/>
      <c r="Y831" s="4"/>
      <c r="Z831" s="4"/>
      <c r="AA831" s="4"/>
      <c r="AB831" s="4"/>
      <c r="AC831" s="4"/>
      <c r="AD831" s="4"/>
      <c r="AE831" s="4"/>
    </row>
    <row r="832" spans="1:31" ht="13.2">
      <c r="A832" s="7"/>
      <c r="B832" s="7"/>
      <c r="C832" s="7"/>
      <c r="D832" s="29"/>
      <c r="E832" s="7"/>
      <c r="F832" s="7"/>
      <c r="G832" s="7"/>
      <c r="H832" s="16"/>
      <c r="I832" s="16"/>
      <c r="J832" s="16"/>
      <c r="K832" s="16"/>
      <c r="L832" s="16"/>
      <c r="M832" s="16"/>
      <c r="N832" s="16"/>
      <c r="O832" s="16"/>
      <c r="P832" s="16"/>
      <c r="Q832" s="4"/>
      <c r="R832" s="4"/>
      <c r="S832" s="4"/>
      <c r="T832" s="4"/>
      <c r="U832" s="4"/>
      <c r="V832" s="4"/>
      <c r="W832" s="4"/>
      <c r="X832" s="4"/>
      <c r="Y832" s="4"/>
      <c r="Z832" s="4"/>
      <c r="AA832" s="4"/>
      <c r="AB832" s="4"/>
      <c r="AC832" s="4"/>
      <c r="AD832" s="4"/>
      <c r="AE832" s="4"/>
    </row>
    <row r="833" spans="1:31" ht="13.2">
      <c r="A833" s="7"/>
      <c r="B833" s="7"/>
      <c r="C833" s="7"/>
      <c r="D833" s="29"/>
      <c r="E833" s="7"/>
      <c r="F833" s="7"/>
      <c r="G833" s="7"/>
      <c r="H833" s="16"/>
      <c r="I833" s="16"/>
      <c r="J833" s="16"/>
      <c r="K833" s="16"/>
      <c r="L833" s="16"/>
      <c r="M833" s="16"/>
      <c r="N833" s="16"/>
      <c r="O833" s="16"/>
      <c r="P833" s="16"/>
      <c r="Q833" s="4"/>
      <c r="R833" s="4"/>
      <c r="S833" s="4"/>
      <c r="T833" s="4"/>
      <c r="U833" s="4"/>
      <c r="V833" s="4"/>
      <c r="W833" s="4"/>
      <c r="X833" s="4"/>
      <c r="Y833" s="4"/>
      <c r="Z833" s="4"/>
      <c r="AA833" s="4"/>
      <c r="AB833" s="4"/>
      <c r="AC833" s="4"/>
      <c r="AD833" s="4"/>
      <c r="AE833" s="4"/>
    </row>
    <row r="834" spans="1:31" ht="13.2">
      <c r="A834" s="7"/>
      <c r="B834" s="7"/>
      <c r="C834" s="7"/>
      <c r="D834" s="29"/>
      <c r="E834" s="7"/>
      <c r="F834" s="7"/>
      <c r="G834" s="7"/>
      <c r="H834" s="16"/>
      <c r="I834" s="16"/>
      <c r="J834" s="16"/>
      <c r="K834" s="16"/>
      <c r="L834" s="16"/>
      <c r="M834" s="16"/>
      <c r="N834" s="16"/>
      <c r="O834" s="16"/>
      <c r="P834" s="16"/>
      <c r="Q834" s="4"/>
      <c r="R834" s="4"/>
      <c r="S834" s="4"/>
      <c r="T834" s="4"/>
      <c r="U834" s="4"/>
      <c r="V834" s="4"/>
      <c r="W834" s="4"/>
      <c r="X834" s="4"/>
      <c r="Y834" s="4"/>
      <c r="Z834" s="4"/>
      <c r="AA834" s="4"/>
      <c r="AB834" s="4"/>
      <c r="AC834" s="4"/>
      <c r="AD834" s="4"/>
      <c r="AE834" s="4"/>
    </row>
    <row r="835" spans="1:31" ht="13.2">
      <c r="A835" s="7"/>
      <c r="B835" s="7"/>
      <c r="C835" s="7"/>
      <c r="D835" s="29"/>
      <c r="E835" s="7"/>
      <c r="F835" s="7"/>
      <c r="G835" s="7"/>
      <c r="H835" s="16"/>
      <c r="I835" s="16"/>
      <c r="J835" s="16"/>
      <c r="K835" s="16"/>
      <c r="L835" s="16"/>
      <c r="M835" s="16"/>
      <c r="N835" s="16"/>
      <c r="O835" s="16"/>
      <c r="P835" s="16"/>
      <c r="Q835" s="4"/>
      <c r="R835" s="4"/>
      <c r="S835" s="4"/>
      <c r="T835" s="4"/>
      <c r="U835" s="4"/>
      <c r="V835" s="4"/>
      <c r="W835" s="4"/>
      <c r="X835" s="4"/>
      <c r="Y835" s="4"/>
      <c r="Z835" s="4"/>
      <c r="AA835" s="4"/>
      <c r="AB835" s="4"/>
      <c r="AC835" s="4"/>
      <c r="AD835" s="4"/>
      <c r="AE835" s="4"/>
    </row>
    <row r="836" spans="1:31" ht="13.2">
      <c r="A836" s="7"/>
      <c r="B836" s="7"/>
      <c r="C836" s="7"/>
      <c r="D836" s="29"/>
      <c r="E836" s="7"/>
      <c r="F836" s="7"/>
      <c r="G836" s="7"/>
      <c r="H836" s="16"/>
      <c r="I836" s="16"/>
      <c r="J836" s="16"/>
      <c r="K836" s="16"/>
      <c r="L836" s="16"/>
      <c r="M836" s="16"/>
      <c r="N836" s="16"/>
      <c r="O836" s="16"/>
      <c r="P836" s="16"/>
      <c r="Q836" s="4"/>
      <c r="R836" s="4"/>
      <c r="S836" s="4"/>
      <c r="T836" s="4"/>
      <c r="U836" s="4"/>
      <c r="V836" s="4"/>
      <c r="W836" s="4"/>
      <c r="X836" s="4"/>
      <c r="Y836" s="4"/>
      <c r="Z836" s="4"/>
      <c r="AA836" s="4"/>
      <c r="AB836" s="4"/>
      <c r="AC836" s="4"/>
      <c r="AD836" s="4"/>
      <c r="AE836" s="4"/>
    </row>
    <row r="837" spans="1:31" ht="13.2">
      <c r="A837" s="7"/>
      <c r="B837" s="7"/>
      <c r="C837" s="7"/>
      <c r="D837" s="29"/>
      <c r="E837" s="7"/>
      <c r="F837" s="7"/>
      <c r="G837" s="7"/>
      <c r="H837" s="16"/>
      <c r="I837" s="16"/>
      <c r="J837" s="16"/>
      <c r="K837" s="16"/>
      <c r="L837" s="16"/>
      <c r="M837" s="16"/>
      <c r="N837" s="16"/>
      <c r="O837" s="16"/>
      <c r="P837" s="16"/>
      <c r="Q837" s="4"/>
      <c r="R837" s="4"/>
      <c r="S837" s="4"/>
      <c r="T837" s="4"/>
      <c r="U837" s="4"/>
      <c r="V837" s="4"/>
      <c r="W837" s="4"/>
      <c r="X837" s="4"/>
      <c r="Y837" s="4"/>
      <c r="Z837" s="4"/>
      <c r="AA837" s="4"/>
      <c r="AB837" s="4"/>
      <c r="AC837" s="4"/>
      <c r="AD837" s="4"/>
      <c r="AE837" s="4"/>
    </row>
    <row r="838" spans="1:31" ht="13.2">
      <c r="A838" s="7"/>
      <c r="B838" s="7"/>
      <c r="C838" s="7"/>
      <c r="D838" s="29"/>
      <c r="E838" s="7"/>
      <c r="F838" s="7"/>
      <c r="G838" s="7"/>
      <c r="H838" s="16"/>
      <c r="I838" s="16"/>
      <c r="J838" s="16"/>
      <c r="K838" s="16"/>
      <c r="L838" s="16"/>
      <c r="M838" s="16"/>
      <c r="N838" s="16"/>
      <c r="O838" s="16"/>
      <c r="P838" s="16"/>
      <c r="Q838" s="4"/>
      <c r="R838" s="4"/>
      <c r="S838" s="4"/>
      <c r="T838" s="4"/>
      <c r="U838" s="4"/>
      <c r="V838" s="4"/>
      <c r="W838" s="4"/>
      <c r="X838" s="4"/>
      <c r="Y838" s="4"/>
      <c r="Z838" s="4"/>
      <c r="AA838" s="4"/>
      <c r="AB838" s="4"/>
      <c r="AC838" s="4"/>
      <c r="AD838" s="4"/>
      <c r="AE838" s="4"/>
    </row>
    <row r="839" spans="1:31" ht="13.2">
      <c r="A839" s="7"/>
      <c r="B839" s="7"/>
      <c r="C839" s="7"/>
      <c r="D839" s="29"/>
      <c r="E839" s="7"/>
      <c r="F839" s="7"/>
      <c r="G839" s="7"/>
      <c r="H839" s="16"/>
      <c r="I839" s="16"/>
      <c r="J839" s="16"/>
      <c r="K839" s="16"/>
      <c r="L839" s="16"/>
      <c r="M839" s="16"/>
      <c r="N839" s="16"/>
      <c r="O839" s="16"/>
      <c r="P839" s="16"/>
      <c r="Q839" s="4"/>
      <c r="R839" s="4"/>
      <c r="S839" s="4"/>
      <c r="T839" s="4"/>
      <c r="U839" s="4"/>
      <c r="V839" s="4"/>
      <c r="W839" s="4"/>
      <c r="X839" s="4"/>
      <c r="Y839" s="4"/>
      <c r="Z839" s="4"/>
      <c r="AA839" s="4"/>
      <c r="AB839" s="4"/>
      <c r="AC839" s="4"/>
      <c r="AD839" s="4"/>
      <c r="AE839" s="4"/>
    </row>
    <row r="840" spans="1:31" ht="13.2">
      <c r="A840" s="7"/>
      <c r="B840" s="7"/>
      <c r="C840" s="7"/>
      <c r="D840" s="29"/>
      <c r="E840" s="7"/>
      <c r="F840" s="7"/>
      <c r="G840" s="7"/>
      <c r="H840" s="16"/>
      <c r="I840" s="16"/>
      <c r="J840" s="16"/>
      <c r="K840" s="16"/>
      <c r="L840" s="16"/>
      <c r="M840" s="16"/>
      <c r="N840" s="16"/>
      <c r="O840" s="16"/>
      <c r="P840" s="16"/>
      <c r="Q840" s="4"/>
      <c r="R840" s="4"/>
      <c r="S840" s="4"/>
      <c r="T840" s="4"/>
      <c r="U840" s="4"/>
      <c r="V840" s="4"/>
      <c r="W840" s="4"/>
      <c r="X840" s="4"/>
      <c r="Y840" s="4"/>
      <c r="Z840" s="4"/>
      <c r="AA840" s="4"/>
      <c r="AB840" s="4"/>
      <c r="AC840" s="4"/>
      <c r="AD840" s="4"/>
      <c r="AE840" s="4"/>
    </row>
    <row r="841" spans="1:31" ht="13.2">
      <c r="A841" s="7"/>
      <c r="B841" s="7"/>
      <c r="C841" s="7"/>
      <c r="D841" s="29"/>
      <c r="E841" s="7"/>
      <c r="F841" s="7"/>
      <c r="G841" s="7"/>
      <c r="H841" s="16"/>
      <c r="I841" s="16"/>
      <c r="J841" s="16"/>
      <c r="K841" s="16"/>
      <c r="L841" s="16"/>
      <c r="M841" s="16"/>
      <c r="N841" s="16"/>
      <c r="O841" s="16"/>
      <c r="P841" s="16"/>
      <c r="Q841" s="4"/>
      <c r="R841" s="4"/>
      <c r="S841" s="4"/>
      <c r="T841" s="4"/>
      <c r="U841" s="4"/>
      <c r="V841" s="4"/>
      <c r="W841" s="4"/>
      <c r="X841" s="4"/>
      <c r="Y841" s="4"/>
      <c r="Z841" s="4"/>
      <c r="AA841" s="4"/>
      <c r="AB841" s="4"/>
      <c r="AC841" s="4"/>
      <c r="AD841" s="4"/>
      <c r="AE841" s="4"/>
    </row>
    <row r="842" spans="1:31" ht="13.2">
      <c r="A842" s="7"/>
      <c r="B842" s="7"/>
      <c r="C842" s="7"/>
      <c r="D842" s="29"/>
      <c r="E842" s="7"/>
      <c r="F842" s="7"/>
      <c r="G842" s="7"/>
      <c r="H842" s="16"/>
      <c r="I842" s="16"/>
      <c r="J842" s="16"/>
      <c r="K842" s="16"/>
      <c r="L842" s="16"/>
      <c r="M842" s="16"/>
      <c r="N842" s="16"/>
      <c r="O842" s="16"/>
      <c r="P842" s="16"/>
      <c r="Q842" s="4"/>
      <c r="R842" s="4"/>
      <c r="S842" s="4"/>
      <c r="T842" s="4"/>
      <c r="U842" s="4"/>
      <c r="V842" s="4"/>
      <c r="W842" s="4"/>
      <c r="X842" s="4"/>
      <c r="Y842" s="4"/>
      <c r="Z842" s="4"/>
      <c r="AA842" s="4"/>
      <c r="AB842" s="4"/>
      <c r="AC842" s="4"/>
      <c r="AD842" s="4"/>
      <c r="AE842" s="4"/>
    </row>
    <row r="843" spans="1:31" ht="13.2">
      <c r="A843" s="7"/>
      <c r="B843" s="7"/>
      <c r="C843" s="7"/>
      <c r="D843" s="29"/>
      <c r="E843" s="7"/>
      <c r="F843" s="7"/>
      <c r="G843" s="7"/>
      <c r="H843" s="16"/>
      <c r="I843" s="16"/>
      <c r="J843" s="16"/>
      <c r="K843" s="16"/>
      <c r="L843" s="16"/>
      <c r="M843" s="16"/>
      <c r="N843" s="16"/>
      <c r="O843" s="16"/>
      <c r="P843" s="16"/>
      <c r="Q843" s="4"/>
      <c r="R843" s="4"/>
      <c r="S843" s="4"/>
      <c r="T843" s="4"/>
      <c r="U843" s="4"/>
      <c r="V843" s="4"/>
      <c r="W843" s="4"/>
      <c r="X843" s="4"/>
      <c r="Y843" s="4"/>
      <c r="Z843" s="4"/>
      <c r="AA843" s="4"/>
      <c r="AB843" s="4"/>
      <c r="AC843" s="4"/>
      <c r="AD843" s="4"/>
      <c r="AE843" s="4"/>
    </row>
    <row r="844" spans="1:31" ht="13.2">
      <c r="A844" s="7"/>
      <c r="B844" s="7"/>
      <c r="C844" s="7"/>
      <c r="D844" s="29"/>
      <c r="E844" s="7"/>
      <c r="F844" s="7"/>
      <c r="G844" s="7"/>
      <c r="H844" s="16"/>
      <c r="I844" s="16"/>
      <c r="J844" s="16"/>
      <c r="K844" s="16"/>
      <c r="L844" s="16"/>
      <c r="M844" s="16"/>
      <c r="N844" s="16"/>
      <c r="O844" s="16"/>
      <c r="P844" s="16"/>
      <c r="Q844" s="4"/>
      <c r="R844" s="4"/>
      <c r="S844" s="4"/>
      <c r="T844" s="4"/>
      <c r="U844" s="4"/>
      <c r="V844" s="4"/>
      <c r="W844" s="4"/>
      <c r="X844" s="4"/>
      <c r="Y844" s="4"/>
      <c r="Z844" s="4"/>
      <c r="AA844" s="4"/>
      <c r="AB844" s="4"/>
      <c r="AC844" s="4"/>
      <c r="AD844" s="4"/>
      <c r="AE844" s="4"/>
    </row>
    <row r="845" spans="1:31" ht="13.2">
      <c r="A845" s="7"/>
      <c r="B845" s="7"/>
      <c r="C845" s="7"/>
      <c r="D845" s="29"/>
      <c r="E845" s="7"/>
      <c r="F845" s="7"/>
      <c r="G845" s="7"/>
      <c r="H845" s="16"/>
      <c r="I845" s="16"/>
      <c r="J845" s="16"/>
      <c r="K845" s="16"/>
      <c r="L845" s="16"/>
      <c r="M845" s="16"/>
      <c r="N845" s="16"/>
      <c r="O845" s="16"/>
      <c r="P845" s="16"/>
      <c r="Q845" s="4"/>
      <c r="R845" s="4"/>
      <c r="S845" s="4"/>
      <c r="T845" s="4"/>
      <c r="U845" s="4"/>
      <c r="V845" s="4"/>
      <c r="W845" s="4"/>
      <c r="X845" s="4"/>
      <c r="Y845" s="4"/>
      <c r="Z845" s="4"/>
      <c r="AA845" s="4"/>
      <c r="AB845" s="4"/>
      <c r="AC845" s="4"/>
      <c r="AD845" s="4"/>
      <c r="AE845" s="4"/>
    </row>
    <row r="846" spans="1:31" ht="13.2">
      <c r="A846" s="7"/>
      <c r="B846" s="7"/>
      <c r="C846" s="7"/>
      <c r="D846" s="29"/>
      <c r="E846" s="7"/>
      <c r="F846" s="7"/>
      <c r="G846" s="7"/>
      <c r="H846" s="16"/>
      <c r="I846" s="16"/>
      <c r="J846" s="16"/>
      <c r="K846" s="16"/>
      <c r="L846" s="16"/>
      <c r="M846" s="16"/>
      <c r="N846" s="16"/>
      <c r="O846" s="16"/>
      <c r="P846" s="16"/>
      <c r="Q846" s="4"/>
      <c r="R846" s="4"/>
      <c r="S846" s="4"/>
      <c r="T846" s="4"/>
      <c r="U846" s="4"/>
      <c r="V846" s="4"/>
      <c r="W846" s="4"/>
      <c r="X846" s="4"/>
      <c r="Y846" s="4"/>
      <c r="Z846" s="4"/>
      <c r="AA846" s="4"/>
      <c r="AB846" s="4"/>
      <c r="AC846" s="4"/>
      <c r="AD846" s="4"/>
      <c r="AE846" s="4"/>
    </row>
    <row r="847" spans="1:31" ht="13.2">
      <c r="A847" s="7"/>
      <c r="B847" s="7"/>
      <c r="C847" s="7"/>
      <c r="D847" s="29"/>
      <c r="E847" s="7"/>
      <c r="F847" s="7"/>
      <c r="G847" s="7"/>
      <c r="H847" s="16"/>
      <c r="I847" s="16"/>
      <c r="J847" s="16"/>
      <c r="K847" s="16"/>
      <c r="L847" s="16"/>
      <c r="M847" s="16"/>
      <c r="N847" s="16"/>
      <c r="O847" s="16"/>
      <c r="P847" s="16"/>
      <c r="Q847" s="4"/>
      <c r="R847" s="4"/>
      <c r="S847" s="4"/>
      <c r="T847" s="4"/>
      <c r="U847" s="4"/>
      <c r="V847" s="4"/>
      <c r="W847" s="4"/>
      <c r="X847" s="4"/>
      <c r="Y847" s="4"/>
      <c r="Z847" s="4"/>
      <c r="AA847" s="4"/>
      <c r="AB847" s="4"/>
      <c r="AC847" s="4"/>
      <c r="AD847" s="4"/>
      <c r="AE847" s="4"/>
    </row>
    <row r="848" spans="1:31" ht="13.2">
      <c r="A848" s="7"/>
      <c r="B848" s="7"/>
      <c r="C848" s="7"/>
      <c r="D848" s="29"/>
      <c r="E848" s="7"/>
      <c r="F848" s="7"/>
      <c r="G848" s="7"/>
      <c r="H848" s="16"/>
      <c r="I848" s="16"/>
      <c r="J848" s="16"/>
      <c r="K848" s="16"/>
      <c r="L848" s="16"/>
      <c r="M848" s="16"/>
      <c r="N848" s="16"/>
      <c r="O848" s="16"/>
      <c r="P848" s="16"/>
      <c r="Q848" s="4"/>
      <c r="R848" s="4"/>
      <c r="S848" s="4"/>
      <c r="T848" s="4"/>
      <c r="U848" s="4"/>
      <c r="V848" s="4"/>
      <c r="W848" s="4"/>
      <c r="X848" s="4"/>
      <c r="Y848" s="4"/>
      <c r="Z848" s="4"/>
      <c r="AA848" s="4"/>
      <c r="AB848" s="4"/>
      <c r="AC848" s="4"/>
      <c r="AD848" s="4"/>
      <c r="AE848" s="4"/>
    </row>
    <row r="849" spans="1:31" ht="13.2">
      <c r="A849" s="7"/>
      <c r="B849" s="7"/>
      <c r="C849" s="7"/>
      <c r="D849" s="29"/>
      <c r="E849" s="7"/>
      <c r="F849" s="7"/>
      <c r="G849" s="7"/>
      <c r="H849" s="16"/>
      <c r="I849" s="16"/>
      <c r="J849" s="16"/>
      <c r="K849" s="16"/>
      <c r="L849" s="16"/>
      <c r="M849" s="16"/>
      <c r="N849" s="16"/>
      <c r="O849" s="16"/>
      <c r="P849" s="16"/>
      <c r="Q849" s="4"/>
      <c r="R849" s="4"/>
      <c r="S849" s="4"/>
      <c r="T849" s="4"/>
      <c r="U849" s="4"/>
      <c r="V849" s="4"/>
      <c r="W849" s="4"/>
      <c r="X849" s="4"/>
      <c r="Y849" s="4"/>
      <c r="Z849" s="4"/>
      <c r="AA849" s="4"/>
      <c r="AB849" s="4"/>
      <c r="AC849" s="4"/>
      <c r="AD849" s="4"/>
      <c r="AE849" s="4"/>
    </row>
    <row r="850" spans="1:31" ht="13.2">
      <c r="A850" s="7"/>
      <c r="B850" s="7"/>
      <c r="C850" s="7"/>
      <c r="D850" s="29"/>
      <c r="E850" s="7"/>
      <c r="F850" s="7"/>
      <c r="G850" s="7"/>
      <c r="H850" s="16"/>
      <c r="I850" s="16"/>
      <c r="J850" s="16"/>
      <c r="K850" s="16"/>
      <c r="L850" s="16"/>
      <c r="M850" s="16"/>
      <c r="N850" s="16"/>
      <c r="O850" s="16"/>
      <c r="P850" s="16"/>
      <c r="Q850" s="4"/>
      <c r="R850" s="4"/>
      <c r="S850" s="4"/>
      <c r="T850" s="4"/>
      <c r="U850" s="4"/>
      <c r="V850" s="4"/>
      <c r="W850" s="4"/>
      <c r="X850" s="4"/>
      <c r="Y850" s="4"/>
      <c r="Z850" s="4"/>
      <c r="AA850" s="4"/>
      <c r="AB850" s="4"/>
      <c r="AC850" s="4"/>
      <c r="AD850" s="4"/>
      <c r="AE850" s="4"/>
    </row>
    <row r="851" spans="1:31" ht="13.2">
      <c r="A851" s="7"/>
      <c r="B851" s="7"/>
      <c r="C851" s="7"/>
      <c r="D851" s="29"/>
      <c r="E851" s="7"/>
      <c r="F851" s="7"/>
      <c r="G851" s="7"/>
      <c r="H851" s="16"/>
      <c r="I851" s="16"/>
      <c r="J851" s="16"/>
      <c r="K851" s="16"/>
      <c r="L851" s="16"/>
      <c r="M851" s="16"/>
      <c r="N851" s="16"/>
      <c r="O851" s="16"/>
      <c r="P851" s="16"/>
      <c r="Q851" s="4"/>
      <c r="R851" s="4"/>
      <c r="S851" s="4"/>
      <c r="T851" s="4"/>
      <c r="U851" s="4"/>
      <c r="V851" s="4"/>
      <c r="W851" s="4"/>
      <c r="X851" s="4"/>
      <c r="Y851" s="4"/>
      <c r="Z851" s="4"/>
      <c r="AA851" s="4"/>
      <c r="AB851" s="4"/>
      <c r="AC851" s="4"/>
      <c r="AD851" s="4"/>
      <c r="AE851" s="4"/>
    </row>
    <row r="852" spans="1:31" ht="13.2">
      <c r="A852" s="7"/>
      <c r="B852" s="7"/>
      <c r="C852" s="7"/>
      <c r="D852" s="29"/>
      <c r="E852" s="7"/>
      <c r="F852" s="7"/>
      <c r="G852" s="7"/>
      <c r="H852" s="16"/>
      <c r="I852" s="16"/>
      <c r="J852" s="16"/>
      <c r="K852" s="16"/>
      <c r="L852" s="16"/>
      <c r="M852" s="16"/>
      <c r="N852" s="16"/>
      <c r="O852" s="16"/>
      <c r="P852" s="16"/>
      <c r="Q852" s="4"/>
      <c r="R852" s="4"/>
      <c r="S852" s="4"/>
      <c r="T852" s="4"/>
      <c r="U852" s="4"/>
      <c r="V852" s="4"/>
      <c r="W852" s="4"/>
      <c r="X852" s="4"/>
      <c r="Y852" s="4"/>
      <c r="Z852" s="4"/>
      <c r="AA852" s="4"/>
      <c r="AB852" s="4"/>
      <c r="AC852" s="4"/>
      <c r="AD852" s="4"/>
      <c r="AE852" s="4"/>
    </row>
    <row r="853" spans="1:31" ht="13.2">
      <c r="A853" s="7"/>
      <c r="B853" s="7"/>
      <c r="C853" s="7"/>
      <c r="D853" s="29"/>
      <c r="E853" s="7"/>
      <c r="F853" s="7"/>
      <c r="G853" s="7"/>
      <c r="H853" s="16"/>
      <c r="I853" s="16"/>
      <c r="J853" s="16"/>
      <c r="K853" s="16"/>
      <c r="L853" s="16"/>
      <c r="M853" s="16"/>
      <c r="N853" s="16"/>
      <c r="O853" s="16"/>
      <c r="P853" s="16"/>
      <c r="Q853" s="4"/>
      <c r="R853" s="4"/>
      <c r="S853" s="4"/>
      <c r="T853" s="4"/>
      <c r="U853" s="4"/>
      <c r="V853" s="4"/>
      <c r="W853" s="4"/>
      <c r="X853" s="4"/>
      <c r="Y853" s="4"/>
      <c r="Z853" s="4"/>
      <c r="AA853" s="4"/>
      <c r="AB853" s="4"/>
      <c r="AC853" s="4"/>
      <c r="AD853" s="4"/>
      <c r="AE853" s="4"/>
    </row>
    <row r="854" spans="1:31" ht="13.2">
      <c r="A854" s="7"/>
      <c r="B854" s="7"/>
      <c r="C854" s="7"/>
      <c r="D854" s="29"/>
      <c r="E854" s="7"/>
      <c r="F854" s="7"/>
      <c r="G854" s="7"/>
      <c r="H854" s="16"/>
      <c r="I854" s="16"/>
      <c r="J854" s="16"/>
      <c r="K854" s="16"/>
      <c r="L854" s="16"/>
      <c r="M854" s="16"/>
      <c r="N854" s="16"/>
      <c r="O854" s="16"/>
      <c r="P854" s="16"/>
      <c r="Q854" s="4"/>
      <c r="R854" s="4"/>
      <c r="S854" s="4"/>
      <c r="T854" s="4"/>
      <c r="U854" s="4"/>
      <c r="V854" s="4"/>
      <c r="W854" s="4"/>
      <c r="X854" s="4"/>
      <c r="Y854" s="4"/>
      <c r="Z854" s="4"/>
      <c r="AA854" s="4"/>
      <c r="AB854" s="4"/>
      <c r="AC854" s="4"/>
      <c r="AD854" s="4"/>
      <c r="AE854" s="4"/>
    </row>
    <row r="855" spans="1:31" ht="13.2">
      <c r="A855" s="7"/>
      <c r="B855" s="7"/>
      <c r="C855" s="7"/>
      <c r="D855" s="29"/>
      <c r="E855" s="7"/>
      <c r="F855" s="7"/>
      <c r="G855" s="7"/>
      <c r="H855" s="16"/>
      <c r="I855" s="16"/>
      <c r="J855" s="16"/>
      <c r="K855" s="16"/>
      <c r="L855" s="16"/>
      <c r="M855" s="16"/>
      <c r="N855" s="16"/>
      <c r="O855" s="16"/>
      <c r="P855" s="16"/>
      <c r="Q855" s="4"/>
      <c r="R855" s="4"/>
      <c r="S855" s="4"/>
      <c r="T855" s="4"/>
      <c r="U855" s="4"/>
      <c r="V855" s="4"/>
      <c r="W855" s="4"/>
      <c r="X855" s="4"/>
      <c r="Y855" s="4"/>
      <c r="Z855" s="4"/>
      <c r="AA855" s="4"/>
      <c r="AB855" s="4"/>
      <c r="AC855" s="4"/>
      <c r="AD855" s="4"/>
      <c r="AE855" s="4"/>
    </row>
    <row r="856" spans="1:31" ht="13.2">
      <c r="A856" s="7"/>
      <c r="B856" s="7"/>
      <c r="C856" s="7"/>
      <c r="D856" s="29"/>
      <c r="E856" s="7"/>
      <c r="F856" s="7"/>
      <c r="G856" s="7"/>
      <c r="H856" s="16"/>
      <c r="I856" s="16"/>
      <c r="J856" s="16"/>
      <c r="K856" s="16"/>
      <c r="L856" s="16"/>
      <c r="M856" s="16"/>
      <c r="N856" s="16"/>
      <c r="O856" s="16"/>
      <c r="P856" s="16"/>
      <c r="Q856" s="4"/>
      <c r="R856" s="4"/>
      <c r="S856" s="4"/>
      <c r="T856" s="4"/>
      <c r="U856" s="4"/>
      <c r="V856" s="4"/>
      <c r="W856" s="4"/>
      <c r="X856" s="4"/>
      <c r="Y856" s="4"/>
      <c r="Z856" s="4"/>
      <c r="AA856" s="4"/>
      <c r="AB856" s="4"/>
      <c r="AC856" s="4"/>
      <c r="AD856" s="4"/>
      <c r="AE856" s="4"/>
    </row>
    <row r="857" spans="1:31" ht="13.2">
      <c r="A857" s="7"/>
      <c r="B857" s="7"/>
      <c r="C857" s="7"/>
      <c r="D857" s="29"/>
      <c r="E857" s="7"/>
      <c r="F857" s="7"/>
      <c r="G857" s="7"/>
      <c r="H857" s="16"/>
      <c r="I857" s="16"/>
      <c r="J857" s="16"/>
      <c r="K857" s="16"/>
      <c r="L857" s="16"/>
      <c r="M857" s="16"/>
      <c r="N857" s="16"/>
      <c r="O857" s="16"/>
      <c r="P857" s="16"/>
      <c r="Q857" s="4"/>
      <c r="R857" s="4"/>
      <c r="S857" s="4"/>
      <c r="T857" s="4"/>
      <c r="U857" s="4"/>
      <c r="V857" s="4"/>
      <c r="W857" s="4"/>
      <c r="X857" s="4"/>
      <c r="Y857" s="4"/>
      <c r="Z857" s="4"/>
      <c r="AA857" s="4"/>
      <c r="AB857" s="4"/>
      <c r="AC857" s="4"/>
      <c r="AD857" s="4"/>
      <c r="AE857" s="4"/>
    </row>
    <row r="858" spans="1:31" ht="13.2">
      <c r="A858" s="7"/>
      <c r="B858" s="7"/>
      <c r="C858" s="7"/>
      <c r="D858" s="29"/>
      <c r="E858" s="7"/>
      <c r="F858" s="7"/>
      <c r="G858" s="7"/>
      <c r="H858" s="16"/>
      <c r="I858" s="16"/>
      <c r="J858" s="16"/>
      <c r="K858" s="16"/>
      <c r="L858" s="16"/>
      <c r="M858" s="16"/>
      <c r="N858" s="16"/>
      <c r="O858" s="16"/>
      <c r="P858" s="16"/>
      <c r="Q858" s="4"/>
      <c r="R858" s="4"/>
      <c r="S858" s="4"/>
      <c r="T858" s="4"/>
      <c r="U858" s="4"/>
      <c r="V858" s="4"/>
      <c r="W858" s="4"/>
      <c r="X858" s="4"/>
      <c r="Y858" s="4"/>
      <c r="Z858" s="4"/>
      <c r="AA858" s="4"/>
      <c r="AB858" s="4"/>
      <c r="AC858" s="4"/>
      <c r="AD858" s="4"/>
      <c r="AE858" s="4"/>
    </row>
    <row r="859" spans="1:31" ht="13.2">
      <c r="A859" s="7"/>
      <c r="B859" s="7"/>
      <c r="C859" s="7"/>
      <c r="D859" s="29"/>
      <c r="E859" s="7"/>
      <c r="F859" s="7"/>
      <c r="G859" s="7"/>
      <c r="H859" s="16"/>
      <c r="I859" s="16"/>
      <c r="J859" s="16"/>
      <c r="K859" s="16"/>
      <c r="L859" s="16"/>
      <c r="M859" s="16"/>
      <c r="N859" s="16"/>
      <c r="O859" s="16"/>
      <c r="P859" s="16"/>
      <c r="Q859" s="4"/>
      <c r="R859" s="4"/>
      <c r="S859" s="4"/>
      <c r="T859" s="4"/>
      <c r="U859" s="4"/>
      <c r="V859" s="4"/>
      <c r="W859" s="4"/>
      <c r="X859" s="4"/>
      <c r="Y859" s="4"/>
      <c r="Z859" s="4"/>
      <c r="AA859" s="4"/>
      <c r="AB859" s="4"/>
      <c r="AC859" s="4"/>
      <c r="AD859" s="4"/>
      <c r="AE859" s="4"/>
    </row>
    <row r="860" spans="1:31" ht="13.2">
      <c r="A860" s="7"/>
      <c r="B860" s="7"/>
      <c r="C860" s="7"/>
      <c r="D860" s="29"/>
      <c r="E860" s="7"/>
      <c r="F860" s="7"/>
      <c r="G860" s="7"/>
      <c r="H860" s="16"/>
      <c r="I860" s="16"/>
      <c r="J860" s="16"/>
      <c r="K860" s="16"/>
      <c r="L860" s="16"/>
      <c r="M860" s="16"/>
      <c r="N860" s="16"/>
      <c r="O860" s="16"/>
      <c r="P860" s="16"/>
      <c r="Q860" s="4"/>
      <c r="R860" s="4"/>
      <c r="S860" s="4"/>
      <c r="T860" s="4"/>
      <c r="U860" s="4"/>
      <c r="V860" s="4"/>
      <c r="W860" s="4"/>
      <c r="X860" s="4"/>
      <c r="Y860" s="4"/>
      <c r="Z860" s="4"/>
      <c r="AA860" s="4"/>
      <c r="AB860" s="4"/>
      <c r="AC860" s="4"/>
      <c r="AD860" s="4"/>
      <c r="AE860" s="4"/>
    </row>
    <row r="861" spans="1:31" ht="13.2">
      <c r="A861" s="7"/>
      <c r="B861" s="7"/>
      <c r="C861" s="7"/>
      <c r="D861" s="29"/>
      <c r="E861" s="7"/>
      <c r="F861" s="7"/>
      <c r="G861" s="7"/>
      <c r="H861" s="16"/>
      <c r="I861" s="16"/>
      <c r="J861" s="16"/>
      <c r="K861" s="16"/>
      <c r="L861" s="16"/>
      <c r="M861" s="16"/>
      <c r="N861" s="16"/>
      <c r="O861" s="16"/>
      <c r="P861" s="16"/>
      <c r="Q861" s="4"/>
      <c r="R861" s="4"/>
      <c r="S861" s="4"/>
      <c r="T861" s="4"/>
      <c r="U861" s="4"/>
      <c r="V861" s="4"/>
      <c r="W861" s="4"/>
      <c r="X861" s="4"/>
      <c r="Y861" s="4"/>
      <c r="Z861" s="4"/>
      <c r="AA861" s="4"/>
      <c r="AB861" s="4"/>
      <c r="AC861" s="4"/>
      <c r="AD861" s="4"/>
      <c r="AE861" s="4"/>
    </row>
    <row r="862" spans="1:31" ht="13.2">
      <c r="A862" s="7"/>
      <c r="B862" s="7"/>
      <c r="C862" s="7"/>
      <c r="D862" s="29"/>
      <c r="E862" s="7"/>
      <c r="F862" s="7"/>
      <c r="G862" s="7"/>
      <c r="H862" s="16"/>
      <c r="I862" s="16"/>
      <c r="J862" s="16"/>
      <c r="K862" s="16"/>
      <c r="L862" s="16"/>
      <c r="M862" s="16"/>
      <c r="N862" s="16"/>
      <c r="O862" s="16"/>
      <c r="P862" s="16"/>
      <c r="Q862" s="4"/>
      <c r="R862" s="4"/>
      <c r="S862" s="4"/>
      <c r="T862" s="4"/>
      <c r="U862" s="4"/>
      <c r="V862" s="4"/>
      <c r="W862" s="4"/>
      <c r="X862" s="4"/>
      <c r="Y862" s="4"/>
      <c r="Z862" s="4"/>
      <c r="AA862" s="4"/>
      <c r="AB862" s="4"/>
      <c r="AC862" s="4"/>
      <c r="AD862" s="4"/>
      <c r="AE862" s="4"/>
    </row>
    <row r="863" spans="1:31" ht="13.2">
      <c r="A863" s="7"/>
      <c r="B863" s="7"/>
      <c r="C863" s="7"/>
      <c r="D863" s="29"/>
      <c r="E863" s="7"/>
      <c r="F863" s="7"/>
      <c r="G863" s="7"/>
      <c r="H863" s="16"/>
      <c r="I863" s="16"/>
      <c r="J863" s="16"/>
      <c r="K863" s="16"/>
      <c r="L863" s="16"/>
      <c r="M863" s="16"/>
      <c r="N863" s="16"/>
      <c r="O863" s="16"/>
      <c r="P863" s="16"/>
      <c r="Q863" s="4"/>
      <c r="R863" s="4"/>
      <c r="S863" s="4"/>
      <c r="T863" s="4"/>
      <c r="U863" s="4"/>
      <c r="V863" s="4"/>
      <c r="W863" s="4"/>
      <c r="X863" s="4"/>
      <c r="Y863" s="4"/>
      <c r="Z863" s="4"/>
      <c r="AA863" s="4"/>
      <c r="AB863" s="4"/>
      <c r="AC863" s="4"/>
      <c r="AD863" s="4"/>
      <c r="AE863" s="4"/>
    </row>
    <row r="864" spans="1:31" ht="13.2">
      <c r="A864" s="7"/>
      <c r="B864" s="7"/>
      <c r="C864" s="7"/>
      <c r="D864" s="29"/>
      <c r="E864" s="7"/>
      <c r="F864" s="7"/>
      <c r="G864" s="7"/>
      <c r="H864" s="16"/>
      <c r="I864" s="16"/>
      <c r="J864" s="16"/>
      <c r="K864" s="16"/>
      <c r="L864" s="16"/>
      <c r="M864" s="16"/>
      <c r="N864" s="16"/>
      <c r="O864" s="16"/>
      <c r="P864" s="16"/>
      <c r="Q864" s="4"/>
      <c r="R864" s="4"/>
      <c r="S864" s="4"/>
      <c r="T864" s="4"/>
      <c r="U864" s="4"/>
      <c r="V864" s="4"/>
      <c r="W864" s="4"/>
      <c r="X864" s="4"/>
      <c r="Y864" s="4"/>
      <c r="Z864" s="4"/>
      <c r="AA864" s="4"/>
      <c r="AB864" s="4"/>
      <c r="AC864" s="4"/>
      <c r="AD864" s="4"/>
      <c r="AE864" s="4"/>
    </row>
    <row r="865" spans="1:31" ht="13.2">
      <c r="A865" s="7"/>
      <c r="B865" s="7"/>
      <c r="C865" s="7"/>
      <c r="D865" s="29"/>
      <c r="E865" s="7"/>
      <c r="F865" s="7"/>
      <c r="G865" s="7"/>
      <c r="H865" s="16"/>
      <c r="I865" s="16"/>
      <c r="J865" s="16"/>
      <c r="K865" s="16"/>
      <c r="L865" s="16"/>
      <c r="M865" s="16"/>
      <c r="N865" s="16"/>
      <c r="O865" s="16"/>
      <c r="P865" s="16"/>
      <c r="Q865" s="4"/>
      <c r="R865" s="4"/>
      <c r="S865" s="4"/>
      <c r="T865" s="4"/>
      <c r="U865" s="4"/>
      <c r="V865" s="4"/>
      <c r="W865" s="4"/>
      <c r="X865" s="4"/>
      <c r="Y865" s="4"/>
      <c r="Z865" s="4"/>
      <c r="AA865" s="4"/>
      <c r="AB865" s="4"/>
      <c r="AC865" s="4"/>
      <c r="AD865" s="4"/>
      <c r="AE865" s="4"/>
    </row>
    <row r="866" spans="1:31" ht="13.2">
      <c r="A866" s="7"/>
      <c r="B866" s="7"/>
      <c r="C866" s="7"/>
      <c r="D866" s="29"/>
      <c r="E866" s="7"/>
      <c r="F866" s="7"/>
      <c r="G866" s="7"/>
      <c r="H866" s="16"/>
      <c r="I866" s="16"/>
      <c r="J866" s="16"/>
      <c r="K866" s="16"/>
      <c r="L866" s="16"/>
      <c r="M866" s="16"/>
      <c r="N866" s="16"/>
      <c r="O866" s="16"/>
      <c r="P866" s="16"/>
      <c r="Q866" s="4"/>
      <c r="R866" s="4"/>
      <c r="S866" s="4"/>
      <c r="T866" s="4"/>
      <c r="U866" s="4"/>
      <c r="V866" s="4"/>
      <c r="W866" s="4"/>
      <c r="X866" s="4"/>
      <c r="Y866" s="4"/>
      <c r="Z866" s="4"/>
      <c r="AA866" s="4"/>
      <c r="AB866" s="4"/>
      <c r="AC866" s="4"/>
      <c r="AD866" s="4"/>
      <c r="AE866" s="4"/>
    </row>
    <row r="867" spans="1:31" ht="13.2">
      <c r="A867" s="7"/>
      <c r="B867" s="7"/>
      <c r="C867" s="7"/>
      <c r="D867" s="29"/>
      <c r="E867" s="7"/>
      <c r="F867" s="7"/>
      <c r="G867" s="7"/>
      <c r="H867" s="16"/>
      <c r="I867" s="16"/>
      <c r="J867" s="16"/>
      <c r="K867" s="16"/>
      <c r="L867" s="16"/>
      <c r="M867" s="16"/>
      <c r="N867" s="16"/>
      <c r="O867" s="16"/>
      <c r="P867" s="16"/>
      <c r="Q867" s="4"/>
      <c r="R867" s="4"/>
      <c r="S867" s="4"/>
      <c r="T867" s="4"/>
      <c r="U867" s="4"/>
      <c r="V867" s="4"/>
      <c r="W867" s="4"/>
      <c r="X867" s="4"/>
      <c r="Y867" s="4"/>
      <c r="Z867" s="4"/>
      <c r="AA867" s="4"/>
      <c r="AB867" s="4"/>
      <c r="AC867" s="4"/>
      <c r="AD867" s="4"/>
      <c r="AE867" s="4"/>
    </row>
    <row r="868" spans="1:31" ht="13.2">
      <c r="A868" s="7"/>
      <c r="B868" s="7"/>
      <c r="C868" s="7"/>
      <c r="D868" s="29"/>
      <c r="E868" s="7"/>
      <c r="F868" s="7"/>
      <c r="G868" s="7"/>
      <c r="H868" s="16"/>
      <c r="I868" s="16"/>
      <c r="J868" s="16"/>
      <c r="K868" s="16"/>
      <c r="L868" s="16"/>
      <c r="M868" s="16"/>
      <c r="N868" s="16"/>
      <c r="O868" s="16"/>
      <c r="P868" s="16"/>
      <c r="Q868" s="4"/>
      <c r="R868" s="4"/>
      <c r="S868" s="4"/>
      <c r="T868" s="4"/>
      <c r="U868" s="4"/>
      <c r="V868" s="4"/>
      <c r="W868" s="4"/>
      <c r="X868" s="4"/>
      <c r="Y868" s="4"/>
      <c r="Z868" s="4"/>
      <c r="AA868" s="4"/>
      <c r="AB868" s="4"/>
      <c r="AC868" s="4"/>
      <c r="AD868" s="4"/>
      <c r="AE868" s="4"/>
    </row>
    <row r="869" spans="1:31" ht="13.2">
      <c r="A869" s="7"/>
      <c r="B869" s="7"/>
      <c r="C869" s="7"/>
      <c r="D869" s="29"/>
      <c r="E869" s="7"/>
      <c r="F869" s="7"/>
      <c r="G869" s="7"/>
      <c r="H869" s="16"/>
      <c r="I869" s="16"/>
      <c r="J869" s="16"/>
      <c r="K869" s="16"/>
      <c r="L869" s="16"/>
      <c r="M869" s="16"/>
      <c r="N869" s="16"/>
      <c r="O869" s="16"/>
      <c r="P869" s="16"/>
      <c r="Q869" s="4"/>
      <c r="R869" s="4"/>
      <c r="S869" s="4"/>
      <c r="T869" s="4"/>
      <c r="U869" s="4"/>
      <c r="V869" s="4"/>
      <c r="W869" s="4"/>
      <c r="X869" s="4"/>
      <c r="Y869" s="4"/>
      <c r="Z869" s="4"/>
      <c r="AA869" s="4"/>
      <c r="AB869" s="4"/>
      <c r="AC869" s="4"/>
      <c r="AD869" s="4"/>
      <c r="AE869" s="4"/>
    </row>
    <row r="870" spans="1:31" ht="13.2">
      <c r="A870" s="7"/>
      <c r="B870" s="7"/>
      <c r="C870" s="7"/>
      <c r="D870" s="29"/>
      <c r="E870" s="7"/>
      <c r="F870" s="7"/>
      <c r="G870" s="7"/>
      <c r="H870" s="16"/>
      <c r="I870" s="16"/>
      <c r="J870" s="16"/>
      <c r="K870" s="16"/>
      <c r="L870" s="16"/>
      <c r="M870" s="16"/>
      <c r="N870" s="16"/>
      <c r="O870" s="16"/>
      <c r="P870" s="16"/>
      <c r="Q870" s="4"/>
      <c r="R870" s="4"/>
      <c r="S870" s="4"/>
      <c r="T870" s="4"/>
      <c r="U870" s="4"/>
      <c r="V870" s="4"/>
      <c r="W870" s="4"/>
      <c r="X870" s="4"/>
      <c r="Y870" s="4"/>
      <c r="Z870" s="4"/>
      <c r="AA870" s="4"/>
      <c r="AB870" s="4"/>
      <c r="AC870" s="4"/>
      <c r="AD870" s="4"/>
      <c r="AE870" s="4"/>
    </row>
    <row r="871" spans="1:31" ht="13.2">
      <c r="A871" s="7"/>
      <c r="B871" s="7"/>
      <c r="C871" s="7"/>
      <c r="D871" s="29"/>
      <c r="E871" s="7"/>
      <c r="F871" s="7"/>
      <c r="G871" s="7"/>
      <c r="H871" s="16"/>
      <c r="I871" s="16"/>
      <c r="J871" s="16"/>
      <c r="K871" s="16"/>
      <c r="L871" s="16"/>
      <c r="M871" s="16"/>
      <c r="N871" s="16"/>
      <c r="O871" s="16"/>
      <c r="P871" s="16"/>
      <c r="Q871" s="4"/>
      <c r="R871" s="4"/>
      <c r="S871" s="4"/>
      <c r="T871" s="4"/>
      <c r="U871" s="4"/>
      <c r="V871" s="4"/>
      <c r="W871" s="4"/>
      <c r="X871" s="4"/>
      <c r="Y871" s="4"/>
      <c r="Z871" s="4"/>
      <c r="AA871" s="4"/>
      <c r="AB871" s="4"/>
      <c r="AC871" s="4"/>
      <c r="AD871" s="4"/>
      <c r="AE871" s="4"/>
    </row>
    <row r="872" spans="1:31" ht="13.2">
      <c r="A872" s="7"/>
      <c r="B872" s="7"/>
      <c r="C872" s="7"/>
      <c r="D872" s="29"/>
      <c r="E872" s="7"/>
      <c r="F872" s="7"/>
      <c r="G872" s="7"/>
      <c r="H872" s="16"/>
      <c r="I872" s="16"/>
      <c r="J872" s="16"/>
      <c r="K872" s="16"/>
      <c r="L872" s="16"/>
      <c r="M872" s="16"/>
      <c r="N872" s="16"/>
      <c r="O872" s="16"/>
      <c r="P872" s="16"/>
      <c r="Q872" s="4"/>
      <c r="R872" s="4"/>
      <c r="S872" s="4"/>
      <c r="T872" s="4"/>
      <c r="U872" s="4"/>
      <c r="V872" s="4"/>
      <c r="W872" s="4"/>
      <c r="X872" s="4"/>
      <c r="Y872" s="4"/>
      <c r="Z872" s="4"/>
      <c r="AA872" s="4"/>
      <c r="AB872" s="4"/>
      <c r="AC872" s="4"/>
      <c r="AD872" s="4"/>
      <c r="AE872" s="4"/>
    </row>
    <row r="873" spans="1:31" ht="13.2">
      <c r="A873" s="7"/>
      <c r="B873" s="7"/>
      <c r="C873" s="7"/>
      <c r="D873" s="29"/>
      <c r="E873" s="7"/>
      <c r="F873" s="7"/>
      <c r="G873" s="7"/>
      <c r="H873" s="16"/>
      <c r="I873" s="16"/>
      <c r="J873" s="16"/>
      <c r="K873" s="16"/>
      <c r="L873" s="16"/>
      <c r="M873" s="16"/>
      <c r="N873" s="16"/>
      <c r="O873" s="16"/>
      <c r="P873" s="16"/>
      <c r="Q873" s="4"/>
      <c r="R873" s="4"/>
      <c r="S873" s="4"/>
      <c r="T873" s="4"/>
      <c r="U873" s="4"/>
      <c r="V873" s="4"/>
      <c r="W873" s="4"/>
      <c r="X873" s="4"/>
      <c r="Y873" s="4"/>
      <c r="Z873" s="4"/>
      <c r="AA873" s="4"/>
      <c r="AB873" s="4"/>
      <c r="AC873" s="4"/>
      <c r="AD873" s="4"/>
      <c r="AE873" s="4"/>
    </row>
    <row r="874" spans="1:31" ht="13.2">
      <c r="A874" s="7"/>
      <c r="B874" s="7"/>
      <c r="C874" s="7"/>
      <c r="D874" s="29"/>
      <c r="E874" s="7"/>
      <c r="F874" s="7"/>
      <c r="G874" s="7"/>
      <c r="H874" s="16"/>
      <c r="I874" s="16"/>
      <c r="J874" s="16"/>
      <c r="K874" s="16"/>
      <c r="L874" s="16"/>
      <c r="M874" s="16"/>
      <c r="N874" s="16"/>
      <c r="O874" s="16"/>
      <c r="P874" s="16"/>
      <c r="Q874" s="4"/>
      <c r="R874" s="4"/>
      <c r="S874" s="4"/>
      <c r="T874" s="4"/>
      <c r="U874" s="4"/>
      <c r="V874" s="4"/>
      <c r="W874" s="4"/>
      <c r="X874" s="4"/>
      <c r="Y874" s="4"/>
      <c r="Z874" s="4"/>
      <c r="AA874" s="4"/>
      <c r="AB874" s="4"/>
      <c r="AC874" s="4"/>
      <c r="AD874" s="4"/>
      <c r="AE874" s="4"/>
    </row>
    <row r="875" spans="1:31" ht="13.2">
      <c r="A875" s="7"/>
      <c r="B875" s="7"/>
      <c r="C875" s="7"/>
      <c r="D875" s="29"/>
      <c r="E875" s="7"/>
      <c r="F875" s="7"/>
      <c r="G875" s="7"/>
      <c r="H875" s="16"/>
      <c r="I875" s="16"/>
      <c r="J875" s="16"/>
      <c r="K875" s="16"/>
      <c r="L875" s="16"/>
      <c r="M875" s="16"/>
      <c r="N875" s="16"/>
      <c r="O875" s="16"/>
      <c r="P875" s="16"/>
      <c r="Q875" s="4"/>
      <c r="R875" s="4"/>
      <c r="S875" s="4"/>
      <c r="T875" s="4"/>
      <c r="U875" s="4"/>
      <c r="V875" s="4"/>
      <c r="W875" s="4"/>
      <c r="X875" s="4"/>
      <c r="Y875" s="4"/>
      <c r="Z875" s="4"/>
      <c r="AA875" s="4"/>
      <c r="AB875" s="4"/>
      <c r="AC875" s="4"/>
      <c r="AD875" s="4"/>
      <c r="AE875" s="4"/>
    </row>
    <row r="876" spans="1:31" ht="13.2">
      <c r="A876" s="7"/>
      <c r="B876" s="7"/>
      <c r="C876" s="7"/>
      <c r="D876" s="29"/>
      <c r="E876" s="7"/>
      <c r="F876" s="7"/>
      <c r="G876" s="7"/>
      <c r="H876" s="16"/>
      <c r="I876" s="16"/>
      <c r="J876" s="16"/>
      <c r="K876" s="16"/>
      <c r="L876" s="16"/>
      <c r="M876" s="16"/>
      <c r="N876" s="16"/>
      <c r="O876" s="16"/>
      <c r="P876" s="16"/>
      <c r="Q876" s="4"/>
      <c r="R876" s="4"/>
      <c r="S876" s="4"/>
      <c r="T876" s="4"/>
      <c r="U876" s="4"/>
      <c r="V876" s="4"/>
      <c r="W876" s="4"/>
      <c r="X876" s="4"/>
      <c r="Y876" s="4"/>
      <c r="Z876" s="4"/>
      <c r="AA876" s="4"/>
      <c r="AB876" s="4"/>
      <c r="AC876" s="4"/>
      <c r="AD876" s="4"/>
      <c r="AE876" s="4"/>
    </row>
    <row r="877" spans="1:31" ht="13.2">
      <c r="A877" s="7"/>
      <c r="B877" s="7"/>
      <c r="C877" s="7"/>
      <c r="D877" s="29"/>
      <c r="E877" s="7"/>
      <c r="F877" s="7"/>
      <c r="G877" s="7"/>
      <c r="H877" s="16"/>
      <c r="I877" s="16"/>
      <c r="J877" s="16"/>
      <c r="K877" s="16"/>
      <c r="L877" s="16"/>
      <c r="M877" s="16"/>
      <c r="N877" s="16"/>
      <c r="O877" s="16"/>
      <c r="P877" s="16"/>
      <c r="Q877" s="4"/>
      <c r="R877" s="4"/>
      <c r="S877" s="4"/>
      <c r="T877" s="4"/>
      <c r="U877" s="4"/>
      <c r="V877" s="4"/>
      <c r="W877" s="4"/>
      <c r="X877" s="4"/>
      <c r="Y877" s="4"/>
      <c r="Z877" s="4"/>
      <c r="AA877" s="4"/>
      <c r="AB877" s="4"/>
      <c r="AC877" s="4"/>
      <c r="AD877" s="4"/>
      <c r="AE877" s="4"/>
    </row>
    <row r="878" spans="1:31" ht="13.2">
      <c r="A878" s="7"/>
      <c r="B878" s="7"/>
      <c r="C878" s="7"/>
      <c r="D878" s="29"/>
      <c r="E878" s="7"/>
      <c r="F878" s="7"/>
      <c r="G878" s="7"/>
      <c r="H878" s="16"/>
      <c r="I878" s="16"/>
      <c r="J878" s="16"/>
      <c r="K878" s="16"/>
      <c r="L878" s="16"/>
      <c r="M878" s="16"/>
      <c r="N878" s="16"/>
      <c r="O878" s="16"/>
      <c r="P878" s="16"/>
      <c r="Q878" s="4"/>
      <c r="R878" s="4"/>
      <c r="S878" s="4"/>
      <c r="T878" s="4"/>
      <c r="U878" s="4"/>
      <c r="V878" s="4"/>
      <c r="W878" s="4"/>
      <c r="X878" s="4"/>
      <c r="Y878" s="4"/>
      <c r="Z878" s="4"/>
      <c r="AA878" s="4"/>
      <c r="AB878" s="4"/>
      <c r="AC878" s="4"/>
      <c r="AD878" s="4"/>
      <c r="AE878" s="4"/>
    </row>
    <row r="879" spans="1:31" ht="13.2">
      <c r="A879" s="7"/>
      <c r="B879" s="7"/>
      <c r="C879" s="7"/>
      <c r="D879" s="29"/>
      <c r="E879" s="7"/>
      <c r="F879" s="7"/>
      <c r="G879" s="7"/>
      <c r="H879" s="16"/>
      <c r="I879" s="16"/>
      <c r="J879" s="16"/>
      <c r="K879" s="16"/>
      <c r="L879" s="16"/>
      <c r="M879" s="16"/>
      <c r="N879" s="16"/>
      <c r="O879" s="16"/>
      <c r="P879" s="16"/>
      <c r="Q879" s="4"/>
      <c r="R879" s="4"/>
      <c r="S879" s="4"/>
      <c r="T879" s="4"/>
      <c r="U879" s="4"/>
      <c r="V879" s="4"/>
      <c r="W879" s="4"/>
      <c r="X879" s="4"/>
      <c r="Y879" s="4"/>
      <c r="Z879" s="4"/>
      <c r="AA879" s="4"/>
      <c r="AB879" s="4"/>
      <c r="AC879" s="4"/>
      <c r="AD879" s="4"/>
      <c r="AE879" s="4"/>
    </row>
    <row r="880" spans="1:31" ht="13.2">
      <c r="A880" s="7"/>
      <c r="B880" s="7"/>
      <c r="C880" s="7"/>
      <c r="D880" s="29"/>
      <c r="E880" s="7"/>
      <c r="F880" s="7"/>
      <c r="G880" s="7"/>
      <c r="H880" s="16"/>
      <c r="I880" s="16"/>
      <c r="J880" s="16"/>
      <c r="K880" s="16"/>
      <c r="L880" s="16"/>
      <c r="M880" s="16"/>
      <c r="N880" s="16"/>
      <c r="O880" s="16"/>
      <c r="P880" s="16"/>
      <c r="Q880" s="4"/>
      <c r="R880" s="4"/>
      <c r="S880" s="4"/>
      <c r="T880" s="4"/>
      <c r="U880" s="4"/>
      <c r="V880" s="4"/>
      <c r="W880" s="4"/>
      <c r="X880" s="4"/>
      <c r="Y880" s="4"/>
      <c r="Z880" s="4"/>
      <c r="AA880" s="4"/>
      <c r="AB880" s="4"/>
      <c r="AC880" s="4"/>
      <c r="AD880" s="4"/>
      <c r="AE880" s="4"/>
    </row>
    <row r="881" spans="1:31" ht="13.2">
      <c r="A881" s="7"/>
      <c r="B881" s="7"/>
      <c r="C881" s="7"/>
      <c r="D881" s="29"/>
      <c r="E881" s="7"/>
      <c r="F881" s="7"/>
      <c r="G881" s="7"/>
      <c r="H881" s="16"/>
      <c r="I881" s="16"/>
      <c r="J881" s="16"/>
      <c r="K881" s="16"/>
      <c r="L881" s="16"/>
      <c r="M881" s="16"/>
      <c r="N881" s="16"/>
      <c r="O881" s="16"/>
      <c r="P881" s="16"/>
      <c r="Q881" s="4"/>
      <c r="R881" s="4"/>
      <c r="S881" s="4"/>
      <c r="T881" s="4"/>
      <c r="U881" s="4"/>
      <c r="V881" s="4"/>
      <c r="W881" s="4"/>
      <c r="X881" s="4"/>
      <c r="Y881" s="4"/>
      <c r="Z881" s="4"/>
      <c r="AA881" s="4"/>
      <c r="AB881" s="4"/>
      <c r="AC881" s="4"/>
      <c r="AD881" s="4"/>
      <c r="AE881" s="4"/>
    </row>
    <row r="882" spans="1:31" ht="13.2">
      <c r="A882" s="7"/>
      <c r="B882" s="7"/>
      <c r="C882" s="7"/>
      <c r="D882" s="29"/>
      <c r="E882" s="7"/>
      <c r="F882" s="7"/>
      <c r="G882" s="7"/>
      <c r="H882" s="16"/>
      <c r="I882" s="16"/>
      <c r="J882" s="16"/>
      <c r="K882" s="16"/>
      <c r="L882" s="16"/>
      <c r="M882" s="16"/>
      <c r="N882" s="16"/>
      <c r="O882" s="16"/>
      <c r="P882" s="16"/>
      <c r="Q882" s="4"/>
      <c r="R882" s="4"/>
      <c r="S882" s="4"/>
      <c r="T882" s="4"/>
      <c r="U882" s="4"/>
      <c r="V882" s="4"/>
      <c r="W882" s="4"/>
      <c r="X882" s="4"/>
      <c r="Y882" s="4"/>
      <c r="Z882" s="4"/>
      <c r="AA882" s="4"/>
      <c r="AB882" s="4"/>
      <c r="AC882" s="4"/>
      <c r="AD882" s="4"/>
      <c r="AE882" s="4"/>
    </row>
    <row r="883" spans="1:31" ht="13.2">
      <c r="A883" s="7"/>
      <c r="B883" s="7"/>
      <c r="C883" s="7"/>
      <c r="D883" s="29"/>
      <c r="E883" s="7"/>
      <c r="F883" s="7"/>
      <c r="G883" s="7"/>
      <c r="H883" s="16"/>
      <c r="I883" s="16"/>
      <c r="J883" s="16"/>
      <c r="K883" s="16"/>
      <c r="L883" s="16"/>
      <c r="M883" s="16"/>
      <c r="N883" s="16"/>
      <c r="O883" s="16"/>
      <c r="P883" s="16"/>
      <c r="Q883" s="4"/>
      <c r="R883" s="4"/>
      <c r="S883" s="4"/>
      <c r="T883" s="4"/>
      <c r="U883" s="4"/>
      <c r="V883" s="4"/>
      <c r="W883" s="4"/>
      <c r="X883" s="4"/>
      <c r="Y883" s="4"/>
      <c r="Z883" s="4"/>
      <c r="AA883" s="4"/>
      <c r="AB883" s="4"/>
      <c r="AC883" s="4"/>
      <c r="AD883" s="4"/>
      <c r="AE883" s="4"/>
    </row>
    <row r="884" spans="1:31" ht="13.2">
      <c r="A884" s="7"/>
      <c r="B884" s="7"/>
      <c r="C884" s="7"/>
      <c r="D884" s="29"/>
      <c r="E884" s="7"/>
      <c r="F884" s="7"/>
      <c r="G884" s="7"/>
      <c r="H884" s="16"/>
      <c r="I884" s="16"/>
      <c r="J884" s="16"/>
      <c r="K884" s="16"/>
      <c r="L884" s="16"/>
      <c r="M884" s="16"/>
      <c r="N884" s="16"/>
      <c r="O884" s="16"/>
      <c r="P884" s="16"/>
      <c r="Q884" s="4"/>
      <c r="R884" s="4"/>
      <c r="S884" s="4"/>
      <c r="T884" s="4"/>
      <c r="U884" s="4"/>
      <c r="V884" s="4"/>
      <c r="W884" s="4"/>
      <c r="X884" s="4"/>
      <c r="Y884" s="4"/>
      <c r="Z884" s="4"/>
      <c r="AA884" s="4"/>
      <c r="AB884" s="4"/>
      <c r="AC884" s="4"/>
      <c r="AD884" s="4"/>
      <c r="AE884" s="4"/>
    </row>
    <row r="885" spans="1:31" ht="13.2">
      <c r="A885" s="7"/>
      <c r="B885" s="7"/>
      <c r="C885" s="7"/>
      <c r="D885" s="29"/>
      <c r="E885" s="7"/>
      <c r="F885" s="7"/>
      <c r="G885" s="7"/>
      <c r="H885" s="16"/>
      <c r="I885" s="16"/>
      <c r="J885" s="16"/>
      <c r="K885" s="16"/>
      <c r="L885" s="16"/>
      <c r="M885" s="16"/>
      <c r="N885" s="16"/>
      <c r="O885" s="16"/>
      <c r="P885" s="16"/>
      <c r="Q885" s="4"/>
      <c r="R885" s="4"/>
      <c r="S885" s="4"/>
      <c r="T885" s="4"/>
      <c r="U885" s="4"/>
      <c r="V885" s="4"/>
      <c r="W885" s="4"/>
      <c r="X885" s="4"/>
      <c r="Y885" s="4"/>
      <c r="Z885" s="4"/>
      <c r="AA885" s="4"/>
      <c r="AB885" s="4"/>
      <c r="AC885" s="4"/>
      <c r="AD885" s="4"/>
      <c r="AE885" s="4"/>
    </row>
    <row r="886" spans="1:31" ht="13.2">
      <c r="A886" s="7"/>
      <c r="B886" s="7"/>
      <c r="C886" s="7"/>
      <c r="D886" s="29"/>
      <c r="E886" s="7"/>
      <c r="F886" s="7"/>
      <c r="G886" s="7"/>
      <c r="H886" s="16"/>
      <c r="I886" s="16"/>
      <c r="J886" s="16"/>
      <c r="K886" s="16"/>
      <c r="L886" s="16"/>
      <c r="M886" s="16"/>
      <c r="N886" s="16"/>
      <c r="O886" s="16"/>
      <c r="P886" s="16"/>
      <c r="Q886" s="4"/>
      <c r="R886" s="4"/>
      <c r="S886" s="4"/>
      <c r="T886" s="4"/>
      <c r="U886" s="4"/>
      <c r="V886" s="4"/>
      <c r="W886" s="4"/>
      <c r="X886" s="4"/>
      <c r="Y886" s="4"/>
      <c r="Z886" s="4"/>
      <c r="AA886" s="4"/>
      <c r="AB886" s="4"/>
      <c r="AC886" s="4"/>
      <c r="AD886" s="4"/>
      <c r="AE886" s="4"/>
    </row>
    <row r="887" spans="1:31" ht="13.2">
      <c r="A887" s="7"/>
      <c r="B887" s="7"/>
      <c r="C887" s="7"/>
      <c r="D887" s="29"/>
      <c r="E887" s="7"/>
      <c r="F887" s="7"/>
      <c r="G887" s="7"/>
      <c r="H887" s="16"/>
      <c r="I887" s="16"/>
      <c r="J887" s="16"/>
      <c r="K887" s="16"/>
      <c r="L887" s="16"/>
      <c r="M887" s="16"/>
      <c r="N887" s="16"/>
      <c r="O887" s="16"/>
      <c r="P887" s="16"/>
      <c r="Q887" s="4"/>
      <c r="R887" s="4"/>
      <c r="S887" s="4"/>
      <c r="T887" s="4"/>
      <c r="U887" s="4"/>
      <c r="V887" s="4"/>
      <c r="W887" s="4"/>
      <c r="X887" s="4"/>
      <c r="Y887" s="4"/>
      <c r="Z887" s="4"/>
      <c r="AA887" s="4"/>
      <c r="AB887" s="4"/>
      <c r="AC887" s="4"/>
      <c r="AD887" s="4"/>
      <c r="AE887" s="4"/>
    </row>
    <row r="888" spans="1:31" ht="13.2">
      <c r="A888" s="7"/>
      <c r="B888" s="7"/>
      <c r="C888" s="7"/>
      <c r="D888" s="29"/>
      <c r="E888" s="7"/>
      <c r="F888" s="7"/>
      <c r="G888" s="7"/>
      <c r="H888" s="16"/>
      <c r="I888" s="16"/>
      <c r="J888" s="16"/>
      <c r="K888" s="16"/>
      <c r="L888" s="16"/>
      <c r="M888" s="16"/>
      <c r="N888" s="16"/>
      <c r="O888" s="16"/>
      <c r="P888" s="16"/>
      <c r="Q888" s="4"/>
      <c r="R888" s="4"/>
      <c r="S888" s="4"/>
      <c r="T888" s="4"/>
      <c r="U888" s="4"/>
      <c r="V888" s="4"/>
      <c r="W888" s="4"/>
      <c r="X888" s="4"/>
      <c r="Y888" s="4"/>
      <c r="Z888" s="4"/>
      <c r="AA888" s="4"/>
      <c r="AB888" s="4"/>
      <c r="AC888" s="4"/>
      <c r="AD888" s="4"/>
      <c r="AE888" s="4"/>
    </row>
    <row r="889" spans="1:31" ht="13.2">
      <c r="A889" s="7"/>
      <c r="B889" s="7"/>
      <c r="C889" s="7"/>
      <c r="D889" s="29"/>
      <c r="E889" s="7"/>
      <c r="F889" s="7"/>
      <c r="G889" s="7"/>
      <c r="H889" s="16"/>
      <c r="I889" s="16"/>
      <c r="J889" s="16"/>
      <c r="K889" s="16"/>
      <c r="L889" s="16"/>
      <c r="M889" s="16"/>
      <c r="N889" s="16"/>
      <c r="O889" s="16"/>
      <c r="P889" s="16"/>
      <c r="Q889" s="4"/>
      <c r="R889" s="4"/>
      <c r="S889" s="4"/>
      <c r="T889" s="4"/>
      <c r="U889" s="4"/>
      <c r="V889" s="4"/>
      <c r="W889" s="4"/>
      <c r="X889" s="4"/>
      <c r="Y889" s="4"/>
      <c r="Z889" s="4"/>
      <c r="AA889" s="4"/>
      <c r="AB889" s="4"/>
      <c r="AC889" s="4"/>
      <c r="AD889" s="4"/>
      <c r="AE889" s="4"/>
    </row>
    <row r="890" spans="1:31" ht="13.2">
      <c r="A890" s="7"/>
      <c r="B890" s="7"/>
      <c r="C890" s="7"/>
      <c r="D890" s="29"/>
      <c r="E890" s="7"/>
      <c r="F890" s="7"/>
      <c r="G890" s="7"/>
      <c r="H890" s="16"/>
      <c r="I890" s="16"/>
      <c r="J890" s="16"/>
      <c r="K890" s="16"/>
      <c r="L890" s="16"/>
      <c r="M890" s="16"/>
      <c r="N890" s="16"/>
      <c r="O890" s="16"/>
      <c r="P890" s="16"/>
      <c r="Q890" s="4"/>
      <c r="R890" s="4"/>
      <c r="S890" s="4"/>
      <c r="T890" s="4"/>
      <c r="U890" s="4"/>
      <c r="V890" s="4"/>
      <c r="W890" s="4"/>
      <c r="X890" s="4"/>
      <c r="Y890" s="4"/>
      <c r="Z890" s="4"/>
      <c r="AA890" s="4"/>
      <c r="AB890" s="4"/>
      <c r="AC890" s="4"/>
      <c r="AD890" s="4"/>
      <c r="AE890" s="4"/>
    </row>
    <row r="891" spans="1:31" ht="13.2">
      <c r="A891" s="7"/>
      <c r="B891" s="7"/>
      <c r="C891" s="7"/>
      <c r="D891" s="29"/>
      <c r="E891" s="7"/>
      <c r="F891" s="7"/>
      <c r="G891" s="7"/>
      <c r="H891" s="16"/>
      <c r="I891" s="16"/>
      <c r="J891" s="16"/>
      <c r="K891" s="16"/>
      <c r="L891" s="16"/>
      <c r="M891" s="16"/>
      <c r="N891" s="16"/>
      <c r="O891" s="16"/>
      <c r="P891" s="16"/>
      <c r="Q891" s="4"/>
      <c r="R891" s="4"/>
      <c r="S891" s="4"/>
      <c r="T891" s="4"/>
      <c r="U891" s="4"/>
      <c r="V891" s="4"/>
      <c r="W891" s="4"/>
      <c r="X891" s="4"/>
      <c r="Y891" s="4"/>
      <c r="Z891" s="4"/>
      <c r="AA891" s="4"/>
      <c r="AB891" s="4"/>
      <c r="AC891" s="4"/>
      <c r="AD891" s="4"/>
      <c r="AE891" s="4"/>
    </row>
    <row r="892" spans="1:31" ht="13.2">
      <c r="A892" s="7"/>
      <c r="B892" s="7"/>
      <c r="C892" s="7"/>
      <c r="D892" s="29"/>
      <c r="E892" s="7"/>
      <c r="F892" s="7"/>
      <c r="G892" s="7"/>
      <c r="H892" s="16"/>
      <c r="I892" s="16"/>
      <c r="J892" s="16"/>
      <c r="K892" s="16"/>
      <c r="L892" s="16"/>
      <c r="M892" s="16"/>
      <c r="N892" s="16"/>
      <c r="O892" s="16"/>
      <c r="P892" s="16"/>
      <c r="Q892" s="4"/>
      <c r="R892" s="4"/>
      <c r="S892" s="4"/>
      <c r="T892" s="4"/>
      <c r="U892" s="4"/>
      <c r="V892" s="4"/>
      <c r="W892" s="4"/>
      <c r="X892" s="4"/>
      <c r="Y892" s="4"/>
      <c r="Z892" s="4"/>
      <c r="AA892" s="4"/>
      <c r="AB892" s="4"/>
      <c r="AC892" s="4"/>
      <c r="AD892" s="4"/>
      <c r="AE892" s="4"/>
    </row>
    <row r="893" spans="1:31" ht="13.2">
      <c r="A893" s="7"/>
      <c r="B893" s="7"/>
      <c r="C893" s="7"/>
      <c r="D893" s="29"/>
      <c r="E893" s="7"/>
      <c r="F893" s="7"/>
      <c r="G893" s="7"/>
      <c r="H893" s="16"/>
      <c r="I893" s="16"/>
      <c r="J893" s="16"/>
      <c r="K893" s="16"/>
      <c r="L893" s="16"/>
      <c r="M893" s="16"/>
      <c r="N893" s="16"/>
      <c r="O893" s="16"/>
      <c r="P893" s="16"/>
      <c r="Q893" s="4"/>
      <c r="R893" s="4"/>
      <c r="S893" s="4"/>
      <c r="T893" s="4"/>
      <c r="U893" s="4"/>
      <c r="V893" s="4"/>
      <c r="W893" s="4"/>
      <c r="X893" s="4"/>
      <c r="Y893" s="4"/>
      <c r="Z893" s="4"/>
      <c r="AA893" s="4"/>
      <c r="AB893" s="4"/>
      <c r="AC893" s="4"/>
      <c r="AD893" s="4"/>
      <c r="AE893" s="4"/>
    </row>
    <row r="894" spans="1:31" ht="13.2">
      <c r="A894" s="7"/>
      <c r="B894" s="7"/>
      <c r="C894" s="7"/>
      <c r="D894" s="29"/>
      <c r="E894" s="7"/>
      <c r="F894" s="7"/>
      <c r="G894" s="7"/>
      <c r="H894" s="16"/>
      <c r="I894" s="16"/>
      <c r="J894" s="16"/>
      <c r="K894" s="16"/>
      <c r="L894" s="16"/>
      <c r="M894" s="16"/>
      <c r="N894" s="16"/>
      <c r="O894" s="16"/>
      <c r="P894" s="16"/>
      <c r="Q894" s="4"/>
      <c r="R894" s="4"/>
      <c r="S894" s="4"/>
      <c r="T894" s="4"/>
      <c r="U894" s="4"/>
      <c r="V894" s="4"/>
      <c r="W894" s="4"/>
      <c r="X894" s="4"/>
      <c r="Y894" s="4"/>
      <c r="Z894" s="4"/>
      <c r="AA894" s="4"/>
      <c r="AB894" s="4"/>
      <c r="AC894" s="4"/>
      <c r="AD894" s="4"/>
      <c r="AE894" s="4"/>
    </row>
    <row r="895" spans="1:31" ht="13.2">
      <c r="A895" s="7"/>
      <c r="B895" s="7"/>
      <c r="C895" s="7"/>
      <c r="D895" s="29"/>
      <c r="E895" s="7"/>
      <c r="F895" s="7"/>
      <c r="G895" s="7"/>
      <c r="H895" s="16"/>
      <c r="I895" s="16"/>
      <c r="J895" s="16"/>
      <c r="K895" s="16"/>
      <c r="L895" s="16"/>
      <c r="M895" s="16"/>
      <c r="N895" s="16"/>
      <c r="O895" s="16"/>
      <c r="P895" s="16"/>
      <c r="Q895" s="4"/>
      <c r="R895" s="4"/>
      <c r="S895" s="4"/>
      <c r="T895" s="4"/>
      <c r="U895" s="4"/>
      <c r="V895" s="4"/>
      <c r="W895" s="4"/>
      <c r="X895" s="4"/>
      <c r="Y895" s="4"/>
      <c r="Z895" s="4"/>
      <c r="AA895" s="4"/>
      <c r="AB895" s="4"/>
      <c r="AC895" s="4"/>
      <c r="AD895" s="4"/>
      <c r="AE895" s="4"/>
    </row>
    <row r="896" spans="1:31" ht="13.2">
      <c r="A896" s="7"/>
      <c r="B896" s="7"/>
      <c r="C896" s="7"/>
      <c r="D896" s="29"/>
      <c r="E896" s="7"/>
      <c r="F896" s="7"/>
      <c r="G896" s="7"/>
      <c r="H896" s="16"/>
      <c r="I896" s="16"/>
      <c r="J896" s="16"/>
      <c r="K896" s="16"/>
      <c r="L896" s="16"/>
      <c r="M896" s="16"/>
      <c r="N896" s="16"/>
      <c r="O896" s="16"/>
      <c r="P896" s="16"/>
      <c r="Q896" s="4"/>
      <c r="R896" s="4"/>
      <c r="S896" s="4"/>
      <c r="T896" s="4"/>
      <c r="U896" s="4"/>
      <c r="V896" s="4"/>
      <c r="W896" s="4"/>
      <c r="X896" s="4"/>
      <c r="Y896" s="4"/>
      <c r="Z896" s="4"/>
      <c r="AA896" s="4"/>
      <c r="AB896" s="4"/>
      <c r="AC896" s="4"/>
      <c r="AD896" s="4"/>
      <c r="AE896" s="4"/>
    </row>
    <row r="897" spans="1:31" ht="13.2">
      <c r="A897" s="7"/>
      <c r="B897" s="7"/>
      <c r="C897" s="7"/>
      <c r="D897" s="29"/>
      <c r="E897" s="7"/>
      <c r="F897" s="7"/>
      <c r="G897" s="7"/>
      <c r="H897" s="16"/>
      <c r="I897" s="16"/>
      <c r="J897" s="16"/>
      <c r="K897" s="16"/>
      <c r="L897" s="16"/>
      <c r="M897" s="16"/>
      <c r="N897" s="16"/>
      <c r="O897" s="16"/>
      <c r="P897" s="16"/>
      <c r="Q897" s="4"/>
      <c r="R897" s="4"/>
      <c r="S897" s="4"/>
      <c r="T897" s="4"/>
      <c r="U897" s="4"/>
      <c r="V897" s="4"/>
      <c r="W897" s="4"/>
      <c r="X897" s="4"/>
      <c r="Y897" s="4"/>
      <c r="Z897" s="4"/>
      <c r="AA897" s="4"/>
      <c r="AB897" s="4"/>
      <c r="AC897" s="4"/>
      <c r="AD897" s="4"/>
      <c r="AE897" s="4"/>
    </row>
    <row r="898" spans="1:31" ht="13.2">
      <c r="A898" s="7"/>
      <c r="B898" s="7"/>
      <c r="C898" s="7"/>
      <c r="D898" s="29"/>
      <c r="E898" s="7"/>
      <c r="F898" s="7"/>
      <c r="G898" s="7"/>
      <c r="H898" s="16"/>
      <c r="I898" s="16"/>
      <c r="J898" s="16"/>
      <c r="K898" s="16"/>
      <c r="L898" s="16"/>
      <c r="M898" s="16"/>
      <c r="N898" s="16"/>
      <c r="O898" s="16"/>
      <c r="P898" s="16"/>
      <c r="Q898" s="4"/>
      <c r="R898" s="4"/>
      <c r="S898" s="4"/>
      <c r="T898" s="4"/>
      <c r="U898" s="4"/>
      <c r="V898" s="4"/>
      <c r="W898" s="4"/>
      <c r="X898" s="4"/>
      <c r="Y898" s="4"/>
      <c r="Z898" s="4"/>
      <c r="AA898" s="4"/>
      <c r="AB898" s="4"/>
      <c r="AC898" s="4"/>
      <c r="AD898" s="4"/>
      <c r="AE898" s="4"/>
    </row>
    <row r="899" spans="1:31" ht="13.2">
      <c r="A899" s="7"/>
      <c r="B899" s="7"/>
      <c r="C899" s="7"/>
      <c r="D899" s="29"/>
      <c r="E899" s="7"/>
      <c r="F899" s="7"/>
      <c r="G899" s="7"/>
      <c r="H899" s="16"/>
      <c r="I899" s="16"/>
      <c r="J899" s="16"/>
      <c r="K899" s="16"/>
      <c r="L899" s="16"/>
      <c r="M899" s="16"/>
      <c r="N899" s="16"/>
      <c r="O899" s="16"/>
      <c r="P899" s="16"/>
      <c r="Q899" s="4"/>
      <c r="R899" s="4"/>
      <c r="S899" s="4"/>
      <c r="T899" s="4"/>
      <c r="U899" s="4"/>
      <c r="V899" s="4"/>
      <c r="W899" s="4"/>
      <c r="X899" s="4"/>
      <c r="Y899" s="4"/>
      <c r="Z899" s="4"/>
      <c r="AA899" s="4"/>
      <c r="AB899" s="4"/>
      <c r="AC899" s="4"/>
      <c r="AD899" s="4"/>
      <c r="AE899" s="4"/>
    </row>
    <row r="900" spans="1:31" ht="13.2">
      <c r="A900" s="7"/>
      <c r="B900" s="7"/>
      <c r="C900" s="7"/>
      <c r="D900" s="29"/>
      <c r="E900" s="7"/>
      <c r="F900" s="7"/>
      <c r="G900" s="7"/>
      <c r="H900" s="16"/>
      <c r="I900" s="16"/>
      <c r="J900" s="16"/>
      <c r="K900" s="16"/>
      <c r="L900" s="16"/>
      <c r="M900" s="16"/>
      <c r="N900" s="16"/>
      <c r="O900" s="16"/>
      <c r="P900" s="16"/>
      <c r="Q900" s="4"/>
      <c r="R900" s="4"/>
      <c r="S900" s="4"/>
      <c r="T900" s="4"/>
      <c r="U900" s="4"/>
      <c r="V900" s="4"/>
      <c r="W900" s="4"/>
      <c r="X900" s="4"/>
      <c r="Y900" s="4"/>
      <c r="Z900" s="4"/>
      <c r="AA900" s="4"/>
      <c r="AB900" s="4"/>
      <c r="AC900" s="4"/>
      <c r="AD900" s="4"/>
      <c r="AE900" s="4"/>
    </row>
    <row r="901" spans="1:31" ht="13.2">
      <c r="A901" s="7"/>
      <c r="B901" s="7"/>
      <c r="C901" s="7"/>
      <c r="D901" s="29"/>
      <c r="E901" s="7"/>
      <c r="F901" s="7"/>
      <c r="G901" s="7"/>
      <c r="H901" s="16"/>
      <c r="I901" s="16"/>
      <c r="J901" s="16"/>
      <c r="K901" s="16"/>
      <c r="L901" s="16"/>
      <c r="M901" s="16"/>
      <c r="N901" s="16"/>
      <c r="O901" s="16"/>
      <c r="P901" s="16"/>
      <c r="Q901" s="4"/>
      <c r="R901" s="4"/>
      <c r="S901" s="4"/>
      <c r="T901" s="4"/>
      <c r="U901" s="4"/>
      <c r="V901" s="4"/>
      <c r="W901" s="4"/>
      <c r="X901" s="4"/>
      <c r="Y901" s="4"/>
      <c r="Z901" s="4"/>
      <c r="AA901" s="4"/>
      <c r="AB901" s="4"/>
      <c r="AC901" s="4"/>
      <c r="AD901" s="4"/>
      <c r="AE901" s="4"/>
    </row>
    <row r="902" spans="1:31" ht="13.2">
      <c r="A902" s="7"/>
      <c r="B902" s="7"/>
      <c r="C902" s="7"/>
      <c r="D902" s="29"/>
      <c r="E902" s="7"/>
      <c r="F902" s="7"/>
      <c r="G902" s="7"/>
      <c r="H902" s="16"/>
      <c r="I902" s="16"/>
      <c r="J902" s="16"/>
      <c r="K902" s="16"/>
      <c r="L902" s="16"/>
      <c r="M902" s="16"/>
      <c r="N902" s="16"/>
      <c r="O902" s="16"/>
      <c r="P902" s="16"/>
      <c r="Q902" s="4"/>
      <c r="R902" s="4"/>
      <c r="S902" s="4"/>
      <c r="T902" s="4"/>
      <c r="U902" s="4"/>
      <c r="V902" s="4"/>
      <c r="W902" s="4"/>
      <c r="X902" s="4"/>
      <c r="Y902" s="4"/>
      <c r="Z902" s="4"/>
      <c r="AA902" s="4"/>
      <c r="AB902" s="4"/>
      <c r="AC902" s="4"/>
      <c r="AD902" s="4"/>
      <c r="AE902" s="4"/>
    </row>
    <row r="903" spans="1:31" ht="13.2">
      <c r="A903" s="7"/>
      <c r="B903" s="7"/>
      <c r="C903" s="7"/>
      <c r="D903" s="29"/>
      <c r="E903" s="7"/>
      <c r="F903" s="7"/>
      <c r="G903" s="7"/>
      <c r="H903" s="16"/>
      <c r="I903" s="16"/>
      <c r="J903" s="16"/>
      <c r="K903" s="16"/>
      <c r="L903" s="16"/>
      <c r="M903" s="16"/>
      <c r="N903" s="16"/>
      <c r="O903" s="16"/>
      <c r="P903" s="16"/>
      <c r="Q903" s="4"/>
      <c r="R903" s="4"/>
      <c r="S903" s="4"/>
      <c r="T903" s="4"/>
      <c r="U903" s="4"/>
      <c r="V903" s="4"/>
      <c r="W903" s="4"/>
      <c r="X903" s="4"/>
      <c r="Y903" s="4"/>
      <c r="Z903" s="4"/>
      <c r="AA903" s="4"/>
      <c r="AB903" s="4"/>
      <c r="AC903" s="4"/>
      <c r="AD903" s="4"/>
      <c r="AE903" s="4"/>
    </row>
    <row r="904" spans="1:31" ht="13.2">
      <c r="A904" s="7"/>
      <c r="B904" s="7"/>
      <c r="C904" s="7"/>
      <c r="D904" s="29"/>
      <c r="E904" s="7"/>
      <c r="F904" s="7"/>
      <c r="G904" s="7"/>
      <c r="H904" s="16"/>
      <c r="I904" s="16"/>
      <c r="J904" s="16"/>
      <c r="K904" s="16"/>
      <c r="L904" s="16"/>
      <c r="M904" s="16"/>
      <c r="N904" s="16"/>
      <c r="O904" s="16"/>
      <c r="P904" s="16"/>
      <c r="Q904" s="4"/>
      <c r="R904" s="4"/>
      <c r="S904" s="4"/>
      <c r="T904" s="4"/>
      <c r="U904" s="4"/>
      <c r="V904" s="4"/>
      <c r="W904" s="4"/>
      <c r="X904" s="4"/>
      <c r="Y904" s="4"/>
      <c r="Z904" s="4"/>
      <c r="AA904" s="4"/>
      <c r="AB904" s="4"/>
      <c r="AC904" s="4"/>
      <c r="AD904" s="4"/>
      <c r="AE904" s="4"/>
    </row>
    <row r="905" spans="1:31" ht="13.2">
      <c r="A905" s="7"/>
      <c r="B905" s="7"/>
      <c r="C905" s="7"/>
      <c r="D905" s="29"/>
      <c r="E905" s="7"/>
      <c r="F905" s="7"/>
      <c r="G905" s="7"/>
      <c r="H905" s="16"/>
      <c r="I905" s="16"/>
      <c r="J905" s="16"/>
      <c r="K905" s="16"/>
      <c r="L905" s="16"/>
      <c r="M905" s="16"/>
      <c r="N905" s="16"/>
      <c r="O905" s="16"/>
      <c r="P905" s="16"/>
      <c r="Q905" s="4"/>
      <c r="R905" s="4"/>
      <c r="S905" s="4"/>
      <c r="T905" s="4"/>
      <c r="U905" s="4"/>
      <c r="V905" s="4"/>
      <c r="W905" s="4"/>
      <c r="X905" s="4"/>
      <c r="Y905" s="4"/>
      <c r="Z905" s="4"/>
      <c r="AA905" s="4"/>
      <c r="AB905" s="4"/>
      <c r="AC905" s="4"/>
      <c r="AD905" s="4"/>
      <c r="AE905" s="4"/>
    </row>
    <row r="906" spans="1:31" ht="13.2">
      <c r="A906" s="7"/>
      <c r="B906" s="7"/>
      <c r="C906" s="7"/>
      <c r="D906" s="29"/>
      <c r="E906" s="7"/>
      <c r="F906" s="7"/>
      <c r="G906" s="7"/>
      <c r="H906" s="16"/>
      <c r="I906" s="16"/>
      <c r="J906" s="16"/>
      <c r="K906" s="16"/>
      <c r="L906" s="16"/>
      <c r="M906" s="16"/>
      <c r="N906" s="16"/>
      <c r="O906" s="16"/>
      <c r="P906" s="16"/>
      <c r="Q906" s="4"/>
      <c r="R906" s="4"/>
      <c r="S906" s="4"/>
      <c r="T906" s="4"/>
      <c r="U906" s="4"/>
      <c r="V906" s="4"/>
      <c r="W906" s="4"/>
      <c r="X906" s="4"/>
      <c r="Y906" s="4"/>
      <c r="Z906" s="4"/>
      <c r="AA906" s="4"/>
      <c r="AB906" s="4"/>
      <c r="AC906" s="4"/>
      <c r="AD906" s="4"/>
      <c r="AE906" s="4"/>
    </row>
    <row r="907" spans="1:31" ht="13.2">
      <c r="A907" s="7"/>
      <c r="B907" s="7"/>
      <c r="C907" s="7"/>
      <c r="D907" s="29"/>
      <c r="E907" s="7"/>
      <c r="F907" s="7"/>
      <c r="G907" s="7"/>
      <c r="H907" s="16"/>
      <c r="I907" s="16"/>
      <c r="J907" s="16"/>
      <c r="K907" s="16"/>
      <c r="L907" s="16"/>
      <c r="M907" s="16"/>
      <c r="N907" s="16"/>
      <c r="O907" s="16"/>
      <c r="P907" s="16"/>
      <c r="Q907" s="4"/>
      <c r="R907" s="4"/>
      <c r="S907" s="4"/>
      <c r="T907" s="4"/>
      <c r="U907" s="4"/>
      <c r="V907" s="4"/>
      <c r="W907" s="4"/>
      <c r="X907" s="4"/>
      <c r="Y907" s="4"/>
      <c r="Z907" s="4"/>
      <c r="AA907" s="4"/>
      <c r="AB907" s="4"/>
      <c r="AC907" s="4"/>
      <c r="AD907" s="4"/>
      <c r="AE907" s="4"/>
    </row>
    <row r="908" spans="1:31" ht="13.2">
      <c r="A908" s="7"/>
      <c r="B908" s="7"/>
      <c r="C908" s="7"/>
      <c r="D908" s="29"/>
      <c r="E908" s="7"/>
      <c r="F908" s="7"/>
      <c r="G908" s="7"/>
      <c r="H908" s="16"/>
      <c r="I908" s="16"/>
      <c r="J908" s="16"/>
      <c r="K908" s="16"/>
      <c r="L908" s="16"/>
      <c r="M908" s="16"/>
      <c r="N908" s="16"/>
      <c r="O908" s="16"/>
      <c r="P908" s="16"/>
      <c r="Q908" s="4"/>
      <c r="R908" s="4"/>
      <c r="S908" s="4"/>
      <c r="T908" s="4"/>
      <c r="U908" s="4"/>
      <c r="V908" s="4"/>
      <c r="W908" s="4"/>
      <c r="X908" s="4"/>
      <c r="Y908" s="4"/>
      <c r="Z908" s="4"/>
      <c r="AA908" s="4"/>
      <c r="AB908" s="4"/>
      <c r="AC908" s="4"/>
      <c r="AD908" s="4"/>
      <c r="AE908" s="4"/>
    </row>
    <row r="909" spans="1:31" ht="13.2">
      <c r="A909" s="7"/>
      <c r="B909" s="7"/>
      <c r="C909" s="7"/>
      <c r="D909" s="29"/>
      <c r="E909" s="7"/>
      <c r="F909" s="7"/>
      <c r="G909" s="7"/>
      <c r="H909" s="16"/>
      <c r="I909" s="16"/>
      <c r="J909" s="16"/>
      <c r="K909" s="16"/>
      <c r="L909" s="16"/>
      <c r="M909" s="16"/>
      <c r="N909" s="16"/>
      <c r="O909" s="16"/>
      <c r="P909" s="16"/>
      <c r="Q909" s="4"/>
      <c r="R909" s="4"/>
      <c r="S909" s="4"/>
      <c r="T909" s="4"/>
      <c r="U909" s="4"/>
      <c r="V909" s="4"/>
      <c r="W909" s="4"/>
      <c r="X909" s="4"/>
      <c r="Y909" s="4"/>
      <c r="Z909" s="4"/>
      <c r="AA909" s="4"/>
      <c r="AB909" s="4"/>
      <c r="AC909" s="4"/>
      <c r="AD909" s="4"/>
      <c r="AE909" s="4"/>
    </row>
    <row r="910" spans="1:31" ht="13.2">
      <c r="A910" s="7"/>
      <c r="B910" s="7"/>
      <c r="C910" s="7"/>
      <c r="D910" s="29"/>
      <c r="E910" s="7"/>
      <c r="F910" s="7"/>
      <c r="G910" s="7"/>
      <c r="H910" s="16"/>
      <c r="I910" s="16"/>
      <c r="J910" s="16"/>
      <c r="K910" s="16"/>
      <c r="L910" s="16"/>
      <c r="M910" s="16"/>
      <c r="N910" s="16"/>
      <c r="O910" s="16"/>
      <c r="P910" s="16"/>
      <c r="Q910" s="4"/>
      <c r="R910" s="4"/>
      <c r="S910" s="4"/>
      <c r="T910" s="4"/>
      <c r="U910" s="4"/>
      <c r="V910" s="4"/>
      <c r="W910" s="4"/>
      <c r="X910" s="4"/>
      <c r="Y910" s="4"/>
      <c r="Z910" s="4"/>
      <c r="AA910" s="4"/>
      <c r="AB910" s="4"/>
      <c r="AC910" s="4"/>
      <c r="AD910" s="4"/>
      <c r="AE910" s="4"/>
    </row>
    <row r="911" spans="1:31" ht="13.2">
      <c r="A911" s="7"/>
      <c r="B911" s="7"/>
      <c r="C911" s="7"/>
      <c r="D911" s="29"/>
      <c r="E911" s="7"/>
      <c r="F911" s="7"/>
      <c r="G911" s="7"/>
      <c r="H911" s="16"/>
      <c r="I911" s="16"/>
      <c r="J911" s="16"/>
      <c r="K911" s="16"/>
      <c r="L911" s="16"/>
      <c r="M911" s="16"/>
      <c r="N911" s="16"/>
      <c r="O911" s="16"/>
      <c r="P911" s="16"/>
      <c r="Q911" s="4"/>
      <c r="R911" s="4"/>
      <c r="S911" s="4"/>
      <c r="T911" s="4"/>
      <c r="U911" s="4"/>
      <c r="V911" s="4"/>
      <c r="W911" s="4"/>
      <c r="X911" s="4"/>
      <c r="Y911" s="4"/>
      <c r="Z911" s="4"/>
      <c r="AA911" s="4"/>
      <c r="AB911" s="4"/>
      <c r="AC911" s="4"/>
      <c r="AD911" s="4"/>
      <c r="AE911" s="4"/>
    </row>
    <row r="912" spans="1:31" ht="13.2">
      <c r="A912" s="7"/>
      <c r="B912" s="7"/>
      <c r="C912" s="7"/>
      <c r="D912" s="29"/>
      <c r="E912" s="7"/>
      <c r="F912" s="7"/>
      <c r="G912" s="7"/>
      <c r="H912" s="16"/>
      <c r="I912" s="16"/>
      <c r="J912" s="16"/>
      <c r="K912" s="16"/>
      <c r="L912" s="16"/>
      <c r="M912" s="16"/>
      <c r="N912" s="16"/>
      <c r="O912" s="16"/>
      <c r="P912" s="16"/>
      <c r="Q912" s="4"/>
      <c r="R912" s="4"/>
      <c r="S912" s="4"/>
      <c r="T912" s="4"/>
      <c r="U912" s="4"/>
      <c r="V912" s="4"/>
      <c r="W912" s="4"/>
      <c r="X912" s="4"/>
      <c r="Y912" s="4"/>
      <c r="Z912" s="4"/>
      <c r="AA912" s="4"/>
      <c r="AB912" s="4"/>
      <c r="AC912" s="4"/>
      <c r="AD912" s="4"/>
      <c r="AE912" s="4"/>
    </row>
    <row r="913" spans="1:31" ht="13.2">
      <c r="A913" s="7"/>
      <c r="B913" s="7"/>
      <c r="C913" s="7"/>
      <c r="D913" s="29"/>
      <c r="E913" s="7"/>
      <c r="F913" s="7"/>
      <c r="G913" s="7"/>
      <c r="H913" s="16"/>
      <c r="I913" s="16"/>
      <c r="J913" s="16"/>
      <c r="K913" s="16"/>
      <c r="L913" s="16"/>
      <c r="M913" s="16"/>
      <c r="N913" s="16"/>
      <c r="O913" s="16"/>
      <c r="P913" s="16"/>
      <c r="Q913" s="4"/>
      <c r="R913" s="4"/>
      <c r="S913" s="4"/>
      <c r="T913" s="4"/>
      <c r="U913" s="4"/>
      <c r="V913" s="4"/>
      <c r="W913" s="4"/>
      <c r="X913" s="4"/>
      <c r="Y913" s="4"/>
      <c r="Z913" s="4"/>
      <c r="AA913" s="4"/>
      <c r="AB913" s="4"/>
      <c r="AC913" s="4"/>
      <c r="AD913" s="4"/>
      <c r="AE913" s="4"/>
    </row>
    <row r="914" spans="1:31" ht="13.2">
      <c r="A914" s="7"/>
      <c r="B914" s="7"/>
      <c r="C914" s="7"/>
      <c r="D914" s="29"/>
      <c r="E914" s="7"/>
      <c r="F914" s="7"/>
      <c r="G914" s="7"/>
      <c r="H914" s="16"/>
      <c r="I914" s="16"/>
      <c r="J914" s="16"/>
      <c r="K914" s="16"/>
      <c r="L914" s="16"/>
      <c r="M914" s="16"/>
      <c r="N914" s="16"/>
      <c r="O914" s="16"/>
      <c r="P914" s="16"/>
      <c r="Q914" s="4"/>
      <c r="R914" s="4"/>
      <c r="S914" s="4"/>
      <c r="T914" s="4"/>
      <c r="U914" s="4"/>
      <c r="V914" s="4"/>
      <c r="W914" s="4"/>
      <c r="X914" s="4"/>
      <c r="Y914" s="4"/>
      <c r="Z914" s="4"/>
      <c r="AA914" s="4"/>
      <c r="AB914" s="4"/>
      <c r="AC914" s="4"/>
      <c r="AD914" s="4"/>
      <c r="AE914" s="4"/>
    </row>
    <row r="915" spans="1:31" ht="13.2">
      <c r="A915" s="7"/>
      <c r="B915" s="7"/>
      <c r="C915" s="7"/>
      <c r="D915" s="29"/>
      <c r="E915" s="7"/>
      <c r="F915" s="7"/>
      <c r="G915" s="7"/>
      <c r="H915" s="16"/>
      <c r="I915" s="16"/>
      <c r="J915" s="16"/>
      <c r="K915" s="16"/>
      <c r="L915" s="16"/>
      <c r="M915" s="16"/>
      <c r="N915" s="16"/>
      <c r="O915" s="16"/>
      <c r="P915" s="16"/>
      <c r="Q915" s="4"/>
      <c r="R915" s="4"/>
      <c r="S915" s="4"/>
      <c r="T915" s="4"/>
      <c r="U915" s="4"/>
      <c r="V915" s="4"/>
      <c r="W915" s="4"/>
      <c r="X915" s="4"/>
      <c r="Y915" s="4"/>
      <c r="Z915" s="4"/>
      <c r="AA915" s="4"/>
      <c r="AB915" s="4"/>
      <c r="AC915" s="4"/>
      <c r="AD915" s="4"/>
      <c r="AE915" s="4"/>
    </row>
    <row r="916" spans="1:31" ht="13.2">
      <c r="A916" s="7"/>
      <c r="B916" s="7"/>
      <c r="C916" s="7"/>
      <c r="D916" s="29"/>
      <c r="E916" s="7"/>
      <c r="F916" s="7"/>
      <c r="G916" s="7"/>
      <c r="H916" s="16"/>
      <c r="I916" s="16"/>
      <c r="J916" s="16"/>
      <c r="K916" s="16"/>
      <c r="L916" s="16"/>
      <c r="M916" s="16"/>
      <c r="N916" s="16"/>
      <c r="O916" s="16"/>
      <c r="P916" s="16"/>
      <c r="Q916" s="4"/>
      <c r="R916" s="4"/>
      <c r="S916" s="4"/>
      <c r="T916" s="4"/>
      <c r="U916" s="4"/>
      <c r="V916" s="4"/>
      <c r="W916" s="4"/>
      <c r="X916" s="4"/>
      <c r="Y916" s="4"/>
      <c r="Z916" s="4"/>
      <c r="AA916" s="4"/>
      <c r="AB916" s="4"/>
      <c r="AC916" s="4"/>
      <c r="AD916" s="4"/>
      <c r="AE916" s="4"/>
    </row>
    <row r="917" spans="1:31" ht="13.2">
      <c r="A917" s="7"/>
      <c r="B917" s="7"/>
      <c r="C917" s="7"/>
      <c r="D917" s="29"/>
      <c r="E917" s="7"/>
      <c r="F917" s="7"/>
      <c r="G917" s="7"/>
      <c r="H917" s="16"/>
      <c r="I917" s="16"/>
      <c r="J917" s="16"/>
      <c r="K917" s="16"/>
      <c r="L917" s="16"/>
      <c r="M917" s="16"/>
      <c r="N917" s="16"/>
      <c r="O917" s="16"/>
      <c r="P917" s="16"/>
      <c r="Q917" s="4"/>
      <c r="R917" s="4"/>
      <c r="S917" s="4"/>
      <c r="T917" s="4"/>
      <c r="U917" s="4"/>
      <c r="V917" s="4"/>
      <c r="W917" s="4"/>
      <c r="X917" s="4"/>
      <c r="Y917" s="4"/>
      <c r="Z917" s="4"/>
      <c r="AA917" s="4"/>
      <c r="AB917" s="4"/>
      <c r="AC917" s="4"/>
      <c r="AD917" s="4"/>
      <c r="AE917" s="4"/>
    </row>
    <row r="918" spans="1:31" ht="13.2">
      <c r="A918" s="7"/>
      <c r="B918" s="7"/>
      <c r="C918" s="7"/>
      <c r="D918" s="29"/>
      <c r="E918" s="7"/>
      <c r="F918" s="7"/>
      <c r="G918" s="7"/>
      <c r="H918" s="16"/>
      <c r="I918" s="16"/>
      <c r="J918" s="16"/>
      <c r="K918" s="16"/>
      <c r="L918" s="16"/>
      <c r="M918" s="16"/>
      <c r="N918" s="16"/>
      <c r="O918" s="16"/>
      <c r="P918" s="16"/>
      <c r="Q918" s="4"/>
      <c r="R918" s="4"/>
      <c r="S918" s="4"/>
      <c r="T918" s="4"/>
      <c r="U918" s="4"/>
      <c r="V918" s="4"/>
      <c r="W918" s="4"/>
      <c r="X918" s="4"/>
      <c r="Y918" s="4"/>
      <c r="Z918" s="4"/>
      <c r="AA918" s="4"/>
      <c r="AB918" s="4"/>
      <c r="AC918" s="4"/>
      <c r="AD918" s="4"/>
      <c r="AE918" s="4"/>
    </row>
    <row r="919" spans="1:31" ht="13.2">
      <c r="A919" s="7"/>
      <c r="B919" s="7"/>
      <c r="C919" s="7"/>
      <c r="D919" s="29"/>
      <c r="E919" s="7"/>
      <c r="F919" s="7"/>
      <c r="G919" s="7"/>
      <c r="H919" s="16"/>
      <c r="I919" s="16"/>
      <c r="J919" s="16"/>
      <c r="K919" s="16"/>
      <c r="L919" s="16"/>
      <c r="M919" s="16"/>
      <c r="N919" s="16"/>
      <c r="O919" s="16"/>
      <c r="P919" s="16"/>
      <c r="Q919" s="4"/>
      <c r="R919" s="4"/>
      <c r="S919" s="4"/>
      <c r="T919" s="4"/>
      <c r="U919" s="4"/>
      <c r="V919" s="4"/>
      <c r="W919" s="4"/>
      <c r="X919" s="4"/>
      <c r="Y919" s="4"/>
      <c r="Z919" s="4"/>
      <c r="AA919" s="4"/>
      <c r="AB919" s="4"/>
      <c r="AC919" s="4"/>
      <c r="AD919" s="4"/>
      <c r="AE919" s="4"/>
    </row>
    <row r="920" spans="1:31" ht="13.2">
      <c r="A920" s="7"/>
      <c r="B920" s="7"/>
      <c r="C920" s="7"/>
      <c r="D920" s="29"/>
      <c r="E920" s="7"/>
      <c r="F920" s="7"/>
      <c r="G920" s="7"/>
      <c r="H920" s="16"/>
      <c r="I920" s="16"/>
      <c r="J920" s="16"/>
      <c r="K920" s="16"/>
      <c r="L920" s="16"/>
      <c r="M920" s="16"/>
      <c r="N920" s="16"/>
      <c r="O920" s="16"/>
      <c r="P920" s="16"/>
      <c r="Q920" s="4"/>
      <c r="R920" s="4"/>
      <c r="S920" s="4"/>
      <c r="T920" s="4"/>
      <c r="U920" s="4"/>
      <c r="V920" s="4"/>
      <c r="W920" s="4"/>
      <c r="X920" s="4"/>
      <c r="Y920" s="4"/>
      <c r="Z920" s="4"/>
      <c r="AA920" s="4"/>
      <c r="AB920" s="4"/>
      <c r="AC920" s="4"/>
      <c r="AD920" s="4"/>
      <c r="AE920" s="4"/>
    </row>
    <row r="921" spans="1:31" ht="13.2">
      <c r="A921" s="7"/>
      <c r="B921" s="7"/>
      <c r="C921" s="7"/>
      <c r="D921" s="29"/>
      <c r="E921" s="7"/>
      <c r="F921" s="7"/>
      <c r="G921" s="7"/>
      <c r="H921" s="16"/>
      <c r="I921" s="16"/>
      <c r="J921" s="16"/>
      <c r="K921" s="16"/>
      <c r="L921" s="16"/>
      <c r="M921" s="16"/>
      <c r="N921" s="16"/>
      <c r="O921" s="16"/>
      <c r="P921" s="16"/>
      <c r="Q921" s="4"/>
      <c r="R921" s="4"/>
      <c r="S921" s="4"/>
      <c r="T921" s="4"/>
      <c r="U921" s="4"/>
      <c r="V921" s="4"/>
      <c r="W921" s="4"/>
      <c r="X921" s="4"/>
      <c r="Y921" s="4"/>
      <c r="Z921" s="4"/>
      <c r="AA921" s="4"/>
      <c r="AB921" s="4"/>
      <c r="AC921" s="4"/>
      <c r="AD921" s="4"/>
      <c r="AE921" s="4"/>
    </row>
    <row r="922" spans="1:31" ht="13.2">
      <c r="A922" s="7"/>
      <c r="B922" s="7"/>
      <c r="C922" s="7"/>
      <c r="D922" s="29"/>
      <c r="E922" s="7"/>
      <c r="F922" s="7"/>
      <c r="G922" s="7"/>
      <c r="H922" s="16"/>
      <c r="I922" s="16"/>
      <c r="J922" s="16"/>
      <c r="K922" s="16"/>
      <c r="L922" s="16"/>
      <c r="M922" s="16"/>
      <c r="N922" s="16"/>
      <c r="O922" s="16"/>
      <c r="P922" s="16"/>
      <c r="Q922" s="4"/>
      <c r="R922" s="4"/>
      <c r="S922" s="4"/>
      <c r="T922" s="4"/>
      <c r="U922" s="4"/>
      <c r="V922" s="4"/>
      <c r="W922" s="4"/>
      <c r="X922" s="4"/>
      <c r="Y922" s="4"/>
      <c r="Z922" s="4"/>
      <c r="AA922" s="4"/>
      <c r="AB922" s="4"/>
      <c r="AC922" s="4"/>
      <c r="AD922" s="4"/>
      <c r="AE922" s="4"/>
    </row>
    <row r="923" spans="1:31" ht="13.2">
      <c r="A923" s="7"/>
      <c r="B923" s="7"/>
      <c r="C923" s="7"/>
      <c r="D923" s="29"/>
      <c r="E923" s="7"/>
      <c r="F923" s="7"/>
      <c r="G923" s="7"/>
      <c r="H923" s="16"/>
      <c r="I923" s="16"/>
      <c r="J923" s="16"/>
      <c r="K923" s="16"/>
      <c r="L923" s="16"/>
      <c r="M923" s="16"/>
      <c r="N923" s="16"/>
      <c r="O923" s="16"/>
      <c r="P923" s="16"/>
      <c r="Q923" s="4"/>
      <c r="R923" s="4"/>
      <c r="S923" s="4"/>
      <c r="T923" s="4"/>
      <c r="U923" s="4"/>
      <c r="V923" s="4"/>
      <c r="W923" s="4"/>
      <c r="X923" s="4"/>
      <c r="Y923" s="4"/>
      <c r="Z923" s="4"/>
      <c r="AA923" s="4"/>
      <c r="AB923" s="4"/>
      <c r="AC923" s="4"/>
      <c r="AD923" s="4"/>
      <c r="AE923" s="4"/>
    </row>
    <row r="924" spans="1:31" ht="13.2">
      <c r="A924" s="7"/>
      <c r="B924" s="7"/>
      <c r="C924" s="7"/>
      <c r="D924" s="29"/>
      <c r="E924" s="7"/>
      <c r="F924" s="7"/>
      <c r="G924" s="7"/>
      <c r="H924" s="16"/>
      <c r="I924" s="16"/>
      <c r="J924" s="16"/>
      <c r="K924" s="16"/>
      <c r="L924" s="16"/>
      <c r="M924" s="16"/>
      <c r="N924" s="16"/>
      <c r="O924" s="16"/>
      <c r="P924" s="16"/>
      <c r="Q924" s="4"/>
      <c r="R924" s="4"/>
      <c r="S924" s="4"/>
      <c r="T924" s="4"/>
      <c r="U924" s="4"/>
      <c r="V924" s="4"/>
      <c r="W924" s="4"/>
      <c r="X924" s="4"/>
      <c r="Y924" s="4"/>
      <c r="Z924" s="4"/>
      <c r="AA924" s="4"/>
      <c r="AB924" s="4"/>
      <c r="AC924" s="4"/>
      <c r="AD924" s="4"/>
      <c r="AE924" s="4"/>
    </row>
    <row r="925" spans="1:31" ht="13.2">
      <c r="A925" s="7"/>
      <c r="B925" s="7"/>
      <c r="C925" s="7"/>
      <c r="D925" s="29"/>
      <c r="E925" s="7"/>
      <c r="F925" s="7"/>
      <c r="G925" s="7"/>
      <c r="H925" s="16"/>
      <c r="I925" s="16"/>
      <c r="J925" s="16"/>
      <c r="K925" s="16"/>
      <c r="L925" s="16"/>
      <c r="M925" s="16"/>
      <c r="N925" s="16"/>
      <c r="O925" s="16"/>
      <c r="P925" s="16"/>
      <c r="Q925" s="4"/>
      <c r="R925" s="4"/>
      <c r="S925" s="4"/>
      <c r="T925" s="4"/>
      <c r="U925" s="4"/>
      <c r="V925" s="4"/>
      <c r="W925" s="4"/>
      <c r="X925" s="4"/>
      <c r="Y925" s="4"/>
      <c r="Z925" s="4"/>
      <c r="AA925" s="4"/>
      <c r="AB925" s="4"/>
      <c r="AC925" s="4"/>
      <c r="AD925" s="4"/>
      <c r="AE925" s="4"/>
    </row>
    <row r="926" spans="1:31" ht="13.2">
      <c r="A926" s="7"/>
      <c r="B926" s="7"/>
      <c r="C926" s="7"/>
      <c r="D926" s="29"/>
      <c r="E926" s="7"/>
      <c r="F926" s="7"/>
      <c r="G926" s="7"/>
      <c r="H926" s="16"/>
      <c r="I926" s="16"/>
      <c r="J926" s="16"/>
      <c r="K926" s="16"/>
      <c r="L926" s="16"/>
      <c r="M926" s="16"/>
      <c r="N926" s="16"/>
      <c r="O926" s="16"/>
      <c r="P926" s="16"/>
      <c r="Q926" s="4"/>
      <c r="R926" s="4"/>
      <c r="S926" s="4"/>
      <c r="T926" s="4"/>
      <c r="U926" s="4"/>
      <c r="V926" s="4"/>
      <c r="W926" s="4"/>
      <c r="X926" s="4"/>
      <c r="Y926" s="4"/>
      <c r="Z926" s="4"/>
      <c r="AA926" s="4"/>
      <c r="AB926" s="4"/>
      <c r="AC926" s="4"/>
      <c r="AD926" s="4"/>
      <c r="AE926" s="4"/>
    </row>
    <row r="927" spans="1:31" ht="13.2">
      <c r="A927" s="7"/>
      <c r="B927" s="7"/>
      <c r="C927" s="7"/>
      <c r="D927" s="29"/>
      <c r="E927" s="7"/>
      <c r="F927" s="7"/>
      <c r="G927" s="7"/>
      <c r="H927" s="16"/>
      <c r="I927" s="16"/>
      <c r="J927" s="16"/>
      <c r="K927" s="16"/>
      <c r="L927" s="16"/>
      <c r="M927" s="16"/>
      <c r="N927" s="16"/>
      <c r="O927" s="16"/>
      <c r="P927" s="16"/>
      <c r="Q927" s="4"/>
      <c r="R927" s="4"/>
      <c r="S927" s="4"/>
      <c r="T927" s="4"/>
      <c r="U927" s="4"/>
      <c r="V927" s="4"/>
      <c r="W927" s="4"/>
      <c r="X927" s="4"/>
      <c r="Y927" s="4"/>
      <c r="Z927" s="4"/>
      <c r="AA927" s="4"/>
      <c r="AB927" s="4"/>
      <c r="AC927" s="4"/>
      <c r="AD927" s="4"/>
      <c r="AE927" s="4"/>
    </row>
    <row r="928" spans="1:31" ht="13.2">
      <c r="A928" s="7"/>
      <c r="B928" s="7"/>
      <c r="C928" s="7"/>
      <c r="D928" s="29"/>
      <c r="E928" s="7"/>
      <c r="F928" s="7"/>
      <c r="G928" s="7"/>
      <c r="H928" s="16"/>
      <c r="I928" s="16"/>
      <c r="J928" s="16"/>
      <c r="K928" s="16"/>
      <c r="L928" s="16"/>
      <c r="M928" s="16"/>
      <c r="N928" s="16"/>
      <c r="O928" s="16"/>
      <c r="P928" s="16"/>
      <c r="Q928" s="4"/>
      <c r="R928" s="4"/>
      <c r="S928" s="4"/>
      <c r="T928" s="4"/>
      <c r="U928" s="4"/>
      <c r="V928" s="4"/>
      <c r="W928" s="4"/>
      <c r="X928" s="4"/>
      <c r="Y928" s="4"/>
      <c r="Z928" s="4"/>
      <c r="AA928" s="4"/>
      <c r="AB928" s="4"/>
      <c r="AC928" s="4"/>
      <c r="AD928" s="4"/>
      <c r="AE928" s="4"/>
    </row>
    <row r="929" spans="1:31" ht="13.2">
      <c r="A929" s="7"/>
      <c r="B929" s="7"/>
      <c r="C929" s="7"/>
      <c r="D929" s="29"/>
      <c r="E929" s="7"/>
      <c r="F929" s="7"/>
      <c r="G929" s="7"/>
      <c r="H929" s="16"/>
      <c r="I929" s="16"/>
      <c r="J929" s="16"/>
      <c r="K929" s="16"/>
      <c r="L929" s="16"/>
      <c r="M929" s="16"/>
      <c r="N929" s="16"/>
      <c r="O929" s="16"/>
      <c r="P929" s="16"/>
      <c r="Q929" s="4"/>
      <c r="R929" s="4"/>
      <c r="S929" s="4"/>
      <c r="T929" s="4"/>
      <c r="U929" s="4"/>
      <c r="V929" s="4"/>
      <c r="W929" s="4"/>
      <c r="X929" s="4"/>
      <c r="Y929" s="4"/>
      <c r="Z929" s="4"/>
      <c r="AA929" s="4"/>
      <c r="AB929" s="4"/>
      <c r="AC929" s="4"/>
      <c r="AD929" s="4"/>
      <c r="AE929" s="4"/>
    </row>
    <row r="930" spans="1:31" ht="13.2">
      <c r="A930" s="7"/>
      <c r="B930" s="7"/>
      <c r="C930" s="7"/>
      <c r="D930" s="29"/>
      <c r="E930" s="7"/>
      <c r="F930" s="7"/>
      <c r="G930" s="7"/>
      <c r="H930" s="16"/>
      <c r="I930" s="16"/>
      <c r="J930" s="16"/>
      <c r="K930" s="16"/>
      <c r="L930" s="16"/>
      <c r="M930" s="16"/>
      <c r="N930" s="16"/>
      <c r="O930" s="16"/>
      <c r="P930" s="16"/>
      <c r="Q930" s="4"/>
      <c r="R930" s="4"/>
      <c r="S930" s="4"/>
      <c r="T930" s="4"/>
      <c r="U930" s="4"/>
      <c r="V930" s="4"/>
      <c r="W930" s="4"/>
      <c r="X930" s="4"/>
      <c r="Y930" s="4"/>
      <c r="Z930" s="4"/>
      <c r="AA930" s="4"/>
      <c r="AB930" s="4"/>
      <c r="AC930" s="4"/>
      <c r="AD930" s="4"/>
      <c r="AE930" s="4"/>
    </row>
    <row r="931" spans="1:31" ht="13.2">
      <c r="A931" s="7"/>
      <c r="B931" s="7"/>
      <c r="C931" s="7"/>
      <c r="D931" s="29"/>
      <c r="E931" s="7"/>
      <c r="F931" s="7"/>
      <c r="G931" s="7"/>
      <c r="H931" s="16"/>
      <c r="I931" s="16"/>
      <c r="J931" s="16"/>
      <c r="K931" s="16"/>
      <c r="L931" s="16"/>
      <c r="M931" s="16"/>
      <c r="N931" s="16"/>
      <c r="O931" s="16"/>
      <c r="P931" s="16"/>
      <c r="Q931" s="4"/>
      <c r="R931" s="4"/>
      <c r="S931" s="4"/>
      <c r="T931" s="4"/>
      <c r="U931" s="4"/>
      <c r="V931" s="4"/>
      <c r="W931" s="4"/>
      <c r="X931" s="4"/>
      <c r="Y931" s="4"/>
      <c r="Z931" s="4"/>
      <c r="AA931" s="4"/>
      <c r="AB931" s="4"/>
      <c r="AC931" s="4"/>
      <c r="AD931" s="4"/>
      <c r="AE931" s="4"/>
    </row>
    <row r="932" spans="1:31" ht="13.2">
      <c r="A932" s="7"/>
      <c r="B932" s="7"/>
      <c r="C932" s="7"/>
      <c r="D932" s="29"/>
      <c r="E932" s="7"/>
      <c r="F932" s="7"/>
      <c r="G932" s="7"/>
      <c r="H932" s="16"/>
      <c r="I932" s="16"/>
      <c r="J932" s="16"/>
      <c r="K932" s="16"/>
      <c r="L932" s="16"/>
      <c r="M932" s="16"/>
      <c r="N932" s="16"/>
      <c r="O932" s="16"/>
      <c r="P932" s="16"/>
      <c r="Q932" s="4"/>
      <c r="R932" s="4"/>
      <c r="S932" s="4"/>
      <c r="T932" s="4"/>
      <c r="U932" s="4"/>
      <c r="V932" s="4"/>
      <c r="W932" s="4"/>
      <c r="X932" s="4"/>
      <c r="Y932" s="4"/>
      <c r="Z932" s="4"/>
      <c r="AA932" s="4"/>
      <c r="AB932" s="4"/>
      <c r="AC932" s="4"/>
      <c r="AD932" s="4"/>
      <c r="AE932" s="4"/>
    </row>
    <row r="933" spans="1:31" ht="13.2">
      <c r="A933" s="7"/>
      <c r="B933" s="7"/>
      <c r="C933" s="7"/>
      <c r="D933" s="29"/>
      <c r="E933" s="7"/>
      <c r="F933" s="7"/>
      <c r="G933" s="7"/>
      <c r="H933" s="16"/>
      <c r="I933" s="16"/>
      <c r="J933" s="16"/>
      <c r="K933" s="16"/>
      <c r="L933" s="16"/>
      <c r="M933" s="16"/>
      <c r="N933" s="16"/>
      <c r="O933" s="16"/>
      <c r="P933" s="16"/>
      <c r="Q933" s="4"/>
      <c r="R933" s="4"/>
      <c r="S933" s="4"/>
      <c r="T933" s="4"/>
      <c r="U933" s="4"/>
      <c r="V933" s="4"/>
      <c r="W933" s="4"/>
      <c r="X933" s="4"/>
      <c r="Y933" s="4"/>
      <c r="Z933" s="4"/>
      <c r="AA933" s="4"/>
      <c r="AB933" s="4"/>
      <c r="AC933" s="4"/>
      <c r="AD933" s="4"/>
      <c r="AE933" s="4"/>
    </row>
    <row r="934" spans="1:31" ht="13.2">
      <c r="A934" s="7"/>
      <c r="B934" s="7"/>
      <c r="C934" s="7"/>
      <c r="D934" s="29"/>
      <c r="E934" s="7"/>
      <c r="F934" s="7"/>
      <c r="G934" s="7"/>
      <c r="H934" s="16"/>
      <c r="I934" s="16"/>
      <c r="J934" s="16"/>
      <c r="K934" s="16"/>
      <c r="L934" s="16"/>
      <c r="M934" s="16"/>
      <c r="N934" s="16"/>
      <c r="O934" s="16"/>
      <c r="P934" s="16"/>
      <c r="Q934" s="4"/>
      <c r="R934" s="4"/>
      <c r="S934" s="4"/>
      <c r="T934" s="4"/>
      <c r="U934" s="4"/>
      <c r="V934" s="4"/>
      <c r="W934" s="4"/>
      <c r="X934" s="4"/>
      <c r="Y934" s="4"/>
      <c r="Z934" s="4"/>
      <c r="AA934" s="4"/>
      <c r="AB934" s="4"/>
      <c r="AC934" s="4"/>
      <c r="AD934" s="4"/>
      <c r="AE934" s="4"/>
    </row>
    <row r="935" spans="1:31" ht="13.2">
      <c r="A935" s="7"/>
      <c r="B935" s="7"/>
      <c r="C935" s="7"/>
      <c r="D935" s="29"/>
      <c r="E935" s="7"/>
      <c r="F935" s="7"/>
      <c r="G935" s="7"/>
      <c r="H935" s="16"/>
      <c r="I935" s="16"/>
      <c r="J935" s="16"/>
      <c r="K935" s="16"/>
      <c r="L935" s="16"/>
      <c r="M935" s="16"/>
      <c r="N935" s="16"/>
      <c r="O935" s="16"/>
      <c r="P935" s="16"/>
      <c r="Q935" s="4"/>
      <c r="R935" s="4"/>
      <c r="S935" s="4"/>
      <c r="T935" s="4"/>
      <c r="U935" s="4"/>
      <c r="V935" s="4"/>
      <c r="W935" s="4"/>
      <c r="X935" s="4"/>
      <c r="Y935" s="4"/>
      <c r="Z935" s="4"/>
      <c r="AA935" s="4"/>
      <c r="AB935" s="4"/>
      <c r="AC935" s="4"/>
      <c r="AD935" s="4"/>
      <c r="AE935" s="4"/>
    </row>
    <row r="936" spans="1:31" ht="13.2">
      <c r="A936" s="7"/>
      <c r="B936" s="7"/>
      <c r="C936" s="7"/>
      <c r="D936" s="29"/>
      <c r="E936" s="7"/>
      <c r="F936" s="7"/>
      <c r="G936" s="7"/>
      <c r="H936" s="16"/>
      <c r="I936" s="16"/>
      <c r="J936" s="16"/>
      <c r="K936" s="16"/>
      <c r="L936" s="16"/>
      <c r="M936" s="16"/>
      <c r="N936" s="16"/>
      <c r="O936" s="16"/>
      <c r="P936" s="16"/>
      <c r="Q936" s="4"/>
      <c r="R936" s="4"/>
      <c r="S936" s="4"/>
      <c r="T936" s="4"/>
      <c r="U936" s="4"/>
      <c r="V936" s="4"/>
      <c r="W936" s="4"/>
      <c r="X936" s="4"/>
      <c r="Y936" s="4"/>
      <c r="Z936" s="4"/>
      <c r="AA936" s="4"/>
      <c r="AB936" s="4"/>
      <c r="AC936" s="4"/>
      <c r="AD936" s="4"/>
      <c r="AE936" s="4"/>
    </row>
    <row r="937" spans="1:31" ht="13.2">
      <c r="A937" s="7"/>
      <c r="B937" s="7"/>
      <c r="C937" s="7"/>
      <c r="D937" s="29"/>
      <c r="E937" s="7"/>
      <c r="F937" s="7"/>
      <c r="G937" s="7"/>
      <c r="H937" s="16"/>
      <c r="I937" s="16"/>
      <c r="J937" s="16"/>
      <c r="K937" s="16"/>
      <c r="L937" s="16"/>
      <c r="M937" s="16"/>
      <c r="N937" s="16"/>
      <c r="O937" s="16"/>
      <c r="P937" s="16"/>
      <c r="Q937" s="4"/>
      <c r="R937" s="4"/>
      <c r="S937" s="4"/>
      <c r="T937" s="4"/>
      <c r="U937" s="4"/>
      <c r="V937" s="4"/>
      <c r="W937" s="4"/>
      <c r="X937" s="4"/>
      <c r="Y937" s="4"/>
      <c r="Z937" s="4"/>
      <c r="AA937" s="4"/>
      <c r="AB937" s="4"/>
      <c r="AC937" s="4"/>
      <c r="AD937" s="4"/>
      <c r="AE937" s="4"/>
    </row>
    <row r="938" spans="1:31" ht="13.2">
      <c r="A938" s="7"/>
      <c r="B938" s="7"/>
      <c r="C938" s="7"/>
      <c r="D938" s="29"/>
      <c r="E938" s="7"/>
      <c r="F938" s="7"/>
      <c r="G938" s="7"/>
      <c r="H938" s="16"/>
      <c r="I938" s="16"/>
      <c r="J938" s="16"/>
      <c r="K938" s="16"/>
      <c r="L938" s="16"/>
      <c r="M938" s="16"/>
      <c r="N938" s="16"/>
      <c r="O938" s="16"/>
      <c r="P938" s="16"/>
      <c r="Q938" s="4"/>
      <c r="R938" s="4"/>
      <c r="S938" s="4"/>
      <c r="T938" s="4"/>
      <c r="U938" s="4"/>
      <c r="V938" s="4"/>
      <c r="W938" s="4"/>
      <c r="X938" s="4"/>
      <c r="Y938" s="4"/>
      <c r="Z938" s="4"/>
      <c r="AA938" s="4"/>
      <c r="AB938" s="4"/>
      <c r="AC938" s="4"/>
      <c r="AD938" s="4"/>
      <c r="AE938" s="4"/>
    </row>
    <row r="939" spans="1:31" ht="13.2">
      <c r="A939" s="7"/>
      <c r="B939" s="7"/>
      <c r="C939" s="7"/>
      <c r="D939" s="29"/>
      <c r="E939" s="7"/>
      <c r="F939" s="7"/>
      <c r="G939" s="7"/>
      <c r="H939" s="16"/>
      <c r="I939" s="16"/>
      <c r="J939" s="16"/>
      <c r="K939" s="16"/>
      <c r="L939" s="16"/>
      <c r="M939" s="16"/>
      <c r="N939" s="16"/>
      <c r="O939" s="16"/>
      <c r="P939" s="16"/>
      <c r="Q939" s="4"/>
      <c r="R939" s="4"/>
      <c r="S939" s="4"/>
      <c r="T939" s="4"/>
      <c r="U939" s="4"/>
      <c r="V939" s="4"/>
      <c r="W939" s="4"/>
      <c r="X939" s="4"/>
      <c r="Y939" s="4"/>
      <c r="Z939" s="4"/>
      <c r="AA939" s="4"/>
      <c r="AB939" s="4"/>
      <c r="AC939" s="4"/>
      <c r="AD939" s="4"/>
      <c r="AE939" s="4"/>
    </row>
    <row r="940" spans="1:31" ht="13.2">
      <c r="A940" s="7"/>
      <c r="B940" s="7"/>
      <c r="C940" s="7"/>
      <c r="D940" s="29"/>
      <c r="E940" s="7"/>
      <c r="F940" s="7"/>
      <c r="G940" s="7"/>
      <c r="H940" s="16"/>
      <c r="I940" s="16"/>
      <c r="J940" s="16"/>
      <c r="K940" s="16"/>
      <c r="L940" s="16"/>
      <c r="M940" s="16"/>
      <c r="N940" s="16"/>
      <c r="O940" s="16"/>
      <c r="P940" s="16"/>
      <c r="Q940" s="4"/>
      <c r="R940" s="4"/>
      <c r="S940" s="4"/>
      <c r="T940" s="4"/>
      <c r="U940" s="4"/>
      <c r="V940" s="4"/>
      <c r="W940" s="4"/>
      <c r="X940" s="4"/>
      <c r="Y940" s="4"/>
      <c r="Z940" s="4"/>
      <c r="AA940" s="4"/>
      <c r="AB940" s="4"/>
      <c r="AC940" s="4"/>
      <c r="AD940" s="4"/>
      <c r="AE940" s="4"/>
    </row>
    <row r="941" spans="1:31" ht="13.2">
      <c r="A941" s="7"/>
      <c r="B941" s="7"/>
      <c r="C941" s="7"/>
      <c r="D941" s="29"/>
      <c r="E941" s="7"/>
      <c r="F941" s="7"/>
      <c r="G941" s="7"/>
      <c r="H941" s="16"/>
      <c r="I941" s="16"/>
      <c r="J941" s="16"/>
      <c r="K941" s="16"/>
      <c r="L941" s="16"/>
      <c r="M941" s="16"/>
      <c r="N941" s="16"/>
      <c r="O941" s="16"/>
      <c r="P941" s="16"/>
      <c r="Q941" s="4"/>
      <c r="R941" s="4"/>
      <c r="S941" s="4"/>
      <c r="T941" s="4"/>
      <c r="U941" s="4"/>
      <c r="V941" s="4"/>
      <c r="W941" s="4"/>
      <c r="X941" s="4"/>
      <c r="Y941" s="4"/>
      <c r="Z941" s="4"/>
      <c r="AA941" s="4"/>
      <c r="AB941" s="4"/>
      <c r="AC941" s="4"/>
      <c r="AD941" s="4"/>
      <c r="AE941" s="4"/>
    </row>
    <row r="942" spans="1:31" ht="13.2">
      <c r="A942" s="7"/>
      <c r="B942" s="7"/>
      <c r="C942" s="7"/>
      <c r="D942" s="29"/>
      <c r="E942" s="7"/>
      <c r="F942" s="7"/>
      <c r="G942" s="7"/>
      <c r="H942" s="16"/>
      <c r="I942" s="16"/>
      <c r="J942" s="16"/>
      <c r="K942" s="16"/>
      <c r="L942" s="16"/>
      <c r="M942" s="16"/>
      <c r="N942" s="16"/>
      <c r="O942" s="16"/>
      <c r="P942" s="16"/>
      <c r="Q942" s="4"/>
      <c r="R942" s="4"/>
      <c r="S942" s="4"/>
      <c r="T942" s="4"/>
      <c r="U942" s="4"/>
      <c r="V942" s="4"/>
      <c r="W942" s="4"/>
      <c r="X942" s="4"/>
      <c r="Y942" s="4"/>
      <c r="Z942" s="4"/>
      <c r="AA942" s="4"/>
      <c r="AB942" s="4"/>
      <c r="AC942" s="4"/>
      <c r="AD942" s="4"/>
      <c r="AE942" s="4"/>
    </row>
    <row r="943" spans="1:31" ht="13.2">
      <c r="A943" s="7"/>
      <c r="B943" s="7"/>
      <c r="C943" s="7"/>
      <c r="D943" s="29"/>
      <c r="E943" s="7"/>
      <c r="F943" s="7"/>
      <c r="G943" s="7"/>
      <c r="H943" s="16"/>
      <c r="I943" s="16"/>
      <c r="J943" s="16"/>
      <c r="K943" s="16"/>
      <c r="L943" s="16"/>
      <c r="M943" s="16"/>
      <c r="N943" s="16"/>
      <c r="O943" s="16"/>
      <c r="P943" s="16"/>
      <c r="Q943" s="4"/>
      <c r="R943" s="4"/>
      <c r="S943" s="4"/>
      <c r="T943" s="4"/>
      <c r="U943" s="4"/>
      <c r="V943" s="4"/>
      <c r="W943" s="4"/>
      <c r="X943" s="4"/>
      <c r="Y943" s="4"/>
      <c r="Z943" s="4"/>
      <c r="AA943" s="4"/>
      <c r="AB943" s="4"/>
      <c r="AC943" s="4"/>
      <c r="AD943" s="4"/>
      <c r="AE943" s="4"/>
    </row>
    <row r="944" spans="1:31" ht="13.2">
      <c r="A944" s="7"/>
      <c r="B944" s="7"/>
      <c r="C944" s="7"/>
      <c r="D944" s="29"/>
      <c r="E944" s="7"/>
      <c r="F944" s="7"/>
      <c r="G944" s="7"/>
      <c r="H944" s="16"/>
      <c r="I944" s="16"/>
      <c r="J944" s="16"/>
      <c r="K944" s="16"/>
      <c r="L944" s="16"/>
      <c r="M944" s="16"/>
      <c r="N944" s="16"/>
      <c r="O944" s="16"/>
      <c r="P944" s="16"/>
      <c r="Q944" s="4"/>
      <c r="R944" s="4"/>
      <c r="S944" s="4"/>
      <c r="T944" s="4"/>
      <c r="U944" s="4"/>
      <c r="V944" s="4"/>
      <c r="W944" s="4"/>
      <c r="X944" s="4"/>
      <c r="Y944" s="4"/>
      <c r="Z944" s="4"/>
      <c r="AA944" s="4"/>
      <c r="AB944" s="4"/>
      <c r="AC944" s="4"/>
      <c r="AD944" s="4"/>
      <c r="AE944" s="4"/>
    </row>
    <row r="945" spans="1:31" ht="13.2">
      <c r="A945" s="7"/>
      <c r="B945" s="7"/>
      <c r="C945" s="7"/>
      <c r="D945" s="29"/>
      <c r="E945" s="7"/>
      <c r="F945" s="7"/>
      <c r="G945" s="7"/>
      <c r="H945" s="16"/>
      <c r="I945" s="16"/>
      <c r="J945" s="16"/>
      <c r="K945" s="16"/>
      <c r="L945" s="16"/>
      <c r="M945" s="16"/>
      <c r="N945" s="16"/>
      <c r="O945" s="16"/>
      <c r="P945" s="16"/>
      <c r="Q945" s="4"/>
      <c r="R945" s="4"/>
      <c r="S945" s="4"/>
      <c r="T945" s="4"/>
      <c r="U945" s="4"/>
      <c r="V945" s="4"/>
      <c r="W945" s="4"/>
      <c r="X945" s="4"/>
      <c r="Y945" s="4"/>
      <c r="Z945" s="4"/>
      <c r="AA945" s="4"/>
      <c r="AB945" s="4"/>
      <c r="AC945" s="4"/>
      <c r="AD945" s="4"/>
      <c r="AE945" s="4"/>
    </row>
    <row r="946" spans="1:31" ht="13.2">
      <c r="A946" s="7"/>
      <c r="B946" s="7"/>
      <c r="C946" s="7"/>
      <c r="D946" s="29"/>
      <c r="E946" s="7"/>
      <c r="F946" s="7"/>
      <c r="G946" s="7"/>
      <c r="H946" s="16"/>
      <c r="I946" s="16"/>
      <c r="J946" s="16"/>
      <c r="K946" s="16"/>
      <c r="L946" s="16"/>
      <c r="M946" s="16"/>
      <c r="N946" s="16"/>
      <c r="O946" s="16"/>
      <c r="P946" s="16"/>
      <c r="Q946" s="4"/>
      <c r="R946" s="4"/>
      <c r="S946" s="4"/>
      <c r="T946" s="4"/>
      <c r="U946" s="4"/>
      <c r="V946" s="4"/>
      <c r="W946" s="4"/>
      <c r="X946" s="4"/>
      <c r="Y946" s="4"/>
      <c r="Z946" s="4"/>
      <c r="AA946" s="4"/>
      <c r="AB946" s="4"/>
      <c r="AC946" s="4"/>
      <c r="AD946" s="4"/>
      <c r="AE946" s="4"/>
    </row>
    <row r="947" spans="1:31" ht="13.2">
      <c r="A947" s="7"/>
      <c r="B947" s="7"/>
      <c r="C947" s="7"/>
      <c r="D947" s="29"/>
      <c r="E947" s="7"/>
      <c r="F947" s="7"/>
      <c r="G947" s="7"/>
      <c r="H947" s="16"/>
      <c r="I947" s="16"/>
      <c r="J947" s="16"/>
      <c r="K947" s="16"/>
      <c r="L947" s="16"/>
      <c r="M947" s="16"/>
      <c r="N947" s="16"/>
      <c r="O947" s="16"/>
      <c r="P947" s="16"/>
      <c r="Q947" s="4"/>
      <c r="R947" s="4"/>
      <c r="S947" s="4"/>
      <c r="T947" s="4"/>
      <c r="U947" s="4"/>
      <c r="V947" s="4"/>
      <c r="W947" s="4"/>
      <c r="X947" s="4"/>
      <c r="Y947" s="4"/>
      <c r="Z947" s="4"/>
      <c r="AA947" s="4"/>
      <c r="AB947" s="4"/>
      <c r="AC947" s="4"/>
      <c r="AD947" s="4"/>
      <c r="AE947" s="4"/>
    </row>
    <row r="948" spans="1:31" ht="13.2">
      <c r="A948" s="7"/>
      <c r="B948" s="7"/>
      <c r="C948" s="7"/>
      <c r="D948" s="29"/>
      <c r="E948" s="7"/>
      <c r="F948" s="7"/>
      <c r="G948" s="7"/>
      <c r="H948" s="16"/>
      <c r="I948" s="16"/>
      <c r="J948" s="16"/>
      <c r="K948" s="16"/>
      <c r="L948" s="16"/>
      <c r="M948" s="16"/>
      <c r="N948" s="16"/>
      <c r="O948" s="16"/>
      <c r="P948" s="16"/>
      <c r="Q948" s="4"/>
      <c r="R948" s="4"/>
      <c r="S948" s="4"/>
      <c r="T948" s="4"/>
      <c r="U948" s="4"/>
      <c r="V948" s="4"/>
      <c r="W948" s="4"/>
      <c r="X948" s="4"/>
      <c r="Y948" s="4"/>
      <c r="Z948" s="4"/>
      <c r="AA948" s="4"/>
      <c r="AB948" s="4"/>
      <c r="AC948" s="4"/>
      <c r="AD948" s="4"/>
      <c r="AE948" s="4"/>
    </row>
    <row r="949" spans="1:31" ht="13.2">
      <c r="A949" s="7"/>
      <c r="B949" s="7"/>
      <c r="C949" s="7"/>
      <c r="D949" s="29"/>
      <c r="E949" s="7"/>
      <c r="F949" s="7"/>
      <c r="G949" s="7"/>
      <c r="H949" s="16"/>
      <c r="I949" s="16"/>
      <c r="J949" s="16"/>
      <c r="K949" s="16"/>
      <c r="L949" s="16"/>
      <c r="M949" s="16"/>
      <c r="N949" s="16"/>
      <c r="O949" s="16"/>
      <c r="P949" s="16"/>
      <c r="Q949" s="4"/>
      <c r="R949" s="4"/>
      <c r="S949" s="4"/>
      <c r="T949" s="4"/>
      <c r="U949" s="4"/>
      <c r="V949" s="4"/>
      <c r="W949" s="4"/>
      <c r="X949" s="4"/>
      <c r="Y949" s="4"/>
      <c r="Z949" s="4"/>
      <c r="AA949" s="4"/>
      <c r="AB949" s="4"/>
      <c r="AC949" s="4"/>
      <c r="AD949" s="4"/>
      <c r="AE949" s="4"/>
    </row>
    <row r="950" spans="1:31" ht="13.2">
      <c r="A950" s="7"/>
      <c r="B950" s="7"/>
      <c r="C950" s="7"/>
      <c r="D950" s="29"/>
      <c r="E950" s="7"/>
      <c r="F950" s="7"/>
      <c r="G950" s="7"/>
      <c r="H950" s="16"/>
      <c r="I950" s="16"/>
      <c r="J950" s="16"/>
      <c r="K950" s="16"/>
      <c r="L950" s="16"/>
      <c r="M950" s="16"/>
      <c r="N950" s="16"/>
      <c r="O950" s="16"/>
      <c r="P950" s="16"/>
      <c r="Q950" s="4"/>
      <c r="R950" s="4"/>
      <c r="S950" s="4"/>
      <c r="T950" s="4"/>
      <c r="U950" s="4"/>
      <c r="V950" s="4"/>
      <c r="W950" s="4"/>
      <c r="X950" s="4"/>
      <c r="Y950" s="4"/>
      <c r="Z950" s="4"/>
      <c r="AA950" s="4"/>
      <c r="AB950" s="4"/>
      <c r="AC950" s="4"/>
      <c r="AD950" s="4"/>
      <c r="AE950" s="4"/>
    </row>
    <row r="951" spans="1:31" ht="13.2">
      <c r="A951" s="7"/>
      <c r="B951" s="7"/>
      <c r="C951" s="7"/>
      <c r="D951" s="29"/>
      <c r="E951" s="7"/>
      <c r="F951" s="7"/>
      <c r="G951" s="7"/>
      <c r="H951" s="16"/>
      <c r="I951" s="16"/>
      <c r="J951" s="16"/>
      <c r="K951" s="16"/>
      <c r="L951" s="16"/>
      <c r="M951" s="16"/>
      <c r="N951" s="16"/>
      <c r="O951" s="16"/>
      <c r="P951" s="16"/>
      <c r="Q951" s="4"/>
      <c r="R951" s="4"/>
      <c r="S951" s="4"/>
      <c r="T951" s="4"/>
      <c r="U951" s="4"/>
      <c r="V951" s="4"/>
      <c r="W951" s="4"/>
      <c r="X951" s="4"/>
      <c r="Y951" s="4"/>
      <c r="Z951" s="4"/>
      <c r="AA951" s="4"/>
      <c r="AB951" s="4"/>
      <c r="AC951" s="4"/>
      <c r="AD951" s="4"/>
      <c r="AE951" s="4"/>
    </row>
    <row r="952" spans="1:31" ht="13.2">
      <c r="A952" s="7"/>
      <c r="B952" s="7"/>
      <c r="C952" s="7"/>
      <c r="D952" s="29"/>
      <c r="E952" s="7"/>
      <c r="F952" s="7"/>
      <c r="G952" s="7"/>
      <c r="H952" s="16"/>
      <c r="I952" s="16"/>
      <c r="J952" s="16"/>
      <c r="K952" s="16"/>
      <c r="L952" s="16"/>
      <c r="M952" s="16"/>
      <c r="N952" s="16"/>
      <c r="O952" s="16"/>
      <c r="P952" s="16"/>
      <c r="Q952" s="4"/>
      <c r="R952" s="4"/>
      <c r="S952" s="4"/>
      <c r="T952" s="4"/>
      <c r="U952" s="4"/>
      <c r="V952" s="4"/>
      <c r="W952" s="4"/>
      <c r="X952" s="4"/>
      <c r="Y952" s="4"/>
      <c r="Z952" s="4"/>
      <c r="AA952" s="4"/>
      <c r="AB952" s="4"/>
      <c r="AC952" s="4"/>
      <c r="AD952" s="4"/>
      <c r="AE952" s="4"/>
    </row>
    <row r="953" spans="1:31" ht="13.2">
      <c r="A953" s="7"/>
      <c r="B953" s="7"/>
      <c r="C953" s="7"/>
      <c r="D953" s="29"/>
      <c r="E953" s="7"/>
      <c r="F953" s="7"/>
      <c r="G953" s="7"/>
      <c r="H953" s="16"/>
      <c r="I953" s="16"/>
      <c r="J953" s="16"/>
      <c r="K953" s="16"/>
      <c r="L953" s="16"/>
      <c r="M953" s="16"/>
      <c r="N953" s="16"/>
      <c r="O953" s="16"/>
      <c r="P953" s="16"/>
      <c r="Q953" s="4"/>
      <c r="R953" s="4"/>
      <c r="S953" s="4"/>
      <c r="T953" s="4"/>
      <c r="U953" s="4"/>
      <c r="V953" s="4"/>
      <c r="W953" s="4"/>
      <c r="X953" s="4"/>
      <c r="Y953" s="4"/>
      <c r="Z953" s="4"/>
      <c r="AA953" s="4"/>
      <c r="AB953" s="4"/>
      <c r="AC953" s="4"/>
      <c r="AD953" s="4"/>
      <c r="AE953" s="4"/>
    </row>
    <row r="954" spans="1:31" ht="13.2">
      <c r="A954" s="7"/>
      <c r="B954" s="7"/>
      <c r="C954" s="7"/>
      <c r="D954" s="29"/>
      <c r="E954" s="7"/>
      <c r="F954" s="7"/>
      <c r="G954" s="7"/>
      <c r="H954" s="16"/>
      <c r="I954" s="16"/>
      <c r="J954" s="16"/>
      <c r="K954" s="16"/>
      <c r="L954" s="16"/>
      <c r="M954" s="16"/>
      <c r="N954" s="16"/>
      <c r="O954" s="16"/>
      <c r="P954" s="16"/>
      <c r="Q954" s="4"/>
      <c r="R954" s="4"/>
      <c r="S954" s="4"/>
      <c r="T954" s="4"/>
      <c r="U954" s="4"/>
      <c r="V954" s="4"/>
      <c r="W954" s="4"/>
      <c r="X954" s="4"/>
      <c r="Y954" s="4"/>
      <c r="Z954" s="4"/>
      <c r="AA954" s="4"/>
      <c r="AB954" s="4"/>
      <c r="AC954" s="4"/>
      <c r="AD954" s="4"/>
      <c r="AE954" s="4"/>
    </row>
    <row r="955" spans="1:31" ht="13.2">
      <c r="A955" s="7"/>
      <c r="B955" s="7"/>
      <c r="C955" s="7"/>
      <c r="D955" s="29"/>
      <c r="E955" s="7"/>
      <c r="F955" s="7"/>
      <c r="G955" s="7"/>
      <c r="H955" s="16"/>
      <c r="I955" s="16"/>
      <c r="J955" s="16"/>
      <c r="K955" s="16"/>
      <c r="L955" s="16"/>
      <c r="M955" s="16"/>
      <c r="N955" s="16"/>
      <c r="O955" s="16"/>
      <c r="P955" s="16"/>
      <c r="Q955" s="4"/>
      <c r="R955" s="4"/>
      <c r="S955" s="4"/>
      <c r="T955" s="4"/>
      <c r="U955" s="4"/>
      <c r="V955" s="4"/>
      <c r="W955" s="4"/>
      <c r="X955" s="4"/>
      <c r="Y955" s="4"/>
      <c r="Z955" s="4"/>
      <c r="AA955" s="4"/>
      <c r="AB955" s="4"/>
      <c r="AC955" s="4"/>
      <c r="AD955" s="4"/>
      <c r="AE955" s="4"/>
    </row>
    <row r="956" spans="1:31" ht="13.2">
      <c r="A956" s="7"/>
      <c r="B956" s="7"/>
      <c r="C956" s="7"/>
      <c r="D956" s="29"/>
      <c r="E956" s="7"/>
      <c r="F956" s="7"/>
      <c r="G956" s="7"/>
      <c r="H956" s="16"/>
      <c r="I956" s="16"/>
      <c r="J956" s="16"/>
      <c r="K956" s="16"/>
      <c r="L956" s="16"/>
      <c r="M956" s="16"/>
      <c r="N956" s="16"/>
      <c r="O956" s="16"/>
      <c r="P956" s="16"/>
      <c r="Q956" s="4"/>
      <c r="R956" s="4"/>
      <c r="S956" s="4"/>
      <c r="T956" s="4"/>
      <c r="U956" s="4"/>
      <c r="V956" s="4"/>
      <c r="W956" s="4"/>
      <c r="X956" s="4"/>
      <c r="Y956" s="4"/>
      <c r="Z956" s="4"/>
      <c r="AA956" s="4"/>
      <c r="AB956" s="4"/>
      <c r="AC956" s="4"/>
      <c r="AD956" s="4"/>
      <c r="AE956" s="4"/>
    </row>
    <row r="957" spans="1:31" ht="13.2">
      <c r="A957" s="7"/>
      <c r="B957" s="7"/>
      <c r="C957" s="7"/>
      <c r="D957" s="29"/>
      <c r="E957" s="7"/>
      <c r="F957" s="7"/>
      <c r="G957" s="7"/>
      <c r="H957" s="16"/>
      <c r="I957" s="16"/>
      <c r="J957" s="16"/>
      <c r="K957" s="16"/>
      <c r="L957" s="16"/>
      <c r="M957" s="16"/>
      <c r="N957" s="16"/>
      <c r="O957" s="16"/>
      <c r="P957" s="16"/>
      <c r="Q957" s="4"/>
      <c r="R957" s="4"/>
      <c r="S957" s="4"/>
      <c r="T957" s="4"/>
      <c r="U957" s="4"/>
      <c r="V957" s="4"/>
      <c r="W957" s="4"/>
      <c r="X957" s="4"/>
      <c r="Y957" s="4"/>
      <c r="Z957" s="4"/>
      <c r="AA957" s="4"/>
      <c r="AB957" s="4"/>
      <c r="AC957" s="4"/>
      <c r="AD957" s="4"/>
      <c r="AE957" s="4"/>
    </row>
    <row r="958" spans="1:31" ht="13.2">
      <c r="A958" s="7"/>
      <c r="B958" s="7"/>
      <c r="C958" s="7"/>
      <c r="D958" s="29"/>
      <c r="E958" s="7"/>
      <c r="F958" s="7"/>
      <c r="G958" s="7"/>
      <c r="H958" s="16"/>
      <c r="I958" s="16"/>
      <c r="J958" s="16"/>
      <c r="K958" s="16"/>
      <c r="L958" s="16"/>
      <c r="M958" s="16"/>
      <c r="N958" s="16"/>
      <c r="O958" s="16"/>
      <c r="P958" s="16"/>
      <c r="Q958" s="4"/>
      <c r="R958" s="4"/>
      <c r="S958" s="4"/>
      <c r="T958" s="4"/>
      <c r="U958" s="4"/>
      <c r="V958" s="4"/>
      <c r="W958" s="4"/>
      <c r="X958" s="4"/>
      <c r="Y958" s="4"/>
      <c r="Z958" s="4"/>
      <c r="AA958" s="4"/>
      <c r="AB958" s="4"/>
      <c r="AC958" s="4"/>
      <c r="AD958" s="4"/>
      <c r="AE958" s="4"/>
    </row>
    <row r="959" spans="1:31" ht="13.2">
      <c r="A959" s="7"/>
      <c r="B959" s="7"/>
      <c r="C959" s="7"/>
      <c r="D959" s="29"/>
      <c r="E959" s="7"/>
      <c r="F959" s="7"/>
      <c r="G959" s="7"/>
      <c r="H959" s="16"/>
      <c r="I959" s="16"/>
      <c r="J959" s="16"/>
      <c r="K959" s="16"/>
      <c r="L959" s="16"/>
      <c r="M959" s="16"/>
      <c r="N959" s="16"/>
      <c r="O959" s="16"/>
      <c r="P959" s="16"/>
      <c r="Q959" s="4"/>
      <c r="R959" s="4"/>
      <c r="S959" s="4"/>
      <c r="T959" s="4"/>
      <c r="U959" s="4"/>
      <c r="V959" s="4"/>
      <c r="W959" s="4"/>
      <c r="X959" s="4"/>
      <c r="Y959" s="4"/>
      <c r="Z959" s="4"/>
      <c r="AA959" s="4"/>
      <c r="AB959" s="4"/>
      <c r="AC959" s="4"/>
      <c r="AD959" s="4"/>
      <c r="AE959" s="4"/>
    </row>
    <row r="960" spans="1:31" ht="13.2">
      <c r="A960" s="7"/>
      <c r="B960" s="7"/>
      <c r="C960" s="7"/>
      <c r="D960" s="29"/>
      <c r="E960" s="7"/>
      <c r="F960" s="7"/>
      <c r="G960" s="7"/>
      <c r="H960" s="16"/>
      <c r="I960" s="16"/>
      <c r="J960" s="16"/>
      <c r="K960" s="16"/>
      <c r="L960" s="16"/>
      <c r="M960" s="16"/>
      <c r="N960" s="16"/>
      <c r="O960" s="16"/>
      <c r="P960" s="16"/>
      <c r="Q960" s="4"/>
      <c r="R960" s="4"/>
      <c r="S960" s="4"/>
      <c r="T960" s="4"/>
      <c r="U960" s="4"/>
      <c r="V960" s="4"/>
      <c r="W960" s="4"/>
      <c r="X960" s="4"/>
      <c r="Y960" s="4"/>
      <c r="Z960" s="4"/>
      <c r="AA960" s="4"/>
      <c r="AB960" s="4"/>
      <c r="AC960" s="4"/>
      <c r="AD960" s="4"/>
      <c r="AE960" s="4"/>
    </row>
    <row r="961" spans="1:31" ht="13.2">
      <c r="A961" s="7"/>
      <c r="B961" s="7"/>
      <c r="C961" s="7"/>
      <c r="D961" s="29"/>
      <c r="E961" s="7"/>
      <c r="F961" s="7"/>
      <c r="G961" s="7"/>
      <c r="H961" s="16"/>
      <c r="I961" s="16"/>
      <c r="J961" s="16"/>
      <c r="K961" s="16"/>
      <c r="L961" s="16"/>
      <c r="M961" s="16"/>
      <c r="N961" s="16"/>
      <c r="O961" s="16"/>
      <c r="P961" s="16"/>
      <c r="Q961" s="4"/>
      <c r="R961" s="4"/>
      <c r="S961" s="4"/>
      <c r="T961" s="4"/>
      <c r="U961" s="4"/>
      <c r="V961" s="4"/>
      <c r="W961" s="4"/>
      <c r="X961" s="4"/>
      <c r="Y961" s="4"/>
      <c r="Z961" s="4"/>
      <c r="AA961" s="4"/>
      <c r="AB961" s="4"/>
      <c r="AC961" s="4"/>
      <c r="AD961" s="4"/>
      <c r="AE961" s="4"/>
    </row>
    <row r="962" spans="1:31" ht="13.2">
      <c r="A962" s="7"/>
      <c r="B962" s="7"/>
      <c r="C962" s="7"/>
      <c r="D962" s="29"/>
      <c r="E962" s="7"/>
      <c r="F962" s="7"/>
      <c r="G962" s="7"/>
      <c r="H962" s="16"/>
      <c r="I962" s="16"/>
      <c r="J962" s="16"/>
      <c r="K962" s="16"/>
      <c r="L962" s="16"/>
      <c r="M962" s="16"/>
      <c r="N962" s="16"/>
      <c r="O962" s="16"/>
      <c r="P962" s="16"/>
      <c r="Q962" s="4"/>
      <c r="R962" s="4"/>
      <c r="S962" s="4"/>
      <c r="T962" s="4"/>
      <c r="U962" s="4"/>
      <c r="V962" s="4"/>
      <c r="W962" s="4"/>
      <c r="X962" s="4"/>
      <c r="Y962" s="4"/>
      <c r="Z962" s="4"/>
      <c r="AA962" s="4"/>
      <c r="AB962" s="4"/>
      <c r="AC962" s="4"/>
      <c r="AD962" s="4"/>
      <c r="AE962" s="4"/>
    </row>
    <row r="963" spans="1:31" ht="13.2">
      <c r="A963" s="7"/>
      <c r="B963" s="7"/>
      <c r="C963" s="7"/>
      <c r="D963" s="29"/>
      <c r="E963" s="7"/>
      <c r="F963" s="7"/>
      <c r="G963" s="7"/>
      <c r="H963" s="16"/>
      <c r="I963" s="16"/>
      <c r="J963" s="16"/>
      <c r="K963" s="16"/>
      <c r="L963" s="16"/>
      <c r="M963" s="16"/>
      <c r="N963" s="16"/>
      <c r="O963" s="16"/>
      <c r="P963" s="16"/>
      <c r="Q963" s="4"/>
      <c r="R963" s="4"/>
      <c r="S963" s="4"/>
      <c r="T963" s="4"/>
      <c r="U963" s="4"/>
      <c r="V963" s="4"/>
      <c r="W963" s="4"/>
      <c r="X963" s="4"/>
      <c r="Y963" s="4"/>
      <c r="Z963" s="4"/>
      <c r="AA963" s="4"/>
      <c r="AB963" s="4"/>
      <c r="AC963" s="4"/>
      <c r="AD963" s="4"/>
      <c r="AE963" s="4"/>
    </row>
    <row r="964" spans="1:31" ht="13.2">
      <c r="A964" s="7"/>
      <c r="B964" s="7"/>
      <c r="C964" s="7"/>
      <c r="D964" s="29"/>
      <c r="E964" s="7"/>
      <c r="F964" s="7"/>
      <c r="G964" s="7"/>
      <c r="H964" s="16"/>
      <c r="I964" s="16"/>
      <c r="J964" s="16"/>
      <c r="K964" s="16"/>
      <c r="L964" s="16"/>
      <c r="M964" s="16"/>
      <c r="N964" s="16"/>
      <c r="O964" s="16"/>
      <c r="P964" s="16"/>
      <c r="Q964" s="4"/>
      <c r="R964" s="4"/>
      <c r="S964" s="4"/>
      <c r="T964" s="4"/>
      <c r="U964" s="4"/>
      <c r="V964" s="4"/>
      <c r="W964" s="4"/>
      <c r="X964" s="4"/>
      <c r="Y964" s="4"/>
      <c r="Z964" s="4"/>
      <c r="AA964" s="4"/>
      <c r="AB964" s="4"/>
      <c r="AC964" s="4"/>
      <c r="AD964" s="4"/>
      <c r="AE964" s="4"/>
    </row>
    <row r="965" spans="1:31" ht="13.2">
      <c r="A965" s="7"/>
      <c r="B965" s="7"/>
      <c r="C965" s="7"/>
      <c r="D965" s="29"/>
      <c r="E965" s="7"/>
      <c r="F965" s="7"/>
      <c r="G965" s="7"/>
      <c r="H965" s="16"/>
      <c r="I965" s="16"/>
      <c r="J965" s="16"/>
      <c r="K965" s="16"/>
      <c r="L965" s="16"/>
      <c r="M965" s="16"/>
      <c r="N965" s="16"/>
      <c r="O965" s="16"/>
      <c r="P965" s="16"/>
      <c r="Q965" s="4"/>
      <c r="R965" s="4"/>
      <c r="S965" s="4"/>
      <c r="T965" s="4"/>
      <c r="U965" s="4"/>
      <c r="V965" s="4"/>
      <c r="W965" s="4"/>
      <c r="X965" s="4"/>
      <c r="Y965" s="4"/>
      <c r="Z965" s="4"/>
      <c r="AA965" s="4"/>
      <c r="AB965" s="4"/>
      <c r="AC965" s="4"/>
      <c r="AD965" s="4"/>
      <c r="AE965" s="4"/>
    </row>
    <row r="966" spans="1:31" ht="13.2">
      <c r="A966" s="7"/>
      <c r="B966" s="7"/>
      <c r="C966" s="7"/>
      <c r="D966" s="29"/>
      <c r="E966" s="7"/>
      <c r="F966" s="7"/>
      <c r="G966" s="7"/>
      <c r="H966" s="16"/>
      <c r="I966" s="16"/>
      <c r="J966" s="16"/>
      <c r="K966" s="16"/>
      <c r="L966" s="16"/>
      <c r="M966" s="16"/>
      <c r="N966" s="16"/>
      <c r="O966" s="16"/>
      <c r="P966" s="16"/>
      <c r="Q966" s="4"/>
      <c r="R966" s="4"/>
      <c r="S966" s="4"/>
      <c r="T966" s="4"/>
      <c r="U966" s="4"/>
      <c r="V966" s="4"/>
      <c r="W966" s="4"/>
      <c r="X966" s="4"/>
      <c r="Y966" s="4"/>
      <c r="Z966" s="4"/>
      <c r="AA966" s="4"/>
      <c r="AB966" s="4"/>
      <c r="AC966" s="4"/>
      <c r="AD966" s="4"/>
      <c r="AE966" s="4"/>
    </row>
    <row r="967" spans="1:31" ht="13.2">
      <c r="A967" s="7"/>
      <c r="B967" s="7"/>
      <c r="C967" s="7"/>
      <c r="D967" s="29"/>
      <c r="E967" s="7"/>
      <c r="F967" s="7"/>
      <c r="G967" s="7"/>
      <c r="H967" s="16"/>
      <c r="I967" s="16"/>
      <c r="J967" s="16"/>
      <c r="K967" s="16"/>
      <c r="L967" s="16"/>
      <c r="M967" s="16"/>
      <c r="N967" s="16"/>
      <c r="O967" s="16"/>
      <c r="P967" s="16"/>
      <c r="Q967" s="4"/>
      <c r="R967" s="4"/>
      <c r="S967" s="4"/>
      <c r="T967" s="4"/>
      <c r="U967" s="4"/>
      <c r="V967" s="4"/>
      <c r="W967" s="4"/>
      <c r="X967" s="4"/>
      <c r="Y967" s="4"/>
      <c r="Z967" s="4"/>
      <c r="AA967" s="4"/>
      <c r="AB967" s="4"/>
      <c r="AC967" s="4"/>
      <c r="AD967" s="4"/>
      <c r="AE967" s="4"/>
    </row>
    <row r="968" spans="1:31" ht="13.2">
      <c r="A968" s="7"/>
      <c r="B968" s="7"/>
      <c r="C968" s="7"/>
      <c r="D968" s="29"/>
      <c r="E968" s="7"/>
      <c r="F968" s="7"/>
      <c r="G968" s="7"/>
      <c r="H968" s="16"/>
      <c r="I968" s="16"/>
      <c r="J968" s="16"/>
      <c r="K968" s="16"/>
      <c r="L968" s="16"/>
      <c r="M968" s="16"/>
      <c r="N968" s="16"/>
      <c r="O968" s="16"/>
      <c r="P968" s="16"/>
      <c r="Q968" s="4"/>
      <c r="R968" s="4"/>
      <c r="S968" s="4"/>
      <c r="T968" s="4"/>
      <c r="U968" s="4"/>
      <c r="V968" s="4"/>
      <c r="W968" s="4"/>
      <c r="X968" s="4"/>
      <c r="Y968" s="4"/>
      <c r="Z968" s="4"/>
      <c r="AA968" s="4"/>
      <c r="AB968" s="4"/>
      <c r="AC968" s="4"/>
      <c r="AD968" s="4"/>
      <c r="AE968" s="4"/>
    </row>
    <row r="969" spans="1:31" ht="13.2">
      <c r="A969" s="7"/>
      <c r="B969" s="7"/>
      <c r="C969" s="7"/>
      <c r="D969" s="29"/>
      <c r="E969" s="7"/>
      <c r="F969" s="7"/>
      <c r="G969" s="7"/>
      <c r="H969" s="16"/>
      <c r="I969" s="16"/>
      <c r="J969" s="16"/>
      <c r="K969" s="16"/>
      <c r="L969" s="16"/>
      <c r="M969" s="16"/>
      <c r="N969" s="16"/>
      <c r="O969" s="16"/>
      <c r="P969" s="16"/>
      <c r="Q969" s="4"/>
      <c r="R969" s="4"/>
      <c r="S969" s="4"/>
      <c r="T969" s="4"/>
      <c r="U969" s="4"/>
      <c r="V969" s="4"/>
      <c r="W969" s="4"/>
      <c r="X969" s="4"/>
      <c r="Y969" s="4"/>
      <c r="Z969" s="4"/>
      <c r="AA969" s="4"/>
      <c r="AB969" s="4"/>
      <c r="AC969" s="4"/>
      <c r="AD969" s="4"/>
      <c r="AE969" s="4"/>
    </row>
    <row r="970" spans="1:31" ht="13.2">
      <c r="A970" s="7"/>
      <c r="B970" s="7"/>
      <c r="C970" s="7"/>
      <c r="D970" s="29"/>
      <c r="E970" s="7"/>
      <c r="F970" s="7"/>
      <c r="G970" s="7"/>
      <c r="H970" s="16"/>
      <c r="I970" s="16"/>
      <c r="J970" s="16"/>
      <c r="K970" s="16"/>
      <c r="L970" s="16"/>
      <c r="M970" s="16"/>
      <c r="N970" s="16"/>
      <c r="O970" s="16"/>
      <c r="P970" s="16"/>
      <c r="Q970" s="4"/>
      <c r="R970" s="4"/>
      <c r="S970" s="4"/>
      <c r="T970" s="4"/>
      <c r="U970" s="4"/>
      <c r="V970" s="4"/>
      <c r="W970" s="4"/>
      <c r="X970" s="4"/>
      <c r="Y970" s="4"/>
      <c r="Z970" s="4"/>
      <c r="AA970" s="4"/>
      <c r="AB970" s="4"/>
      <c r="AC970" s="4"/>
      <c r="AD970" s="4"/>
      <c r="AE970" s="4"/>
    </row>
    <row r="971" spans="1:31" ht="13.2">
      <c r="A971" s="7"/>
      <c r="B971" s="7"/>
      <c r="C971" s="7"/>
      <c r="D971" s="29"/>
      <c r="E971" s="7"/>
      <c r="F971" s="7"/>
      <c r="G971" s="7"/>
      <c r="H971" s="16"/>
      <c r="I971" s="16"/>
      <c r="J971" s="16"/>
      <c r="K971" s="16"/>
      <c r="L971" s="16"/>
      <c r="M971" s="16"/>
      <c r="N971" s="16"/>
      <c r="O971" s="16"/>
      <c r="P971" s="16"/>
      <c r="Q971" s="4"/>
      <c r="R971" s="4"/>
      <c r="S971" s="4"/>
      <c r="T971" s="4"/>
      <c r="U971" s="4"/>
      <c r="V971" s="4"/>
      <c r="W971" s="4"/>
      <c r="X971" s="4"/>
      <c r="Y971" s="4"/>
      <c r="Z971" s="4"/>
      <c r="AA971" s="4"/>
      <c r="AB971" s="4"/>
      <c r="AC971" s="4"/>
      <c r="AD971" s="4"/>
      <c r="AE971" s="4"/>
    </row>
    <row r="972" spans="1:31" ht="13.2">
      <c r="A972" s="7"/>
      <c r="B972" s="7"/>
      <c r="C972" s="7"/>
      <c r="D972" s="29"/>
      <c r="E972" s="7"/>
      <c r="F972" s="7"/>
      <c r="G972" s="7"/>
      <c r="H972" s="16"/>
      <c r="I972" s="16"/>
      <c r="J972" s="16"/>
      <c r="K972" s="16"/>
      <c r="L972" s="16"/>
      <c r="M972" s="16"/>
      <c r="N972" s="16"/>
      <c r="O972" s="16"/>
      <c r="P972" s="16"/>
      <c r="Q972" s="4"/>
      <c r="R972" s="4"/>
      <c r="S972" s="4"/>
      <c r="T972" s="4"/>
      <c r="U972" s="4"/>
      <c r="V972" s="4"/>
      <c r="W972" s="4"/>
      <c r="X972" s="4"/>
      <c r="Y972" s="4"/>
      <c r="Z972" s="4"/>
      <c r="AA972" s="4"/>
      <c r="AB972" s="4"/>
      <c r="AC972" s="4"/>
      <c r="AD972" s="4"/>
      <c r="AE972" s="4"/>
    </row>
    <row r="973" spans="1:31" ht="13.2">
      <c r="A973" s="7"/>
      <c r="B973" s="7"/>
      <c r="C973" s="7"/>
      <c r="D973" s="29"/>
      <c r="E973" s="7"/>
      <c r="F973" s="7"/>
      <c r="G973" s="7"/>
      <c r="H973" s="16"/>
      <c r="I973" s="16"/>
      <c r="J973" s="16"/>
      <c r="K973" s="16"/>
      <c r="L973" s="16"/>
      <c r="M973" s="16"/>
      <c r="N973" s="16"/>
      <c r="O973" s="16"/>
      <c r="P973" s="16"/>
      <c r="Q973" s="4"/>
      <c r="R973" s="4"/>
      <c r="S973" s="4"/>
      <c r="T973" s="4"/>
      <c r="U973" s="4"/>
      <c r="V973" s="4"/>
      <c r="W973" s="4"/>
      <c r="X973" s="4"/>
      <c r="Y973" s="4"/>
      <c r="Z973" s="4"/>
      <c r="AA973" s="4"/>
      <c r="AB973" s="4"/>
      <c r="AC973" s="4"/>
      <c r="AD973" s="4"/>
      <c r="AE973" s="4"/>
    </row>
    <row r="974" spans="1:31" ht="13.2">
      <c r="A974" s="7"/>
      <c r="B974" s="7"/>
      <c r="C974" s="7"/>
      <c r="D974" s="29"/>
      <c r="E974" s="7"/>
      <c r="F974" s="7"/>
      <c r="G974" s="7"/>
      <c r="H974" s="16"/>
      <c r="I974" s="16"/>
      <c r="J974" s="16"/>
      <c r="K974" s="16"/>
      <c r="L974" s="16"/>
      <c r="M974" s="16"/>
      <c r="N974" s="16"/>
      <c r="O974" s="16"/>
      <c r="P974" s="16"/>
      <c r="Q974" s="4"/>
      <c r="R974" s="4"/>
      <c r="S974" s="4"/>
      <c r="T974" s="4"/>
      <c r="U974" s="4"/>
      <c r="V974" s="4"/>
      <c r="W974" s="4"/>
      <c r="X974" s="4"/>
      <c r="Y974" s="4"/>
      <c r="Z974" s="4"/>
      <c r="AA974" s="4"/>
      <c r="AB974" s="4"/>
      <c r="AC974" s="4"/>
      <c r="AD974" s="4"/>
      <c r="AE974" s="4"/>
    </row>
    <row r="975" spans="1:31" ht="13.2">
      <c r="A975" s="7"/>
      <c r="B975" s="7"/>
      <c r="C975" s="7"/>
      <c r="D975" s="29"/>
      <c r="E975" s="7"/>
      <c r="F975" s="7"/>
      <c r="G975" s="7"/>
      <c r="H975" s="16"/>
      <c r="I975" s="16"/>
      <c r="J975" s="16"/>
      <c r="K975" s="16"/>
      <c r="L975" s="16"/>
      <c r="M975" s="16"/>
      <c r="N975" s="16"/>
      <c r="O975" s="16"/>
      <c r="P975" s="16"/>
      <c r="Q975" s="4"/>
      <c r="R975" s="4"/>
      <c r="S975" s="4"/>
      <c r="T975" s="4"/>
      <c r="U975" s="4"/>
      <c r="V975" s="4"/>
      <c r="W975" s="4"/>
      <c r="X975" s="4"/>
      <c r="Y975" s="4"/>
      <c r="Z975" s="4"/>
      <c r="AA975" s="4"/>
      <c r="AB975" s="4"/>
      <c r="AC975" s="4"/>
      <c r="AD975" s="4"/>
      <c r="AE975" s="4"/>
    </row>
    <row r="976" spans="1:31" ht="13.2">
      <c r="A976" s="7"/>
      <c r="B976" s="7"/>
      <c r="C976" s="7"/>
      <c r="D976" s="29"/>
      <c r="E976" s="7"/>
      <c r="F976" s="7"/>
      <c r="G976" s="7"/>
      <c r="H976" s="16"/>
      <c r="I976" s="16"/>
      <c r="J976" s="16"/>
      <c r="K976" s="16"/>
      <c r="L976" s="16"/>
      <c r="M976" s="16"/>
      <c r="N976" s="16"/>
      <c r="O976" s="16"/>
      <c r="P976" s="16"/>
      <c r="Q976" s="4"/>
      <c r="R976" s="4"/>
      <c r="S976" s="4"/>
      <c r="T976" s="4"/>
      <c r="U976" s="4"/>
      <c r="V976" s="4"/>
      <c r="W976" s="4"/>
      <c r="X976" s="4"/>
      <c r="Y976" s="4"/>
      <c r="Z976" s="4"/>
      <c r="AA976" s="4"/>
      <c r="AB976" s="4"/>
      <c r="AC976" s="4"/>
      <c r="AD976" s="4"/>
      <c r="AE976" s="4"/>
    </row>
    <row r="977" spans="1:31" ht="13.2">
      <c r="A977" s="7"/>
      <c r="B977" s="7"/>
      <c r="C977" s="7"/>
      <c r="D977" s="29"/>
      <c r="E977" s="7"/>
      <c r="F977" s="7"/>
      <c r="G977" s="7"/>
      <c r="H977" s="16"/>
      <c r="I977" s="16"/>
      <c r="J977" s="16"/>
      <c r="K977" s="16"/>
      <c r="L977" s="16"/>
      <c r="M977" s="16"/>
      <c r="N977" s="16"/>
      <c r="O977" s="16"/>
      <c r="P977" s="16"/>
      <c r="Q977" s="4"/>
      <c r="R977" s="4"/>
      <c r="S977" s="4"/>
      <c r="T977" s="4"/>
      <c r="U977" s="4"/>
      <c r="V977" s="4"/>
      <c r="W977" s="4"/>
      <c r="X977" s="4"/>
      <c r="Y977" s="4"/>
      <c r="Z977" s="4"/>
      <c r="AA977" s="4"/>
      <c r="AB977" s="4"/>
      <c r="AC977" s="4"/>
      <c r="AD977" s="4"/>
      <c r="AE977" s="4"/>
    </row>
    <row r="978" spans="1:31" ht="13.2">
      <c r="A978" s="7"/>
      <c r="B978" s="7"/>
      <c r="C978" s="7"/>
      <c r="D978" s="29"/>
      <c r="E978" s="7"/>
      <c r="F978" s="7"/>
      <c r="G978" s="7"/>
      <c r="H978" s="16"/>
      <c r="I978" s="16"/>
      <c r="J978" s="16"/>
      <c r="K978" s="16"/>
      <c r="L978" s="16"/>
      <c r="M978" s="16"/>
      <c r="N978" s="16"/>
      <c r="O978" s="16"/>
      <c r="P978" s="16"/>
      <c r="Q978" s="4"/>
      <c r="R978" s="4"/>
      <c r="S978" s="4"/>
      <c r="T978" s="4"/>
      <c r="U978" s="4"/>
      <c r="V978" s="4"/>
      <c r="W978" s="4"/>
      <c r="X978" s="4"/>
      <c r="Y978" s="4"/>
      <c r="Z978" s="4"/>
      <c r="AA978" s="4"/>
      <c r="AB978" s="4"/>
      <c r="AC978" s="4"/>
      <c r="AD978" s="4"/>
      <c r="AE978" s="4"/>
    </row>
    <row r="979" spans="1:31" ht="13.2">
      <c r="A979" s="7"/>
      <c r="B979" s="7"/>
      <c r="C979" s="7"/>
      <c r="D979" s="29"/>
      <c r="E979" s="7"/>
      <c r="F979" s="7"/>
      <c r="G979" s="7"/>
      <c r="H979" s="16"/>
      <c r="I979" s="16"/>
      <c r="J979" s="16"/>
      <c r="K979" s="16"/>
      <c r="L979" s="16"/>
      <c r="M979" s="16"/>
      <c r="N979" s="16"/>
      <c r="O979" s="16"/>
      <c r="P979" s="16"/>
      <c r="Q979" s="4"/>
      <c r="R979" s="4"/>
      <c r="S979" s="4"/>
      <c r="T979" s="4"/>
      <c r="U979" s="4"/>
      <c r="V979" s="4"/>
      <c r="W979" s="4"/>
      <c r="X979" s="4"/>
      <c r="Y979" s="4"/>
      <c r="Z979" s="4"/>
      <c r="AA979" s="4"/>
      <c r="AB979" s="4"/>
      <c r="AC979" s="4"/>
      <c r="AD979" s="4"/>
      <c r="AE979" s="4"/>
    </row>
    <row r="980" spans="1:31" ht="13.2">
      <c r="A980" s="7"/>
      <c r="B980" s="7"/>
      <c r="C980" s="7"/>
      <c r="D980" s="29"/>
      <c r="E980" s="7"/>
      <c r="F980" s="7"/>
      <c r="G980" s="7"/>
      <c r="H980" s="16"/>
      <c r="I980" s="16"/>
      <c r="J980" s="16"/>
      <c r="K980" s="16"/>
      <c r="L980" s="16"/>
      <c r="M980" s="16"/>
      <c r="N980" s="16"/>
      <c r="O980" s="16"/>
      <c r="P980" s="16"/>
      <c r="Q980" s="4"/>
      <c r="R980" s="4"/>
      <c r="S980" s="4"/>
      <c r="T980" s="4"/>
      <c r="U980" s="4"/>
      <c r="V980" s="4"/>
      <c r="W980" s="4"/>
      <c r="X980" s="4"/>
      <c r="Y980" s="4"/>
      <c r="Z980" s="4"/>
      <c r="AA980" s="4"/>
      <c r="AB980" s="4"/>
      <c r="AC980" s="4"/>
      <c r="AD980" s="4"/>
      <c r="AE980" s="4"/>
    </row>
    <row r="981" spans="1:31" ht="13.2">
      <c r="A981" s="7"/>
      <c r="B981" s="7"/>
      <c r="C981" s="7"/>
      <c r="D981" s="29"/>
      <c r="E981" s="7"/>
      <c r="F981" s="7"/>
      <c r="G981" s="7"/>
      <c r="H981" s="16"/>
      <c r="I981" s="16"/>
      <c r="J981" s="16"/>
      <c r="K981" s="16"/>
      <c r="L981" s="16"/>
      <c r="M981" s="16"/>
      <c r="N981" s="16"/>
      <c r="O981" s="16"/>
      <c r="P981" s="16"/>
      <c r="Q981" s="4"/>
      <c r="R981" s="4"/>
      <c r="S981" s="4"/>
      <c r="T981" s="4"/>
      <c r="U981" s="4"/>
      <c r="V981" s="4"/>
      <c r="W981" s="4"/>
      <c r="X981" s="4"/>
      <c r="Y981" s="4"/>
      <c r="Z981" s="4"/>
      <c r="AA981" s="4"/>
      <c r="AB981" s="4"/>
      <c r="AC981" s="4"/>
      <c r="AD981" s="4"/>
      <c r="AE981" s="4"/>
    </row>
    <row r="982" spans="1:31" ht="13.2">
      <c r="A982" s="7"/>
      <c r="B982" s="7"/>
      <c r="C982" s="7"/>
      <c r="D982" s="29"/>
      <c r="E982" s="7"/>
      <c r="F982" s="7"/>
      <c r="G982" s="7"/>
      <c r="H982" s="16"/>
      <c r="I982" s="16"/>
      <c r="J982" s="16"/>
      <c r="K982" s="16"/>
      <c r="L982" s="16"/>
      <c r="M982" s="16"/>
      <c r="N982" s="16"/>
      <c r="O982" s="16"/>
      <c r="P982" s="16"/>
      <c r="Q982" s="4"/>
      <c r="R982" s="4"/>
      <c r="S982" s="4"/>
      <c r="T982" s="4"/>
      <c r="U982" s="4"/>
      <c r="V982" s="4"/>
      <c r="W982" s="4"/>
      <c r="X982" s="4"/>
      <c r="Y982" s="4"/>
      <c r="Z982" s="4"/>
      <c r="AA982" s="4"/>
      <c r="AB982" s="4"/>
      <c r="AC982" s="4"/>
      <c r="AD982" s="4"/>
      <c r="AE982" s="4"/>
    </row>
    <row r="983" spans="1:31" ht="13.2">
      <c r="A983" s="7"/>
      <c r="B983" s="7"/>
      <c r="C983" s="7"/>
      <c r="D983" s="29"/>
      <c r="E983" s="7"/>
      <c r="F983" s="7"/>
      <c r="G983" s="7"/>
      <c r="H983" s="16"/>
      <c r="I983" s="16"/>
      <c r="J983" s="16"/>
      <c r="K983" s="16"/>
      <c r="L983" s="16"/>
      <c r="M983" s="16"/>
      <c r="N983" s="16"/>
      <c r="O983" s="16"/>
      <c r="P983" s="16"/>
      <c r="Q983" s="4"/>
      <c r="R983" s="4"/>
      <c r="S983" s="4"/>
      <c r="T983" s="4"/>
      <c r="U983" s="4"/>
      <c r="V983" s="4"/>
      <c r="W983" s="4"/>
      <c r="X983" s="4"/>
      <c r="Y983" s="4"/>
      <c r="Z983" s="4"/>
      <c r="AA983" s="4"/>
      <c r="AB983" s="4"/>
      <c r="AC983" s="4"/>
      <c r="AD983" s="4"/>
      <c r="AE983" s="4"/>
    </row>
    <row r="984" spans="1:31" ht="13.2">
      <c r="A984" s="7"/>
      <c r="B984" s="7"/>
      <c r="C984" s="7"/>
      <c r="D984" s="29"/>
      <c r="E984" s="7"/>
      <c r="F984" s="7"/>
      <c r="G984" s="7"/>
      <c r="H984" s="16"/>
      <c r="I984" s="16"/>
      <c r="J984" s="16"/>
      <c r="K984" s="16"/>
      <c r="L984" s="16"/>
      <c r="M984" s="16"/>
      <c r="N984" s="16"/>
      <c r="O984" s="16"/>
      <c r="P984" s="16"/>
      <c r="Q984" s="4"/>
      <c r="R984" s="4"/>
      <c r="S984" s="4"/>
      <c r="T984" s="4"/>
      <c r="U984" s="4"/>
      <c r="V984" s="4"/>
      <c r="W984" s="4"/>
      <c r="X984" s="4"/>
      <c r="Y984" s="4"/>
      <c r="Z984" s="4"/>
      <c r="AA984" s="4"/>
      <c r="AB984" s="4"/>
      <c r="AC984" s="4"/>
      <c r="AD984" s="4"/>
      <c r="AE984" s="4"/>
    </row>
    <row r="985" spans="1:31" ht="13.2">
      <c r="A985" s="7"/>
      <c r="B985" s="7"/>
      <c r="C985" s="7"/>
      <c r="D985" s="29"/>
      <c r="E985" s="7"/>
      <c r="F985" s="7"/>
      <c r="G985" s="7"/>
      <c r="H985" s="16"/>
      <c r="I985" s="16"/>
      <c r="J985" s="16"/>
      <c r="K985" s="16"/>
      <c r="L985" s="16"/>
      <c r="M985" s="16"/>
      <c r="N985" s="16"/>
      <c r="O985" s="16"/>
      <c r="P985" s="16"/>
      <c r="Q985" s="4"/>
      <c r="R985" s="4"/>
      <c r="S985" s="4"/>
      <c r="T985" s="4"/>
      <c r="U985" s="4"/>
      <c r="V985" s="4"/>
      <c r="W985" s="4"/>
      <c r="X985" s="4"/>
      <c r="Y985" s="4"/>
      <c r="Z985" s="4"/>
      <c r="AA985" s="4"/>
      <c r="AB985" s="4"/>
      <c r="AC985" s="4"/>
      <c r="AD985" s="4"/>
      <c r="AE985" s="4"/>
    </row>
    <row r="986" spans="1:31" ht="13.2">
      <c r="A986" s="7"/>
      <c r="B986" s="7"/>
      <c r="C986" s="7"/>
      <c r="D986" s="29"/>
      <c r="E986" s="7"/>
      <c r="F986" s="7"/>
      <c r="G986" s="7"/>
      <c r="H986" s="16"/>
      <c r="I986" s="16"/>
      <c r="J986" s="16"/>
      <c r="K986" s="16"/>
      <c r="L986" s="16"/>
      <c r="M986" s="16"/>
      <c r="N986" s="16"/>
      <c r="O986" s="16"/>
      <c r="P986" s="16"/>
      <c r="Q986" s="4"/>
      <c r="R986" s="4"/>
      <c r="S986" s="4"/>
      <c r="T986" s="4"/>
      <c r="U986" s="4"/>
      <c r="V986" s="4"/>
      <c r="W986" s="4"/>
      <c r="X986" s="4"/>
      <c r="Y986" s="4"/>
      <c r="Z986" s="4"/>
      <c r="AA986" s="4"/>
      <c r="AB986" s="4"/>
      <c r="AC986" s="4"/>
      <c r="AD986" s="4"/>
      <c r="AE986" s="4"/>
    </row>
    <row r="987" spans="1:31" ht="13.2">
      <c r="A987" s="7"/>
      <c r="B987" s="7"/>
      <c r="C987" s="7"/>
      <c r="D987" s="29"/>
      <c r="E987" s="7"/>
      <c r="F987" s="7"/>
      <c r="G987" s="7"/>
      <c r="H987" s="16"/>
      <c r="I987" s="16"/>
      <c r="J987" s="16"/>
      <c r="K987" s="16"/>
      <c r="L987" s="16"/>
      <c r="M987" s="16"/>
      <c r="N987" s="16"/>
      <c r="O987" s="16"/>
      <c r="P987" s="16"/>
      <c r="Q987" s="4"/>
      <c r="R987" s="4"/>
      <c r="S987" s="4"/>
      <c r="T987" s="4"/>
      <c r="U987" s="4"/>
      <c r="V987" s="4"/>
      <c r="W987" s="4"/>
      <c r="X987" s="4"/>
      <c r="Y987" s="4"/>
      <c r="Z987" s="4"/>
      <c r="AA987" s="4"/>
      <c r="AB987" s="4"/>
      <c r="AC987" s="4"/>
      <c r="AD987" s="4"/>
      <c r="AE987" s="4"/>
    </row>
    <row r="988" spans="1:31" ht="13.2">
      <c r="A988" s="7"/>
      <c r="B988" s="7"/>
      <c r="C988" s="7"/>
      <c r="D988" s="29"/>
      <c r="E988" s="7"/>
      <c r="F988" s="7"/>
      <c r="G988" s="7"/>
      <c r="H988" s="16"/>
      <c r="I988" s="16"/>
      <c r="J988" s="16"/>
      <c r="K988" s="16"/>
      <c r="L988" s="16"/>
      <c r="M988" s="16"/>
      <c r="N988" s="16"/>
      <c r="O988" s="16"/>
      <c r="P988" s="16"/>
      <c r="Q988" s="4"/>
      <c r="R988" s="4"/>
      <c r="S988" s="4"/>
      <c r="T988" s="4"/>
      <c r="U988" s="4"/>
      <c r="V988" s="4"/>
      <c r="W988" s="4"/>
      <c r="X988" s="4"/>
      <c r="Y988" s="4"/>
      <c r="Z988" s="4"/>
      <c r="AA988" s="4"/>
      <c r="AB988" s="4"/>
      <c r="AC988" s="4"/>
      <c r="AD988" s="4"/>
      <c r="AE988" s="4"/>
    </row>
    <row r="989" spans="1:31" ht="13.2">
      <c r="A989" s="7"/>
      <c r="B989" s="7"/>
      <c r="C989" s="7"/>
      <c r="D989" s="29"/>
      <c r="E989" s="7"/>
      <c r="F989" s="7"/>
      <c r="G989" s="7"/>
      <c r="H989" s="16"/>
      <c r="I989" s="16"/>
      <c r="J989" s="16"/>
      <c r="K989" s="16"/>
      <c r="L989" s="16"/>
      <c r="M989" s="16"/>
      <c r="N989" s="16"/>
      <c r="O989" s="16"/>
      <c r="P989" s="16"/>
      <c r="Q989" s="4"/>
      <c r="R989" s="4"/>
      <c r="S989" s="4"/>
      <c r="T989" s="4"/>
      <c r="U989" s="4"/>
      <c r="V989" s="4"/>
      <c r="W989" s="4"/>
      <c r="X989" s="4"/>
      <c r="Y989" s="4"/>
      <c r="Z989" s="4"/>
      <c r="AA989" s="4"/>
      <c r="AB989" s="4"/>
      <c r="AC989" s="4"/>
      <c r="AD989" s="4"/>
      <c r="AE989" s="4"/>
    </row>
    <row r="990" spans="1:31" ht="13.2">
      <c r="A990" s="7"/>
      <c r="B990" s="7"/>
      <c r="C990" s="7"/>
      <c r="D990" s="29"/>
      <c r="E990" s="7"/>
      <c r="F990" s="7"/>
      <c r="G990" s="7"/>
      <c r="H990" s="16"/>
      <c r="I990" s="16"/>
      <c r="J990" s="16"/>
      <c r="K990" s="16"/>
      <c r="L990" s="16"/>
      <c r="M990" s="16"/>
      <c r="N990" s="16"/>
      <c r="O990" s="16"/>
      <c r="P990" s="16"/>
      <c r="Q990" s="4"/>
      <c r="R990" s="4"/>
      <c r="S990" s="4"/>
      <c r="T990" s="4"/>
      <c r="U990" s="4"/>
      <c r="V990" s="4"/>
      <c r="W990" s="4"/>
      <c r="X990" s="4"/>
      <c r="Y990" s="4"/>
      <c r="Z990" s="4"/>
      <c r="AA990" s="4"/>
      <c r="AB990" s="4"/>
      <c r="AC990" s="4"/>
      <c r="AD990" s="4"/>
      <c r="AE990" s="4"/>
    </row>
    <row r="991" spans="1:31" ht="13.2">
      <c r="A991" s="7"/>
      <c r="B991" s="7"/>
      <c r="C991" s="7"/>
      <c r="D991" s="29"/>
      <c r="E991" s="7"/>
      <c r="F991" s="7"/>
      <c r="G991" s="7"/>
      <c r="H991" s="16"/>
      <c r="I991" s="16"/>
      <c r="J991" s="16"/>
      <c r="K991" s="16"/>
      <c r="L991" s="16"/>
      <c r="M991" s="16"/>
      <c r="N991" s="16"/>
      <c r="O991" s="16"/>
      <c r="P991" s="16"/>
      <c r="Q991" s="4"/>
      <c r="R991" s="4"/>
      <c r="S991" s="4"/>
      <c r="T991" s="4"/>
      <c r="U991" s="4"/>
      <c r="V991" s="4"/>
      <c r="W991" s="4"/>
      <c r="X991" s="4"/>
      <c r="Y991" s="4"/>
      <c r="Z991" s="4"/>
      <c r="AA991" s="4"/>
      <c r="AB991" s="4"/>
      <c r="AC991" s="4"/>
      <c r="AD991" s="4"/>
      <c r="AE991" s="4"/>
    </row>
    <row r="992" spans="1:31" ht="13.2">
      <c r="A992" s="7"/>
      <c r="B992" s="7"/>
      <c r="C992" s="7"/>
      <c r="D992" s="29"/>
      <c r="E992" s="7"/>
      <c r="F992" s="7"/>
      <c r="G992" s="7"/>
      <c r="H992" s="16"/>
      <c r="I992" s="16"/>
      <c r="J992" s="16"/>
      <c r="K992" s="16"/>
      <c r="L992" s="16"/>
      <c r="M992" s="16"/>
      <c r="N992" s="16"/>
      <c r="O992" s="16"/>
      <c r="P992" s="16"/>
      <c r="Q992" s="4"/>
      <c r="R992" s="4"/>
      <c r="S992" s="4"/>
      <c r="T992" s="4"/>
      <c r="U992" s="4"/>
      <c r="V992" s="4"/>
      <c r="W992" s="4"/>
      <c r="X992" s="4"/>
      <c r="Y992" s="4"/>
      <c r="Z992" s="4"/>
      <c r="AA992" s="4"/>
      <c r="AB992" s="4"/>
      <c r="AC992" s="4"/>
      <c r="AD992" s="4"/>
      <c r="AE992" s="4"/>
    </row>
    <row r="993" spans="1:31" ht="13.2">
      <c r="A993" s="7"/>
      <c r="B993" s="7"/>
      <c r="C993" s="7"/>
      <c r="D993" s="29"/>
      <c r="E993" s="7"/>
      <c r="F993" s="7"/>
      <c r="G993" s="7"/>
      <c r="H993" s="16"/>
      <c r="I993" s="16"/>
      <c r="J993" s="16"/>
      <c r="K993" s="16"/>
      <c r="L993" s="16"/>
      <c r="M993" s="16"/>
      <c r="N993" s="16"/>
      <c r="O993" s="16"/>
      <c r="P993" s="16"/>
      <c r="Q993" s="4"/>
      <c r="R993" s="4"/>
      <c r="S993" s="4"/>
      <c r="T993" s="4"/>
      <c r="U993" s="4"/>
      <c r="V993" s="4"/>
      <c r="W993" s="4"/>
      <c r="X993" s="4"/>
      <c r="Y993" s="4"/>
      <c r="Z993" s="4"/>
      <c r="AA993" s="4"/>
      <c r="AB993" s="4"/>
      <c r="AC993" s="4"/>
      <c r="AD993" s="4"/>
      <c r="AE993" s="4"/>
    </row>
    <row r="994" spans="1:31" ht="13.2">
      <c r="A994" s="7"/>
      <c r="B994" s="7"/>
      <c r="C994" s="7"/>
      <c r="D994" s="29"/>
      <c r="E994" s="7"/>
      <c r="F994" s="7"/>
      <c r="G994" s="7"/>
      <c r="H994" s="16"/>
      <c r="I994" s="16"/>
      <c r="J994" s="16"/>
      <c r="K994" s="16"/>
      <c r="L994" s="16"/>
      <c r="M994" s="16"/>
      <c r="N994" s="16"/>
      <c r="O994" s="16"/>
      <c r="P994" s="16"/>
      <c r="Q994" s="4"/>
      <c r="R994" s="4"/>
      <c r="S994" s="4"/>
      <c r="T994" s="4"/>
      <c r="U994" s="4"/>
      <c r="V994" s="4"/>
      <c r="W994" s="4"/>
      <c r="X994" s="4"/>
      <c r="Y994" s="4"/>
      <c r="Z994" s="4"/>
      <c r="AA994" s="4"/>
      <c r="AB994" s="4"/>
      <c r="AC994" s="4"/>
      <c r="AD994" s="4"/>
      <c r="AE994" s="4"/>
    </row>
    <row r="995" spans="1:31" ht="13.2">
      <c r="A995" s="7"/>
      <c r="B995" s="7"/>
      <c r="C995" s="7"/>
      <c r="D995" s="29"/>
      <c r="E995" s="7"/>
      <c r="F995" s="7"/>
      <c r="G995" s="7"/>
      <c r="H995" s="16"/>
      <c r="I995" s="16"/>
      <c r="J995" s="16"/>
      <c r="K995" s="16"/>
      <c r="L995" s="16"/>
      <c r="M995" s="16"/>
      <c r="N995" s="16"/>
      <c r="O995" s="16"/>
      <c r="P995" s="16"/>
      <c r="Q995" s="4"/>
      <c r="R995" s="4"/>
      <c r="S995" s="4"/>
      <c r="T995" s="4"/>
      <c r="U995" s="4"/>
      <c r="V995" s="4"/>
      <c r="W995" s="4"/>
      <c r="X995" s="4"/>
      <c r="Y995" s="4"/>
      <c r="Z995" s="4"/>
      <c r="AA995" s="4"/>
      <c r="AB995" s="4"/>
      <c r="AC995" s="4"/>
      <c r="AD995" s="4"/>
      <c r="AE995" s="4"/>
    </row>
    <row r="996" spans="1:31" ht="13.2">
      <c r="A996" s="7"/>
      <c r="B996" s="7"/>
      <c r="C996" s="7"/>
      <c r="D996" s="29"/>
      <c r="E996" s="7"/>
      <c r="F996" s="7"/>
      <c r="G996" s="7"/>
      <c r="H996" s="16"/>
      <c r="I996" s="16"/>
      <c r="J996" s="16"/>
      <c r="K996" s="16"/>
      <c r="L996" s="16"/>
      <c r="M996" s="16"/>
      <c r="N996" s="16"/>
      <c r="O996" s="16"/>
      <c r="P996" s="16"/>
      <c r="Q996" s="4"/>
      <c r="R996" s="4"/>
      <c r="S996" s="4"/>
      <c r="T996" s="4"/>
      <c r="U996" s="4"/>
      <c r="V996" s="4"/>
      <c r="W996" s="4"/>
      <c r="X996" s="4"/>
      <c r="Y996" s="4"/>
      <c r="Z996" s="4"/>
      <c r="AA996" s="4"/>
      <c r="AB996" s="4"/>
      <c r="AC996" s="4"/>
      <c r="AD996" s="4"/>
      <c r="AE996" s="4"/>
    </row>
    <row r="997" spans="1:31" ht="13.2">
      <c r="A997" s="7"/>
      <c r="B997" s="7"/>
      <c r="C997" s="7"/>
      <c r="D997" s="29"/>
      <c r="E997" s="7"/>
      <c r="F997" s="7"/>
      <c r="G997" s="7"/>
      <c r="H997" s="16"/>
      <c r="I997" s="16"/>
      <c r="J997" s="16"/>
      <c r="K997" s="16"/>
      <c r="L997" s="16"/>
      <c r="M997" s="16"/>
      <c r="N997" s="16"/>
      <c r="O997" s="16"/>
      <c r="P997" s="16"/>
      <c r="Q997" s="4"/>
      <c r="R997" s="4"/>
      <c r="S997" s="4"/>
      <c r="T997" s="4"/>
      <c r="U997" s="4"/>
      <c r="V997" s="4"/>
      <c r="W997" s="4"/>
      <c r="X997" s="4"/>
      <c r="Y997" s="4"/>
      <c r="Z997" s="4"/>
      <c r="AA997" s="4"/>
      <c r="AB997" s="4"/>
      <c r="AC997" s="4"/>
      <c r="AD997" s="4"/>
      <c r="AE997" s="4"/>
    </row>
    <row r="998" spans="1:31" ht="13.2">
      <c r="A998" s="7"/>
      <c r="B998" s="7"/>
      <c r="C998" s="7"/>
      <c r="D998" s="29"/>
      <c r="E998" s="7"/>
      <c r="F998" s="7"/>
      <c r="G998" s="7"/>
      <c r="H998" s="16"/>
      <c r="I998" s="16"/>
      <c r="J998" s="16"/>
      <c r="K998" s="16"/>
      <c r="L998" s="16"/>
      <c r="M998" s="16"/>
      <c r="N998" s="16"/>
      <c r="O998" s="16"/>
      <c r="P998" s="16"/>
      <c r="Q998" s="4"/>
      <c r="R998" s="4"/>
      <c r="S998" s="4"/>
      <c r="T998" s="4"/>
      <c r="U998" s="4"/>
      <c r="V998" s="4"/>
      <c r="W998" s="4"/>
      <c r="X998" s="4"/>
      <c r="Y998" s="4"/>
      <c r="Z998" s="4"/>
      <c r="AA998" s="4"/>
      <c r="AB998" s="4"/>
      <c r="AC998" s="4"/>
      <c r="AD998" s="4"/>
      <c r="AE998" s="4"/>
    </row>
    <row r="999" spans="1:31" ht="13.2">
      <c r="A999" s="7"/>
      <c r="B999" s="7"/>
      <c r="C999" s="7"/>
      <c r="D999" s="29"/>
      <c r="E999" s="7"/>
      <c r="F999" s="7"/>
      <c r="G999" s="7"/>
      <c r="H999" s="16"/>
      <c r="I999" s="16"/>
      <c r="J999" s="16"/>
      <c r="K999" s="16"/>
      <c r="L999" s="16"/>
      <c r="M999" s="16"/>
      <c r="N999" s="16"/>
      <c r="O999" s="16"/>
      <c r="P999" s="16"/>
      <c r="Q999" s="4"/>
      <c r="R999" s="4"/>
      <c r="S999" s="4"/>
      <c r="T999" s="4"/>
      <c r="U999" s="4"/>
      <c r="V999" s="4"/>
      <c r="W999" s="4"/>
      <c r="X999" s="4"/>
      <c r="Y999" s="4"/>
      <c r="Z999" s="4"/>
      <c r="AA999" s="4"/>
      <c r="AB999" s="4"/>
      <c r="AC999" s="4"/>
      <c r="AD999" s="4"/>
      <c r="AE999" s="4"/>
    </row>
  </sheetData>
  <mergeCells count="1">
    <mergeCell ref="R5:V6"/>
  </mergeCells>
  <phoneticPr fontId="60" type="noConversion"/>
  <hyperlinks>
    <hyperlink ref="D2" r:id="rId1" xr:uid="{00000000-0004-0000-04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미국</vt:lpstr>
      <vt:lpstr>중국</vt:lpstr>
      <vt:lpstr>유럽(독일)</vt:lpstr>
      <vt:lpstr>배송비 조회</vt:lpstr>
      <vt:lpstr>etc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김범진</dc:creator>
  <cp:lastModifiedBy>김범진</cp:lastModifiedBy>
  <dcterms:created xsi:type="dcterms:W3CDTF">2020-01-01T12:38:57Z</dcterms:created>
  <dcterms:modified xsi:type="dcterms:W3CDTF">2020-01-12T11:05:39Z</dcterms:modified>
</cp:coreProperties>
</file>